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x1\配置\trunk\策划文档\数值文档\"/>
    </mc:Choice>
  </mc:AlternateContent>
  <bookViews>
    <workbookView windowWidth="27945" windowHeight="12375" activeTab="1"/>
  </bookViews>
  <sheets>
    <sheet name="说明" sheetId="1" r:id="rId1"/>
    <sheet name="养成规划" sheetId="2" r:id="rId2"/>
    <sheet name="装备属性" sheetId="8" r:id="rId3"/>
    <sheet name="装备产出" sheetId="4" r:id="rId4"/>
    <sheet name="装备词条库配置" sheetId="13" r:id="rId5"/>
    <sheet name="属性汇总" sheetId="5" r:id="rId6"/>
    <sheet name="装备产出配置" sheetId="9" r:id="rId7"/>
    <sheet name="GM表配置" sheetId="10" r:id="rId8"/>
    <sheet name="Sheet1" sheetId="11" r:id="rId9"/>
    <sheet name="Sheet2" sheetId="12" r:id="rId10"/>
    <sheet name="附加词条抽取库" sheetId="14" r:id="rId11"/>
  </sheets>
  <externalReferences>
    <externalReference r:id="rId12"/>
    <externalReference r:id="rId13"/>
  </externalReferences>
  <definedNames>
    <definedName name="_xlnm._FilterDatabase" localSheetId="4" hidden="1">装备词条库配置!$A$1:$N$1827</definedName>
    <definedName name="_xlnm._FilterDatabase" localSheetId="2" hidden="1">装备属性!$N$918:$S$955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tc={e701a6af-305f-4e38-97b8-1f5b3e92679b}</author>
    <author>tc={5e2fbb45-0126-466f-8fcc-84dca7236e42}</author>
    <author>tc={927e05fc-ccd1-4e72-a5ba-3ba7bbe1a1a7}</author>
    <author>Administrator</author>
  </authors>
  <commentList>
    <comment ref="G1" authorId="0">
      <text>
        <r>
          <rPr>
            <sz val="10"/>
            <rFont val="等线"/>
            <scheme val="minor"/>
            <charset val="0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 可填项：否,是
</t>
        </r>
      </text>
    </comment>
    <comment ref="H1" authorId="1">
      <text>
        <r>
          <rPr>
            <sz val="10"/>
            <rFont val="等线"/>
            <scheme val="minor"/>
            <charset val="0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 可填项：数值,万分比
</t>
        </r>
      </text>
    </comment>
    <comment ref="B35" authorId="2">
      <text>
        <r>
          <rPr>
            <sz val="10"/>
            <rFont val="等线"/>
            <scheme val="minor"/>
            <charset val="0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 特殊处理：
默认值为0。但在常量表里给所有单位+10000
目的：
这样允许“比例”的修改方式能直接生效，多个比例修改之间能乘算。这是其他dmg不能做到的。
案例：
buff1：提升20%
buff2：提升40%
若同时都有，则100%*120%*140%=168%
</t>
        </r>
      </text>
    </comment>
    <comment ref="C154" authorId="3">
      <text>
        <r>
          <rPr>
            <sz val="9"/>
            <rFont val="等线"/>
            <scheme val="minor"/>
            <charset val="0"/>
          </rPr>
          <t>邹滨城:
原本是攻速,因为队长锤子没走攻速所以改名用于统计面板做显示.后续有需要改回来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<sst xmlns="http://schemas.openxmlformats.org/spreadsheetml/2006/main" count="21263" uniqueCount="3295">
  <si>
    <t>梦灵养成</t>
  </si>
  <si>
    <t>说明</t>
  </si>
  <si>
    <t>梦灵升级</t>
  </si>
  <si>
    <t>梦灵属性=梦灵初始属性×（1＋（梦灵等级－1）×等级系数）</t>
  </si>
  <si>
    <t>梦灵升级消耗【能量特饮】＋【金币】</t>
  </si>
  <si>
    <t>梦灵升级本质上是上阵编队位置的升级，替换梦灵，等级继承</t>
  </si>
  <si>
    <t>梦灵升级不能超过上阵编队最低等级位置10级</t>
  </si>
  <si>
    <t>梦灵升星</t>
  </si>
  <si>
    <t>梦灵升星属性＝梦灵等级属性×（1+品质系数）＋梦灵初始属性×升星系数×（品质id-1）</t>
  </si>
  <si>
    <t>梦灵升星消耗【本体碎片】＋【金币】</t>
  </si>
  <si>
    <t>梦灵升星到一定阶段后，需要【进阶石】</t>
  </si>
  <si>
    <t>关联配置</t>
  </si>
  <si>
    <t>配置</t>
  </si>
  <si>
    <t>字段</t>
  </si>
  <si>
    <t>值</t>
  </si>
  <si>
    <t>D_单位_unit_data</t>
  </si>
  <si>
    <t>D_道具_item_data</t>
  </si>
  <si>
    <t>*涉及梦灵道具与梦灵初始品质</t>
  </si>
  <si>
    <t>*预留最后一行</t>
  </si>
  <si>
    <t>表头</t>
  </si>
  <si>
    <t>本页结束</t>
  </si>
  <si>
    <t>养成属性</t>
  </si>
  <si>
    <t>属性规划</t>
  </si>
  <si>
    <t>天数</t>
  </si>
  <si>
    <t>玩家等级</t>
  </si>
  <si>
    <t>装备等级</t>
  </si>
  <si>
    <t>装备强化</t>
  </si>
  <si>
    <t>装备品质</t>
  </si>
  <si>
    <t>装备属性</t>
  </si>
  <si>
    <t>强化属性</t>
  </si>
  <si>
    <t>洗练属性</t>
  </si>
  <si>
    <t>蓝</t>
  </si>
  <si>
    <t>紫</t>
  </si>
  <si>
    <t>橙</t>
  </si>
  <si>
    <t>红</t>
  </si>
  <si>
    <t>粉</t>
  </si>
  <si>
    <t>彩</t>
  </si>
  <si>
    <t>装备本体</t>
  </si>
  <si>
    <t>见养成属性页签</t>
  </si>
  <si>
    <t>装备基础属性</t>
  </si>
  <si>
    <t>#前期成长略低于升级，后期高于升级（相当于高品质可以用多一个等级）</t>
  </si>
  <si>
    <t>等级模型</t>
  </si>
  <si>
    <t>*确定每一级属性</t>
  </si>
  <si>
    <t>#从玩家等级表里面拉，这里偏快</t>
  </si>
  <si>
    <t>攻击</t>
  </si>
  <si>
    <t>生命</t>
  </si>
  <si>
    <t>成长幅度</t>
  </si>
  <si>
    <t>解锁时间</t>
  </si>
  <si>
    <t>停留时间</t>
  </si>
  <si>
    <t>品质</t>
  </si>
  <si>
    <t>等级时间</t>
  </si>
  <si>
    <t>算上品质</t>
  </si>
  <si>
    <t>装备提升</t>
  </si>
  <si>
    <t>装备性价比</t>
  </si>
  <si>
    <t>品质-等级-部位模型</t>
  </si>
  <si>
    <t>#装备属性=装备等级属性*品质投放系数*类型系数</t>
  </si>
  <si>
    <t>品质投放比例</t>
  </si>
  <si>
    <t>品质投放系数</t>
  </si>
  <si>
    <t>白</t>
  </si>
  <si>
    <t>绿</t>
  </si>
  <si>
    <t>装备ID</t>
  </si>
  <si>
    <t>装备部位</t>
  </si>
  <si>
    <t>生命类型系数</t>
  </si>
  <si>
    <t>攻击类型系数</t>
  </si>
  <si>
    <t>头盔</t>
  </si>
  <si>
    <t>衣服</t>
  </si>
  <si>
    <t>护臂</t>
  </si>
  <si>
    <t>裤子</t>
  </si>
  <si>
    <t>鞋子</t>
  </si>
  <si>
    <t>手套</t>
  </si>
  <si>
    <t>*目前所有部位是用一套模型，所以装备类型可忽略，所有类型都是用同一套等级-品质模型</t>
  </si>
  <si>
    <t>*0级属性特殊，每个部位单独算</t>
  </si>
  <si>
    <t>装备攻击</t>
  </si>
  <si>
    <t>ID</t>
  </si>
  <si>
    <t>装备类型</t>
  </si>
  <si>
    <t>等级</t>
  </si>
  <si>
    <t>*强化这边所有部位属性做一样，但是词条加成不一样，保证对属性有追求</t>
  </si>
  <si>
    <t>每日产出</t>
  </si>
  <si>
    <t>#优化，此处把金币对标材料的消耗曲线，保证金币：材料=4：1，多余的金币放到首通奖励里</t>
  </si>
  <si>
    <t>属性模型</t>
  </si>
  <si>
    <t>消耗模型</t>
  </si>
  <si>
    <t>*装备强化等级属性=上一级属性+该阶段等级成长值</t>
  </si>
  <si>
    <t>*装备阶段投放属性为对应部位投放属性类型、对应属性千分比</t>
  </si>
  <si>
    <t>*材料消耗值=上一级消耗值+该阶段等级成长值</t>
  </si>
  <si>
    <t>*金币消耗值=阶段成长值+该阶段内等级成长值</t>
  </si>
  <si>
    <t>等级成长模型</t>
  </si>
  <si>
    <t>阶段成长模型</t>
  </si>
  <si>
    <t>材料消耗模型</t>
  </si>
  <si>
    <t>金币消耗模型</t>
  </si>
  <si>
    <t>阶段</t>
  </si>
  <si>
    <t>等级上限</t>
  </si>
  <si>
    <t>等级成长值</t>
  </si>
  <si>
    <t>投放属性</t>
  </si>
  <si>
    <t>属性</t>
  </si>
  <si>
    <t>warrior_dmg_rate</t>
  </si>
  <si>
    <t>阶段成长值</t>
  </si>
  <si>
    <t>金币ID</t>
  </si>
  <si>
    <t>mage_dmg_rate</t>
  </si>
  <si>
    <t>hunter_dmg_rate</t>
  </si>
  <si>
    <t>global_crit_rate</t>
  </si>
  <si>
    <t>control_dmg_rate</t>
  </si>
  <si>
    <t>drug_dmg_rate</t>
  </si>
  <si>
    <t>消耗材料</t>
  </si>
  <si>
    <t>配置属性</t>
  </si>
  <si>
    <t>#每100价值买一点攻击力</t>
  </si>
  <si>
    <t>节点属性</t>
  </si>
  <si>
    <t>校验值</t>
  </si>
  <si>
    <t>消耗价值</t>
  </si>
  <si>
    <t>性价比</t>
  </si>
  <si>
    <t>属性性价比</t>
  </si>
  <si>
    <t>预期时间</t>
  </si>
  <si>
    <t>期望消耗</t>
  </si>
  <si>
    <t>材料成长值</t>
  </si>
  <si>
    <t>升级消耗</t>
  </si>
  <si>
    <t>校验</t>
  </si>
  <si>
    <t>金币成长值</t>
  </si>
  <si>
    <t>金币</t>
  </si>
  <si>
    <t>材料合计</t>
  </si>
  <si>
    <t>金币合计</t>
  </si>
  <si>
    <t>金币材料比</t>
  </si>
  <si>
    <t>装备洗练</t>
  </si>
  <si>
    <t>蔚蓝设计构想</t>
  </si>
  <si>
    <t>主推【全职战队】，每5次出一个特效，一件装备需要洗练5*9=45次</t>
  </si>
  <si>
    <t>后期粉色装备可洗练双特效，即45*5*2=450次洗练（20%多一个词条，50%这个词条是有用的）</t>
  </si>
  <si>
    <t>洗练概率</t>
  </si>
  <si>
    <t>副词条随洗练次数不断提高属性</t>
  </si>
  <si>
    <t>期望洗练次数</t>
  </si>
  <si>
    <t>特效概率</t>
  </si>
  <si>
    <t>洗练次数</t>
  </si>
  <si>
    <t>下限提升比例</t>
  </si>
  <si>
    <t>上限提升比例</t>
  </si>
  <si>
    <t>最低值</t>
  </si>
  <si>
    <t>蔚蓝设计缺陷</t>
  </si>
  <si>
    <t>1、【XX小队】在【全职战队】前没有实际意义了，变成了纯毒点，缺失了拓展维度</t>
  </si>
  <si>
    <t>2、迭代速度太快时，洗练次数跟不上、可能需要放慢前期高品的节奏，红品要适当稀缺</t>
  </si>
  <si>
    <t>梦境改良体验</t>
  </si>
  <si>
    <t>1、后期增加【装备洗练属性+】、【基础属性+】和【经验+】的维度</t>
  </si>
  <si>
    <t>#双词条</t>
  </si>
  <si>
    <t>消耗模型（包含装备分解）</t>
  </si>
  <si>
    <t>*所有类型的装备消耗走一套模型，不分部位</t>
  </si>
  <si>
    <t>装备分解</t>
  </si>
  <si>
    <t>消耗道具ID</t>
  </si>
  <si>
    <t>材料ID</t>
  </si>
  <si>
    <t>锁定条数</t>
  </si>
  <si>
    <t>消耗倍率</t>
  </si>
  <si>
    <t>消耗品质系数</t>
  </si>
  <si>
    <t>材料递增</t>
  </si>
  <si>
    <t>金币递增</t>
  </si>
  <si>
    <t>阶段递增</t>
  </si>
  <si>
    <t>段内递增</t>
  </si>
  <si>
    <t>附加属性</t>
  </si>
  <si>
    <t>*根据品质确定属性条数和随机库(目前走同一随机库)；根据等级确认随机属性值</t>
  </si>
  <si>
    <t>*属性概率池子</t>
  </si>
  <si>
    <t>条数</t>
  </si>
  <si>
    <t>属性原子</t>
  </si>
  <si>
    <t>权重</t>
  </si>
  <si>
    <t>概率</t>
  </si>
  <si>
    <t>warrior_atk</t>
  </si>
  <si>
    <t>mage_atk</t>
  </si>
  <si>
    <t>hunter_atk</t>
  </si>
  <si>
    <t>auxiliary_atk</t>
  </si>
  <si>
    <t>control_atk</t>
  </si>
  <si>
    <t>drug_atk</t>
  </si>
  <si>
    <t>captain_atk</t>
  </si>
  <si>
    <t>最大词条数</t>
  </si>
  <si>
    <t>装备词条</t>
  </si>
  <si>
    <t>词条解锁</t>
  </si>
  <si>
    <t>chapter_pve_atk</t>
  </si>
  <si>
    <t>event_pve_atk</t>
  </si>
  <si>
    <t>arena_atk</t>
  </si>
  <si>
    <t>warrior_chapter_pve_atk</t>
  </si>
  <si>
    <t>mage_chapter_pve_atk</t>
  </si>
  <si>
    <t>hunter_chapter_pve_atk</t>
  </si>
  <si>
    <t>control_chapter_pve_atk</t>
  </si>
  <si>
    <t>drug_chapter_pve_atk</t>
  </si>
  <si>
    <t>summon_chapter_pve_atk</t>
  </si>
  <si>
    <t>*攻击和生命分别走一套模板，不管攻击/生命类型</t>
  </si>
  <si>
    <t>实际现设计</t>
  </si>
  <si>
    <t>原设计参照</t>
  </si>
  <si>
    <t>全员出力、战士增伤</t>
  </si>
  <si>
    <t>最大攻击</t>
  </si>
  <si>
    <t>最大生命</t>
  </si>
  <si>
    <t>攻击下限取值</t>
  </si>
  <si>
    <t>攻击上限取值</t>
  </si>
  <si>
    <t>生命下限取值</t>
  </si>
  <si>
    <t>生命上限取值</t>
  </si>
  <si>
    <t>增加2个同职业的加成，增加玩法増伤、boss增伤</t>
  </si>
  <si>
    <t>增加符文孔+1、经验加成30%（涨见识）、厚底子（基础属性+25%）</t>
  </si>
  <si>
    <t>提成色（洗练属性+50%）</t>
  </si>
  <si>
    <t>彩1</t>
  </si>
  <si>
    <t>（这里待定强化我们的核心玩法表现）</t>
  </si>
  <si>
    <t>彩2</t>
  </si>
  <si>
    <t>彩3</t>
  </si>
  <si>
    <t>单词条</t>
  </si>
  <si>
    <t>双词条</t>
  </si>
  <si>
    <t>三词条</t>
  </si>
  <si>
    <t>玩法增伤</t>
  </si>
  <si>
    <t>装备附加属性</t>
  </si>
  <si>
    <t>经验/图腾</t>
  </si>
  <si>
    <t>词条库</t>
  </si>
  <si>
    <t>*所有部位走一个逻辑，只不过不同部位生效对象不同</t>
  </si>
  <si>
    <t>部位</t>
  </si>
  <si>
    <t>库</t>
  </si>
  <si>
    <t>数量</t>
  </si>
  <si>
    <t>设计参照，实际值见附加词条抽取库</t>
  </si>
  <si>
    <t>装备品质限制</t>
  </si>
  <si>
    <t>名称</t>
  </si>
  <si>
    <t>属性名</t>
  </si>
  <si>
    <t>属性上限</t>
  </si>
  <si>
    <t>属性下限</t>
  </si>
  <si>
    <t>属性类别</t>
  </si>
  <si>
    <t>列1</t>
  </si>
  <si>
    <t>列2</t>
  </si>
  <si>
    <t>传说</t>
  </si>
  <si>
    <t>[1]</t>
  </si>
  <si>
    <t>global_dmg_rate</t>
  </si>
  <si>
    <t>伤害加成</t>
  </si>
  <si>
    <t>通用属性</t>
  </si>
  <si>
    <t>全员抗揍Ⅰ</t>
  </si>
  <si>
    <t>dmg_red_rate</t>
  </si>
  <si>
    <t>伤害减免</t>
  </si>
  <si>
    <t>全员出力Ⅰ</t>
  </si>
  <si>
    <r>
      <rPr>
        <sz val="10"/>
        <color rgb="FF000000"/>
        <rFont val="Calibri"/>
        <charset val="134"/>
      </rPr>
      <t>all_class_dmg</t>
    </r>
  </si>
  <si>
    <t>上阵四个不同职业增伤</t>
  </si>
  <si>
    <t>涨见识</t>
  </si>
  <si>
    <t>exp_boost</t>
  </si>
  <si>
    <t>经验加成</t>
  </si>
  <si>
    <t>稀有词条</t>
  </si>
  <si>
    <t>厚底子</t>
  </si>
  <si>
    <t>equip_base_attr</t>
  </si>
  <si>
    <t>装备基础属性加成</t>
  </si>
  <si>
    <t>提成色</t>
  </si>
  <si>
    <t>equip_extra_attr</t>
  </si>
  <si>
    <t>装备附加属性加成</t>
  </si>
  <si>
    <t>关键开团Ⅰ</t>
  </si>
  <si>
    <t>arena_pve_hit_rare</t>
  </si>
  <si>
    <t>荧幕争锋增伤</t>
  </si>
  <si>
    <t>玩法类</t>
  </si>
  <si>
    <t>猛男耐打Ⅰ</t>
  </si>
  <si>
    <t>warrior_dmg_red_rate</t>
  </si>
  <si>
    <t>战士伤害减免</t>
  </si>
  <si>
    <t>猛男加劲Ⅰ</t>
  </si>
  <si>
    <t>战士伤害</t>
  </si>
  <si>
    <t>猛男小队Ⅰ</t>
  </si>
  <si>
    <t>warrior_class_dmg_rate</t>
  </si>
  <si>
    <t>上阵两个战士职业增伤</t>
  </si>
  <si>
    <t>暴走猛男Ⅰ</t>
  </si>
  <si>
    <t>warrior_crit_dmg</t>
  </si>
  <si>
    <t>扩符槽</t>
  </si>
  <si>
    <t>equip6_rune_slot</t>
  </si>
  <si>
    <t>头盔符文孔位+1</t>
  </si>
  <si>
    <t>全员抗揍Ⅱ</t>
  </si>
  <si>
    <t>全员出力Ⅱ</t>
  </si>
  <si>
    <t>关键开团Ⅱ</t>
  </si>
  <si>
    <t>猛男耐打Ⅱ</t>
  </si>
  <si>
    <t>猛男加劲Ⅱ</t>
  </si>
  <si>
    <t>猛男小队Ⅱ</t>
  </si>
  <si>
    <t>暴走猛男Ⅱ</t>
  </si>
  <si>
    <t>神话</t>
  </si>
  <si>
    <t>全员抗揍Ⅲ</t>
  </si>
  <si>
    <t>全员出力Ⅲ</t>
  </si>
  <si>
    <t>关键开团Ⅲ</t>
  </si>
  <si>
    <t>猛男耐打Ⅲ</t>
  </si>
  <si>
    <t>猛男加劲Ⅲ</t>
  </si>
  <si>
    <t>猛男小队Ⅲ</t>
  </si>
  <si>
    <t>暴走猛男Ⅲ</t>
  </si>
  <si>
    <t>创世</t>
  </si>
  <si>
    <t>全员抗揍Ⅳ</t>
  </si>
  <si>
    <t>全员出力Ⅳ</t>
  </si>
  <si>
    <t>关键开团Ⅳ</t>
  </si>
  <si>
    <t>猛男耐打Ⅳ</t>
  </si>
  <si>
    <t>猛男加劲Ⅳ</t>
  </si>
  <si>
    <t>猛男小队Ⅳ</t>
  </si>
  <si>
    <t>暴走猛男Ⅳ</t>
  </si>
  <si>
    <t>幻彩</t>
  </si>
  <si>
    <t>全员抗揍Ⅴ</t>
  </si>
  <si>
    <t>全员出力Ⅴ</t>
  </si>
  <si>
    <t>关键开团Ⅴ</t>
  </si>
  <si>
    <t>猛男耐打Ⅴ</t>
  </si>
  <si>
    <t>猛男加劲Ⅴ</t>
  </si>
  <si>
    <t>猛男小队Ⅴ</t>
  </si>
  <si>
    <t>暴走猛男Ⅴ</t>
  </si>
  <si>
    <t>[2]</t>
  </si>
  <si>
    <t>equip1_rune_slot</t>
  </si>
  <si>
    <t>衣服符文孔位+1</t>
  </si>
  <si>
    <t>主线清场Ⅰ</t>
  </si>
  <si>
    <t>chapter_pve_hit_rate</t>
  </si>
  <si>
    <t>主线挑战增伤</t>
  </si>
  <si>
    <t>施法防抗Ⅰ</t>
  </si>
  <si>
    <t>mage_dmg_red_rate</t>
  </si>
  <si>
    <t>法师伤害减免</t>
  </si>
  <si>
    <t>施法添柴Ⅰ</t>
  </si>
  <si>
    <t>法师伤害</t>
  </si>
  <si>
    <t>施法小队Ⅰ</t>
  </si>
  <si>
    <t>mage_class_dmg_rate</t>
  </si>
  <si>
    <t>上阵两个法师职业增伤</t>
  </si>
  <si>
    <t>暴走施法Ⅰ</t>
  </si>
  <si>
    <t>mage_crit_dmg</t>
  </si>
  <si>
    <t>主线清场Ⅱ</t>
  </si>
  <si>
    <t>施法防抗Ⅱ</t>
  </si>
  <si>
    <t>施法添柴Ⅱ</t>
  </si>
  <si>
    <t>施法小队Ⅱ</t>
  </si>
  <si>
    <t>暴走施法Ⅱ</t>
  </si>
  <si>
    <t>主线清场Ⅲ</t>
  </si>
  <si>
    <t>施法防抗Ⅲ</t>
  </si>
  <si>
    <t>施法添柴Ⅲ</t>
  </si>
  <si>
    <t>施法小队Ⅲ</t>
  </si>
  <si>
    <t>暴走施法Ⅲ</t>
  </si>
  <si>
    <t>主线清场Ⅳ</t>
  </si>
  <si>
    <t>施法防抗Ⅳ</t>
  </si>
  <si>
    <t>施法添柴Ⅳ</t>
  </si>
  <si>
    <t>施法小队Ⅳ</t>
  </si>
  <si>
    <t>暴走施法Ⅳ</t>
  </si>
  <si>
    <t>主线清场Ⅴ</t>
  </si>
  <si>
    <t>施法防抗Ⅴ</t>
  </si>
  <si>
    <t>施法添柴Ⅴ</t>
  </si>
  <si>
    <t>施法小队Ⅴ</t>
  </si>
  <si>
    <t>暴走施法Ⅴ</t>
  </si>
  <si>
    <t>[3]</t>
  </si>
  <si>
    <t>equip3_rune_slot</t>
  </si>
  <si>
    <t>饰品符文孔位+1</t>
  </si>
  <si>
    <t>远程躲伤Ⅰ</t>
  </si>
  <si>
    <t>hunter_dmg_red_rate</t>
  </si>
  <si>
    <t>射手伤害减免</t>
  </si>
  <si>
    <t>远程喂饭Ⅰ</t>
  </si>
  <si>
    <t>射手伤害</t>
  </si>
  <si>
    <t>远程小队Ⅰ</t>
  </si>
  <si>
    <t>hunter_class_dmg_rate</t>
  </si>
  <si>
    <t>上阵两个射手职业增伤</t>
  </si>
  <si>
    <t>暴走远程Ⅰ</t>
  </si>
  <si>
    <t>hunter_crit_dmg</t>
  </si>
  <si>
    <t>远程躲伤Ⅱ</t>
  </si>
  <si>
    <t>远程喂饭Ⅱ</t>
  </si>
  <si>
    <t>远程小队Ⅱ</t>
  </si>
  <si>
    <t>暴走远程Ⅱ</t>
  </si>
  <si>
    <t>远程躲伤Ⅲ</t>
  </si>
  <si>
    <t>远程喂饭Ⅲ</t>
  </si>
  <si>
    <t>远程小队Ⅲ</t>
  </si>
  <si>
    <t>暴走远程Ⅲ</t>
  </si>
  <si>
    <t>远程躲伤Ⅳ</t>
  </si>
  <si>
    <t>远程喂饭Ⅳ</t>
  </si>
  <si>
    <t>远程小队Ⅳ</t>
  </si>
  <si>
    <t>暴走远程Ⅳ</t>
  </si>
  <si>
    <t>远程躲伤Ⅴ</t>
  </si>
  <si>
    <t>远程喂饭Ⅴ</t>
  </si>
  <si>
    <t>远程小队Ⅴ</t>
  </si>
  <si>
    <t>暴走远程Ⅴ</t>
  </si>
  <si>
    <t>[4]</t>
  </si>
  <si>
    <t>equip2_rune_slot</t>
  </si>
  <si>
    <t>裤子符文孔位+1</t>
  </si>
  <si>
    <t>毒毒不怕Ⅰ</t>
  </si>
  <si>
    <t>drug_dmg_red_rate</t>
  </si>
  <si>
    <t>毒系伤害减免</t>
  </si>
  <si>
    <t>毒毒加量Ⅰ</t>
  </si>
  <si>
    <t>毒系伤害</t>
  </si>
  <si>
    <t>毒毒小队Ⅰ</t>
  </si>
  <si>
    <t>drug_class_dmg_rate</t>
  </si>
  <si>
    <t>上阵两个毒系职业增伤</t>
  </si>
  <si>
    <t>暴走毒毒Ⅰ</t>
  </si>
  <si>
    <t>drug_crit_dmg</t>
  </si>
  <si>
    <t>毒毒不怕Ⅱ</t>
  </si>
  <si>
    <t>毒毒加量Ⅱ</t>
  </si>
  <si>
    <t>毒毒小队Ⅱ</t>
  </si>
  <si>
    <t>暴走毒毒Ⅱ</t>
  </si>
  <si>
    <t>毒毒不怕Ⅲ</t>
  </si>
  <si>
    <t>毒毒加量Ⅲ</t>
  </si>
  <si>
    <t>毒毒小队Ⅲ</t>
  </si>
  <si>
    <t>暴走毒毒Ⅲ</t>
  </si>
  <si>
    <t>毒毒不怕Ⅳ</t>
  </si>
  <si>
    <t>毒毒加量Ⅳ</t>
  </si>
  <si>
    <t>毒毒小队Ⅳ</t>
  </si>
  <si>
    <t>暴走毒毒Ⅳ</t>
  </si>
  <si>
    <t>毒毒不怕Ⅴ</t>
  </si>
  <si>
    <t>毒毒加量Ⅴ</t>
  </si>
  <si>
    <t>毒毒小队Ⅴ</t>
  </si>
  <si>
    <t>暴走毒毒Ⅴ</t>
  </si>
  <si>
    <t>[5]</t>
  </si>
  <si>
    <t>equip5_rune_slot</t>
  </si>
  <si>
    <t>鞋子符文孔位+1</t>
  </si>
  <si>
    <t>Boss加餐Ⅰ</t>
  </si>
  <si>
    <t>elitist_monster_hit_rate</t>
  </si>
  <si>
    <t>对精英增伤</t>
  </si>
  <si>
    <t>控场添力Ⅰ</t>
  </si>
  <si>
    <t>控制伤害</t>
  </si>
  <si>
    <t>控场能苟Ⅰ</t>
  </si>
  <si>
    <t>control_dmg_red_rate</t>
  </si>
  <si>
    <t>控制伤害减免</t>
  </si>
  <si>
    <t>控场小队Ⅰ</t>
  </si>
  <si>
    <t>control_class_dmg_rate</t>
  </si>
  <si>
    <t>上阵两个控制职业增伤</t>
  </si>
  <si>
    <t>暴走控场Ⅰ</t>
  </si>
  <si>
    <t>control_crit_dmg</t>
  </si>
  <si>
    <t>Boss加餐Ⅱ</t>
  </si>
  <si>
    <t>控场添力Ⅱ</t>
  </si>
  <si>
    <t>控场能苟Ⅱ</t>
  </si>
  <si>
    <t>控场小队Ⅱ</t>
  </si>
  <si>
    <t>暴走控场Ⅱ</t>
  </si>
  <si>
    <t>Boss加餐Ⅲ</t>
  </si>
  <si>
    <t>控场添力Ⅲ</t>
  </si>
  <si>
    <t>控场能苟Ⅲ</t>
  </si>
  <si>
    <t>控场小队Ⅲ</t>
  </si>
  <si>
    <t>暴走控场Ⅲ</t>
  </si>
  <si>
    <t>Boss加餐Ⅳ</t>
  </si>
  <si>
    <t>控场添力Ⅳ</t>
  </si>
  <si>
    <t>控场能苟Ⅳ</t>
  </si>
  <si>
    <t>控场小队Ⅳ</t>
  </si>
  <si>
    <t>暴走控场Ⅳ</t>
  </si>
  <si>
    <t>Boss加餐Ⅴ</t>
  </si>
  <si>
    <t>控场添力Ⅴ</t>
  </si>
  <si>
    <t>控场能苟Ⅴ</t>
  </si>
  <si>
    <t>控场小队Ⅴ</t>
  </si>
  <si>
    <t>暴走控场Ⅴ</t>
  </si>
  <si>
    <t>[6]</t>
  </si>
  <si>
    <t>equip4_rune_slot</t>
  </si>
  <si>
    <t>手套符文孔位+1</t>
  </si>
  <si>
    <t>召唤加班Ⅰ</t>
  </si>
  <si>
    <t>summon_dmg_rate</t>
  </si>
  <si>
    <t>召唤伤害</t>
  </si>
  <si>
    <t>召唤硬吃Ⅰ</t>
  </si>
  <si>
    <t>summon_dmg_red_rate</t>
  </si>
  <si>
    <t>召唤伤害减免</t>
  </si>
  <si>
    <t>召唤小队Ⅰ</t>
  </si>
  <si>
    <t>summon_class_dmg_rate</t>
  </si>
  <si>
    <t>上阵两个召唤职业增伤</t>
  </si>
  <si>
    <t>暴走召唤Ⅰ</t>
  </si>
  <si>
    <t>summon_crit_dmg</t>
  </si>
  <si>
    <t>召唤加班Ⅱ</t>
  </si>
  <si>
    <t>召唤硬吃Ⅱ</t>
  </si>
  <si>
    <t>召唤小队Ⅱ</t>
  </si>
  <si>
    <t>暴走召唤Ⅱ</t>
  </si>
  <si>
    <t>召唤加班Ⅲ</t>
  </si>
  <si>
    <t>召唤硬吃Ⅲ</t>
  </si>
  <si>
    <t>召唤小队Ⅲ</t>
  </si>
  <si>
    <t>暴走召唤Ⅲ</t>
  </si>
  <si>
    <t>召唤加班Ⅳ</t>
  </si>
  <si>
    <t>召唤硬吃Ⅳ</t>
  </si>
  <si>
    <t>召唤小队Ⅳ</t>
  </si>
  <si>
    <t>暴走召唤Ⅳ</t>
  </si>
  <si>
    <t>召唤加班Ⅴ</t>
  </si>
  <si>
    <t>召唤硬吃Ⅴ</t>
  </si>
  <si>
    <t>召唤小队Ⅴ</t>
  </si>
  <si>
    <t>暴走召唤Ⅴ</t>
  </si>
  <si>
    <t>实际词条库</t>
  </si>
  <si>
    <t>满级参数</t>
  </si>
  <si>
    <t>养成周期/天</t>
  </si>
  <si>
    <t>*引用商业化框架</t>
  </si>
  <si>
    <t>单个深度(钻石)</t>
  </si>
  <si>
    <t>每日产出(钻石)</t>
  </si>
  <si>
    <t>道具</t>
  </si>
  <si>
    <t>定价</t>
  </si>
  <si>
    <t>装备洗练石</t>
  </si>
  <si>
    <t>装备强化书</t>
  </si>
  <si>
    <t>装备产出</t>
  </si>
  <si>
    <t>#先用他们的拍一版本</t>
  </si>
  <si>
    <t>#不提倡扫荡，只关注合作本产出（合作本可以让大R带，暂时不考虑分层），扫荡只有白~蓝，30%高10级，10%高20级（10倍坑深）</t>
  </si>
  <si>
    <t>#单次副本可洗练次数</t>
  </si>
  <si>
    <t>#预估</t>
  </si>
  <si>
    <t>组队副本</t>
  </si>
  <si>
    <t>预计通关天数</t>
  </si>
  <si>
    <t>转运产出</t>
  </si>
  <si>
    <t>总产/天</t>
  </si>
  <si>
    <t>洗练步长</t>
  </si>
  <si>
    <t>分解步长</t>
  </si>
  <si>
    <t>每日次数</t>
  </si>
  <si>
    <t>平均件数</t>
  </si>
  <si>
    <t>当前等级</t>
  </si>
  <si>
    <t>z主线副本</t>
  </si>
  <si>
    <t>1~10</t>
  </si>
  <si>
    <t>11~20</t>
  </si>
  <si>
    <t>21~30</t>
  </si>
  <si>
    <t>31~40</t>
  </si>
  <si>
    <t>41~50</t>
  </si>
  <si>
    <t>51~60</t>
  </si>
  <si>
    <t>61~70</t>
  </si>
  <si>
    <t>71~80</t>
  </si>
  <si>
    <t>81~90</t>
  </si>
  <si>
    <t>91~100</t>
  </si>
  <si>
    <t>101~110</t>
  </si>
  <si>
    <t>111~120</t>
  </si>
  <si>
    <t>121~130</t>
  </si>
  <si>
    <t>131~140</t>
  </si>
  <si>
    <t>141~150</t>
  </si>
  <si>
    <t>151~160</t>
  </si>
  <si>
    <t>161~170</t>
  </si>
  <si>
    <t>171~180</t>
  </si>
  <si>
    <t>181~190</t>
  </si>
  <si>
    <t>191~200</t>
  </si>
  <si>
    <t>201~210</t>
  </si>
  <si>
    <t>211~220</t>
  </si>
  <si>
    <t>221~230</t>
  </si>
  <si>
    <t>231~240</t>
  </si>
  <si>
    <t>241~250</t>
  </si>
  <si>
    <t>251~260</t>
  </si>
  <si>
    <t>261~270</t>
  </si>
  <si>
    <t>271~280</t>
  </si>
  <si>
    <t>281~290</t>
  </si>
  <si>
    <t>291~300</t>
  </si>
  <si>
    <t>装备洗练产出</t>
  </si>
  <si>
    <t>#单次扫荡产出，前期1后期2</t>
  </si>
  <si>
    <t>装备数</t>
  </si>
  <si>
    <t>非R</t>
  </si>
  <si>
    <t>小R</t>
  </si>
  <si>
    <t>中R</t>
  </si>
  <si>
    <t>大R</t>
  </si>
  <si>
    <t>经验本体力</t>
  </si>
  <si>
    <t>途径</t>
  </si>
  <si>
    <t>单次体力</t>
  </si>
  <si>
    <t>单项体力</t>
  </si>
  <si>
    <t>累计体力</t>
  </si>
  <si>
    <t>钻石价格</t>
  </si>
  <si>
    <t>rmb价格</t>
  </si>
  <si>
    <t>定位</t>
  </si>
  <si>
    <t>额外说明
汇总</t>
  </si>
  <si>
    <t>创号初始</t>
  </si>
  <si>
    <t>全体</t>
  </si>
  <si>
    <t>时间恢复</t>
  </si>
  <si>
    <t>每日广告</t>
  </si>
  <si>
    <t>食堂奖励</t>
  </si>
  <si>
    <t>日礼包免费</t>
  </si>
  <si>
    <t>月卡福利</t>
  </si>
  <si>
    <t>每日特惠礼包1</t>
  </si>
  <si>
    <t>预留给小R</t>
  </si>
  <si>
    <t>每日特惠礼包2</t>
  </si>
  <si>
    <t>每日特惠礼包3</t>
  </si>
  <si>
    <t>日礼包购买</t>
  </si>
  <si>
    <t>周礼包购买</t>
  </si>
  <si>
    <t>每周1次</t>
  </si>
  <si>
    <t>宝石购买</t>
  </si>
  <si>
    <t>等级比较重要，70级作为双词条的关键节点，减少洗练次数</t>
  </si>
  <si>
    <t>装备分解材料</t>
  </si>
  <si>
    <t>洗练消耗</t>
  </si>
  <si>
    <t>装备分解金币</t>
  </si>
  <si>
    <t>衰减系数</t>
  </si>
  <si>
    <t>转运石</t>
  </si>
  <si>
    <t>强化材料产出</t>
  </si>
  <si>
    <t>副本单次产出</t>
  </si>
  <si>
    <t>主线总产出</t>
  </si>
  <si>
    <t>体力+挂机+任务</t>
  </si>
  <si>
    <t>额外产出预留</t>
  </si>
  <si>
    <t>体力+挂机产出</t>
  </si>
  <si>
    <t>新服活动</t>
  </si>
  <si>
    <t>运营活动</t>
  </si>
  <si>
    <t>附加词条抽取库id</t>
  </si>
  <si>
    <t>词条id
库id*10+序号</t>
  </si>
  <si>
    <t>词条品质</t>
  </si>
  <si>
    <t>效果id
对应effect_mapping_data表的id</t>
  </si>
  <si>
    <t>效果组
（同效果高低等级的两个为一组）
可以跟effect_mapping_data表的效果组不一样</t>
  </si>
  <si>
    <t>属性加成</t>
  </si>
  <si>
    <t>是否放回</t>
  </si>
  <si>
    <t>战力</t>
  </si>
  <si>
    <t>排序</t>
  </si>
  <si>
    <t>描述</t>
  </si>
  <si>
    <t>random_effect_pool</t>
  </si>
  <si>
    <t>id</t>
  </si>
  <si>
    <t>quality</t>
  </si>
  <si>
    <t>weight</t>
  </si>
  <si>
    <t>effect_id</t>
  </si>
  <si>
    <t>effect_group</t>
  </si>
  <si>
    <t>attr_up</t>
  </si>
  <si>
    <t>is_back</t>
  </si>
  <si>
    <t>power</t>
  </si>
  <si>
    <t>sort</t>
  </si>
  <si>
    <t>desc_show</t>
  </si>
  <si>
    <t>不放回</t>
  </si>
  <si>
    <t>全职小队Ⅰ</t>
  </si>
  <si>
    <t>#目前只计算双月卡玩家进度，后续等数值总表一起拓展</t>
  </si>
  <si>
    <t>=14*5+5+20+5+50+15+5+30+</t>
  </si>
  <si>
    <t>开服天数</t>
  </si>
  <si>
    <t>装备品质练度</t>
  </si>
  <si>
    <t>装备等级练度</t>
  </si>
  <si>
    <t>装备换代量</t>
  </si>
  <si>
    <t>装备强化练度</t>
  </si>
  <si>
    <t>攻击比</t>
  </si>
  <si>
    <t>生命比</t>
  </si>
  <si>
    <t>暴击率</t>
  </si>
  <si>
    <t>暴击伤害</t>
  </si>
  <si>
    <t>伤害增加</t>
  </si>
  <si>
    <t>固定减伤</t>
  </si>
  <si>
    <t>攻击速度</t>
  </si>
  <si>
    <t>0级</t>
  </si>
  <si>
    <t>10级</t>
  </si>
  <si>
    <t>20级</t>
  </si>
  <si>
    <t>每日数量</t>
  </si>
  <si>
    <t>副本等级</t>
  </si>
  <si>
    <t>精英副本装备1白色+0</t>
  </si>
  <si>
    <t>精英副本装备1绿色+0</t>
  </si>
  <si>
    <t>精英副本装备1蓝色+0</t>
  </si>
  <si>
    <t>精英副本装备1紫色+0</t>
  </si>
  <si>
    <t>精英副本装备1橙色+0</t>
  </si>
  <si>
    <t>精英副本装备1红色+0</t>
  </si>
  <si>
    <t>精英副本装备1彩色+0</t>
  </si>
  <si>
    <t>精英副本装备1白色+10</t>
  </si>
  <si>
    <t>精英副本装备1绿色+10</t>
  </si>
  <si>
    <t>精英副本装备1蓝色+10</t>
  </si>
  <si>
    <t>精英副本装备1紫色+10</t>
  </si>
  <si>
    <t>精英副本装备1橙色+10</t>
  </si>
  <si>
    <t>精英副本装备1红色+10</t>
  </si>
  <si>
    <t>精英副本装备1彩色+10</t>
  </si>
  <si>
    <t>精英副本装备1白色+20</t>
  </si>
  <si>
    <t>精英副本装备1绿色+20</t>
  </si>
  <si>
    <t>精英副本装备1蓝色+20</t>
  </si>
  <si>
    <t>精英副本装备1紫色+20</t>
  </si>
  <si>
    <t>精英副本装备1橙色+20</t>
  </si>
  <si>
    <t>精英副本装备1红色+20</t>
  </si>
  <si>
    <t>精英副本装备1彩色+20</t>
  </si>
  <si>
    <t>每日队长</t>
  </si>
  <si>
    <t>每日协作</t>
  </si>
  <si>
    <t>队长概率</t>
  </si>
  <si>
    <t>队员概率</t>
  </si>
  <si>
    <t>每日总数</t>
  </si>
  <si>
    <t>副本1</t>
  </si>
  <si>
    <t>副本2</t>
  </si>
  <si>
    <t>副本3</t>
  </si>
  <si>
    <t>副本4</t>
  </si>
  <si>
    <t>副本5</t>
  </si>
  <si>
    <t>副本6</t>
  </si>
  <si>
    <t>副本7</t>
  </si>
  <si>
    <t>副本8</t>
  </si>
  <si>
    <t>副本9</t>
  </si>
  <si>
    <t>副本10</t>
  </si>
  <si>
    <t>副本11</t>
  </si>
  <si>
    <t>副本12</t>
  </si>
  <si>
    <t>副本13</t>
  </si>
  <si>
    <t>副本14</t>
  </si>
  <si>
    <t>副本15</t>
  </si>
  <si>
    <t>队长大礼包</t>
  </si>
  <si>
    <t>队友大礼包</t>
  </si>
  <si>
    <t>队长小</t>
  </si>
  <si>
    <t>队友小</t>
  </si>
  <si>
    <t>#前3次获得必是装备</t>
  </si>
  <si>
    <t>大宝箱</t>
  </si>
  <si>
    <t>豪华包</t>
  </si>
  <si>
    <t>队长宝箱</t>
  </si>
  <si>
    <t>幻梦晶核</t>
  </si>
  <si>
    <t>星之初愿</t>
  </si>
  <si>
    <t>秘藏遥杆</t>
  </si>
  <si>
    <t>队友</t>
  </si>
  <si>
    <t>宝箱概率</t>
  </si>
  <si>
    <t/>
  </si>
  <si>
    <t>组队挑战奖励</t>
  </si>
  <si>
    <t>每次18.4%掉落星之初愿改成0.48%</t>
  </si>
  <si>
    <t>每次1.6%掉落秘藏遥杆移除</t>
  </si>
  <si>
    <t>队长门票</t>
  </si>
  <si>
    <t>稀有装备</t>
  </si>
  <si>
    <t>普通装备</t>
  </si>
  <si>
    <t>符文</t>
  </si>
  <si>
    <t>加速券</t>
  </si>
  <si>
    <t>经验</t>
  </si>
  <si>
    <t>稀有宝箱</t>
  </si>
  <si>
    <t>普通宝箱</t>
  </si>
  <si>
    <t>C级</t>
  </si>
  <si>
    <t>B级</t>
  </si>
  <si>
    <t>A级</t>
  </si>
  <si>
    <t>S级</t>
  </si>
  <si>
    <t>SS评级</t>
  </si>
  <si>
    <t>1层</t>
  </si>
  <si>
    <t>3层</t>
  </si>
  <si>
    <t>5层</t>
  </si>
  <si>
    <t>高品数量</t>
  </si>
  <si>
    <t>强化等级</t>
  </si>
  <si>
    <t>最终洗练</t>
  </si>
  <si>
    <t>最终配置</t>
  </si>
  <si>
    <t xml:space="preserve"> </t>
  </si>
  <si>
    <t>规划属性</t>
  </si>
  <si>
    <t>规划属性误差</t>
  </si>
  <si>
    <t>总属性</t>
  </si>
  <si>
    <t>用户</t>
  </si>
  <si>
    <t>付费人数</t>
  </si>
  <si>
    <t>付费率</t>
  </si>
  <si>
    <t>梦境</t>
  </si>
  <si>
    <t>1000人</t>
  </si>
  <si>
    <t>蔚蓝</t>
  </si>
  <si>
    <t>梦境大R</t>
  </si>
  <si>
    <t>200人</t>
  </si>
  <si>
    <t>蔚蓝大R</t>
  </si>
  <si>
    <t>500人</t>
  </si>
  <si>
    <t>800人</t>
  </si>
  <si>
    <t>属性id (必须大于100)</t>
  </si>
  <si>
    <t>原子</t>
  </si>
  <si>
    <t>展示排序</t>
  </si>
  <si>
    <t>作用对象（玩家角度）
1-基地（作用于基地）
2-梦灵/不填（作用于梦灵）
3-主角（只作用与主角身上）</t>
  </si>
  <si>
    <t>属性增幅对象
单纯的这类属性没有作用,必须要有增幅对象才能产生作用</t>
  </si>
  <si>
    <t>主角属性列表
是否显示</t>
  </si>
  <si>
    <t>单位</t>
  </si>
  <si>
    <t>atom</t>
  </si>
  <si>
    <t>name</t>
  </si>
  <si>
    <t>order</t>
  </si>
  <si>
    <t>target</t>
  </si>
  <si>
    <t>rate_target</t>
  </si>
  <si>
    <t>is_show</t>
  </si>
  <si>
    <t>type</t>
  </si>
  <si>
    <t>基础属性↓</t>
  </si>
  <si>
    <t>max_hp</t>
  </si>
  <si>
    <t>数值</t>
  </si>
  <si>
    <t>hp_rate</t>
  </si>
  <si>
    <t>生命加成</t>
  </si>
  <si>
    <t>万分比</t>
  </si>
  <si>
    <t>atk</t>
  </si>
  <si>
    <t>atk_rate</t>
  </si>
  <si>
    <t>攻击加成</t>
  </si>
  <si>
    <t>atk_speed</t>
  </si>
  <si>
    <t>攻速</t>
  </si>
  <si>
    <t>max_energy</t>
  </si>
  <si>
    <t>能量</t>
  </si>
  <si>
    <t>energy_rate</t>
  </si>
  <si>
    <t>能量增幅</t>
  </si>
  <si>
    <t>energy_recover</t>
  </si>
  <si>
    <t>充能时间</t>
  </si>
  <si>
    <t>时间</t>
  </si>
  <si>
    <t>energy_recover_rate</t>
  </si>
  <si>
    <t>充能效率</t>
  </si>
  <si>
    <t>energy_reuse_rate</t>
  </si>
  <si>
    <t>几率不消耗能量</t>
  </si>
  <si>
    <t>energy_recover_finish_rate</t>
  </si>
  <si>
    <t>几率立即充能完成</t>
  </si>
  <si>
    <t>move_speed</t>
  </si>
  <si>
    <t>移动速度</t>
  </si>
  <si>
    <t>move_speed_rate</t>
  </si>
  <si>
    <t>移速加成</t>
  </si>
  <si>
    <t>crit_rate</t>
  </si>
  <si>
    <t>crit_resist</t>
  </si>
  <si>
    <t>抗暴率</t>
  </si>
  <si>
    <t>crit_dmg</t>
  </si>
  <si>
    <t>crit_dmg_red</t>
  </si>
  <si>
    <t>暴伤减免</t>
  </si>
  <si>
    <t>dodge</t>
  </si>
  <si>
    <t>闪避</t>
  </si>
  <si>
    <t>max_shield</t>
  </si>
  <si>
    <t>护盾上限</t>
  </si>
  <si>
    <t>shield</t>
  </si>
  <si>
    <t>护盾</t>
  </si>
  <si>
    <t>ignore_red</t>
  </si>
  <si>
    <t>无视抗性</t>
  </si>
  <si>
    <t>伤害增减↓</t>
  </si>
  <si>
    <t>dmg_rate</t>
  </si>
  <si>
    <t>是</t>
  </si>
  <si>
    <t>dmg_red</t>
  </si>
  <si>
    <t>final_dmg_rate</t>
  </si>
  <si>
    <t>最终伤害</t>
  </si>
  <si>
    <t>final_dmg_red_rate</t>
  </si>
  <si>
    <t>最终减伤</t>
  </si>
  <si>
    <t>blue_dmg_rate</t>
  </si>
  <si>
    <t>特殊伤害加成</t>
  </si>
  <si>
    <t>mechanic_dmg_rate</t>
  </si>
  <si>
    <t>机制伤害加成</t>
  </si>
  <si>
    <t>[2,3]</t>
  </si>
  <si>
    <t>stage_dmg_rate</t>
  </si>
  <si>
    <t>升阶伤害加成</t>
  </si>
  <si>
    <t>distance_dmg_rate</t>
  </si>
  <si>
    <t>距离伤害加成</t>
  </si>
  <si>
    <t>rune_dmg_rate</t>
  </si>
  <si>
    <t>符文增伤属性</t>
  </si>
  <si>
    <t>exclusive_dmg_rate</t>
  </si>
  <si>
    <t>专属增伤属性</t>
  </si>
  <si>
    <t>tape_dmg_rate</t>
  </si>
  <si>
    <t>卡带增伤属性</t>
  </si>
  <si>
    <t>dress_dmg_rate</t>
  </si>
  <si>
    <t>皮肤增伤属性</t>
  </si>
  <si>
    <t>equipment_dmg_rate</t>
  </si>
  <si>
    <t>装备增伤属性</t>
  </si>
  <si>
    <r>
      <rPr>
        <sz val="10"/>
        <color rgb="FF000000"/>
        <rFont val="Calibri"/>
        <charset val="134"/>
      </rPr>
      <t>dual_class_dmg</t>
    </r>
  </si>
  <si>
    <r>
      <rPr>
        <sz val="10"/>
        <color rgb="FF000000"/>
        <rFont val="Calibri"/>
        <charset val="134"/>
      </rPr>
      <t>上阵两个同职业增伤</t>
    </r>
  </si>
  <si>
    <r>
      <rPr>
        <sz val="10"/>
        <color rgb="FF000000"/>
        <rFont val="Calibri"/>
        <charset val="134"/>
      </rPr>
      <t>上阵五个不同职业增伤</t>
    </r>
  </si>
  <si>
    <t>元素机制↓</t>
  </si>
  <si>
    <t>element_inc_rate</t>
  </si>
  <si>
    <t>全元素伤害</t>
  </si>
  <si>
    <t>element_red_rate</t>
  </si>
  <si>
    <t>全元素抗性</t>
  </si>
  <si>
    <t>element_atk</t>
  </si>
  <si>
    <t>全元素攻击</t>
  </si>
  <si>
    <t>physic_inc_rate</t>
  </si>
  <si>
    <t>物理伤害</t>
  </si>
  <si>
    <t>physic_red_rate</t>
  </si>
  <si>
    <t>物理抗性</t>
  </si>
  <si>
    <t>physic_atk</t>
  </si>
  <si>
    <t>物理攻击</t>
  </si>
  <si>
    <t>confusion_inc_rate</t>
  </si>
  <si>
    <t>念力伤害</t>
  </si>
  <si>
    <t>confusion_red_rate</t>
  </si>
  <si>
    <t>念力抗性</t>
  </si>
  <si>
    <t>confusion_atk</t>
  </si>
  <si>
    <t>念力攻击</t>
  </si>
  <si>
    <t>fire_inc_rate</t>
  </si>
  <si>
    <t>火伤害</t>
  </si>
  <si>
    <t>fire_red_rate</t>
  </si>
  <si>
    <t>火抗性</t>
  </si>
  <si>
    <t>fire_atk</t>
  </si>
  <si>
    <t>火攻击</t>
  </si>
  <si>
    <t>ice_inc_rate</t>
  </si>
  <si>
    <t>冰伤害</t>
  </si>
  <si>
    <t>ice_red_rate</t>
  </si>
  <si>
    <t>冰抗性</t>
  </si>
  <si>
    <t>ice_atk</t>
  </si>
  <si>
    <t>冰攻击</t>
  </si>
  <si>
    <t>wind_inc_rate</t>
  </si>
  <si>
    <t>风伤害</t>
  </si>
  <si>
    <t>wind_red_rate</t>
  </si>
  <si>
    <t>风抗性</t>
  </si>
  <si>
    <t>wind_atk</t>
  </si>
  <si>
    <t>风攻击</t>
  </si>
  <si>
    <t>lightning_inc_rate</t>
  </si>
  <si>
    <t>电伤害</t>
  </si>
  <si>
    <t>lightning_red_rate</t>
  </si>
  <si>
    <t>电抗性</t>
  </si>
  <si>
    <t>lightning_atk</t>
  </si>
  <si>
    <t>电攻击</t>
  </si>
  <si>
    <t>poison_inc_rate</t>
  </si>
  <si>
    <t>毒伤害</t>
  </si>
  <si>
    <t>poison_red_rate</t>
  </si>
  <si>
    <t>毒抗性</t>
  </si>
  <si>
    <t>poison_atk</t>
  </si>
  <si>
    <t>毒攻击</t>
  </si>
  <si>
    <t>技能类型效果系数↓</t>
  </si>
  <si>
    <t>main_hit_rate</t>
  </si>
  <si>
    <t>主伤增幅</t>
  </si>
  <si>
    <t>sub_hit_rate</t>
  </si>
  <si>
    <t>副伤增幅</t>
  </si>
  <si>
    <t>bomb_hit_rate</t>
  </si>
  <si>
    <t>爆炸增幅</t>
  </si>
  <si>
    <t>bullet_hit_rate</t>
  </si>
  <si>
    <t>弹道增幅</t>
  </si>
  <si>
    <t>common_hit_rate</t>
  </si>
  <si>
    <t>技能增幅</t>
  </si>
  <si>
    <t>main_hit_red_rate</t>
  </si>
  <si>
    <t>主伤抗性</t>
  </si>
  <si>
    <t>sub_hit_red_rate</t>
  </si>
  <si>
    <t>副伤抗性</t>
  </si>
  <si>
    <t>bomb_hit_red_rate</t>
  </si>
  <si>
    <t>爆炸抗性</t>
  </si>
  <si>
    <t>bullet_hit_red_rate</t>
  </si>
  <si>
    <t>弹道抗性</t>
  </si>
  <si>
    <t>dot_hit_rate</t>
  </si>
  <si>
    <t>异常增伤</t>
  </si>
  <si>
    <t>dot_hit_red_rate</t>
  </si>
  <si>
    <t>异常减伤</t>
  </si>
  <si>
    <t>特殊效果类属性↓</t>
  </si>
  <si>
    <t>heal_rate</t>
  </si>
  <si>
    <t>治疗加成</t>
  </si>
  <si>
    <t>be_heal_rate</t>
  </si>
  <si>
    <t>受疗加成</t>
  </si>
  <si>
    <t>shield_rate</t>
  </si>
  <si>
    <t>护盾加成</t>
  </si>
  <si>
    <t>be_shield_rate</t>
  </si>
  <si>
    <t>受盾加成</t>
  </si>
  <si>
    <t>knockback_inc_rate</t>
  </si>
  <si>
    <t>击退增幅比</t>
  </si>
  <si>
    <t>knockback_red_rate</t>
  </si>
  <si>
    <t>击退抗性比</t>
  </si>
  <si>
    <t>talisman_fit_num</t>
  </si>
  <si>
    <t>槽位数量</t>
  </si>
  <si>
    <t>energy_cd_reduce_rate</t>
  </si>
  <si>
    <t>能量消耗间隔加速</t>
  </si>
  <si>
    <t>dot_time</t>
  </si>
  <si>
    <t>负面效果时间</t>
  </si>
  <si>
    <t>ignore_red_rate</t>
  </si>
  <si>
    <t>几率忽视目标防御</t>
  </si>
  <si>
    <t>dot_time_rate</t>
  </si>
  <si>
    <t>负面效果延长</t>
  </si>
  <si>
    <t>battle_dmg_rate</t>
  </si>
  <si>
    <t>局内伤害加成</t>
  </si>
  <si>
    <t>knockback_time_inc_rate</t>
  </si>
  <si>
    <t>击飞时长增幅比</t>
  </si>
  <si>
    <t>knockback_time_red_rate</t>
  </si>
  <si>
    <t>击飞时长抗性比</t>
  </si>
  <si>
    <t>knockback_force_inc_rate</t>
  </si>
  <si>
    <t>牵引力增幅比</t>
  </si>
  <si>
    <t>knockback_force_red_rate</t>
  </si>
  <si>
    <t>牵引力抗性比</t>
  </si>
  <si>
    <t>taunt_num</t>
  </si>
  <si>
    <t>嘲讽最大数量</t>
  </si>
  <si>
    <t>dot_crit_rate_scale</t>
  </si>
  <si>
    <t>dot伤害暴击缩放系数</t>
  </si>
  <si>
    <t>其他↓</t>
  </si>
  <si>
    <t>unit_atk_rate</t>
  </si>
  <si>
    <t>基础攻击</t>
  </si>
  <si>
    <t>revive_times</t>
  </si>
  <si>
    <t>复活次数</t>
  </si>
  <si>
    <t>multiple_choices_rate</t>
  </si>
  <si>
    <t>多选卡带掉落几率</t>
  </si>
  <si>
    <t>multiple_choices</t>
  </si>
  <si>
    <t>多选卡带选项</t>
  </si>
  <si>
    <t>original_card</t>
  </si>
  <si>
    <t>战中初始卡带数</t>
  </si>
  <si>
    <t>original_hero</t>
  </si>
  <si>
    <t>战中初始梦灵数</t>
  </si>
  <si>
    <t>refresh_card</t>
  </si>
  <si>
    <t>战中卡带刷新次数</t>
  </si>
  <si>
    <t>normal_monster_hit_rate</t>
  </si>
  <si>
    <t>对小怪增伤</t>
  </si>
  <si>
    <t>boss_monster_hit_rate</t>
  </si>
  <si>
    <t>对首领增伤</t>
  </si>
  <si>
    <t>summon_monster_hit_rate</t>
  </si>
  <si>
    <t>对召唤怪增伤</t>
  </si>
  <si>
    <t>fly_monster_hit_rate</t>
  </si>
  <si>
    <t>对飞行怪增伤</t>
  </si>
  <si>
    <t>ranged_monster_hit_rate</t>
  </si>
  <si>
    <t>对远程怪增伤</t>
  </si>
  <si>
    <t>tank_monster_hit_rate</t>
  </si>
  <si>
    <t>对肉盾怪增伤</t>
  </si>
  <si>
    <t>fast_monster_hit_rate</t>
  </si>
  <si>
    <t>对高速怪增伤</t>
  </si>
  <si>
    <t>event_pve_hit_rare</t>
  </si>
  <si>
    <t>梦域巡航增伤</t>
  </si>
  <si>
    <t>week_pve_hit_rare</t>
  </si>
  <si>
    <t>情绪净化增伤</t>
  </si>
  <si>
    <t>revive_red_time</t>
  </si>
  <si>
    <t>复活时间减少</t>
  </si>
  <si>
    <t>revive_hp_rate</t>
  </si>
  <si>
    <t>复活血量加成</t>
  </si>
  <si>
    <t>revive_knockback</t>
  </si>
  <si>
    <t>复活击退距离增加</t>
  </si>
  <si>
    <t>scale</t>
  </si>
  <si>
    <t>缩放</t>
  </si>
  <si>
    <t>battle_select_times</t>
  </si>
  <si>
    <t>三选一额外次数</t>
  </si>
  <si>
    <t>union_boss_dmg</t>
  </si>
  <si>
    <t>公会BOSS增伤</t>
  </si>
  <si>
    <t>全体友方加成↓</t>
  </si>
  <si>
    <t>crew_attr_rate</t>
  </si>
  <si>
    <t>crew_hp_rate</t>
  </si>
  <si>
    <t>面板显示↓</t>
  </si>
  <si>
    <t>atk_interval</t>
  </si>
  <si>
    <t>rune_add</t>
  </si>
  <si>
    <t>符文攻击</t>
  </si>
  <si>
    <t>队长属性↓</t>
  </si>
  <si>
    <t>captain_max_hp</t>
  </si>
  <si>
    <t>队长生命</t>
  </si>
  <si>
    <t>captain_hp_rate</t>
  </si>
  <si>
    <t>队长生命加成</t>
  </si>
  <si>
    <t>队长攻击</t>
  </si>
  <si>
    <t>captain_atk_rate</t>
  </si>
  <si>
    <t>队长攻击加成</t>
  </si>
  <si>
    <t>captain_atk_speed</t>
  </si>
  <si>
    <t>队长冷却缩减</t>
  </si>
  <si>
    <t>captain_dmg_rate</t>
  </si>
  <si>
    <t>队长伤害加成</t>
  </si>
  <si>
    <t>captain_dmg_red_rate</t>
  </si>
  <si>
    <t>队长伤害减免</t>
  </si>
  <si>
    <t>captain_dmg_red</t>
  </si>
  <si>
    <t>队长固定减伤</t>
  </si>
  <si>
    <t>captain_crit_rate</t>
  </si>
  <si>
    <t>队长暴击率</t>
  </si>
  <si>
    <t>captain_crit_resist</t>
  </si>
  <si>
    <t>队长抗暴率</t>
  </si>
  <si>
    <t>captain_crit_dmg</t>
  </si>
  <si>
    <t>队长暴击伤害</t>
  </si>
  <si>
    <t>captain_crit_dmg_red</t>
  </si>
  <si>
    <t>队长暴伤减免</t>
  </si>
  <si>
    <t>captain_ignore_red</t>
  </si>
  <si>
    <t>队长无视抗性</t>
  </si>
  <si>
    <t>captain_red_rate</t>
  </si>
  <si>
    <t>队长抗性</t>
  </si>
  <si>
    <t>全局属性↓</t>
  </si>
  <si>
    <t>global_max_hp</t>
  </si>
  <si>
    <t>global_hp_rate</t>
  </si>
  <si>
    <t>global_atk</t>
  </si>
  <si>
    <t>global_atk_rate</t>
  </si>
  <si>
    <t>global_atk_speed</t>
  </si>
  <si>
    <t>global_crit_dmg</t>
  </si>
  <si>
    <t>global_ignore_red</t>
  </si>
  <si>
    <t>global_red_rate</t>
  </si>
  <si>
    <t>抗性</t>
  </si>
  <si>
    <t>职业属性↓</t>
  </si>
  <si>
    <t>默认显示</t>
  </si>
  <si>
    <t>warrior_max_hp</t>
  </si>
  <si>
    <t>战士生命</t>
  </si>
  <si>
    <t>warrior_hp_rate</t>
  </si>
  <si>
    <t>战士生命加成</t>
  </si>
  <si>
    <t>战士攻击</t>
  </si>
  <si>
    <t>warrior_atk_rate</t>
  </si>
  <si>
    <t>战士攻击加成</t>
  </si>
  <si>
    <t>warrior_atk_speed</t>
  </si>
  <si>
    <t>战士攻速</t>
  </si>
  <si>
    <t>warrior_dmg_red</t>
  </si>
  <si>
    <t>战士固定减伤</t>
  </si>
  <si>
    <t>warrior_crit_rate</t>
  </si>
  <si>
    <t>战士暴击率</t>
  </si>
  <si>
    <t>warrior_crit_resist</t>
  </si>
  <si>
    <t>战士抗暴率</t>
  </si>
  <si>
    <t>战士暴击伤害</t>
  </si>
  <si>
    <t>warrior_crit_dmg_red</t>
  </si>
  <si>
    <t>战士暴伤减免</t>
  </si>
  <si>
    <t>warrior_ignore_red</t>
  </si>
  <si>
    <t>战士无视抗性</t>
  </si>
  <si>
    <t>warrior_red_rate</t>
  </si>
  <si>
    <t>战士抗性</t>
  </si>
  <si>
    <t>mage_max_hp</t>
  </si>
  <si>
    <t>法师生命</t>
  </si>
  <si>
    <t>mage_hp_rate</t>
  </si>
  <si>
    <t>法师生命加成</t>
  </si>
  <si>
    <t>法师攻击</t>
  </si>
  <si>
    <t>mage_atk_rate</t>
  </si>
  <si>
    <t>法师攻击加成</t>
  </si>
  <si>
    <t>mage_atk_speed</t>
  </si>
  <si>
    <t>法师攻速</t>
  </si>
  <si>
    <t>mage_dmg_red</t>
  </si>
  <si>
    <t>法师固定减伤</t>
  </si>
  <si>
    <t>mage_crit_rate</t>
  </si>
  <si>
    <t>法师暴击率</t>
  </si>
  <si>
    <t>mage_crit_resist</t>
  </si>
  <si>
    <t>法师抗暴率</t>
  </si>
  <si>
    <t>法师暴击伤害</t>
  </si>
  <si>
    <t>mage_crit_dmg_red</t>
  </si>
  <si>
    <t>法师暴伤减免</t>
  </si>
  <si>
    <t>mage_ignore_red</t>
  </si>
  <si>
    <t>法师无视抗性</t>
  </si>
  <si>
    <t>mage_red_rate</t>
  </si>
  <si>
    <t>法师抗性</t>
  </si>
  <si>
    <t>hunter_max_hp</t>
  </si>
  <si>
    <t>射手生命</t>
  </si>
  <si>
    <t>hunter_hp_rate</t>
  </si>
  <si>
    <t>射手生命加成</t>
  </si>
  <si>
    <t>射手攻击</t>
  </si>
  <si>
    <t>hunter_atk_rate</t>
  </si>
  <si>
    <t>射手攻击加成</t>
  </si>
  <si>
    <t>hunter_atk_speed</t>
  </si>
  <si>
    <t>射手攻速</t>
  </si>
  <si>
    <t>hunter_dmg_red</t>
  </si>
  <si>
    <t>射手固定减伤</t>
  </si>
  <si>
    <t>hunter_crit_rate</t>
  </si>
  <si>
    <t>射手暴击率</t>
  </si>
  <si>
    <t>hunter_crit_resist</t>
  </si>
  <si>
    <t>射手抗暴率</t>
  </si>
  <si>
    <t>射手暴击伤害</t>
  </si>
  <si>
    <t>hunter_crit_dmg_red</t>
  </si>
  <si>
    <t>射手暴伤减免</t>
  </si>
  <si>
    <t>hunter_ignore_red</t>
  </si>
  <si>
    <t>射手无视抗性</t>
  </si>
  <si>
    <t>hunter_red_rate</t>
  </si>
  <si>
    <t>射手抗性</t>
  </si>
  <si>
    <t>auxiliary_max_hp</t>
  </si>
  <si>
    <t>辅助生命</t>
  </si>
  <si>
    <t>auxiliary_hp_rate</t>
  </si>
  <si>
    <t>辅助生命加成</t>
  </si>
  <si>
    <t>辅助攻击</t>
  </si>
  <si>
    <t>auxiliary_atk_rate</t>
  </si>
  <si>
    <t>辅助攻击加成</t>
  </si>
  <si>
    <t>auxiliary_atk_speed</t>
  </si>
  <si>
    <t>辅助攻速</t>
  </si>
  <si>
    <t>auxiliary_dmg_rate</t>
  </si>
  <si>
    <t>辅助伤害</t>
  </si>
  <si>
    <t>auxiliary_dmg_red_rate</t>
  </si>
  <si>
    <t>辅助伤害减免</t>
  </si>
  <si>
    <t>auxiliary_dmg_red</t>
  </si>
  <si>
    <t>辅助固定减伤</t>
  </si>
  <si>
    <t>auxiliary_crit_rate</t>
  </si>
  <si>
    <t>辅助暴击率</t>
  </si>
  <si>
    <t>auxiliary_crit_resist</t>
  </si>
  <si>
    <t>辅助抗暴率</t>
  </si>
  <si>
    <t>auxiliary_crit_dmg</t>
  </si>
  <si>
    <t>辅助暴击伤害</t>
  </si>
  <si>
    <t>auxiliary_crit_dmg_red</t>
  </si>
  <si>
    <t>辅助暴伤减免</t>
  </si>
  <si>
    <t>auxiliary_ignore_red</t>
  </si>
  <si>
    <t>辅助无视抗性</t>
  </si>
  <si>
    <t>auxiliary_red_rate</t>
  </si>
  <si>
    <t>辅助抗性</t>
  </si>
  <si>
    <t>control_max_hp</t>
  </si>
  <si>
    <t>控制生命</t>
  </si>
  <si>
    <t>control_hp_rate</t>
  </si>
  <si>
    <t>控制生命加成</t>
  </si>
  <si>
    <t>控制攻击</t>
  </si>
  <si>
    <t>control_atk_rate</t>
  </si>
  <si>
    <t>控制攻击加成</t>
  </si>
  <si>
    <t>control_atk_speed</t>
  </si>
  <si>
    <t>控制攻速</t>
  </si>
  <si>
    <t>control_dmg_red</t>
  </si>
  <si>
    <t>控制固定减伤</t>
  </si>
  <si>
    <t>control_crit_rate</t>
  </si>
  <si>
    <t>控制暴击率</t>
  </si>
  <si>
    <t>control_crit_resist</t>
  </si>
  <si>
    <t>控制抗暴率</t>
  </si>
  <si>
    <t>控制暴击伤害</t>
  </si>
  <si>
    <t>control_crit_dmg_red</t>
  </si>
  <si>
    <t>控制暴伤减免</t>
  </si>
  <si>
    <t>control_ignore_red</t>
  </si>
  <si>
    <t>控制无视抗性</t>
  </si>
  <si>
    <t>control_red_rate</t>
  </si>
  <si>
    <t>控制抗性</t>
  </si>
  <si>
    <t>drug_max_hp</t>
  </si>
  <si>
    <t>毒系生命</t>
  </si>
  <si>
    <t>drug_hp_rate</t>
  </si>
  <si>
    <t>毒系生命加成</t>
  </si>
  <si>
    <t>毒系攻击</t>
  </si>
  <si>
    <t>drug_atk_rate</t>
  </si>
  <si>
    <t>毒系攻击加成</t>
  </si>
  <si>
    <t>drug_atk_speed</t>
  </si>
  <si>
    <t>毒系攻速</t>
  </si>
  <si>
    <t>drug_dmg_red</t>
  </si>
  <si>
    <t>毒系固定减伤</t>
  </si>
  <si>
    <t>drug_crit_rate</t>
  </si>
  <si>
    <t>毒系暴击率</t>
  </si>
  <si>
    <t>drug_crit_resist</t>
  </si>
  <si>
    <t>毒系抗暴率</t>
  </si>
  <si>
    <t>毒系暴击伤害</t>
  </si>
  <si>
    <t>drug_crit_dmg_red</t>
  </si>
  <si>
    <t>毒系暴伤减免</t>
  </si>
  <si>
    <t>drug_ignore_red</t>
  </si>
  <si>
    <t>毒系无视抗性</t>
  </si>
  <si>
    <t>drug_red_rate</t>
  </si>
  <si>
    <t>毒系抗性</t>
  </si>
  <si>
    <t>技能参数↓</t>
  </si>
  <si>
    <t>hit_range_modified_rate</t>
  </si>
  <si>
    <t>尺寸修改系数</t>
  </si>
  <si>
    <t>summon_max_hp</t>
  </si>
  <si>
    <t>召唤生命</t>
  </si>
  <si>
    <t>summon_hp_rate</t>
  </si>
  <si>
    <t>召唤生命加成</t>
  </si>
  <si>
    <t>summon_atk</t>
  </si>
  <si>
    <t>召唤攻击</t>
  </si>
  <si>
    <t>summon_atk_rate</t>
  </si>
  <si>
    <t>召唤攻击加成</t>
  </si>
  <si>
    <t>summon_atk_speed</t>
  </si>
  <si>
    <t>召唤攻速</t>
  </si>
  <si>
    <t>summon_dmg_red</t>
  </si>
  <si>
    <t>召唤固定减伤</t>
  </si>
  <si>
    <t>summon_crit_rate</t>
  </si>
  <si>
    <t>召唤暴击率</t>
  </si>
  <si>
    <t>summon_crit_resist</t>
  </si>
  <si>
    <t>召唤抗暴率</t>
  </si>
  <si>
    <t>召唤暴击伤害</t>
  </si>
  <si>
    <t>summon_crit_dmg_red</t>
  </si>
  <si>
    <t>召唤暴伤减免</t>
  </si>
  <si>
    <t>summon_ignore_red</t>
  </si>
  <si>
    <t>召唤无视抗性</t>
  </si>
  <si>
    <t>summon_red_rate</t>
  </si>
  <si>
    <t>召唤抗性</t>
  </si>
  <si>
    <t>公会参数↓</t>
  </si>
  <si>
    <t>union_hook_contribution_rate</t>
  </si>
  <si>
    <t>挂机贡献加成</t>
  </si>
  <si>
    <t>union_build_rate</t>
  </si>
  <si>
    <t>建设速率</t>
  </si>
  <si>
    <t>union_tech_rate</t>
  </si>
  <si>
    <t>研究速率</t>
  </si>
  <si>
    <t>union_hook_max_time</t>
  </si>
  <si>
    <t>挂机时长</t>
  </si>
  <si>
    <t>union_store_limit_rate</t>
  </si>
  <si>
    <t>存储上限</t>
  </si>
  <si>
    <t>union_energy_recover_rate</t>
  </si>
  <si>
    <t>能量恢复</t>
  </si>
  <si>
    <t>union_hook_rate</t>
  </si>
  <si>
    <t>建筑资源产出</t>
  </si>
  <si>
    <t>union_hook_gallery_rate</t>
  </si>
  <si>
    <t>画廊资源产出</t>
  </si>
  <si>
    <t>union_speed_rate</t>
  </si>
  <si>
    <t>加速速率</t>
  </si>
  <si>
    <t>union_pve_hit_rate</t>
  </si>
  <si>
    <t>探险集结增伤</t>
  </si>
  <si>
    <t>union_pve_boss_hit_rate</t>
  </si>
  <si>
    <t>远征讨伐增伤</t>
  </si>
  <si>
    <t>union_pve_num</t>
  </si>
  <si>
    <t>集结人数</t>
  </si>
  <si>
    <t>union_pve_level</t>
  </si>
  <si>
    <t>探险难度提升</t>
  </si>
  <si>
    <t>union_box_get_num</t>
  </si>
  <si>
    <t>公会宝箱上限</t>
  </si>
  <si>
    <t>union_pve_reward_rate</t>
  </si>
  <si>
    <t>探险资源增加</t>
  </si>
  <si>
    <t>union_pve_help_num</t>
  </si>
  <si>
    <t>探险协助次数</t>
  </si>
  <si>
    <t>union_pve_unit_num</t>
  </si>
  <si>
    <t>集结梦灵数量</t>
  </si>
  <si>
    <t>union_all_hook_rate</t>
  </si>
  <si>
    <t>全体建筑资材产出加成</t>
  </si>
  <si>
    <t>union_evolve_times</t>
  </si>
  <si>
    <t>被协助次数</t>
  </si>
  <si>
    <t>union_evolve_speed_time</t>
  </si>
  <si>
    <t>加速时长(s)</t>
  </si>
  <si>
    <t>union_evolve_reduce_time</t>
  </si>
  <si>
    <t>升级时长(s)</t>
  </si>
  <si>
    <t>衣服符文孔位</t>
  </si>
  <si>
    <t>裤子符文孔位</t>
  </si>
  <si>
    <t>饰品符文孔位</t>
  </si>
  <si>
    <t>手套符文孔位</t>
  </si>
  <si>
    <t>鞋子符文孔位</t>
  </si>
  <si>
    <t>头盔符文孔位</t>
  </si>
  <si>
    <t>主线攻击</t>
  </si>
  <si>
    <t>梦域巡航攻击</t>
  </si>
  <si>
    <t>union_boss_atk</t>
  </si>
  <si>
    <t>公会boss攻击</t>
  </si>
  <si>
    <t>竞技场攻击</t>
  </si>
  <si>
    <t>战士主线攻击</t>
  </si>
  <si>
    <t>法师主线攻击</t>
  </si>
  <si>
    <t>射手主线攻击</t>
  </si>
  <si>
    <t>控制主线攻击</t>
  </si>
  <si>
    <t>毒主线攻击</t>
  </si>
  <si>
    <t>warrior_event_pve_atk</t>
  </si>
  <si>
    <t>战士梦域巡航攻击</t>
  </si>
  <si>
    <t>mage_event_pve_atk</t>
  </si>
  <si>
    <t>法师梦域巡航攻击</t>
  </si>
  <si>
    <t>hunter_event_pve_atk</t>
  </si>
  <si>
    <t>射手梦域巡航攻击</t>
  </si>
  <si>
    <t>control_event_pve_atk</t>
  </si>
  <si>
    <t>控制梦域巡航攻击</t>
  </si>
  <si>
    <t>drug_event_pve_atk</t>
  </si>
  <si>
    <t>毒梦域巡航攻击</t>
  </si>
  <si>
    <t>summon_event_pve_atk</t>
  </si>
  <si>
    <t>warrior_union_boss_atk</t>
  </si>
  <si>
    <t>战士公会boss攻击</t>
  </si>
  <si>
    <t>mage_union_boss_atk</t>
  </si>
  <si>
    <t>法师公会boss攻击</t>
  </si>
  <si>
    <t>hunter_union_boss_atk</t>
  </si>
  <si>
    <t>射手公会boss攻击</t>
  </si>
  <si>
    <t>control_union_boss_atk</t>
  </si>
  <si>
    <t>控制公会boss攻击</t>
  </si>
  <si>
    <t>drug_union_boss_atk</t>
  </si>
  <si>
    <t>毒公会boss攻击</t>
  </si>
  <si>
    <t>summon_union_boss_atk</t>
  </si>
  <si>
    <t>warrior_arena_atk</t>
  </si>
  <si>
    <t>战士竞技场攻击</t>
  </si>
  <si>
    <t>mage_arena_atk</t>
  </si>
  <si>
    <t>法师竞技场攻击</t>
  </si>
  <si>
    <t>hunter_arena_atk</t>
  </si>
  <si>
    <t>射手竞技场攻击</t>
  </si>
  <si>
    <t>control_arena_atk</t>
  </si>
  <si>
    <t>控制竞技场攻击</t>
  </si>
  <si>
    <t>drug_arena_atk</t>
  </si>
  <si>
    <t>毒竞技场攻击</t>
  </si>
  <si>
    <t>summon_arena_atk</t>
  </si>
  <si>
    <t>7. 附加词条抽取库（2380个非空配置/保留行）</t>
  </si>
  <si>
    <t>词条池ID</t>
  </si>
  <si>
    <t>词条ID</t>
  </si>
  <si>
    <t>效果ID</t>
  </si>
  <si>
    <t>效果组</t>
  </si>
  <si>
    <t>属性加成结构</t>
  </si>
  <si>
    <t>战力结构</t>
  </si>
  <si>
    <t>展示描述</t>
  </si>
  <si>
    <t>词条标题</t>
  </si>
  <si>
    <t>行类型</t>
  </si>
  <si>
    <t>拥有护盾时，暴击率增加2.5%</t>
  </si>
  <si>
    <t>非池化效果</t>
  </si>
  <si>
    <t>拥有护盾时，暴击率增加5%</t>
  </si>
  <si>
    <t>生命值大于80%时造成的伤害增加5%</t>
  </si>
  <si>
    <t>生命值大于80%时造成的伤害增加10%</t>
  </si>
  <si>
    <t>生命值大于80%时造成的伤害增加15%</t>
  </si>
  <si>
    <t>[{global_dmg_rate,300}]</t>
  </si>
  <si>
    <t>[{2,300}]</t>
  </si>
  <si>
    <t>全英雄伤害+3%</t>
  </si>
  <si>
    <t>池化效果+属性</t>
  </si>
  <si>
    <t>[{global_dmg_rate,320}]</t>
  </si>
  <si>
    <t>[{2,320}]</t>
  </si>
  <si>
    <t>全英雄伤害+3.2%</t>
  </si>
  <si>
    <t>[{global_dmg_rate,360}]</t>
  </si>
  <si>
    <t>[{2,360}]</t>
  </si>
  <si>
    <t>全英雄伤害+3.6%</t>
  </si>
  <si>
    <t>[{global_dmg_rate,380}]</t>
  </si>
  <si>
    <t>[{2,380}]</t>
  </si>
  <si>
    <t>全英雄伤害+3.8%</t>
  </si>
  <si>
    <t>[{global_dmg_rate,420}]</t>
  </si>
  <si>
    <t>[{2,420}]</t>
  </si>
  <si>
    <t>全英雄伤害+4.2%</t>
  </si>
  <si>
    <t>[{warrior_dmg_red_rate,150}]</t>
  </si>
  <si>
    <t>战士英雄减伤+1.5%</t>
  </si>
  <si>
    <t>[{warrior_dmg_red_rate,160}]</t>
  </si>
  <si>
    <t>战士英雄减伤+1.6%</t>
  </si>
  <si>
    <t>[{warrior_dmg_red_rate,170}]</t>
  </si>
  <si>
    <t>战士英雄减伤+1.7%</t>
  </si>
  <si>
    <t>[{warrior_dmg_red_rate,180}]</t>
  </si>
  <si>
    <t>战士英雄减伤+1.8%</t>
  </si>
  <si>
    <t>[{warrior_dmg_red_rate,190}]</t>
  </si>
  <si>
    <t>战士英雄减伤+1.9%</t>
  </si>
  <si>
    <t>[{dmg_red_rate,100}]</t>
  </si>
  <si>
    <t>载具减伤+1%</t>
  </si>
  <si>
    <t>[{dmg_red_rate,110}]</t>
  </si>
  <si>
    <t>载具减伤+1.1%</t>
  </si>
  <si>
    <t>[{dmg_red_rate,120}]</t>
  </si>
  <si>
    <t>载具减伤+1.2%</t>
  </si>
  <si>
    <t>[{dmg_red_rate,130}]</t>
  </si>
  <si>
    <t>载具减伤+1.3%</t>
  </si>
  <si>
    <t>[{dmg_red_rate,140}]</t>
  </si>
  <si>
    <t>载具减伤+1.4%</t>
  </si>
  <si>
    <t>[{warrior_dmg_rate,440}]</t>
  </si>
  <si>
    <t>[{2,440}]</t>
  </si>
  <si>
    <t>战士英雄伤害+4.4%</t>
  </si>
  <si>
    <t>[{warrior_dmg_rate,480}]</t>
  </si>
  <si>
    <t>[{2,480}]</t>
  </si>
  <si>
    <t>战士英雄伤害+4.8%</t>
  </si>
  <si>
    <t>[{warrior_dmg_rate,500}]</t>
  </si>
  <si>
    <t>[{2,500}]</t>
  </si>
  <si>
    <t>战士英雄伤害+5%</t>
  </si>
  <si>
    <t>[{warrior_dmg_rate,520}]</t>
  </si>
  <si>
    <t>[{2,520}]</t>
  </si>
  <si>
    <t>战士英雄伤害+5.2%</t>
  </si>
  <si>
    <t>[{warrior_dmg_rate,560}]</t>
  </si>
  <si>
    <t>[{2,560}]</t>
  </si>
  <si>
    <t>战士英雄伤害+5.6%</t>
  </si>
  <si>
    <t>[{warrior_dmg_rate,580}]</t>
  </si>
  <si>
    <t>[{2,580}]</t>
  </si>
  <si>
    <t>战士英雄伤害+5.8%</t>
  </si>
  <si>
    <t>0</t>
  </si>
  <si>
    <t>保留/分隔行</t>
  </si>
  <si>
    <t>[{global_dmg_rate,440}]</t>
  </si>
  <si>
    <t>全英雄伤害+4.4%</t>
  </si>
  <si>
    <t>[{global_dmg_rate,480}]</t>
  </si>
  <si>
    <t>全英雄伤害+4.8%</t>
  </si>
  <si>
    <t>[{global_dmg_rate,500}]</t>
  </si>
  <si>
    <t>全英雄伤害+5%</t>
  </si>
  <si>
    <t>[{global_dmg_rate,520}]</t>
  </si>
  <si>
    <t>全英雄伤害+5.2%</t>
  </si>
  <si>
    <t>[{global_dmg_rate,560}]</t>
  </si>
  <si>
    <t>全英雄伤害+5.6%</t>
  </si>
  <si>
    <t>[{global_dmg_rate,580}]</t>
  </si>
  <si>
    <t>全英雄伤害+5.8%</t>
  </si>
  <si>
    <t>[{warrior_dmg_red_rate,200}]</t>
  </si>
  <si>
    <t>战士英雄减伤+2%</t>
  </si>
  <si>
    <t>[{warrior_dmg_red_rate,210}]</t>
  </si>
  <si>
    <t>战士英雄减伤+2.1%</t>
  </si>
  <si>
    <t>[{warrior_dmg_red_rate,220}]</t>
  </si>
  <si>
    <t>战士英雄减伤+2.2%</t>
  </si>
  <si>
    <t>[{warrior_dmg_red_rate,230}]</t>
  </si>
  <si>
    <t>战士英雄减伤+2.3%</t>
  </si>
  <si>
    <t>[{warrior_dmg_red_rate,240}]</t>
  </si>
  <si>
    <t>战士英雄减伤+2.4%</t>
  </si>
  <si>
    <t>[{dmg_red_rate,150}]</t>
  </si>
  <si>
    <t>载具减伤+1.5%</t>
  </si>
  <si>
    <t>[{dmg_red_rate,160}]</t>
  </si>
  <si>
    <t>载具减伤+1.6%</t>
  </si>
  <si>
    <t>[{dmg_red_rate,170}]</t>
  </si>
  <si>
    <t>载具减伤+1.7%</t>
  </si>
  <si>
    <t>[{dmg_red_rate,180}]</t>
  </si>
  <si>
    <t>载具减伤+1.8%</t>
  </si>
  <si>
    <t>[{dmg_red_rate,190}]</t>
  </si>
  <si>
    <t>载具减伤+1.9%</t>
  </si>
  <si>
    <t>[{warrior_dmg_rate,620}]</t>
  </si>
  <si>
    <t>[{2,620}]</t>
  </si>
  <si>
    <t>战士英雄伤害+6.2%</t>
  </si>
  <si>
    <t>[{warrior_dmg_rate,640}]</t>
  </si>
  <si>
    <t>[{2,640}]</t>
  </si>
  <si>
    <t>战士英雄伤害+6.4%</t>
  </si>
  <si>
    <t>[{warrior_dmg_rate,680}]</t>
  </si>
  <si>
    <t>[{2,680}]</t>
  </si>
  <si>
    <t>战士英雄伤害+6.8%</t>
  </si>
  <si>
    <t>[{warrior_dmg_rate,700}]</t>
  </si>
  <si>
    <t>[{2,700}]</t>
  </si>
  <si>
    <t>战士英雄伤害+7%</t>
  </si>
  <si>
    <t>[{warrior_dmg_rate,720}]</t>
  </si>
  <si>
    <t>[{2,720}]</t>
  </si>
  <si>
    <t>战士英雄伤害+7.2%</t>
  </si>
  <si>
    <t>[{global_dmg_rate,540}]</t>
  </si>
  <si>
    <t>[{2,540}]</t>
  </si>
  <si>
    <t>全英雄伤害+5.4%</t>
  </si>
  <si>
    <t>[{warrior_dmg_red_rate,250}]</t>
  </si>
  <si>
    <t>战士英雄减伤+2.5%</t>
  </si>
  <si>
    <t>[{warrior_dmg_red_rate,260}]</t>
  </si>
  <si>
    <t>战士英雄减伤+2.6%</t>
  </si>
  <si>
    <t>[{warrior_dmg_red_rate,270}]</t>
  </si>
  <si>
    <t>战士英雄减伤+2.7%</t>
  </si>
  <si>
    <t>[{warrior_dmg_red_rate,280}]</t>
  </si>
  <si>
    <t>战士英雄减伤+2.8%</t>
  </si>
  <si>
    <t>[{warrior_dmg_red_rate,290}]</t>
  </si>
  <si>
    <t>战士英雄减伤+2.9%</t>
  </si>
  <si>
    <t>[{dmg_red_rate,200}]</t>
  </si>
  <si>
    <t>载具减伤+2%</t>
  </si>
  <si>
    <t>[{dmg_red_rate,210}]</t>
  </si>
  <si>
    <t>载具减伤+2.1%</t>
  </si>
  <si>
    <t>[{dmg_red_rate,220}]</t>
  </si>
  <si>
    <t>载具减伤+2.2%</t>
  </si>
  <si>
    <t>[{dmg_red_rate,230}]</t>
  </si>
  <si>
    <t>载具减伤+2.3%</t>
  </si>
  <si>
    <t>[{dmg_red_rate,240}]</t>
  </si>
  <si>
    <t>载具减伤+2.4%</t>
  </si>
  <si>
    <t>[{warrior_dmg_rate,760}]</t>
  </si>
  <si>
    <t>[{2,760}]</t>
  </si>
  <si>
    <t>战士英雄伤害+7.6%</t>
  </si>
  <si>
    <t>[{warrior_dmg_rate,780}]</t>
  </si>
  <si>
    <t>[{2,780}]</t>
  </si>
  <si>
    <t>战士英雄伤害+7.8%</t>
  </si>
  <si>
    <t>[{warrior_dmg_rate,820}]</t>
  </si>
  <si>
    <t>[{2,820}]</t>
  </si>
  <si>
    <t>战士英雄伤害+8.2%</t>
  </si>
  <si>
    <t>[{warrior_dmg_rate,840}]</t>
  </si>
  <si>
    <t>[{2,840}]</t>
  </si>
  <si>
    <t>战士英雄伤害+8.4%</t>
  </si>
  <si>
    <t>[{warrior_dmg_rate,860}]</t>
  </si>
  <si>
    <t>[{2,860}]</t>
  </si>
  <si>
    <t>战士英雄伤害+8.6%</t>
  </si>
  <si>
    <t>[{global_dmg_rate,620}]</t>
  </si>
  <si>
    <t>全英雄伤害+6.2%</t>
  </si>
  <si>
    <t>[{global_dmg_rate,640}]</t>
  </si>
  <si>
    <t>全英雄伤害+6.4%</t>
  </si>
  <si>
    <t>[{global_dmg_rate,680}]</t>
  </si>
  <si>
    <t>全英雄伤害+6.8%</t>
  </si>
  <si>
    <t>[{global_dmg_rate,700}]</t>
  </si>
  <si>
    <t>全英雄伤害+7%</t>
  </si>
  <si>
    <t>[{global_dmg_rate,720}]</t>
  </si>
  <si>
    <t>全英雄伤害+7.2%</t>
  </si>
  <si>
    <t>[{warrior_dmg_red_rate,300}]</t>
  </si>
  <si>
    <t>战士英雄减伤+3%</t>
  </si>
  <si>
    <t>[{warrior_dmg_red_rate,310}]</t>
  </si>
  <si>
    <t>战士英雄减伤+3.1%</t>
  </si>
  <si>
    <t>[{warrior_dmg_red_rate,320}]</t>
  </si>
  <si>
    <t>战士英雄减伤+3.2%</t>
  </si>
  <si>
    <t>[{warrior_dmg_red_rate,330}]</t>
  </si>
  <si>
    <t>战士英雄减伤+3.3%</t>
  </si>
  <si>
    <t>[{warrior_dmg_red_rate,340}]</t>
  </si>
  <si>
    <t>战士英雄减伤+3.4%</t>
  </si>
  <si>
    <t>[{dmg_red_rate,250}]</t>
  </si>
  <si>
    <t>载具减伤+2.5%</t>
  </si>
  <si>
    <t>[{dmg_red_rate,260}]</t>
  </si>
  <si>
    <t>载具减伤+2.6%</t>
  </si>
  <si>
    <t>[{dmg_red_rate,270}]</t>
  </si>
  <si>
    <t>载具减伤+2.7%</t>
  </si>
  <si>
    <t>[{dmg_red_rate,280}]</t>
  </si>
  <si>
    <t>载具减伤+2.8%</t>
  </si>
  <si>
    <t>[{dmg_red_rate,290}]</t>
  </si>
  <si>
    <t>载具减伤+2.9%</t>
  </si>
  <si>
    <t>[{warrior_dmg_rate,800}]</t>
  </si>
  <si>
    <t>[{2,800}]</t>
  </si>
  <si>
    <t>战士英雄伤害+8%</t>
  </si>
  <si>
    <t>[{warrior_dmg_rate,880}]</t>
  </si>
  <si>
    <t>[{2,880}]</t>
  </si>
  <si>
    <t>战士英雄伤害+8.8%</t>
  </si>
  <si>
    <t>[{global_dmg_rate,760}]</t>
  </si>
  <si>
    <t>全英雄伤害+7.6%</t>
  </si>
  <si>
    <t>[{global_dmg_rate,780}]</t>
  </si>
  <si>
    <t>全英雄伤害+7.8%</t>
  </si>
  <si>
    <t>[{global_dmg_rate,820}]</t>
  </si>
  <si>
    <t>全英雄伤害+8.2%</t>
  </si>
  <si>
    <t>[{global_dmg_rate,840}]</t>
  </si>
  <si>
    <t>全英雄伤害+8.4%</t>
  </si>
  <si>
    <t>[{global_dmg_rate,860}]</t>
  </si>
  <si>
    <t>全英雄伤害+8.6%</t>
  </si>
  <si>
    <t>[{warrior_dmg_red_rate,350}]</t>
  </si>
  <si>
    <t>战士英雄减伤+3.5%</t>
  </si>
  <si>
    <t>[{warrior_dmg_red_rate,360}]</t>
  </si>
  <si>
    <t>战士英雄减伤+3.6%</t>
  </si>
  <si>
    <t>[{warrior_dmg_red_rate,370}]</t>
  </si>
  <si>
    <t>战士英雄减伤+3.7%</t>
  </si>
  <si>
    <t>[{warrior_dmg_red_rate,380}]</t>
  </si>
  <si>
    <t>战士英雄减伤+3.8%</t>
  </si>
  <si>
    <t>[{warrior_dmg_red_rate,390}]</t>
  </si>
  <si>
    <t>战士英雄减伤+3.9%</t>
  </si>
  <si>
    <t>[{dmg_red_rate,300}]</t>
  </si>
  <si>
    <t>载具减伤+3%</t>
  </si>
  <si>
    <t>[{dmg_red_rate,310}]</t>
  </si>
  <si>
    <t>载具减伤+3.1%</t>
  </si>
  <si>
    <t>[{dmg_red_rate,320}]</t>
  </si>
  <si>
    <t>载具减伤+3.2%</t>
  </si>
  <si>
    <t>[{dmg_red_rate,330}]</t>
  </si>
  <si>
    <t>载具减伤+3.3%</t>
  </si>
  <si>
    <t>[{dmg_red_rate,340}]</t>
  </si>
  <si>
    <t>载具减伤+3.4%</t>
  </si>
  <si>
    <t>[{warrior_dmg_rate,900}]</t>
  </si>
  <si>
    <t>[{2,900}]</t>
  </si>
  <si>
    <t>战士英雄伤害+9%</t>
  </si>
  <si>
    <t>[{warrior_dmg_rate,940}]</t>
  </si>
  <si>
    <t>[{2,940}]</t>
  </si>
  <si>
    <t>战士英雄伤害+9.4%</t>
  </si>
  <si>
    <t>[{warrior_dmg_rate,960}]</t>
  </si>
  <si>
    <t>[{2,960}]</t>
  </si>
  <si>
    <t>战士英雄伤害+9.6%</t>
  </si>
  <si>
    <t>[{warrior_dmg_rate,980}]</t>
  </si>
  <si>
    <t>[{2,980}]</t>
  </si>
  <si>
    <t>战士英雄伤害+9.8%</t>
  </si>
  <si>
    <t>[{warrior_dmg_rate,1000}]</t>
  </si>
  <si>
    <t>[{2,1000}]</t>
  </si>
  <si>
    <t>战士英雄伤害+10%</t>
  </si>
  <si>
    <t>[{mage_dmg_red_rate,150}]</t>
  </si>
  <si>
    <t>法师英雄减伤+1.5%</t>
  </si>
  <si>
    <t>[{mage_dmg_red_rate,160}]</t>
  </si>
  <si>
    <t>法师英雄减伤+1.6%</t>
  </si>
  <si>
    <t>[{mage_dmg_red_rate,170}]</t>
  </si>
  <si>
    <t>法师英雄减伤+1.7%</t>
  </si>
  <si>
    <t>[{mage_dmg_red_rate,180}]</t>
  </si>
  <si>
    <t>法师英雄减伤+1.8%</t>
  </si>
  <si>
    <t>[{mage_dmg_red_rate,190}]</t>
  </si>
  <si>
    <t>法师英雄减伤+1.9%</t>
  </si>
  <si>
    <t>[{mage_dmg_rate,440}]</t>
  </si>
  <si>
    <t>法师英雄伤害+4.4%</t>
  </si>
  <si>
    <t>[{mage_dmg_rate,480}]</t>
  </si>
  <si>
    <t>法师英雄伤害+4.8%</t>
  </si>
  <si>
    <t>[{mage_dmg_rate,500}]</t>
  </si>
  <si>
    <t>法师英雄伤害+5%</t>
  </si>
  <si>
    <t>[{mage_dmg_rate,520}]</t>
  </si>
  <si>
    <t>法师英雄伤害+5.2%</t>
  </si>
  <si>
    <t>[{mage_dmg_rate,560}]</t>
  </si>
  <si>
    <t>法师英雄伤害+5.6%</t>
  </si>
  <si>
    <t>[{mage_dmg_rate,580}]</t>
  </si>
  <si>
    <t>法师英雄伤害+5.8%</t>
  </si>
  <si>
    <t>[{mage_dmg_red_rate,200}]</t>
  </si>
  <si>
    <t>法师英雄减伤+2%</t>
  </si>
  <si>
    <t>[{mage_dmg_red_rate,210}]</t>
  </si>
  <si>
    <t>法师英雄减伤+2.1%</t>
  </si>
  <si>
    <t>[{mage_dmg_red_rate,220}]</t>
  </si>
  <si>
    <t>法师英雄减伤+2.2%</t>
  </si>
  <si>
    <t>[{mage_dmg_red_rate,230}]</t>
  </si>
  <si>
    <t>法师英雄减伤+2.3%</t>
  </si>
  <si>
    <t>[{mage_dmg_red_rate,240}]</t>
  </si>
  <si>
    <t>法师英雄减伤+2.4%</t>
  </si>
  <si>
    <t>[{mage_dmg_rate,620}]</t>
  </si>
  <si>
    <t>法师英雄伤害+6.2%</t>
  </si>
  <si>
    <t>[{mage_dmg_rate,640}]</t>
  </si>
  <si>
    <t>法师英雄伤害+6.4%</t>
  </si>
  <si>
    <t>[{mage_dmg_rate,680}]</t>
  </si>
  <si>
    <t>法师英雄伤害+6.8%</t>
  </si>
  <si>
    <t>[{mage_dmg_rate,700}]</t>
  </si>
  <si>
    <t>法师英雄伤害+7%</t>
  </si>
  <si>
    <t>[{mage_dmg_rate,720}]</t>
  </si>
  <si>
    <t>法师英雄伤害+7.2%</t>
  </si>
  <si>
    <t>[{mage_dmg_red_rate,250}]</t>
  </si>
  <si>
    <t>法师英雄减伤+2.5%</t>
  </si>
  <si>
    <t>[{mage_dmg_red_rate,260}]</t>
  </si>
  <si>
    <t>法师英雄减伤+2.6%</t>
  </si>
  <si>
    <t>[{mage_dmg_red_rate,270}]</t>
  </si>
  <si>
    <t>法师英雄减伤+2.7%</t>
  </si>
  <si>
    <t>[{mage_dmg_red_rate,280}]</t>
  </si>
  <si>
    <t>法师英雄减伤+2.8%</t>
  </si>
  <si>
    <t>[{mage_dmg_red_rate,290}]</t>
  </si>
  <si>
    <t>法师英雄减伤+2.9%</t>
  </si>
  <si>
    <t>[{mage_dmg_rate,760}]</t>
  </si>
  <si>
    <t>法师英雄伤害+7.6%</t>
  </si>
  <si>
    <t>[{mage_dmg_rate,780}]</t>
  </si>
  <si>
    <t>法师英雄伤害+7.8%</t>
  </si>
  <si>
    <t>[{mage_dmg_rate,820}]</t>
  </si>
  <si>
    <t>法师英雄伤害+8.2%</t>
  </si>
  <si>
    <t>[{mage_dmg_rate,840}]</t>
  </si>
  <si>
    <t>法师英雄伤害+8.4%</t>
  </si>
  <si>
    <t>[{mage_dmg_rate,860}]</t>
  </si>
  <si>
    <t>法师英雄伤害+8.6%</t>
  </si>
  <si>
    <t>[{mage_dmg_red_rate,300}]</t>
  </si>
  <si>
    <t>法师英雄减伤+3%</t>
  </si>
  <si>
    <t>[{mage_dmg_red_rate,310}]</t>
  </si>
  <si>
    <t>法师英雄减伤+3.1%</t>
  </si>
  <si>
    <t>[{mage_dmg_red_rate,320}]</t>
  </si>
  <si>
    <t>法师英雄减伤+3.2%</t>
  </si>
  <si>
    <t>[{mage_dmg_red_rate,330}]</t>
  </si>
  <si>
    <t>法师英雄减伤+3.3%</t>
  </si>
  <si>
    <t>[{mage_dmg_red_rate,340}]</t>
  </si>
  <si>
    <t>法师英雄减伤+3.4%</t>
  </si>
  <si>
    <t>[{mage_dmg_rate,800}]</t>
  </si>
  <si>
    <t>法师英雄伤害+8%</t>
  </si>
  <si>
    <t>[{mage_dmg_rate,880}]</t>
  </si>
  <si>
    <t>法师英雄伤害+8.8%</t>
  </si>
  <si>
    <t>[{mage_dmg_red_rate,350}]</t>
  </si>
  <si>
    <t>法师英雄减伤+3.5%</t>
  </si>
  <si>
    <t>[{mage_dmg_red_rate,360}]</t>
  </si>
  <si>
    <t>法师英雄减伤+3.6%</t>
  </si>
  <si>
    <t>[{mage_dmg_red_rate,370}]</t>
  </si>
  <si>
    <t>法师英雄减伤+3.7%</t>
  </si>
  <si>
    <t>[{mage_dmg_red_rate,380}]</t>
  </si>
  <si>
    <t>法师英雄减伤+3.8%</t>
  </si>
  <si>
    <t>[{mage_dmg_red_rate,390}]</t>
  </si>
  <si>
    <t>法师英雄减伤+3.9%</t>
  </si>
  <si>
    <t>[{mage_dmg_rate,900}]</t>
  </si>
  <si>
    <t>法师英雄伤害+9%</t>
  </si>
  <si>
    <t>[{mage_dmg_rate,940}]</t>
  </si>
  <si>
    <t>法师英雄伤害+9.4%</t>
  </si>
  <si>
    <t>[{mage_dmg_rate,960}]</t>
  </si>
  <si>
    <t>法师英雄伤害+9.6%</t>
  </si>
  <si>
    <t>[{mage_dmg_rate,980}]</t>
  </si>
  <si>
    <t>法师英雄伤害+9.8%</t>
  </si>
  <si>
    <t>[{mage_dmg_rate,1000}]</t>
  </si>
  <si>
    <t>法师英雄伤害+10%</t>
  </si>
  <si>
    <t>[{hunter_dmg_red_rate,150}]</t>
  </si>
  <si>
    <t>射手英雄减伤+1.5%</t>
  </si>
  <si>
    <t>[{hunter_dmg_red_rate,160}]</t>
  </si>
  <si>
    <t>射手英雄减伤+1.6%</t>
  </si>
  <si>
    <t>[{hunter_dmg_red_rate,170}]</t>
  </si>
  <si>
    <t>射手英雄减伤+1.7%</t>
  </si>
  <si>
    <t>[{hunter_dmg_red_rate,180}]</t>
  </si>
  <si>
    <t>射手英雄减伤+1.8%</t>
  </si>
  <si>
    <t>[{hunter_dmg_red_rate,190}]</t>
  </si>
  <si>
    <t>射手英雄减伤+1.9%</t>
  </si>
  <si>
    <t>[{hunter_dmg_rate,440}]</t>
  </si>
  <si>
    <t>射手英雄伤害+4.4%</t>
  </si>
  <si>
    <t>[{hunter_dmg_rate,480}]</t>
  </si>
  <si>
    <t>射手英雄伤害+4.8%</t>
  </si>
  <si>
    <t>[{hunter_dmg_rate,500}]</t>
  </si>
  <si>
    <t>射手英雄伤害+5%</t>
  </si>
  <si>
    <t>[{hunter_dmg_rate,520}]</t>
  </si>
  <si>
    <t>射手英雄伤害+5.2%</t>
  </si>
  <si>
    <t>[{hunter_dmg_rate,560}]</t>
  </si>
  <si>
    <t>射手英雄伤害+5.6%</t>
  </si>
  <si>
    <t>[{hunter_dmg_rate,580}]</t>
  </si>
  <si>
    <t>射手英雄伤害+5.8%</t>
  </si>
  <si>
    <t>[{hunter_dmg_red_rate,200}]</t>
  </si>
  <si>
    <t>射手英雄减伤+2%</t>
  </si>
  <si>
    <t>[{hunter_dmg_red_rate,210}]</t>
  </si>
  <si>
    <t>射手英雄减伤+2.1%</t>
  </si>
  <si>
    <t>[{hunter_dmg_red_rate,220}]</t>
  </si>
  <si>
    <t>射手英雄减伤+2.2%</t>
  </si>
  <si>
    <t>[{hunter_dmg_red_rate,230}]</t>
  </si>
  <si>
    <t>射手英雄减伤+2.3%</t>
  </si>
  <si>
    <t>[{hunter_dmg_red_rate,240}]</t>
  </si>
  <si>
    <t>射手英雄减伤+2.4%</t>
  </si>
  <si>
    <t>[{hunter_dmg_rate,620}]</t>
  </si>
  <si>
    <t>射手英雄伤害+6.2%</t>
  </si>
  <si>
    <t>[{hunter_dmg_rate,640}]</t>
  </si>
  <si>
    <t>射手英雄伤害+6.4%</t>
  </si>
  <si>
    <t>[{hunter_dmg_rate,680}]</t>
  </si>
  <si>
    <t>射手英雄伤害+6.8%</t>
  </si>
  <si>
    <t>[{hunter_dmg_rate,700}]</t>
  </si>
  <si>
    <t>射手英雄伤害+7%</t>
  </si>
  <si>
    <t>[{hunter_dmg_rate,720}]</t>
  </si>
  <si>
    <t>射手英雄伤害+7.2%</t>
  </si>
  <si>
    <t>[{hunter_dmg_red_rate,250}]</t>
  </si>
  <si>
    <t>射手英雄减伤+2.5%</t>
  </si>
  <si>
    <t>[{hunter_dmg_red_rate,260}]</t>
  </si>
  <si>
    <t>射手英雄减伤+2.6%</t>
  </si>
  <si>
    <t>[{hunter_dmg_red_rate,270}]</t>
  </si>
  <si>
    <t>射手英雄减伤+2.7%</t>
  </si>
  <si>
    <t>[{hunter_dmg_red_rate,280}]</t>
  </si>
  <si>
    <t>射手英雄减伤+2.8%</t>
  </si>
  <si>
    <t>[{hunter_dmg_red_rate,290}]</t>
  </si>
  <si>
    <t>射手英雄减伤+2.9%</t>
  </si>
  <si>
    <t>[{hunter_dmg_rate,760}]</t>
  </si>
  <si>
    <t>射手英雄伤害+7.6%</t>
  </si>
  <si>
    <t>[{hunter_dmg_rate,780}]</t>
  </si>
  <si>
    <t>射手英雄伤害+7.8%</t>
  </si>
  <si>
    <t>[{hunter_dmg_rate,820}]</t>
  </si>
  <si>
    <t>射手英雄伤害+8.2%</t>
  </si>
  <si>
    <t>[{hunter_dmg_rate,840}]</t>
  </si>
  <si>
    <t>射手英雄伤害+8.4%</t>
  </si>
  <si>
    <t>[{hunter_dmg_rate,860}]</t>
  </si>
  <si>
    <t>射手英雄伤害+8.6%</t>
  </si>
  <si>
    <t>[{hunter_dmg_red_rate,300}]</t>
  </si>
  <si>
    <t>射手英雄减伤+3%</t>
  </si>
  <si>
    <t>[{hunter_dmg_red_rate,310}]</t>
  </si>
  <si>
    <t>射手英雄减伤+3.1%</t>
  </si>
  <si>
    <t>[{hunter_dmg_red_rate,320}]</t>
  </si>
  <si>
    <t>射手英雄减伤+3.2%</t>
  </si>
  <si>
    <t>[{hunter_dmg_red_rate,330}]</t>
  </si>
  <si>
    <t>射手英雄减伤+3.3%</t>
  </si>
  <si>
    <t>[{hunter_dmg_red_rate,340}]</t>
  </si>
  <si>
    <t>射手英雄减伤+3.4%</t>
  </si>
  <si>
    <t>[{hunter_dmg_rate,800}]</t>
  </si>
  <si>
    <t>射手英雄伤害+8%</t>
  </si>
  <si>
    <t>[{hunter_dmg_rate,880}]</t>
  </si>
  <si>
    <t>射手英雄伤害+8.8%</t>
  </si>
  <si>
    <t>[{hunter_dmg_red_rate,350}]</t>
  </si>
  <si>
    <t>射手英雄减伤+3.5%</t>
  </si>
  <si>
    <t>[{hunter_dmg_red_rate,360}]</t>
  </si>
  <si>
    <t>射手英雄减伤+3.6%</t>
  </si>
  <si>
    <t>[{hunter_dmg_red_rate,370}]</t>
  </si>
  <si>
    <t>射手英雄减伤+3.7%</t>
  </si>
  <si>
    <t>[{hunter_dmg_red_rate,380}]</t>
  </si>
  <si>
    <t>射手英雄减伤+3.8%</t>
  </si>
  <si>
    <t>[{hunter_dmg_red_rate,390}]</t>
  </si>
  <si>
    <t>射手英雄减伤+3.9%</t>
  </si>
  <si>
    <t>[{hunter_dmg_rate,900}]</t>
  </si>
  <si>
    <t>射手英雄伤害+9%</t>
  </si>
  <si>
    <t>[{hunter_dmg_rate,940}]</t>
  </si>
  <si>
    <t>射手英雄伤害+9.4%</t>
  </si>
  <si>
    <t>[{hunter_dmg_rate,960}]</t>
  </si>
  <si>
    <t>射手英雄伤害+9.6%</t>
  </si>
  <si>
    <t>[{hunter_dmg_rate,980}]</t>
  </si>
  <si>
    <t>射手英雄伤害+9.8%</t>
  </si>
  <si>
    <t>[{hunter_dmg_rate,1000}]</t>
  </si>
  <si>
    <t>射手英雄伤害+10%</t>
  </si>
  <si>
    <t>[{drug_dmg_red_rate,150}]</t>
  </si>
  <si>
    <t>毒系英雄减伤+1.5%</t>
  </si>
  <si>
    <t>[{drug_dmg_red_rate,160}]</t>
  </si>
  <si>
    <t>毒系英雄减伤+1.6%</t>
  </si>
  <si>
    <t>[{drug_dmg_red_rate,170}]</t>
  </si>
  <si>
    <t>毒系英雄减伤+1.7%</t>
  </si>
  <si>
    <t>[{drug_dmg_red_rate,180}]</t>
  </si>
  <si>
    <t>毒系英雄减伤+1.8%</t>
  </si>
  <si>
    <t>[{drug_dmg_red_rate,190}]</t>
  </si>
  <si>
    <t>毒系英雄减伤+1.9%</t>
  </si>
  <si>
    <t>[{drug_dmg_rate,440}]</t>
  </si>
  <si>
    <t>毒系英雄伤害+4.4%</t>
  </si>
  <si>
    <t>[{drug_dmg_rate,480}]</t>
  </si>
  <si>
    <t>毒系英雄伤害+4.8%</t>
  </si>
  <si>
    <t>[{drug_dmg_rate,500}]</t>
  </si>
  <si>
    <t>毒系英雄伤害+5%</t>
  </si>
  <si>
    <t>[{drug_dmg_rate,520}]</t>
  </si>
  <si>
    <t>毒系英雄伤害+5.2%</t>
  </si>
  <si>
    <t>[{drug_dmg_rate,560}]</t>
  </si>
  <si>
    <t>毒系英雄伤害+5.6%</t>
  </si>
  <si>
    <t>[{drug_dmg_rate,580}]</t>
  </si>
  <si>
    <t>毒系英雄伤害+5.8%</t>
  </si>
  <si>
    <t>[{drug_dmg_red_rate,200}]</t>
  </si>
  <si>
    <t>毒系英雄减伤+2%</t>
  </si>
  <si>
    <t>[{drug_dmg_red_rate,210}]</t>
  </si>
  <si>
    <t>毒系英雄减伤+2.1%</t>
  </si>
  <si>
    <t>[{drug_dmg_red_rate,220}]</t>
  </si>
  <si>
    <t>毒系英雄减伤+2.2%</t>
  </si>
  <si>
    <t>[{drug_dmg_red_rate,230}]</t>
  </si>
  <si>
    <t>毒系英雄减伤+2.3%</t>
  </si>
  <si>
    <t>[{drug_dmg_red_rate,240}]</t>
  </si>
  <si>
    <t>毒系英雄减伤+2.4%</t>
  </si>
  <si>
    <t>[{drug_dmg_rate,620}]</t>
  </si>
  <si>
    <t>毒系英雄伤害+6.2%</t>
  </si>
  <si>
    <t>[{drug_dmg_rate,640}]</t>
  </si>
  <si>
    <t>毒系英雄伤害+6.4%</t>
  </si>
  <si>
    <t>[{drug_dmg_rate,680}]</t>
  </si>
  <si>
    <t>毒系英雄伤害+6.8%</t>
  </si>
  <si>
    <t>[{drug_dmg_rate,700}]</t>
  </si>
  <si>
    <t>毒系英雄伤害+7%</t>
  </si>
  <si>
    <t>[{drug_dmg_rate,720}]</t>
  </si>
  <si>
    <t>毒系英雄伤害+7.2%</t>
  </si>
  <si>
    <t>[{drug_dmg_red_rate,250}]</t>
  </si>
  <si>
    <t>毒系英雄减伤+2.5%</t>
  </si>
  <si>
    <t>[{drug_dmg_red_rate,260}]</t>
  </si>
  <si>
    <t>毒系英雄减伤+2.6%</t>
  </si>
  <si>
    <t>[{drug_dmg_red_rate,270}]</t>
  </si>
  <si>
    <t>毒系英雄减伤+2.7%</t>
  </si>
  <si>
    <t>[{drug_dmg_red_rate,280}]</t>
  </si>
  <si>
    <t>毒系英雄减伤+2.8%</t>
  </si>
  <si>
    <t>[{drug_dmg_red_rate,290}]</t>
  </si>
  <si>
    <t>毒系英雄减伤+2.9%</t>
  </si>
  <si>
    <t>[{drug_dmg_rate,760}]</t>
  </si>
  <si>
    <t>毒系英雄伤害+7.6%</t>
  </si>
  <si>
    <t>[{drug_dmg_rate,780}]</t>
  </si>
  <si>
    <t>毒系英雄伤害+7.8%</t>
  </si>
  <si>
    <t>[{drug_dmg_rate,820}]</t>
  </si>
  <si>
    <t>毒系英雄伤害+8.2%</t>
  </si>
  <si>
    <t>[{drug_dmg_rate,840}]</t>
  </si>
  <si>
    <t>毒系英雄伤害+8.4%</t>
  </si>
  <si>
    <t>[{drug_dmg_rate,860}]</t>
  </si>
  <si>
    <t>毒系英雄伤害+8.6%</t>
  </si>
  <si>
    <t>[{drug_dmg_red_rate,300}]</t>
  </si>
  <si>
    <t>毒系英雄减伤+3%</t>
  </si>
  <si>
    <t>[{drug_dmg_red_rate,310}]</t>
  </si>
  <si>
    <t>毒系英雄减伤+3.1%</t>
  </si>
  <si>
    <t>[{drug_dmg_red_rate,320}]</t>
  </si>
  <si>
    <t>毒系英雄减伤+3.2%</t>
  </si>
  <si>
    <t>[{drug_dmg_red_rate,330}]</t>
  </si>
  <si>
    <t>毒系英雄减伤+3.3%</t>
  </si>
  <si>
    <t>[{drug_dmg_red_rate,340}]</t>
  </si>
  <si>
    <t>毒系英雄减伤+3.4%</t>
  </si>
  <si>
    <t>[{drug_dmg_rate,800}]</t>
  </si>
  <si>
    <t>毒系英雄伤害+8%</t>
  </si>
  <si>
    <t>[{drug_dmg_rate,880}]</t>
  </si>
  <si>
    <t>毒系英雄伤害+8.8%</t>
  </si>
  <si>
    <t>[{drug_dmg_red_rate,350}]</t>
  </si>
  <si>
    <t>毒系英雄减伤+3.5%</t>
  </si>
  <si>
    <t>[{drug_dmg_red_rate,360}]</t>
  </si>
  <si>
    <t>毒系英雄减伤+3.6%</t>
  </si>
  <si>
    <t>[{drug_dmg_red_rate,370}]</t>
  </si>
  <si>
    <t>毒系英雄减伤+3.7%</t>
  </si>
  <si>
    <t>[{drug_dmg_red_rate,380}]</t>
  </si>
  <si>
    <t>毒系英雄减伤+3.8%</t>
  </si>
  <si>
    <t>[{drug_dmg_red_rate,390}]</t>
  </si>
  <si>
    <t>毒系英雄减伤+3.9%</t>
  </si>
  <si>
    <t>[{drug_dmg_rate,900}]</t>
  </si>
  <si>
    <t>毒系英雄伤害+9%</t>
  </si>
  <si>
    <t>[{drug_dmg_rate,940}]</t>
  </si>
  <si>
    <t>毒系英雄伤害+9.4%</t>
  </si>
  <si>
    <t>[{drug_dmg_rate,960}]</t>
  </si>
  <si>
    <t>毒系英雄伤害+9.6%</t>
  </si>
  <si>
    <t>[{drug_dmg_rate,980}]</t>
  </si>
  <si>
    <t>毒系英雄伤害+9.8%</t>
  </si>
  <si>
    <t>[{drug_dmg_rate,1000}]</t>
  </si>
  <si>
    <t>毒系英雄伤害+10%</t>
  </si>
  <si>
    <t>[{elitist_monster_hit_rate,620},{boss_monster_hit_rate,620}]</t>
  </si>
  <si>
    <t>对精英和首领增伤+6.2%</t>
  </si>
  <si>
    <t>[{elitist_monster_hit_rate,660},{boss_monster_hit_rate,660}]</t>
  </si>
  <si>
    <t>对精英和首领增伤+6.6%</t>
  </si>
  <si>
    <t>[{elitist_monster_hit_rate,700},{boss_monster_hit_rate,700}]</t>
  </si>
  <si>
    <t>对精英和首领增伤+7%</t>
  </si>
  <si>
    <t>[{elitist_monster_hit_rate,740},{boss_monster_hit_rate,740}]</t>
  </si>
  <si>
    <t>对精英和首领增伤+7.4%</t>
  </si>
  <si>
    <t>[{elitist_monster_hit_rate,780},{boss_monster_hit_rate,780}]</t>
  </si>
  <si>
    <t>对精英和首领增伤+7.8%</t>
  </si>
  <si>
    <t>[{control_dmg_rate,440}]</t>
  </si>
  <si>
    <t>控制英雄伤害+4.4%</t>
  </si>
  <si>
    <t>[{control_dmg_rate,480}]</t>
  </si>
  <si>
    <t>控制英雄伤害+4.8%</t>
  </si>
  <si>
    <t>[{control_dmg_rate,500}]</t>
  </si>
  <si>
    <t>控制英雄伤害+5%</t>
  </si>
  <si>
    <t>[{control_dmg_rate,520}]</t>
  </si>
  <si>
    <t>控制英雄伤害+5.2%</t>
  </si>
  <si>
    <t>[{control_dmg_rate,560}]</t>
  </si>
  <si>
    <t>控制英雄伤害+5.6%</t>
  </si>
  <si>
    <t>[{control_dmg_rate,580}]</t>
  </si>
  <si>
    <t>控制英雄伤害+5.8%</t>
  </si>
  <si>
    <t>[{elitist_monster_hit_rate,720},{boss_monster_hit_rate,720}]</t>
  </si>
  <si>
    <t>对精英和首领增伤+7.2%</t>
  </si>
  <si>
    <t>[{elitist_monster_hit_rate,760},{boss_monster_hit_rate,760}]</t>
  </si>
  <si>
    <t>对精英和首领增伤+7.6%</t>
  </si>
  <si>
    <t>[{elitist_monster_hit_rate,800},{boss_monster_hit_rate,800}]</t>
  </si>
  <si>
    <t>对精英和首领增伤+8%</t>
  </si>
  <si>
    <t>[{control_dmg_rate,620}]</t>
  </si>
  <si>
    <t>控制英雄伤害+6.2%</t>
  </si>
  <si>
    <t>[{control_dmg_rate,640}]</t>
  </si>
  <si>
    <t>控制英雄伤害+6.4%</t>
  </si>
  <si>
    <t>[{control_dmg_rate,680}]</t>
  </si>
  <si>
    <t>控制英雄伤害+6.8%</t>
  </si>
  <si>
    <t>[{control_dmg_rate,700}]</t>
  </si>
  <si>
    <t>控制英雄伤害+7%</t>
  </si>
  <si>
    <t>[{control_dmg_rate,720}]</t>
  </si>
  <si>
    <t>控制英雄伤害+7.2%</t>
  </si>
  <si>
    <t>[{elitist_monster_hit_rate,820},{boss_monster_hit_rate,820}]</t>
  </si>
  <si>
    <t>对精英和首领增伤+8.2%</t>
  </si>
  <si>
    <t>[{elitist_monster_hit_rate,880},{boss_monster_hit_rate,880}]</t>
  </si>
  <si>
    <t>对精英和首领增伤+8.8%</t>
  </si>
  <si>
    <t>[{elitist_monster_hit_rate,920},{boss_monster_hit_rate,920}]</t>
  </si>
  <si>
    <t>对精英和首领增伤+9.2%</t>
  </si>
  <si>
    <t>[{elitist_monster_hit_rate,960},{boss_monster_hit_rate,960}]</t>
  </si>
  <si>
    <t>对精英和首领增伤+9.6%</t>
  </si>
  <si>
    <t>[{elitist_monster_hit_rate,1000},{boss_monster_hit_rate,1000}]</t>
  </si>
  <si>
    <t>对精英和首领增伤+10%</t>
  </si>
  <si>
    <t>[{control_dmg_rate,760}]</t>
  </si>
  <si>
    <t>控制英雄伤害+7.6%</t>
  </si>
  <si>
    <t>[{control_dmg_rate,780}]</t>
  </si>
  <si>
    <t>控制英雄伤害+7.8%</t>
  </si>
  <si>
    <t>[{control_dmg_rate,820}]</t>
  </si>
  <si>
    <t>控制英雄伤害+8.2%</t>
  </si>
  <si>
    <t>[{control_dmg_rate,840}]</t>
  </si>
  <si>
    <t>控制英雄伤害+8.4%</t>
  </si>
  <si>
    <t>[{control_dmg_rate,860}]</t>
  </si>
  <si>
    <t>控制英雄伤害+8.6%</t>
  </si>
  <si>
    <t>[{elitist_monster_hit_rate,940},{boss_monster_hit_rate,940}]</t>
  </si>
  <si>
    <t>对精英和首领增伤+9.4%</t>
  </si>
  <si>
    <t>[{elitist_monster_hit_rate,980},{boss_monster_hit_rate,980}]</t>
  </si>
  <si>
    <t>对精英和首领增伤+9.8%</t>
  </si>
  <si>
    <t>[{elitist_monster_hit_rate,1020},{boss_monster_hit_rate,1020}]</t>
  </si>
  <si>
    <t>对精英和首领增伤+10.2%</t>
  </si>
  <si>
    <t>[{control_dmg_rate,800}]</t>
  </si>
  <si>
    <t>控制英雄伤害+8%</t>
  </si>
  <si>
    <t>[{control_dmg_rate,880}]</t>
  </si>
  <si>
    <t>控制英雄伤害+8.8%</t>
  </si>
  <si>
    <t>[{elitist_monster_hit_rate,1040},{boss_monster_hit_rate,1040}]</t>
  </si>
  <si>
    <t>对精英和首领增伤+10.4%</t>
  </si>
  <si>
    <t>[{elitist_monster_hit_rate,1080},{boss_monster_hit_rate,1080}]</t>
  </si>
  <si>
    <t>对精英和首领增伤+10.8%</t>
  </si>
  <si>
    <t>[{elitist_monster_hit_rate,1120},{boss_monster_hit_rate,1120}]</t>
  </si>
  <si>
    <t>对精英和首领增伤+11.2%</t>
  </si>
  <si>
    <t>[{elitist_monster_hit_rate,1160},{boss_monster_hit_rate,1160}]</t>
  </si>
  <si>
    <t>对精英和首领增伤+11.6%</t>
  </si>
  <si>
    <t>[{elitist_monster_hit_rate,1200},{boss_monster_hit_rate,1200}]</t>
  </si>
  <si>
    <t>对精英和首领增伤+12%</t>
  </si>
  <si>
    <t>[{control_dmg_rate,900}]</t>
  </si>
  <si>
    <t>控制英雄伤害+9%</t>
  </si>
  <si>
    <t>[{control_dmg_rate,940}]</t>
  </si>
  <si>
    <t>控制英雄伤害+9.4%</t>
  </si>
  <si>
    <t>[{control_dmg_rate,960}]</t>
  </si>
  <si>
    <t>控制英雄伤害+9.6%</t>
  </si>
  <si>
    <t>[{control_dmg_rate,980}]</t>
  </si>
  <si>
    <t>控制英雄伤害+9.8%</t>
  </si>
  <si>
    <t>[{control_dmg_rate,1000}]</t>
  </si>
  <si>
    <t>控制英雄伤害+10%</t>
  </si>
  <si>
    <t>伤害加成+3%</t>
  </si>
  <si>
    <t>非池化属性</t>
  </si>
  <si>
    <t>[{global_dmg_rate,330}]</t>
  </si>
  <si>
    <t>伤害加成+3.3%</t>
  </si>
  <si>
    <t>伤害加成+3.6%</t>
  </si>
  <si>
    <t>[{global_dmg_rate,390}]</t>
  </si>
  <si>
    <t>伤害加成+3.9%</t>
  </si>
  <si>
    <t>伤害加成+4.2%</t>
  </si>
  <si>
    <t>伤害减免+1%</t>
  </si>
  <si>
    <t>池化属性</t>
  </si>
  <si>
    <t>伤害减免+1.1%</t>
  </si>
  <si>
    <t>伤害减免+1.2%</t>
  </si>
  <si>
    <t>伤害减免+1.3%</t>
  </si>
  <si>
    <t>伤害减免+1.4%</t>
  </si>
  <si>
    <t>[{all_class_dmg,300}]</t>
  </si>
  <si>
    <t>上阵四个不同职业增伤+3%</t>
  </si>
  <si>
    <t>[{all_class_dmg,330}]</t>
  </si>
  <si>
    <t>上阵四个不同职业增伤+3.3%</t>
  </si>
  <si>
    <t>[{all_class_dmg,360}]</t>
  </si>
  <si>
    <t>上阵四个不同职业增伤+3.6%</t>
  </si>
  <si>
    <t>[{all_class_dmg,390}]</t>
  </si>
  <si>
    <t>上阵四个不同职业增伤+3.9%</t>
  </si>
  <si>
    <t>[{all_class_dmg,420}]</t>
  </si>
  <si>
    <t>上阵四个不同职业增伤+4.2%</t>
  </si>
  <si>
    <t>[{exp_boost,2000}]</t>
  </si>
  <si>
    <t>击杀怪物经验获取+20%</t>
  </si>
  <si>
    <t>[{equip_base_attr,2500}]</t>
  </si>
  <si>
    <t>装备基础属性加成+25%</t>
  </si>
  <si>
    <t>[{equip_extra_attr,5000}]</t>
  </si>
  <si>
    <t>装备附加属性加成+50%</t>
  </si>
  <si>
    <t>[{arena_pve_hit_rare,970}]</t>
  </si>
  <si>
    <t>荧幕争锋增伤+9.7%</t>
  </si>
  <si>
    <t>[{arena_pve_hit_rare,1000}]</t>
  </si>
  <si>
    <t>荧幕争锋增伤+10%</t>
  </si>
  <si>
    <t>[{arena_pve_hit_rare,1040}]</t>
  </si>
  <si>
    <t>荧幕争锋增伤+10.4%</t>
  </si>
  <si>
    <t>[{arena_pve_hit_rare,1070}]</t>
  </si>
  <si>
    <t>荧幕争锋增伤+10.7%</t>
  </si>
  <si>
    <t>[{arena_pve_hit_rare,1110}]</t>
  </si>
  <si>
    <t>荧幕争锋增伤+11.1%</t>
  </si>
  <si>
    <t>战士伤害减免+1.5%</t>
  </si>
  <si>
    <t>战士伤害减免+1.6%</t>
  </si>
  <si>
    <t>战士伤害减免+1.7%</t>
  </si>
  <si>
    <t>战士伤害减免+1.8%</t>
  </si>
  <si>
    <t>战士伤害减免+1.9%</t>
  </si>
  <si>
    <t>战士伤害+4.4%</t>
  </si>
  <si>
    <t>战士伤害+4.8%</t>
  </si>
  <si>
    <t>[{warrior_dmg_rate,510}]</t>
  </si>
  <si>
    <t>战士伤害+5.1%</t>
  </si>
  <si>
    <t>[{warrior_dmg_rate,550}]</t>
  </si>
  <si>
    <t>战士伤害+5.5%</t>
  </si>
  <si>
    <t>战士伤害+5.8%</t>
  </si>
  <si>
    <t>[{warrior_class_dmg_rate,1350}]</t>
  </si>
  <si>
    <t>上阵两个战士职业增伤+13.5%</t>
  </si>
  <si>
    <t>[{warrior_class_dmg_rate,1390}]</t>
  </si>
  <si>
    <t>上阵两个战士职业增伤+13.9%</t>
  </si>
  <si>
    <t>[{warrior_class_dmg_rate,1430}]</t>
  </si>
  <si>
    <t>上阵两个战士职业增伤+14.3%</t>
  </si>
  <si>
    <t>[{warrior_class_dmg_rate,1470}]</t>
  </si>
  <si>
    <t>上阵两个战士职业增伤+14.7%</t>
  </si>
  <si>
    <t>[{warrior_class_dmg_rate,1500}]</t>
  </si>
  <si>
    <t>上阵两个战士职业增伤+15%</t>
  </si>
  <si>
    <t>[{warrior_crit_dmg,2000}]</t>
  </si>
  <si>
    <t>战士暴击伤害+20%</t>
  </si>
  <si>
    <t>[{warrior_crit_dmg,2100}]</t>
  </si>
  <si>
    <t>战士暴击伤害+21%</t>
  </si>
  <si>
    <t>[{warrior_crit_dmg,2200}]</t>
  </si>
  <si>
    <t>战士暴击伤害+22%</t>
  </si>
  <si>
    <t>[{warrior_crit_dmg,2300}]</t>
  </si>
  <si>
    <t>战士暴击伤害+23%</t>
  </si>
  <si>
    <t>[{warrior_crit_dmg,2400}]</t>
  </si>
  <si>
    <t>战士暴击伤害+24%</t>
  </si>
  <si>
    <t>[{equip6_rune_slot,1}]</t>
  </si>
  <si>
    <t>[{global_dmg_rate,1490}]</t>
  </si>
  <si>
    <t>伤害加成+14.9%</t>
  </si>
  <si>
    <t>[{global_dmg_rate,1530}]</t>
  </si>
  <si>
    <t>伤害加成+15.3%</t>
  </si>
  <si>
    <t>[{global_dmg_rate,1560}]</t>
  </si>
  <si>
    <t>伤害加成+15.6%</t>
  </si>
  <si>
    <t>[{global_dmg_rate,1600}]</t>
  </si>
  <si>
    <t>伤害加成+16%</t>
  </si>
  <si>
    <t>[{global_dmg_rate,1630}]</t>
  </si>
  <si>
    <t>伤害加成+16.3%</t>
  </si>
  <si>
    <t>伤害减免+1.5%</t>
  </si>
  <si>
    <t>伤害减免+1.6%</t>
  </si>
  <si>
    <t>伤害减免+1.7%</t>
  </si>
  <si>
    <t>伤害减免+1.8%</t>
  </si>
  <si>
    <t>伤害减免+1.9%</t>
  </si>
  <si>
    <t>[{all_class_dmg,440}]</t>
  </si>
  <si>
    <t>上阵四个不同职业增伤+4.4%</t>
  </si>
  <si>
    <t>[{all_class_dmg,480}]</t>
  </si>
  <si>
    <t>上阵四个不同职业增伤+4.8%</t>
  </si>
  <si>
    <t>[{all_class_dmg,510}]</t>
  </si>
  <si>
    <t>上阵四个不同职业增伤+5.1%</t>
  </si>
  <si>
    <t>[{all_class_dmg,550}]</t>
  </si>
  <si>
    <t>上阵四个不同职业增伤+5.5%</t>
  </si>
  <si>
    <t>[{all_class_dmg,580}]</t>
  </si>
  <si>
    <t>上阵四个不同职业增伤+5.8%</t>
  </si>
  <si>
    <t>[{arena_pve_hit_rare,2330}]</t>
  </si>
  <si>
    <t>荧幕争锋增伤+23.3%</t>
  </si>
  <si>
    <t>[{arena_pve_hit_rare,2370}]</t>
  </si>
  <si>
    <t>荧幕争锋增伤+23.7%</t>
  </si>
  <si>
    <t>[{arena_pve_hit_rare,2400}]</t>
  </si>
  <si>
    <t>荧幕争锋增伤+24%</t>
  </si>
  <si>
    <t>[{arena_pve_hit_rare,2440}]</t>
  </si>
  <si>
    <t>荧幕争锋增伤+24.4%</t>
  </si>
  <si>
    <t>[{arena_pve_hit_rare,2470}]</t>
  </si>
  <si>
    <t>荧幕争锋增伤+24.7%</t>
  </si>
  <si>
    <t>战士伤害减免+2%</t>
  </si>
  <si>
    <t>战士伤害减免+2.1%</t>
  </si>
  <si>
    <t>战士伤害减免+2.2%</t>
  </si>
  <si>
    <t>战士伤害减免+2.3%</t>
  </si>
  <si>
    <t>战士伤害减免+2.4%</t>
  </si>
  <si>
    <t>战士伤害+6.2%</t>
  </si>
  <si>
    <t>[{warrior_dmg_rate,650}]</t>
  </si>
  <si>
    <t>战士伤害+6.5%</t>
  </si>
  <si>
    <t>[{warrior_dmg_rate,690}]</t>
  </si>
  <si>
    <t>战士伤害+6.9%</t>
  </si>
  <si>
    <t>战士伤害+7.2%</t>
  </si>
  <si>
    <t>[{warrior_class_dmg_rate,2820}]</t>
  </si>
  <si>
    <t>上阵两个战士职业增伤+28.2%</t>
  </si>
  <si>
    <t>[{warrior_class_dmg_rate,2850}]</t>
  </si>
  <si>
    <t>上阵两个战士职业增伤+28.5%</t>
  </si>
  <si>
    <t>[{warrior_class_dmg_rate,2890}]</t>
  </si>
  <si>
    <t>上阵两个战士职业增伤+28.9%</t>
  </si>
  <si>
    <t>[{warrior_class_dmg_rate,2930}]</t>
  </si>
  <si>
    <t>上阵两个战士职业增伤+29.3%</t>
  </si>
  <si>
    <t>[{warrior_class_dmg_rate,2970}]</t>
  </si>
  <si>
    <t>上阵两个战士职业增伤+29.7%</t>
  </si>
  <si>
    <t>[{warrior_crit_dmg,2480}]</t>
  </si>
  <si>
    <t>战士暴击伤害+24.8%</t>
  </si>
  <si>
    <t>[{warrior_crit_dmg,2550}]</t>
  </si>
  <si>
    <t>战士暴击伤害+25.5%</t>
  </si>
  <si>
    <t>[{warrior_crit_dmg,2630}]</t>
  </si>
  <si>
    <t>战士暴击伤害+26.3%</t>
  </si>
  <si>
    <t>[{warrior_crit_dmg,2700}]</t>
  </si>
  <si>
    <t>战士暴击伤害+27%</t>
  </si>
  <si>
    <t>[{global_dmg_rate,1500}]</t>
  </si>
  <si>
    <t>伤害加成+15%</t>
  </si>
  <si>
    <t>[{global_dmg_rate,1510}]</t>
  </si>
  <si>
    <t>伤害加成+15.1%</t>
  </si>
  <si>
    <t>[{global_dmg_rate,1540}]</t>
  </si>
  <si>
    <t>伤害加成+15.4%</t>
  </si>
  <si>
    <t>伤害减免+2%</t>
  </si>
  <si>
    <t>伤害减免+2.1%</t>
  </si>
  <si>
    <t>伤害减免+2.2%</t>
  </si>
  <si>
    <t>伤害减免+2.3%</t>
  </si>
  <si>
    <t>伤害减免+2.4%</t>
  </si>
  <si>
    <t>[{all_class_dmg,520}]</t>
  </si>
  <si>
    <t>上阵四个不同职业增伤+5.2%</t>
  </si>
  <si>
    <t>[{all_class_dmg,540}]</t>
  </si>
  <si>
    <t>上阵四个不同职业增伤+5.4%</t>
  </si>
  <si>
    <t>[{all_class_dmg,570}]</t>
  </si>
  <si>
    <t>上阵四个不同职业增伤+5.7%</t>
  </si>
  <si>
    <t>[{arena_pve_hit_rare,720}]</t>
  </si>
  <si>
    <t>荧幕争锋增伤+7.2%</t>
  </si>
  <si>
    <t>[{arena_pve_hit_rare,760}]</t>
  </si>
  <si>
    <t>荧幕争锋增伤+7.6%</t>
  </si>
  <si>
    <t>[{arena_pve_hit_rare,790}]</t>
  </si>
  <si>
    <t>荧幕争锋增伤+7.9%</t>
  </si>
  <si>
    <t>[{arena_pve_hit_rare,830}]</t>
  </si>
  <si>
    <t>荧幕争锋增伤+8.3%</t>
  </si>
  <si>
    <t>[{arena_pve_hit_rare,860}]</t>
  </si>
  <si>
    <t>荧幕争锋增伤+8.6%</t>
  </si>
  <si>
    <t>战士伤害减免+2.5%</t>
  </si>
  <si>
    <t>战士伤害减免+2.6%</t>
  </si>
  <si>
    <t>战士伤害减免+2.7%</t>
  </si>
  <si>
    <t>战士伤害减免+2.8%</t>
  </si>
  <si>
    <t>战士伤害减免+2.9%</t>
  </si>
  <si>
    <t>战士伤害+7.6%</t>
  </si>
  <si>
    <t>[{warrior_dmg_rate,790}]</t>
  </si>
  <si>
    <t>战士伤害+7.9%</t>
  </si>
  <si>
    <t>[{warrior_dmg_rate,830}]</t>
  </si>
  <si>
    <t>战士伤害+8.3%</t>
  </si>
  <si>
    <t>战士伤害+8.6%</t>
  </si>
  <si>
    <t>[{warrior_class_dmg_rate,900}]</t>
  </si>
  <si>
    <t>上阵两个战士职业增伤+9%</t>
  </si>
  <si>
    <t>[{warrior_class_dmg_rate,950}]</t>
  </si>
  <si>
    <t>上阵两个战士职业增伤+9.5%</t>
  </si>
  <si>
    <t>[{warrior_class_dmg_rate,1000}]</t>
  </si>
  <si>
    <t>上阵两个战士职业增伤+10%</t>
  </si>
  <si>
    <t>[{warrior_class_dmg_rate,1050}]</t>
  </si>
  <si>
    <t>上阵两个战士职业增伤+10.5%</t>
  </si>
  <si>
    <t>[{warrior_class_dmg_rate,1100}]</t>
  </si>
  <si>
    <t>上阵两个战士职业增伤+11%</t>
  </si>
  <si>
    <t>[{warrior_crit_dmg,2850}]</t>
  </si>
  <si>
    <t>战士暴击伤害+28.5%</t>
  </si>
  <si>
    <t>[{warrior_crit_dmg,3000}]</t>
  </si>
  <si>
    <t>战士暴击伤害+30%</t>
  </si>
  <si>
    <t>[{warrior_crit_dmg,3150}]</t>
  </si>
  <si>
    <t>战士暴击伤害+31.5%</t>
  </si>
  <si>
    <t>[{warrior_crit_dmg,3300}]</t>
  </si>
  <si>
    <t>战士暴击伤害+33%</t>
  </si>
  <si>
    <t>[{global_dmg_rate,3730}]</t>
  </si>
  <si>
    <t>伤害加成+37.3%</t>
  </si>
  <si>
    <t>[{global_dmg_rate,3770}]</t>
  </si>
  <si>
    <t>伤害加成+37.7%</t>
  </si>
  <si>
    <t>[{global_dmg_rate,3800}]</t>
  </si>
  <si>
    <t>伤害加成+38%</t>
  </si>
  <si>
    <t>[{global_dmg_rate,3840}]</t>
  </si>
  <si>
    <t>伤害加成+38.4%</t>
  </si>
  <si>
    <t>[{global_dmg_rate,3870}]</t>
  </si>
  <si>
    <t>伤害加成+38.7%</t>
  </si>
  <si>
    <t>伤害减免+2.5%</t>
  </si>
  <si>
    <t>伤害减免+2.6%</t>
  </si>
  <si>
    <t>伤害减免+2.7%</t>
  </si>
  <si>
    <t>伤害减免+2.8%</t>
  </si>
  <si>
    <t>伤害减免+2.9%</t>
  </si>
  <si>
    <t>[{all_class_dmg,620}]</t>
  </si>
  <si>
    <t>上阵四个不同职业增伤+6.2%</t>
  </si>
  <si>
    <t>[{all_class_dmg,650}]</t>
  </si>
  <si>
    <t>上阵四个不同职业增伤+6.5%</t>
  </si>
  <si>
    <t>[{all_class_dmg,690}]</t>
  </si>
  <si>
    <t>上阵四个不同职业增伤+6.9%</t>
  </si>
  <si>
    <t>[{all_class_dmg,720}]</t>
  </si>
  <si>
    <t>上阵四个不同职业增伤+7.2%</t>
  </si>
  <si>
    <t>[{arena_pve_hit_rare,800}]</t>
  </si>
  <si>
    <t>荧幕争锋增伤+8%</t>
  </si>
  <si>
    <t>[{arena_pve_hit_rare,850}]</t>
  </si>
  <si>
    <t>荧幕争锋增伤+8.5%</t>
  </si>
  <si>
    <t>[{arena_pve_hit_rare,880}]</t>
  </si>
  <si>
    <t>荧幕争锋增伤+8.8%</t>
  </si>
  <si>
    <t>[{arena_pve_hit_rare,900}]</t>
  </si>
  <si>
    <t>荧幕争锋增伤+9%</t>
  </si>
  <si>
    <t>战士伤害减免+3%</t>
  </si>
  <si>
    <t>战士伤害减免+3.1%</t>
  </si>
  <si>
    <t>战士伤害减免+3.2%</t>
  </si>
  <si>
    <t>战士伤害减免+3.3%</t>
  </si>
  <si>
    <t>战士伤害减免+3.4%</t>
  </si>
  <si>
    <t>战士伤害+8%</t>
  </si>
  <si>
    <t>[{warrior_dmg_rate,850}]</t>
  </si>
  <si>
    <t>战士伤害+8.5%</t>
  </si>
  <si>
    <t>战士伤害+8.8%</t>
  </si>
  <si>
    <t>战士伤害+9%</t>
  </si>
  <si>
    <t>[{warrior_class_dmg_rate,1150}]</t>
  </si>
  <si>
    <t>上阵两个战士职业增伤+11.5%</t>
  </si>
  <si>
    <t>[{warrior_class_dmg_rate,1200}]</t>
  </si>
  <si>
    <t>上阵两个战士职业增伤+12%</t>
  </si>
  <si>
    <t>[{warrior_class_dmg_rate,1250}]</t>
  </si>
  <si>
    <t>上阵两个战士职业增伤+12.5%</t>
  </si>
  <si>
    <t>[{warrior_class_dmg_rate,1300}]</t>
  </si>
  <si>
    <t>上阵两个战士职业增伤+13%</t>
  </si>
  <si>
    <t>[{warrior_crit_dmg,3450}]</t>
  </si>
  <si>
    <t>战士暴击伤害+34.5%</t>
  </si>
  <si>
    <t>[{warrior_crit_dmg,3600}]</t>
  </si>
  <si>
    <t>战士暴击伤害+36%</t>
  </si>
  <si>
    <t>[{warrior_crit_dmg,3750}]</t>
  </si>
  <si>
    <t>战士暴击伤害+37.5%</t>
  </si>
  <si>
    <t>[{warrior_crit_dmg,3900}]</t>
  </si>
  <si>
    <t>战士暴击伤害+39%</t>
  </si>
  <si>
    <t>[{global_dmg_rate,4400}]</t>
  </si>
  <si>
    <t>伤害加成+44%</t>
  </si>
  <si>
    <t>[{global_dmg_rate,4430}]</t>
  </si>
  <si>
    <t>伤害加成+44.3%</t>
  </si>
  <si>
    <t>[{global_dmg_rate,4470}]</t>
  </si>
  <si>
    <t>伤害加成+44.7%</t>
  </si>
  <si>
    <t>[{global_dmg_rate,4500}]</t>
  </si>
  <si>
    <t>伤害加成+45%</t>
  </si>
  <si>
    <t>[{global_dmg_rate,4540}]</t>
  </si>
  <si>
    <t>伤害加成+45.4%</t>
  </si>
  <si>
    <t>伤害减免+3%</t>
  </si>
  <si>
    <t>伤害减免+3.1%</t>
  </si>
  <si>
    <t>伤害减免+3.2%</t>
  </si>
  <si>
    <t>伤害减免+3.3%</t>
  </si>
  <si>
    <t>伤害减免+3.4%</t>
  </si>
  <si>
    <t>[{all_class_dmg,760}]</t>
  </si>
  <si>
    <t>上阵四个不同职业增伤+7.6%</t>
  </si>
  <si>
    <t>[{all_class_dmg,790}]</t>
  </si>
  <si>
    <t>上阵四个不同职业增伤+7.9%</t>
  </si>
  <si>
    <t>[{all_class_dmg,830}]</t>
  </si>
  <si>
    <t>上阵四个不同职业增伤+8.3%</t>
  </si>
  <si>
    <t>[{all_class_dmg,860}]</t>
  </si>
  <si>
    <t>上阵四个不同职业增伤+8.6%</t>
  </si>
  <si>
    <t>[{arena_pve_hit_rare,930}]</t>
  </si>
  <si>
    <t>荧幕争锋增伤+9.3%</t>
  </si>
  <si>
    <t>[{arena_pve_hit_rare,950}]</t>
  </si>
  <si>
    <t>荧幕争锋增伤+9.5%</t>
  </si>
  <si>
    <t>[{arena_pve_hit_rare,980}]</t>
  </si>
  <si>
    <t>荧幕争锋增伤+9.8%</t>
  </si>
  <si>
    <t>战士伤害减免+3.5%</t>
  </si>
  <si>
    <t>战士伤害减免+3.6%</t>
  </si>
  <si>
    <t>战士伤害减免+3.7%</t>
  </si>
  <si>
    <t>战士伤害减免+3.8%</t>
  </si>
  <si>
    <t>战士伤害减免+3.9%</t>
  </si>
  <si>
    <t>[{warrior_dmg_rate,930}]</t>
  </si>
  <si>
    <t>战士伤害+9.3%</t>
  </si>
  <si>
    <t>[{warrior_dmg_rate,950}]</t>
  </si>
  <si>
    <t>战士伤害+9.5%</t>
  </si>
  <si>
    <t>战士伤害+9.8%</t>
  </si>
  <si>
    <t>战士伤害+10%</t>
  </si>
  <si>
    <t>[{warrior_class_dmg_rate,1400}]</t>
  </si>
  <si>
    <t>上阵两个战士职业增伤+14%</t>
  </si>
  <si>
    <t>[{warrior_class_dmg_rate,1450}]</t>
  </si>
  <si>
    <t>上阵两个战士职业增伤+14.5%</t>
  </si>
  <si>
    <t>[{warrior_crit_dmg,4050}]</t>
  </si>
  <si>
    <t>战士暴击伤害+40.5%</t>
  </si>
  <si>
    <t>[{warrior_crit_dmg,4200}]</t>
  </si>
  <si>
    <t>战士暴击伤害+42%</t>
  </si>
  <si>
    <t>[{warrior_crit_dmg,4350}]</t>
  </si>
  <si>
    <t>战士暴击伤害+43.5%</t>
  </si>
  <si>
    <t>[{warrior_crit_dmg,4500}]</t>
  </si>
  <si>
    <t>战士暴击伤害+45%</t>
  </si>
  <si>
    <t>[{global_dmg_rate,3750}]</t>
  </si>
  <si>
    <t>伤害加成+37.5%</t>
  </si>
  <si>
    <t>[{global_dmg_rate,3780}]</t>
  </si>
  <si>
    <t>伤害加成+37.8%</t>
  </si>
  <si>
    <t>[{global_dmg_rate,3810}]</t>
  </si>
  <si>
    <t>伤害加成+38.1%</t>
  </si>
  <si>
    <t>[{equip1_rune_slot,1}]</t>
  </si>
  <si>
    <t>[{chapter_pve_hit_rate,5340}]</t>
  </si>
  <si>
    <t>主线挑战增伤+53.4%</t>
  </si>
  <si>
    <t>[{chapter_pve_hit_rate,5380}]</t>
  </si>
  <si>
    <t>主线挑战增伤+53.8%</t>
  </si>
  <si>
    <t>[{chapter_pve_hit_rate,5410}]</t>
  </si>
  <si>
    <t>主线挑战增伤+54.1%</t>
  </si>
  <si>
    <t>[{chapter_pve_hit_rate,5450}]</t>
  </si>
  <si>
    <t>主线挑战增伤+54.5%</t>
  </si>
  <si>
    <t>[{chapter_pve_hit_rate,5480}]</t>
  </si>
  <si>
    <t>主线挑战增伤+54.8%</t>
  </si>
  <si>
    <t>法师伤害减免+1.5%</t>
  </si>
  <si>
    <t>法师伤害减免+1.6%</t>
  </si>
  <si>
    <t>法师伤害减免+1.7%</t>
  </si>
  <si>
    <t>法师伤害减免+1.8%</t>
  </si>
  <si>
    <t>法师伤害减免+1.9%</t>
  </si>
  <si>
    <t>法师伤害+4.4%</t>
  </si>
  <si>
    <t>法师伤害+4.8%</t>
  </si>
  <si>
    <t>[{mage_dmg_rate,510}]</t>
  </si>
  <si>
    <t>法师伤害+5.1%</t>
  </si>
  <si>
    <t>[{mage_dmg_rate,550}]</t>
  </si>
  <si>
    <t>法师伤害+5.5%</t>
  </si>
  <si>
    <t>法师伤害+5.8%</t>
  </si>
  <si>
    <t>[{mage_class_dmg_rate,6040}]</t>
  </si>
  <si>
    <t>上阵两个法师职业增伤+60.4%</t>
  </si>
  <si>
    <t>[{mage_class_dmg_rate,6080}]</t>
  </si>
  <si>
    <t>上阵两个法师职业增伤+60.8%</t>
  </si>
  <si>
    <t>[{mage_class_dmg_rate,6120}]</t>
  </si>
  <si>
    <t>上阵两个法师职业增伤+61.2%</t>
  </si>
  <si>
    <t>[{mage_class_dmg_rate,6150}]</t>
  </si>
  <si>
    <t>上阵两个法师职业增伤+61.5%</t>
  </si>
  <si>
    <t>[{mage_class_dmg_rate,6190}]</t>
  </si>
  <si>
    <t>上阵两个法师职业增伤+61.9%</t>
  </si>
  <si>
    <t>[{mage_crit_dmg,2000}]</t>
  </si>
  <si>
    <t>法师暴击伤害+20%</t>
  </si>
  <si>
    <t>[{mage_crit_dmg,2100}]</t>
  </si>
  <si>
    <t>法师暴击伤害+21%</t>
  </si>
  <si>
    <t>[{mage_crit_dmg,2200}]</t>
  </si>
  <si>
    <t>法师暴击伤害+22%</t>
  </si>
  <si>
    <t>[{mage_crit_dmg,2300}]</t>
  </si>
  <si>
    <t>法师暴击伤害+23%</t>
  </si>
  <si>
    <t>[{mage_crit_dmg,2400}]</t>
  </si>
  <si>
    <t>法师暴击伤害+24%</t>
  </si>
  <si>
    <t>[{global_dmg_rate,5690}]</t>
  </si>
  <si>
    <t>伤害加成+56.9%</t>
  </si>
  <si>
    <t>[{global_dmg_rate,5730}]</t>
  </si>
  <si>
    <t>伤害加成+57.3%</t>
  </si>
  <si>
    <t>[{global_dmg_rate,5760}]</t>
  </si>
  <si>
    <t>伤害加成+57.6%</t>
  </si>
  <si>
    <t>[{global_dmg_rate,5800}]</t>
  </si>
  <si>
    <t>伤害加成+58%</t>
  </si>
  <si>
    <t>[{global_dmg_rate,5830}]</t>
  </si>
  <si>
    <t>伤害加成+58.3%</t>
  </si>
  <si>
    <t>[{chapter_pve_hit_rate,6710}]</t>
  </si>
  <si>
    <t>主线挑战增伤+67.1%</t>
  </si>
  <si>
    <t>[{chapter_pve_hit_rate,6740}]</t>
  </si>
  <si>
    <t>主线挑战增伤+67.4%</t>
  </si>
  <si>
    <t>[{chapter_pve_hit_rate,6780}]</t>
  </si>
  <si>
    <t>主线挑战增伤+67.8%</t>
  </si>
  <si>
    <t>[{chapter_pve_hit_rate,6810}]</t>
  </si>
  <si>
    <t>主线挑战增伤+68.1%</t>
  </si>
  <si>
    <t>[{chapter_pve_hit_rate,6850}]</t>
  </si>
  <si>
    <t>主线挑战增伤+68.5%</t>
  </si>
  <si>
    <t>法师伤害减免+2%</t>
  </si>
  <si>
    <t>法师伤害减免+2.1%</t>
  </si>
  <si>
    <t>法师伤害减免+2.2%</t>
  </si>
  <si>
    <t>法师伤害减免+2.3%</t>
  </si>
  <si>
    <t>法师伤害减免+2.4%</t>
  </si>
  <si>
    <t>法师伤害+6.2%</t>
  </si>
  <si>
    <t>[{mage_dmg_rate,650}]</t>
  </si>
  <si>
    <t>法师伤害+6.5%</t>
  </si>
  <si>
    <t>[{mage_dmg_rate,690}]</t>
  </si>
  <si>
    <t>法师伤害+6.9%</t>
  </si>
  <si>
    <t>法师伤害+7.2%</t>
  </si>
  <si>
    <t>[{mage_class_dmg_rate,7500}]</t>
  </si>
  <si>
    <t>上阵两个法师职业增伤+75%</t>
  </si>
  <si>
    <t>[{mage_class_dmg_rate,7540}]</t>
  </si>
  <si>
    <t>上阵两个法师职业增伤+75.4%</t>
  </si>
  <si>
    <t>[{mage_class_dmg_rate,7580}]</t>
  </si>
  <si>
    <t>上阵两个法师职业增伤+75.8%</t>
  </si>
  <si>
    <t>[{mage_class_dmg_rate,7620}]</t>
  </si>
  <si>
    <t>上阵两个法师职业增伤+76.2%</t>
  </si>
  <si>
    <t>[{mage_class_dmg_rate,7650}]</t>
  </si>
  <si>
    <t>上阵两个法师职业增伤+76.5%</t>
  </si>
  <si>
    <t>[{mage_crit_dmg,2480}]</t>
  </si>
  <si>
    <t>法师暴击伤害+24.8%</t>
  </si>
  <si>
    <t>[{mage_crit_dmg,2550}]</t>
  </si>
  <si>
    <t>法师暴击伤害+25.5%</t>
  </si>
  <si>
    <t>[{mage_crit_dmg,2630}]</t>
  </si>
  <si>
    <t>法师暴击伤害+26.3%</t>
  </si>
  <si>
    <t>[{mage_crit_dmg,2700}]</t>
  </si>
  <si>
    <t>法师暴击伤害+27%</t>
  </si>
  <si>
    <t>[{global_dmg_rate,3300}]</t>
  </si>
  <si>
    <t>伤害加成+33%</t>
  </si>
  <si>
    <t>[{global_dmg_rate,3320}]</t>
  </si>
  <si>
    <t>伤害加成+33.2%</t>
  </si>
  <si>
    <t>[{global_dmg_rate,3330}]</t>
  </si>
  <si>
    <t>伤害加成+33.3%</t>
  </si>
  <si>
    <t>[{global_dmg_rate,3350}]</t>
  </si>
  <si>
    <t>伤害加成+33.5%</t>
  </si>
  <si>
    <t>[{global_dmg_rate,3360}]</t>
  </si>
  <si>
    <t>伤害加成+33.6%</t>
  </si>
  <si>
    <t>[{chapter_pve_hit_rate,720}]</t>
  </si>
  <si>
    <t>主线挑战增伤+7.2%</t>
  </si>
  <si>
    <t>[{chapter_pve_hit_rate,760}]</t>
  </si>
  <si>
    <t>主线挑战增伤+7.6%</t>
  </si>
  <si>
    <t>[{chapter_pve_hit_rate,790}]</t>
  </si>
  <si>
    <t>主线挑战增伤+7.9%</t>
  </si>
  <si>
    <t>[{chapter_pve_hit_rate,830}]</t>
  </si>
  <si>
    <t>主线挑战增伤+8.3%</t>
  </si>
  <si>
    <t>[{chapter_pve_hit_rate,860}]</t>
  </si>
  <si>
    <t>主线挑战增伤+8.6%</t>
  </si>
  <si>
    <t>法师伤害减免+2.5%</t>
  </si>
  <si>
    <t>法师伤害减免+2.6%</t>
  </si>
  <si>
    <t>法师伤害减免+2.7%</t>
  </si>
  <si>
    <t>法师伤害减免+2.8%</t>
  </si>
  <si>
    <t>法师伤害减免+2.9%</t>
  </si>
  <si>
    <t>法师伤害+7.6%</t>
  </si>
  <si>
    <t>[{mage_dmg_rate,790}]</t>
  </si>
  <si>
    <t>法师伤害+7.9%</t>
  </si>
  <si>
    <t>[{mage_dmg_rate,830}]</t>
  </si>
  <si>
    <t>法师伤害+8.3%</t>
  </si>
  <si>
    <t>法师伤害+8.6%</t>
  </si>
  <si>
    <t>[{mage_class_dmg_rate,900}]</t>
  </si>
  <si>
    <t>上阵两个法师职业增伤+9%</t>
  </si>
  <si>
    <t>[{mage_class_dmg_rate,950}]</t>
  </si>
  <si>
    <t>上阵两个法师职业增伤+9.5%</t>
  </si>
  <si>
    <t>[{mage_class_dmg_rate,1000}]</t>
  </si>
  <si>
    <t>上阵两个法师职业增伤+10%</t>
  </si>
  <si>
    <t>[{mage_class_dmg_rate,1050}]</t>
  </si>
  <si>
    <t>上阵两个法师职业增伤+10.5%</t>
  </si>
  <si>
    <t>[{mage_class_dmg_rate,1100}]</t>
  </si>
  <si>
    <t>上阵两个法师职业增伤+11%</t>
  </si>
  <si>
    <t>[{mage_crit_dmg,2850}]</t>
  </si>
  <si>
    <t>法师暴击伤害+28.5%</t>
  </si>
  <si>
    <t>[{mage_crit_dmg,3000}]</t>
  </si>
  <si>
    <t>法师暴击伤害+30%</t>
  </si>
  <si>
    <t>[{mage_crit_dmg,3150}]</t>
  </si>
  <si>
    <t>法师暴击伤害+31.5%</t>
  </si>
  <si>
    <t>[{mage_crit_dmg,3300}]</t>
  </si>
  <si>
    <t>法师暴击伤害+33%</t>
  </si>
  <si>
    <t>[{global_dmg_rate,7930}]</t>
  </si>
  <si>
    <t>伤害加成+79.3%</t>
  </si>
  <si>
    <t>[{global_dmg_rate,7970}]</t>
  </si>
  <si>
    <t>伤害加成+79.7%</t>
  </si>
  <si>
    <t>[{global_dmg_rate,8000}]</t>
  </si>
  <si>
    <t>伤害加成+80%</t>
  </si>
  <si>
    <t>[{global_dmg_rate,8040}]</t>
  </si>
  <si>
    <t>伤害加成+80.4%</t>
  </si>
  <si>
    <t>[{global_dmg_rate,8070}]</t>
  </si>
  <si>
    <t>伤害加成+80.7%</t>
  </si>
  <si>
    <t>[{chapter_pve_hit_rate,800}]</t>
  </si>
  <si>
    <t>主线挑战增伤+8%</t>
  </si>
  <si>
    <t>[{chapter_pve_hit_rate,850}]</t>
  </si>
  <si>
    <t>主线挑战增伤+8.5%</t>
  </si>
  <si>
    <t>[{chapter_pve_hit_rate,880}]</t>
  </si>
  <si>
    <t>主线挑战增伤+8.8%</t>
  </si>
  <si>
    <t>[{chapter_pve_hit_rate,900}]</t>
  </si>
  <si>
    <t>主线挑战增伤+9%</t>
  </si>
  <si>
    <t>法师伤害减免+3%</t>
  </si>
  <si>
    <t>法师伤害减免+3.1%</t>
  </si>
  <si>
    <t>法师伤害减免+3.2%</t>
  </si>
  <si>
    <t>法师伤害减免+3.3%</t>
  </si>
  <si>
    <t>法师伤害减免+3.4%</t>
  </si>
  <si>
    <t>法师伤害+8%</t>
  </si>
  <si>
    <t>[{mage_dmg_rate,850}]</t>
  </si>
  <si>
    <t>法师伤害+8.5%</t>
  </si>
  <si>
    <t>法师伤害+8.8%</t>
  </si>
  <si>
    <t>法师伤害+9%</t>
  </si>
  <si>
    <t>[{mage_class_dmg_rate,1150}]</t>
  </si>
  <si>
    <t>上阵两个法师职业增伤+11.5%</t>
  </si>
  <si>
    <t>[{mage_class_dmg_rate,1200}]</t>
  </si>
  <si>
    <t>上阵两个法师职业增伤+12%</t>
  </si>
  <si>
    <t>[{mage_class_dmg_rate,1250}]</t>
  </si>
  <si>
    <t>上阵两个法师职业增伤+12.5%</t>
  </si>
  <si>
    <t>[{mage_class_dmg_rate,1300}]</t>
  </si>
  <si>
    <t>上阵两个法师职业增伤+13%</t>
  </si>
  <si>
    <t>[{mage_crit_dmg,3450}]</t>
  </si>
  <si>
    <t>法师暴击伤害+34.5%</t>
  </si>
  <si>
    <t>[{mage_crit_dmg,3600}]</t>
  </si>
  <si>
    <t>法师暴击伤害+36%</t>
  </si>
  <si>
    <t>[{mage_crit_dmg,3750}]</t>
  </si>
  <si>
    <t>法师暴击伤害+37.5%</t>
  </si>
  <si>
    <t>[{mage_crit_dmg,3900}]</t>
  </si>
  <si>
    <t>法师暴击伤害+39%</t>
  </si>
  <si>
    <t>[{global_dmg_rate,8600}]</t>
  </si>
  <si>
    <t>伤害加成+86%</t>
  </si>
  <si>
    <t>[{global_dmg_rate,8630}]</t>
  </si>
  <si>
    <t>伤害加成+86.3%</t>
  </si>
  <si>
    <t>[{global_dmg_rate,8670}]</t>
  </si>
  <si>
    <t>伤害加成+86.7%</t>
  </si>
  <si>
    <t>[{global_dmg_rate,8700}]</t>
  </si>
  <si>
    <t>伤害加成+87%</t>
  </si>
  <si>
    <t>[{global_dmg_rate,8740}]</t>
  </si>
  <si>
    <t>伤害加成+87.4%</t>
  </si>
  <si>
    <t>[{chapter_pve_hit_rate,930}]</t>
  </si>
  <si>
    <t>主线挑战增伤+9.3%</t>
  </si>
  <si>
    <t>[{chapter_pve_hit_rate,950}]</t>
  </si>
  <si>
    <t>主线挑战增伤+9.5%</t>
  </si>
  <si>
    <t>[{chapter_pve_hit_rate,980}]</t>
  </si>
  <si>
    <t>主线挑战增伤+9.8%</t>
  </si>
  <si>
    <t>[{chapter_pve_hit_rate,1000}]</t>
  </si>
  <si>
    <t>主线挑战增伤+10%</t>
  </si>
  <si>
    <t>法师伤害减免+3.5%</t>
  </si>
  <si>
    <t>法师伤害减免+3.6%</t>
  </si>
  <si>
    <t>法师伤害减免+3.7%</t>
  </si>
  <si>
    <t>法师伤害减免+3.8%</t>
  </si>
  <si>
    <t>法师伤害减免+3.9%</t>
  </si>
  <si>
    <t>[{mage_dmg_rate,930}]</t>
  </si>
  <si>
    <t>法师伤害+9.3%</t>
  </si>
  <si>
    <t>[{mage_dmg_rate,950}]</t>
  </si>
  <si>
    <t>法师伤害+9.5%</t>
  </si>
  <si>
    <t>法师伤害+9.8%</t>
  </si>
  <si>
    <t>法师伤害+10%</t>
  </si>
  <si>
    <t>[{mage_class_dmg_rate,1350}]</t>
  </si>
  <si>
    <t>上阵两个法师职业增伤+13.5%</t>
  </si>
  <si>
    <t>[{mage_class_dmg_rate,1400}]</t>
  </si>
  <si>
    <t>上阵两个法师职业增伤+14%</t>
  </si>
  <si>
    <t>[{mage_class_dmg_rate,1450}]</t>
  </si>
  <si>
    <t>上阵两个法师职业增伤+14.5%</t>
  </si>
  <si>
    <t>[{mage_class_dmg_rate,1500}]</t>
  </si>
  <si>
    <t>上阵两个法师职业增伤+15%</t>
  </si>
  <si>
    <t>[{mage_crit_dmg,4050}]</t>
  </si>
  <si>
    <t>法师暴击伤害+40.5%</t>
  </si>
  <si>
    <t>[{mage_crit_dmg,4200}]</t>
  </si>
  <si>
    <t>法师暴击伤害+42%</t>
  </si>
  <si>
    <t>[{mage_crit_dmg,4350}]</t>
  </si>
  <si>
    <t>法师暴击伤害+43.5%</t>
  </si>
  <si>
    <t>[{mage_crit_dmg,4500}]</t>
  </si>
  <si>
    <t>法师暴击伤害+45%</t>
  </si>
  <si>
    <t>[{global_dmg_rate,7350}]</t>
  </si>
  <si>
    <t>伤害加成+73.5%</t>
  </si>
  <si>
    <t>[{global_dmg_rate,7380}]</t>
  </si>
  <si>
    <t>伤害加成+73.8%</t>
  </si>
  <si>
    <t>[{global_dmg_rate,7410}]</t>
  </si>
  <si>
    <t>伤害加成+74.1%</t>
  </si>
  <si>
    <t>[{global_dmg_rate,7440}]</t>
  </si>
  <si>
    <t>伤害加成+74.4%</t>
  </si>
  <si>
    <t>[{global_dmg_rate,7470}]</t>
  </si>
  <si>
    <t>伤害加成+74.7%</t>
  </si>
  <si>
    <t>[{arena_pve_hit_rare,9370}]</t>
  </si>
  <si>
    <t>荧幕争锋增伤+93.7%</t>
  </si>
  <si>
    <t>[{arena_pve_hit_rare,9400}]</t>
  </si>
  <si>
    <t>荧幕争锋增伤+94%</t>
  </si>
  <si>
    <t>[{arena_pve_hit_rare,9440}]</t>
  </si>
  <si>
    <t>荧幕争锋增伤+94.4%</t>
  </si>
  <si>
    <t>[{arena_pve_hit_rare,9470}]</t>
  </si>
  <si>
    <t>荧幕争锋增伤+94.7%</t>
  </si>
  <si>
    <t>[{arena_pve_hit_rare,9510}]</t>
  </si>
  <si>
    <t>荧幕争锋增伤+95.1%</t>
  </si>
  <si>
    <t>[{equip3_rune_slot,1}]</t>
  </si>
  <si>
    <t>射手伤害减免+1.5%</t>
  </si>
  <si>
    <t>射手伤害减免+1.6%</t>
  </si>
  <si>
    <t>射手伤害减免+1.7%</t>
  </si>
  <si>
    <t>射手伤害减免+1.8%</t>
  </si>
  <si>
    <t>射手伤害减免+1.9%</t>
  </si>
  <si>
    <t>射手伤害+4.4%</t>
  </si>
  <si>
    <t>射手伤害+4.8%</t>
  </si>
  <si>
    <t>[{hunter_dmg_rate,510}]</t>
  </si>
  <si>
    <t>射手伤害+5.1%</t>
  </si>
  <si>
    <t>[{hunter_dmg_rate,550}]</t>
  </si>
  <si>
    <t>射手伤害+5.5%</t>
  </si>
  <si>
    <t>射手伤害+5.8%</t>
  </si>
  <si>
    <t>[{hunter_class_dmg_rate,10540}]</t>
  </si>
  <si>
    <t>上阵两个射手职业增伤+105.4%</t>
  </si>
  <si>
    <t>[{hunter_class_dmg_rate,10580}]</t>
  </si>
  <si>
    <t>上阵两个射手职业增伤+105.8%</t>
  </si>
  <si>
    <t>[{hunter_class_dmg_rate,10620}]</t>
  </si>
  <si>
    <t>上阵两个射手职业增伤+106.2%</t>
  </si>
  <si>
    <t>[{hunter_class_dmg_rate,10650}]</t>
  </si>
  <si>
    <t>上阵两个射手职业增伤+106.5%</t>
  </si>
  <si>
    <t>[{hunter_class_dmg_rate,10690}]</t>
  </si>
  <si>
    <t>上阵两个射手职业增伤+106.9%</t>
  </si>
  <si>
    <t>[{hunter_crit_dmg,2000}]</t>
  </si>
  <si>
    <t>射手暴击伤害+20%</t>
  </si>
  <si>
    <t>[{hunter_crit_dmg,2100}]</t>
  </si>
  <si>
    <t>射手暴击伤害+21%</t>
  </si>
  <si>
    <t>[{hunter_crit_dmg,2200}]</t>
  </si>
  <si>
    <t>射手暴击伤害+22%</t>
  </si>
  <si>
    <t>[{hunter_crit_dmg,2300}]</t>
  </si>
  <si>
    <t>射手暴击伤害+23%</t>
  </si>
  <si>
    <t>[{hunter_crit_dmg,2400}]</t>
  </si>
  <si>
    <t>射手暴击伤害+24%</t>
  </si>
  <si>
    <t>[{global_dmg_rate,9890}]</t>
  </si>
  <si>
    <t>伤害加成+98.9%</t>
  </si>
  <si>
    <t>[{global_dmg_rate,9930}]</t>
  </si>
  <si>
    <t>伤害加成+99.3%</t>
  </si>
  <si>
    <t>[{global_dmg_rate,9960}]</t>
  </si>
  <si>
    <t>伤害加成+99.6%</t>
  </si>
  <si>
    <t>[{global_dmg_rate,10000}]</t>
  </si>
  <si>
    <t>伤害加成+100%</t>
  </si>
  <si>
    <t>[{global_dmg_rate,10030}]</t>
  </si>
  <si>
    <t>伤害加成+100.3%</t>
  </si>
  <si>
    <t>[{arena_pve_hit_rare,10730}]</t>
  </si>
  <si>
    <t>荧幕争锋增伤+107.3%</t>
  </si>
  <si>
    <t>[{arena_pve_hit_rare,10770}]</t>
  </si>
  <si>
    <t>荧幕争锋增伤+107.7%</t>
  </si>
  <si>
    <t>[{arena_pve_hit_rare,10800}]</t>
  </si>
  <si>
    <t>荧幕争锋增伤+108%</t>
  </si>
  <si>
    <t>[{arena_pve_hit_rare,10840}]</t>
  </si>
  <si>
    <t>荧幕争锋增伤+108.4%</t>
  </si>
  <si>
    <t>[{arena_pve_hit_rare,10870}]</t>
  </si>
  <si>
    <t>荧幕争锋增伤+108.7%</t>
  </si>
  <si>
    <t>射手伤害减免+2%</t>
  </si>
  <si>
    <t>射手伤害减免+2.1%</t>
  </si>
  <si>
    <t>射手伤害减免+2.2%</t>
  </si>
  <si>
    <t>射手伤害减免+2.3%</t>
  </si>
  <si>
    <t>射手伤害减免+2.4%</t>
  </si>
  <si>
    <t>射手伤害+6.2%</t>
  </si>
  <si>
    <t>[{hunter_dmg_rate,650}]</t>
  </si>
  <si>
    <t>射手伤害+6.5%</t>
  </si>
  <si>
    <t>[{hunter_dmg_rate,690}]</t>
  </si>
  <si>
    <t>射手伤害+6.9%</t>
  </si>
  <si>
    <t>射手伤害+7.2%</t>
  </si>
  <si>
    <t>[{hunter_class_dmg_rate,12000}]</t>
  </si>
  <si>
    <t>上阵两个射手职业增伤+120%</t>
  </si>
  <si>
    <t>[{hunter_class_dmg_rate,12040}]</t>
  </si>
  <si>
    <t>上阵两个射手职业增伤+120.4%</t>
  </si>
  <si>
    <t>[{hunter_class_dmg_rate,12080}]</t>
  </si>
  <si>
    <t>上阵两个射手职业增伤+120.8%</t>
  </si>
  <si>
    <t>[{hunter_class_dmg_rate,12120}]</t>
  </si>
  <si>
    <t>上阵两个射手职业增伤+121.2%</t>
  </si>
  <si>
    <t>[{hunter_class_dmg_rate,12150}]</t>
  </si>
  <si>
    <t>上阵两个射手职业增伤+121.5%</t>
  </si>
  <si>
    <t>[{hunter_crit_dmg,2480}]</t>
  </si>
  <si>
    <t>射手暴击伤害+24.8%</t>
  </si>
  <si>
    <t>[{hunter_crit_dmg,2550}]</t>
  </si>
  <si>
    <t>射手暴击伤害+25.5%</t>
  </si>
  <si>
    <t>[{hunter_crit_dmg,2630}]</t>
  </si>
  <si>
    <t>射手暴击伤害+26.3%</t>
  </si>
  <si>
    <t>[{hunter_crit_dmg,2700}]</t>
  </si>
  <si>
    <t>射手暴击伤害+27%</t>
  </si>
  <si>
    <t>[{global_dmg_rate,5100}]</t>
  </si>
  <si>
    <t>伤害加成+51%</t>
  </si>
  <si>
    <t>[{global_dmg_rate,5110}]</t>
  </si>
  <si>
    <t>伤害加成+51.1%</t>
  </si>
  <si>
    <t>[{global_dmg_rate,5130}]</t>
  </si>
  <si>
    <t>伤害加成+51.3%</t>
  </si>
  <si>
    <t>[{global_dmg_rate,5150}]</t>
  </si>
  <si>
    <t>伤害加成+51.5%</t>
  </si>
  <si>
    <t>[{global_dmg_rate,5160}]</t>
  </si>
  <si>
    <t>伤害加成+51.6%</t>
  </si>
  <si>
    <t>射手伤害减免+2.5%</t>
  </si>
  <si>
    <t>射手伤害减免+2.6%</t>
  </si>
  <si>
    <t>射手伤害减免+2.7%</t>
  </si>
  <si>
    <t>射手伤害减免+2.8%</t>
  </si>
  <si>
    <t>射手伤害减免+2.9%</t>
  </si>
  <si>
    <t>射手伤害+7.6%</t>
  </si>
  <si>
    <t>[{hunter_dmg_rate,790}]</t>
  </si>
  <si>
    <t>射手伤害+7.9%</t>
  </si>
  <si>
    <t>[{hunter_dmg_rate,830}]</t>
  </si>
  <si>
    <t>射手伤害+8.3%</t>
  </si>
  <si>
    <t>射手伤害+8.6%</t>
  </si>
  <si>
    <t>[{hunter_class_dmg_rate,900}]</t>
  </si>
  <si>
    <t>上阵两个射手职业增伤+9%</t>
  </si>
  <si>
    <t>[{hunter_class_dmg_rate,950}]</t>
  </si>
  <si>
    <t>上阵两个射手职业增伤+9.5%</t>
  </si>
  <si>
    <t>[{hunter_class_dmg_rate,1000}]</t>
  </si>
  <si>
    <t>上阵两个射手职业增伤+10%</t>
  </si>
  <si>
    <t>[{hunter_class_dmg_rate,1050}]</t>
  </si>
  <si>
    <t>上阵两个射手职业增伤+10.5%</t>
  </si>
  <si>
    <t>[{hunter_class_dmg_rate,1100}]</t>
  </si>
  <si>
    <t>上阵两个射手职业增伤+11%</t>
  </si>
  <si>
    <t>[{hunter_crit_dmg,2850}]</t>
  </si>
  <si>
    <t>射手暴击伤害+28.5%</t>
  </si>
  <si>
    <t>[{hunter_crit_dmg,3000}]</t>
  </si>
  <si>
    <t>射手暴击伤害+30%</t>
  </si>
  <si>
    <t>[{hunter_crit_dmg,3150}]</t>
  </si>
  <si>
    <t>射手暴击伤害+31.5%</t>
  </si>
  <si>
    <t>[{hunter_crit_dmg,3300}]</t>
  </si>
  <si>
    <t>射手暴击伤害+33%</t>
  </si>
  <si>
    <t>[{global_dmg_rate,12130}]</t>
  </si>
  <si>
    <t>伤害加成+121.3%</t>
  </si>
  <si>
    <t>[{global_dmg_rate,12170}]</t>
  </si>
  <si>
    <t>伤害加成+121.7%</t>
  </si>
  <si>
    <t>[{global_dmg_rate,12200}]</t>
  </si>
  <si>
    <t>伤害加成+122%</t>
  </si>
  <si>
    <t>[{global_dmg_rate,12240}]</t>
  </si>
  <si>
    <t>伤害加成+122.4%</t>
  </si>
  <si>
    <t>[{global_dmg_rate,12270}]</t>
  </si>
  <si>
    <t>伤害加成+122.7%</t>
  </si>
  <si>
    <t>射手伤害减免+3%</t>
  </si>
  <si>
    <t>射手伤害减免+3.1%</t>
  </si>
  <si>
    <t>射手伤害减免+3.2%</t>
  </si>
  <si>
    <t>射手伤害减免+3.3%</t>
  </si>
  <si>
    <t>射手伤害减免+3.4%</t>
  </si>
  <si>
    <t>射手伤害+8%</t>
  </si>
  <si>
    <t>[{hunter_dmg_rate,850}]</t>
  </si>
  <si>
    <t>射手伤害+8.5%</t>
  </si>
  <si>
    <t>射手伤害+8.8%</t>
  </si>
  <si>
    <t>射手伤害+9%</t>
  </si>
  <si>
    <t>[{hunter_class_dmg_rate,1150}]</t>
  </si>
  <si>
    <t>上阵两个射手职业增伤+11.5%</t>
  </si>
  <si>
    <t>[{hunter_class_dmg_rate,1200}]</t>
  </si>
  <si>
    <t>上阵两个射手职业增伤+12%</t>
  </si>
  <si>
    <t>[{hunter_class_dmg_rate,1250}]</t>
  </si>
  <si>
    <t>上阵两个射手职业增伤+12.5%</t>
  </si>
  <si>
    <t>[{hunter_class_dmg_rate,1300}]</t>
  </si>
  <si>
    <t>上阵两个射手职业增伤+13%</t>
  </si>
  <si>
    <t>[{hunter_crit_dmg,3450}]</t>
  </si>
  <si>
    <t>射手暴击伤害+34.5%</t>
  </si>
  <si>
    <t>[{hunter_crit_dmg,3600}]</t>
  </si>
  <si>
    <t>射手暴击伤害+36%</t>
  </si>
  <si>
    <t>[{hunter_crit_dmg,3750}]</t>
  </si>
  <si>
    <t>射手暴击伤害+37.5%</t>
  </si>
  <si>
    <t>[{hunter_crit_dmg,3900}]</t>
  </si>
  <si>
    <t>射手暴击伤害+39%</t>
  </si>
  <si>
    <t>[{global_dmg_rate,12800}]</t>
  </si>
  <si>
    <t>伤害加成+128%</t>
  </si>
  <si>
    <t>[{global_dmg_rate,12830}]</t>
  </si>
  <si>
    <t>伤害加成+128.3%</t>
  </si>
  <si>
    <t>[{global_dmg_rate,12870}]</t>
  </si>
  <si>
    <t>伤害加成+128.7%</t>
  </si>
  <si>
    <t>[{global_dmg_rate,12900}]</t>
  </si>
  <si>
    <t>伤害加成+129%</t>
  </si>
  <si>
    <t>[{global_dmg_rate,12940}]</t>
  </si>
  <si>
    <t>伤害加成+129.4%</t>
  </si>
  <si>
    <t>射手伤害减免+3.5%</t>
  </si>
  <si>
    <t>射手伤害减免+3.6%</t>
  </si>
  <si>
    <t>射手伤害减免+3.7%</t>
  </si>
  <si>
    <t>射手伤害减免+3.8%</t>
  </si>
  <si>
    <t>射手伤害减免+3.9%</t>
  </si>
  <si>
    <t>[{hunter_dmg_rate,930}]</t>
  </si>
  <si>
    <t>射手伤害+9.3%</t>
  </si>
  <si>
    <t>[{hunter_dmg_rate,950}]</t>
  </si>
  <si>
    <t>射手伤害+9.5%</t>
  </si>
  <si>
    <t>射手伤害+9.8%</t>
  </si>
  <si>
    <t>射手伤害+10%</t>
  </si>
  <si>
    <t>[{hunter_class_dmg_rate,1350}]</t>
  </si>
  <si>
    <t>上阵两个射手职业增伤+13.5%</t>
  </si>
  <si>
    <t>[{hunter_class_dmg_rate,1400}]</t>
  </si>
  <si>
    <t>上阵两个射手职业增伤+14%</t>
  </si>
  <si>
    <t>[{hunter_class_dmg_rate,1450}]</t>
  </si>
  <si>
    <t>上阵两个射手职业增伤+14.5%</t>
  </si>
  <si>
    <t>[{hunter_class_dmg_rate,1500}]</t>
  </si>
  <si>
    <t>上阵两个射手职业增伤+15%</t>
  </si>
  <si>
    <t>[{hunter_crit_dmg,4050}]</t>
  </si>
  <si>
    <t>射手暴击伤害+40.5%</t>
  </si>
  <si>
    <t>[{hunter_crit_dmg,4200}]</t>
  </si>
  <si>
    <t>射手暴击伤害+42%</t>
  </si>
  <si>
    <t>[{hunter_crit_dmg,4350}]</t>
  </si>
  <si>
    <t>射手暴击伤害+43.5%</t>
  </si>
  <si>
    <t>[{hunter_crit_dmg,4500}]</t>
  </si>
  <si>
    <t>射手暴击伤害+45%</t>
  </si>
  <si>
    <t>[{global_dmg_rate,10950}]</t>
  </si>
  <si>
    <t>伤害加成+109.5%</t>
  </si>
  <si>
    <t>[{global_dmg_rate,10980}]</t>
  </si>
  <si>
    <t>伤害加成+109.8%</t>
  </si>
  <si>
    <t>[{global_dmg_rate,11010}]</t>
  </si>
  <si>
    <t>伤害加成+110.1%</t>
  </si>
  <si>
    <t>[{global_dmg_rate,11040}]</t>
  </si>
  <si>
    <t>伤害加成+110.4%</t>
  </si>
  <si>
    <t>[{global_dmg_rate,11070}]</t>
  </si>
  <si>
    <t>伤害加成+110.7%</t>
  </si>
  <si>
    <t>[{equip2_rune_slot,1}]</t>
  </si>
  <si>
    <t>[{chapter_pve_hit_rate,13740}]</t>
  </si>
  <si>
    <t>主线挑战增伤+137.4%</t>
  </si>
  <si>
    <t>[{chapter_pve_hit_rate,13780}]</t>
  </si>
  <si>
    <t>主线挑战增伤+137.8%</t>
  </si>
  <si>
    <t>[{chapter_pve_hit_rate,13810}]</t>
  </si>
  <si>
    <t>主线挑战增伤+138.1%</t>
  </si>
  <si>
    <t>[{chapter_pve_hit_rate,13850}]</t>
  </si>
  <si>
    <t>主线挑战增伤+138.5%</t>
  </si>
  <si>
    <t>[{chapter_pve_hit_rate,13880}]</t>
  </si>
  <si>
    <t>主线挑战增伤+138.8%</t>
  </si>
  <si>
    <t>毒系伤害减免+1.5%</t>
  </si>
  <si>
    <t>毒系伤害减免+1.6%</t>
  </si>
  <si>
    <t>毒系伤害减免+1.7%</t>
  </si>
  <si>
    <t>毒系伤害减免+1.8%</t>
  </si>
  <si>
    <t>毒系伤害减免+1.9%</t>
  </si>
  <si>
    <t>毒系伤害+4.4%</t>
  </si>
  <si>
    <t>毒系伤害+4.8%</t>
  </si>
  <si>
    <t>[{drug_dmg_rate,510}]</t>
  </si>
  <si>
    <t>毒系伤害+5.1%</t>
  </si>
  <si>
    <t>[{drug_dmg_rate,550}]</t>
  </si>
  <si>
    <t>毒系伤害+5.5%</t>
  </si>
  <si>
    <t>毒系伤害+5.8%</t>
  </si>
  <si>
    <t>[{drug_class_dmg_rate,15040}]</t>
  </si>
  <si>
    <t>上阵两个毒系职业增伤+150.4%</t>
  </si>
  <si>
    <t>[{drug_class_dmg_rate,15080}]</t>
  </si>
  <si>
    <t>上阵两个毒系职业增伤+150.8%</t>
  </si>
  <si>
    <t>[{drug_class_dmg_rate,15120}]</t>
  </si>
  <si>
    <t>上阵两个毒系职业增伤+151.2%</t>
  </si>
  <si>
    <t>[{drug_class_dmg_rate,15150}]</t>
  </si>
  <si>
    <t>上阵两个毒系职业增伤+151.5%</t>
  </si>
  <si>
    <t>[{drug_class_dmg_rate,15190}]</t>
  </si>
  <si>
    <t>上阵两个毒系职业增伤+151.9%</t>
  </si>
  <si>
    <t>[{drug_crit_dmg,2000}]</t>
  </si>
  <si>
    <t>毒系暴击伤害+20%</t>
  </si>
  <si>
    <t>[{drug_crit_dmg,2100}]</t>
  </si>
  <si>
    <t>毒系暴击伤害+21%</t>
  </si>
  <si>
    <t>[{drug_crit_dmg,2200}]</t>
  </si>
  <si>
    <t>毒系暴击伤害+22%</t>
  </si>
  <si>
    <t>[{drug_crit_dmg,2300}]</t>
  </si>
  <si>
    <t>毒系暴击伤害+23%</t>
  </si>
  <si>
    <t>[{drug_crit_dmg,2400}]</t>
  </si>
  <si>
    <t>毒系暴击伤害+24%</t>
  </si>
  <si>
    <t>[{global_dmg_rate,14090}]</t>
  </si>
  <si>
    <t>伤害加成+140.9%</t>
  </si>
  <si>
    <t>[{global_dmg_rate,14130}]</t>
  </si>
  <si>
    <t>伤害加成+141.3%</t>
  </si>
  <si>
    <t>[{global_dmg_rate,14160}]</t>
  </si>
  <si>
    <t>伤害加成+141.6%</t>
  </si>
  <si>
    <t>[{global_dmg_rate,14200}]</t>
  </si>
  <si>
    <t>伤害加成+142%</t>
  </si>
  <si>
    <t>[{global_dmg_rate,14230}]</t>
  </si>
  <si>
    <t>伤害加成+142.3%</t>
  </si>
  <si>
    <t>[{chapter_pve_hit_rate,15110}]</t>
  </si>
  <si>
    <t>主线挑战增伤+151.1%</t>
  </si>
  <si>
    <t>[{chapter_pve_hit_rate,15140}]</t>
  </si>
  <si>
    <t>主线挑战增伤+151.4%</t>
  </si>
  <si>
    <t>[{chapter_pve_hit_rate,15180}]</t>
  </si>
  <si>
    <t>主线挑战增伤+151.8%</t>
  </si>
  <si>
    <t>[{chapter_pve_hit_rate,15210}]</t>
  </si>
  <si>
    <t>主线挑战增伤+152.1%</t>
  </si>
  <si>
    <t>[{chapter_pve_hit_rate,15250}]</t>
  </si>
  <si>
    <t>主线挑战增伤+152.5%</t>
  </si>
  <si>
    <t>毒系伤害减免+2%</t>
  </si>
  <si>
    <t>毒系伤害减免+2.1%</t>
  </si>
  <si>
    <t>毒系伤害减免+2.2%</t>
  </si>
  <si>
    <t>毒系伤害减免+2.3%</t>
  </si>
  <si>
    <t>毒系伤害减免+2.4%</t>
  </si>
  <si>
    <t>毒系伤害+6.2%</t>
  </si>
  <si>
    <t>[{drug_dmg_rate,650}]</t>
  </si>
  <si>
    <t>毒系伤害+6.5%</t>
  </si>
  <si>
    <t>[{drug_dmg_rate,690}]</t>
  </si>
  <si>
    <t>毒系伤害+6.9%</t>
  </si>
  <si>
    <t>毒系伤害+7.2%</t>
  </si>
  <si>
    <t>[{drug_class_dmg_rate,16500}]</t>
  </si>
  <si>
    <t>上阵两个毒系职业增伤+165%</t>
  </si>
  <si>
    <t>[{drug_class_dmg_rate,16540}]</t>
  </si>
  <si>
    <t>上阵两个毒系职业增伤+165.4%</t>
  </si>
  <si>
    <t>[{drug_class_dmg_rate,16580}]</t>
  </si>
  <si>
    <t>上阵两个毒系职业增伤+165.8%</t>
  </si>
  <si>
    <t>[{drug_class_dmg_rate,16620}]</t>
  </si>
  <si>
    <t>上阵两个毒系职业增伤+166.2%</t>
  </si>
  <si>
    <t>[{drug_class_dmg_rate,16650}]</t>
  </si>
  <si>
    <t>上阵两个毒系职业增伤+166.5%</t>
  </si>
  <si>
    <t>[{drug_crit_dmg,2480}]</t>
  </si>
  <si>
    <t>毒系暴击伤害+24.8%</t>
  </si>
  <si>
    <t>[{drug_crit_dmg,2550}]</t>
  </si>
  <si>
    <t>毒系暴击伤害+25.5%</t>
  </si>
  <si>
    <t>[{drug_crit_dmg,2630}]</t>
  </si>
  <si>
    <t>毒系暴击伤害+26.3%</t>
  </si>
  <si>
    <t>[{drug_crit_dmg,2700}]</t>
  </si>
  <si>
    <t>毒系暴击伤害+27%</t>
  </si>
  <si>
    <t>[{global_dmg_rate,6900}]</t>
  </si>
  <si>
    <t>伤害加成+69%</t>
  </si>
  <si>
    <t>[{global_dmg_rate,6920}]</t>
  </si>
  <si>
    <t>伤害加成+69.2%</t>
  </si>
  <si>
    <t>[{global_dmg_rate,6930}]</t>
  </si>
  <si>
    <t>伤害加成+69.3%</t>
  </si>
  <si>
    <t>[{global_dmg_rate,6950}]</t>
  </si>
  <si>
    <t>伤害加成+69.5%</t>
  </si>
  <si>
    <t>[{global_dmg_rate,6960}]</t>
  </si>
  <si>
    <t>伤害加成+69.6%</t>
  </si>
  <si>
    <t>毒系伤害减免+2.5%</t>
  </si>
  <si>
    <t>毒系伤害减免+2.6%</t>
  </si>
  <si>
    <t>毒系伤害减免+2.7%</t>
  </si>
  <si>
    <t>毒系伤害减免+2.8%</t>
  </si>
  <si>
    <t>毒系伤害减免+2.9%</t>
  </si>
  <si>
    <t>毒系伤害+7.6%</t>
  </si>
  <si>
    <t>[{drug_dmg_rate,790}]</t>
  </si>
  <si>
    <t>毒系伤害+7.9%</t>
  </si>
  <si>
    <t>[{drug_dmg_rate,830}]</t>
  </si>
  <si>
    <t>毒系伤害+8.3%</t>
  </si>
  <si>
    <t>毒系伤害+8.6%</t>
  </si>
  <si>
    <t>[{drug_class_dmg_rate,900}]</t>
  </si>
  <si>
    <t>上阵两个毒系职业增伤+9%</t>
  </si>
  <si>
    <t>[{drug_class_dmg_rate,950}]</t>
  </si>
  <si>
    <t>上阵两个毒系职业增伤+9.5%</t>
  </si>
  <si>
    <t>[{drug_class_dmg_rate,1000}]</t>
  </si>
  <si>
    <t>上阵两个毒系职业增伤+10%</t>
  </si>
  <si>
    <t>[{drug_class_dmg_rate,1050}]</t>
  </si>
  <si>
    <t>上阵两个毒系职业增伤+10.5%</t>
  </si>
  <si>
    <t>[{drug_class_dmg_rate,1100}]</t>
  </si>
  <si>
    <t>上阵两个毒系职业增伤+11%</t>
  </si>
  <si>
    <t>[{drug_crit_dmg,2850}]</t>
  </si>
  <si>
    <t>毒系暴击伤害+28.5%</t>
  </si>
  <si>
    <t>[{drug_crit_dmg,3000}]</t>
  </si>
  <si>
    <t>毒系暴击伤害+30%</t>
  </si>
  <si>
    <t>[{drug_crit_dmg,3150}]</t>
  </si>
  <si>
    <t>毒系暴击伤害+31.5%</t>
  </si>
  <si>
    <t>[{drug_crit_dmg,3300}]</t>
  </si>
  <si>
    <t>毒系暴击伤害+33%</t>
  </si>
  <si>
    <t>[{global_dmg_rate,16330}]</t>
  </si>
  <si>
    <t>伤害加成+163.3%</t>
  </si>
  <si>
    <t>[{global_dmg_rate,16370}]</t>
  </si>
  <si>
    <t>伤害加成+163.7%</t>
  </si>
  <si>
    <t>[{global_dmg_rate,16400}]</t>
  </si>
  <si>
    <t>伤害加成+164%</t>
  </si>
  <si>
    <t>[{global_dmg_rate,16440}]</t>
  </si>
  <si>
    <t>伤害加成+164.4%</t>
  </si>
  <si>
    <t>[{global_dmg_rate,16470}]</t>
  </si>
  <si>
    <t>伤害加成+164.7%</t>
  </si>
  <si>
    <t>毒系伤害减免+3%</t>
  </si>
  <si>
    <t>毒系伤害减免+3.1%</t>
  </si>
  <si>
    <t>毒系伤害减免+3.2%</t>
  </si>
  <si>
    <t>毒系伤害减免+3.3%</t>
  </si>
  <si>
    <t>毒系伤害减免+3.4%</t>
  </si>
  <si>
    <t>毒系伤害+8%</t>
  </si>
  <si>
    <t>[{drug_dmg_rate,850}]</t>
  </si>
  <si>
    <t>毒系伤害+8.5%</t>
  </si>
  <si>
    <t>毒系伤害+8.8%</t>
  </si>
  <si>
    <t>毒系伤害+9%</t>
  </si>
  <si>
    <t>[{drug_class_dmg_rate,1150}]</t>
  </si>
  <si>
    <t>上阵两个毒系职业增伤+11.5%</t>
  </si>
  <si>
    <t>[{drug_class_dmg_rate,1200}]</t>
  </si>
  <si>
    <t>上阵两个毒系职业增伤+12%</t>
  </si>
  <si>
    <t>[{drug_class_dmg_rate,1250}]</t>
  </si>
  <si>
    <t>上阵两个毒系职业增伤+12.5%</t>
  </si>
  <si>
    <t>[{drug_class_dmg_rate,1300}]</t>
  </si>
  <si>
    <t>上阵两个毒系职业增伤+13%</t>
  </si>
  <si>
    <t>[{drug_crit_dmg,3450}]</t>
  </si>
  <si>
    <t>毒系暴击伤害+34.5%</t>
  </si>
  <si>
    <t>[{drug_crit_dmg,3600}]</t>
  </si>
  <si>
    <t>毒系暴击伤害+36%</t>
  </si>
  <si>
    <t>[{drug_crit_dmg,3750}]</t>
  </si>
  <si>
    <t>毒系暴击伤害+37.5%</t>
  </si>
  <si>
    <t>[{drug_crit_dmg,3900}]</t>
  </si>
  <si>
    <t>毒系暴击伤害+39%</t>
  </si>
  <si>
    <t>[{global_dmg_rate,17000}]</t>
  </si>
  <si>
    <t>伤害加成+170%</t>
  </si>
  <si>
    <t>[{global_dmg_rate,17030}]</t>
  </si>
  <si>
    <t>伤害加成+170.3%</t>
  </si>
  <si>
    <t>[{global_dmg_rate,17070}]</t>
  </si>
  <si>
    <t>伤害加成+170.7%</t>
  </si>
  <si>
    <t>[{global_dmg_rate,17100}]</t>
  </si>
  <si>
    <t>伤害加成+171%</t>
  </si>
  <si>
    <t>[{global_dmg_rate,17140}]</t>
  </si>
  <si>
    <t>伤害加成+171.4%</t>
  </si>
  <si>
    <t>毒系伤害减免+3.5%</t>
  </si>
  <si>
    <t>毒系伤害减免+3.6%</t>
  </si>
  <si>
    <t>毒系伤害减免+3.7%</t>
  </si>
  <si>
    <t>毒系伤害减免+3.8%</t>
  </si>
  <si>
    <t>毒系伤害减免+3.9%</t>
  </si>
  <si>
    <t>[{drug_dmg_rate,930}]</t>
  </si>
  <si>
    <t>毒系伤害+9.3%</t>
  </si>
  <si>
    <t>[{drug_dmg_rate,950}]</t>
  </si>
  <si>
    <t>毒系伤害+9.5%</t>
  </si>
  <si>
    <t>毒系伤害+9.8%</t>
  </si>
  <si>
    <t>毒系伤害+10%</t>
  </si>
  <si>
    <t>[{drug_class_dmg_rate,1350}]</t>
  </si>
  <si>
    <t>上阵两个毒系职业增伤+13.5%</t>
  </si>
  <si>
    <t>[{drug_class_dmg_rate,1400}]</t>
  </si>
  <si>
    <t>上阵两个毒系职业增伤+14%</t>
  </si>
  <si>
    <t>[{drug_class_dmg_rate,1450}]</t>
  </si>
  <si>
    <t>上阵两个毒系职业增伤+14.5%</t>
  </si>
  <si>
    <t>[{drug_class_dmg_rate,1500}]</t>
  </si>
  <si>
    <t>上阵两个毒系职业增伤+15%</t>
  </si>
  <si>
    <t>[{drug_crit_dmg,4050}]</t>
  </si>
  <si>
    <t>毒系暴击伤害+40.5%</t>
  </si>
  <si>
    <t>[{drug_crit_dmg,4200}]</t>
  </si>
  <si>
    <t>毒系暴击伤害+42%</t>
  </si>
  <si>
    <t>[{drug_crit_dmg,4350}]</t>
  </si>
  <si>
    <t>毒系暴击伤害+43.5%</t>
  </si>
  <si>
    <t>[{drug_crit_dmg,4500}]</t>
  </si>
  <si>
    <t>毒系暴击伤害+45%</t>
  </si>
  <si>
    <t>[{global_dmg_rate,14550}]</t>
  </si>
  <si>
    <t>伤害加成+145.5%</t>
  </si>
  <si>
    <t>[{global_dmg_rate,14580}]</t>
  </si>
  <si>
    <t>伤害加成+145.8%</t>
  </si>
  <si>
    <t>[{global_dmg_rate,14610}]</t>
  </si>
  <si>
    <t>伤害加成+146.1%</t>
  </si>
  <si>
    <t>[{global_dmg_rate,14640}]</t>
  </si>
  <si>
    <t>伤害加成+146.4%</t>
  </si>
  <si>
    <t>[{global_dmg_rate,14670}]</t>
  </si>
  <si>
    <t>伤害加成+146.7%</t>
  </si>
  <si>
    <t>[{equip5_rune_slot,1}]</t>
  </si>
  <si>
    <t>[{elitist_monster_hit_rate,15620}]</t>
  </si>
  <si>
    <t>对精英和首领增伤+156.2%</t>
  </si>
  <si>
    <t>[{elitist_monster_hit_rate,15650}]</t>
  </si>
  <si>
    <t>对精英和首领增伤+156.5%</t>
  </si>
  <si>
    <t>[{elitist_monster_hit_rate,15680}]</t>
  </si>
  <si>
    <t>对精英和首领增伤+156.8%</t>
  </si>
  <si>
    <t>[{elitist_monster_hit_rate,15710}]</t>
  </si>
  <si>
    <t>对精英和首领增伤+157.1%</t>
  </si>
  <si>
    <t>[{elitist_monster_hit_rate,15740}]</t>
  </si>
  <si>
    <t>对精英和首领增伤+157.4%</t>
  </si>
  <si>
    <t>控制伤害+4.4%</t>
  </si>
  <si>
    <t>控制伤害+4.8%</t>
  </si>
  <si>
    <t>[{control_dmg_rate,510}]</t>
  </si>
  <si>
    <t>控制伤害+5.1%</t>
  </si>
  <si>
    <t>[{control_dmg_rate,550}]</t>
  </si>
  <si>
    <t>控制伤害+5.5%</t>
  </si>
  <si>
    <t>控制伤害+5.8%</t>
  </si>
  <si>
    <t>[{control_dmg_red_rate,150}]</t>
  </si>
  <si>
    <t>控制伤害减免+1.5%</t>
  </si>
  <si>
    <t>[{control_dmg_red_rate,160}]</t>
  </si>
  <si>
    <t>控制伤害减免+1.6%</t>
  </si>
  <si>
    <t>[{control_dmg_red_rate,170}]</t>
  </si>
  <si>
    <t>控制伤害减免+1.7%</t>
  </si>
  <si>
    <t>[{control_dmg_red_rate,180}]</t>
  </si>
  <si>
    <t>控制伤害减免+1.8%</t>
  </si>
  <si>
    <t>[{control_dmg_red_rate,190}]</t>
  </si>
  <si>
    <t>控制伤害减免+1.9%</t>
  </si>
  <si>
    <t>[{control_class_dmg_rate,19540}]</t>
  </si>
  <si>
    <t>上阵两个控制职业增伤+195.4%</t>
  </si>
  <si>
    <t>[{control_class_dmg_rate,19580}]</t>
  </si>
  <si>
    <t>上阵两个控制职业增伤+195.8%</t>
  </si>
  <si>
    <t>[{control_class_dmg_rate,19620}]</t>
  </si>
  <si>
    <t>上阵两个控制职业增伤+196.2%</t>
  </si>
  <si>
    <t>[{control_class_dmg_rate,19650}]</t>
  </si>
  <si>
    <t>上阵两个控制职业增伤+196.5%</t>
  </si>
  <si>
    <t>[{control_class_dmg_rate,19690}]</t>
  </si>
  <si>
    <t>上阵两个控制职业增伤+196.9%</t>
  </si>
  <si>
    <t>[{control_crit_dmg,2000}]</t>
  </si>
  <si>
    <t>控制暴击伤害+20%</t>
  </si>
  <si>
    <t>[{control_crit_dmg,2100}]</t>
  </si>
  <si>
    <t>控制暴击伤害+21%</t>
  </si>
  <si>
    <t>[{control_crit_dmg,2200}]</t>
  </si>
  <si>
    <t>控制暴击伤害+22%</t>
  </si>
  <si>
    <t>[{control_crit_dmg,2300}]</t>
  </si>
  <si>
    <t>控制暴击伤害+23%</t>
  </si>
  <si>
    <t>[{control_crit_dmg,2400}]</t>
  </si>
  <si>
    <t>控制暴击伤害+24%</t>
  </si>
  <si>
    <t>[{global_dmg_rate,18290}]</t>
  </si>
  <si>
    <t>伤害加成+182.9%</t>
  </si>
  <si>
    <t>[{global_dmg_rate,18330}]</t>
  </si>
  <si>
    <t>伤害加成+183.3%</t>
  </si>
  <si>
    <t>[{global_dmg_rate,18360}]</t>
  </si>
  <si>
    <t>伤害加成+183.6%</t>
  </si>
  <si>
    <t>[{global_dmg_rate,18400}]</t>
  </si>
  <si>
    <t>伤害加成+184%</t>
  </si>
  <si>
    <t>[{global_dmg_rate,18430}]</t>
  </si>
  <si>
    <t>伤害加成+184.3%</t>
  </si>
  <si>
    <t>[{elitist_monster_hit_rate,16790}]</t>
  </si>
  <si>
    <t>对精英和首领增伤+167.9%</t>
  </si>
  <si>
    <t>[{elitist_monster_hit_rate,16820}]</t>
  </si>
  <si>
    <t>对精英和首领增伤+168.2%</t>
  </si>
  <si>
    <t>[{elitist_monster_hit_rate,16850}]</t>
  </si>
  <si>
    <t>对精英和首领增伤+168.5%</t>
  </si>
  <si>
    <t>[{elitist_monster_hit_rate,16880}]</t>
  </si>
  <si>
    <t>对精英和首领增伤+168.8%</t>
  </si>
  <si>
    <t>[{elitist_monster_hit_rate,16910}]</t>
  </si>
  <si>
    <t>对精英和首领增伤+169.1%</t>
  </si>
  <si>
    <t>控制伤害+6.2%</t>
  </si>
  <si>
    <t>[{control_dmg_rate,650}]</t>
  </si>
  <si>
    <t>控制伤害+6.5%</t>
  </si>
  <si>
    <t>[{control_dmg_rate,690}]</t>
  </si>
  <si>
    <t>控制伤害+6.9%</t>
  </si>
  <si>
    <t>控制伤害+7.2%</t>
  </si>
  <si>
    <t>[{control_dmg_red_rate,200}]</t>
  </si>
  <si>
    <t>控制伤害减免+2%</t>
  </si>
  <si>
    <t>[{control_dmg_red_rate,210}]</t>
  </si>
  <si>
    <t>控制伤害减免+2.1%</t>
  </si>
  <si>
    <t>[{control_dmg_red_rate,220}]</t>
  </si>
  <si>
    <t>控制伤害减免+2.2%</t>
  </si>
  <si>
    <t>[{control_dmg_red_rate,230}]</t>
  </si>
  <si>
    <t>控制伤害减免+2.3%</t>
  </si>
  <si>
    <t>[{control_dmg_red_rate,240}]</t>
  </si>
  <si>
    <t>控制伤害减免+2.4%</t>
  </si>
  <si>
    <t>[{control_class_dmg_rate,21000}]</t>
  </si>
  <si>
    <t>上阵两个控制职业增伤+210%</t>
  </si>
  <si>
    <t>[{control_class_dmg_rate,21040}]</t>
  </si>
  <si>
    <t>上阵两个控制职业增伤+210.4%</t>
  </si>
  <si>
    <t>[{control_class_dmg_rate,21080}]</t>
  </si>
  <si>
    <t>上阵两个控制职业增伤+210.8%</t>
  </si>
  <si>
    <t>[{control_class_dmg_rate,21120}]</t>
  </si>
  <si>
    <t>上阵两个控制职业增伤+211.2%</t>
  </si>
  <si>
    <t>[{control_class_dmg_rate,21150}]</t>
  </si>
  <si>
    <t>上阵两个控制职业增伤+211.5%</t>
  </si>
  <si>
    <t>[{control_crit_dmg,2480}]</t>
  </si>
  <si>
    <t>控制暴击伤害+24.8%</t>
  </si>
  <si>
    <t>[{control_crit_dmg,2550}]</t>
  </si>
  <si>
    <t>控制暴击伤害+25.5%</t>
  </si>
  <si>
    <t>[{control_crit_dmg,2630}]</t>
  </si>
  <si>
    <t>控制暴击伤害+26.3%</t>
  </si>
  <si>
    <t>[{control_crit_dmg,2700}]</t>
  </si>
  <si>
    <t>控制暴击伤害+27%</t>
  </si>
  <si>
    <t>[{global_dmg_rate,8710.00000000001}]</t>
  </si>
  <si>
    <t>伤害加成+87.1000000000001%</t>
  </si>
  <si>
    <t>[{global_dmg_rate,8730}]</t>
  </si>
  <si>
    <t>伤害加成+87.3%</t>
  </si>
  <si>
    <t>[{global_dmg_rate,8740.00000000001}]</t>
  </si>
  <si>
    <t>伤害加成+87.4000000000001%</t>
  </si>
  <si>
    <t>[{global_dmg_rate,8760}]</t>
  </si>
  <si>
    <t>伤害加成+87.6%</t>
  </si>
  <si>
    <t>[{elitist_monster_hit_rate,860},{boss_monster_hit_rate,860}]</t>
  </si>
  <si>
    <t>对精英和首领增伤+8.6%</t>
  </si>
  <si>
    <t>[{elitist_monster_hit_rate,890},{boss_monster_hit_rate,890}]</t>
  </si>
  <si>
    <t>对精英和首领增伤+8.9%</t>
  </si>
  <si>
    <t>[{elitist_monster_hit_rate,950},{boss_monster_hit_rate,950}]</t>
  </si>
  <si>
    <t>对精英和首领增伤+9.5%</t>
  </si>
  <si>
    <t>控制伤害+7.6%</t>
  </si>
  <si>
    <t>[{control_dmg_rate,790}]</t>
  </si>
  <si>
    <t>控制伤害+7.9%</t>
  </si>
  <si>
    <t>[{control_dmg_rate,830}]</t>
  </si>
  <si>
    <t>控制伤害+8.3%</t>
  </si>
  <si>
    <t>控制伤害+8.6%</t>
  </si>
  <si>
    <t>[{control_dmg_red_rate,250}]</t>
  </si>
  <si>
    <t>控制伤害减免+2.5%</t>
  </si>
  <si>
    <t>[{control_dmg_red_rate,260}]</t>
  </si>
  <si>
    <t>控制伤害减免+2.6%</t>
  </si>
  <si>
    <t>[{control_dmg_red_rate,270}]</t>
  </si>
  <si>
    <t>控制伤害减免+2.7%</t>
  </si>
  <si>
    <t>[{control_dmg_red_rate,280}]</t>
  </si>
  <si>
    <t>控制伤害减免+2.8%</t>
  </si>
  <si>
    <t>[{control_dmg_red_rate,290}]</t>
  </si>
  <si>
    <t>控制伤害减免+2.9%</t>
  </si>
  <si>
    <t>[{control_class_dmg_rate,900}]</t>
  </si>
  <si>
    <t>上阵两个控制职业增伤+9%</t>
  </si>
  <si>
    <t>[{control_class_dmg_rate,950}]</t>
  </si>
  <si>
    <t>上阵两个控制职业增伤+9.5%</t>
  </si>
  <si>
    <t>[{control_class_dmg_rate,1000}]</t>
  </si>
  <si>
    <t>上阵两个控制职业增伤+10%</t>
  </si>
  <si>
    <t>[{control_class_dmg_rate,1050}]</t>
  </si>
  <si>
    <t>上阵两个控制职业增伤+10.5%</t>
  </si>
  <si>
    <t>[{control_class_dmg_rate,1100}]</t>
  </si>
  <si>
    <t>上阵两个控制职业增伤+11%</t>
  </si>
  <si>
    <t>[{control_crit_dmg,2850}]</t>
  </si>
  <si>
    <t>控制暴击伤害+28.5%</t>
  </si>
  <si>
    <t>[{control_crit_dmg,3000}]</t>
  </si>
  <si>
    <t>控制暴击伤害+30%</t>
  </si>
  <si>
    <t>[{control_crit_dmg,3150}]</t>
  </si>
  <si>
    <t>控制暴击伤害+31.5%</t>
  </si>
  <si>
    <t>[{control_crit_dmg,3300}]</t>
  </si>
  <si>
    <t>控制暴击伤害+33%</t>
  </si>
  <si>
    <t>[{global_dmg_rate,20530}]</t>
  </si>
  <si>
    <t>伤害加成+205.3%</t>
  </si>
  <si>
    <t>[{global_dmg_rate,20570}]</t>
  </si>
  <si>
    <t>伤害加成+205.7%</t>
  </si>
  <si>
    <t>[{global_dmg_rate,20600}]</t>
  </si>
  <si>
    <t>伤害加成+206%</t>
  </si>
  <si>
    <t>[{global_dmg_rate,20640}]</t>
  </si>
  <si>
    <t>伤害加成+206.4%</t>
  </si>
  <si>
    <t>[{global_dmg_rate,20670}]</t>
  </si>
  <si>
    <t>伤害加成+206.7%</t>
  </si>
  <si>
    <t>[{elitist_monster_hit_rate,1010},{boss_monster_hit_rate,1010}]</t>
  </si>
  <si>
    <t>对精英和首领增伤+10.1%</t>
  </si>
  <si>
    <t>[{elitist_monster_hit_rate,1070},{boss_monster_hit_rate,1070}]</t>
  </si>
  <si>
    <t>对精英和首领增伤+10.7%</t>
  </si>
  <si>
    <t>[{elitist_monster_hit_rate,1100},{boss_monster_hit_rate,1100}]</t>
  </si>
  <si>
    <t>对精英和首领增伤+11%</t>
  </si>
  <si>
    <t>控制伤害+8%</t>
  </si>
  <si>
    <t>[{control_dmg_rate,850}]</t>
  </si>
  <si>
    <t>控制伤害+8.5%</t>
  </si>
  <si>
    <t>控制伤害+8.8%</t>
  </si>
  <si>
    <t>控制伤害+9%</t>
  </si>
  <si>
    <t>[{control_dmg_red_rate,300}]</t>
  </si>
  <si>
    <t>控制伤害减免+3%</t>
  </si>
  <si>
    <t>[{control_dmg_red_rate,310}]</t>
  </si>
  <si>
    <t>控制伤害减免+3.1%</t>
  </si>
  <si>
    <t>[{control_dmg_red_rate,320}]</t>
  </si>
  <si>
    <t>控制伤害减免+3.2%</t>
  </si>
  <si>
    <t>[{control_dmg_red_rate,330}]</t>
  </si>
  <si>
    <t>控制伤害减免+3.3%</t>
  </si>
  <si>
    <t>[{control_dmg_red_rate,340}]</t>
  </si>
  <si>
    <t>控制伤害减免+3.4%</t>
  </si>
  <si>
    <t>[{control_class_dmg_rate,1150}]</t>
  </si>
  <si>
    <t>上阵两个控制职业增伤+11.5%</t>
  </si>
  <si>
    <t>[{control_class_dmg_rate,1200}]</t>
  </si>
  <si>
    <t>上阵两个控制职业增伤+12%</t>
  </si>
  <si>
    <t>[{control_class_dmg_rate,1250}]</t>
  </si>
  <si>
    <t>上阵两个控制职业增伤+12.5%</t>
  </si>
  <si>
    <t>[{control_class_dmg_rate,1300}]</t>
  </si>
  <si>
    <t>上阵两个控制职业增伤+13%</t>
  </si>
  <si>
    <t>[{control_crit_dmg,3450}]</t>
  </si>
  <si>
    <t>控制暴击伤害+34.5%</t>
  </si>
  <si>
    <t>[{control_crit_dmg,3600}]</t>
  </si>
  <si>
    <t>控制暴击伤害+36%</t>
  </si>
  <si>
    <t>[{control_crit_dmg,3750}]</t>
  </si>
  <si>
    <t>控制暴击伤害+37.5%</t>
  </si>
  <si>
    <t>[{control_crit_dmg,3900}]</t>
  </si>
  <si>
    <t>控制暴击伤害+39%</t>
  </si>
  <si>
    <t>[{global_dmg_rate,21200}]</t>
  </si>
  <si>
    <t>伤害加成+212%</t>
  </si>
  <si>
    <t>[{global_dmg_rate,21230}]</t>
  </si>
  <si>
    <t>伤害加成+212.3%</t>
  </si>
  <si>
    <t>[{global_dmg_rate,21270}]</t>
  </si>
  <si>
    <t>伤害加成+212.7%</t>
  </si>
  <si>
    <t>[{global_dmg_rate,21300}]</t>
  </si>
  <si>
    <t>伤害加成+213%</t>
  </si>
  <si>
    <t>[{global_dmg_rate,21340}]</t>
  </si>
  <si>
    <t>伤害加成+213.4%</t>
  </si>
  <si>
    <t>[{elitist_monster_hit_rate,1130},{boss_monster_hit_rate,1130}]</t>
  </si>
  <si>
    <t>对精英和首领增伤+11.3%</t>
  </si>
  <si>
    <t>[{elitist_monster_hit_rate,1150},{boss_monster_hit_rate,1150}]</t>
  </si>
  <si>
    <t>对精英和首领增伤+11.5%</t>
  </si>
  <si>
    <t>[{elitist_monster_hit_rate,1180},{boss_monster_hit_rate,1180}]</t>
  </si>
  <si>
    <t>对精英和首领增伤+11.8%</t>
  </si>
  <si>
    <t>[{control_dmg_rate,930}]</t>
  </si>
  <si>
    <t>控制伤害+9.3%</t>
  </si>
  <si>
    <t>[{control_dmg_rate,950}]</t>
  </si>
  <si>
    <t>控制伤害+9.5%</t>
  </si>
  <si>
    <t>控制伤害+9.8%</t>
  </si>
  <si>
    <t>控制伤害+10%</t>
  </si>
  <si>
    <t>[{control_dmg_red_rate,350}]</t>
  </si>
  <si>
    <t>控制伤害减免+3.5%</t>
  </si>
  <si>
    <t>[{control_dmg_red_rate,360}]</t>
  </si>
  <si>
    <t>控制伤害减免+3.6%</t>
  </si>
  <si>
    <t>[{control_dmg_red_rate,370}]</t>
  </si>
  <si>
    <t>控制伤害减免+3.7%</t>
  </si>
  <si>
    <t>[{control_dmg_red_rate,380}]</t>
  </si>
  <si>
    <t>控制伤害减免+3.8%</t>
  </si>
  <si>
    <t>[{control_dmg_red_rate,390}]</t>
  </si>
  <si>
    <t>控制伤害减免+3.9%</t>
  </si>
  <si>
    <t>[{control_class_dmg_rate,1350}]</t>
  </si>
  <si>
    <t>上阵两个控制职业增伤+13.5%</t>
  </si>
  <si>
    <t>[{control_class_dmg_rate,1400}]</t>
  </si>
  <si>
    <t>上阵两个控制职业增伤+14%</t>
  </si>
  <si>
    <t>[{control_class_dmg_rate,1450}]</t>
  </si>
  <si>
    <t>上阵两个控制职业增伤+14.5%</t>
  </si>
  <si>
    <t>[{control_class_dmg_rate,1500}]</t>
  </si>
  <si>
    <t>上阵两个控制职业增伤+15%</t>
  </si>
  <si>
    <t>[{control_crit_dmg,4050}]</t>
  </si>
  <si>
    <t>控制暴击伤害+40.5%</t>
  </si>
  <si>
    <t>[{control_crit_dmg,4200}]</t>
  </si>
  <si>
    <t>控制暴击伤害+42%</t>
  </si>
  <si>
    <t>[{control_crit_dmg,4350}]</t>
  </si>
  <si>
    <t>控制暴击伤害+43.5%</t>
  </si>
  <si>
    <t>[{control_crit_dmg,4500}]</t>
  </si>
  <si>
    <t>控制暴击伤害+45%</t>
  </si>
  <si>
    <t>[{global_dmg_rate,18150}]</t>
  </si>
  <si>
    <t>伤害加成+181.5%</t>
  </si>
  <si>
    <t>[{global_dmg_rate,18180}]</t>
  </si>
  <si>
    <t>伤害加成+181.8%</t>
  </si>
  <si>
    <t>[{global_dmg_rate,18210}]</t>
  </si>
  <si>
    <t>伤害加成+182.1%</t>
  </si>
  <si>
    <t>[{global_dmg_rate,18240}]</t>
  </si>
  <si>
    <t>伤害加成+182.4%</t>
  </si>
  <si>
    <t>[{global_dmg_rate,18270}]</t>
  </si>
  <si>
    <t>伤害加成+182.7%</t>
  </si>
  <si>
    <t>[{equip4_rune_slot,1}]</t>
  </si>
  <si>
    <t>[{elitist_monster_hit_rate,19220}]</t>
  </si>
  <si>
    <t>对精英和首领增伤+192.2%</t>
  </si>
  <si>
    <t>[{elitist_monster_hit_rate,19250}]</t>
  </si>
  <si>
    <t>对精英和首领增伤+192.5%</t>
  </si>
  <si>
    <t>[{elitist_monster_hit_rate,19280}]</t>
  </si>
  <si>
    <t>对精英和首领增伤+192.8%</t>
  </si>
  <si>
    <t>[{elitist_monster_hit_rate,19310}]</t>
  </si>
  <si>
    <t>对精英和首领增伤+193.1%</t>
  </si>
  <si>
    <t>[{elitist_monster_hit_rate,19340}]</t>
  </si>
  <si>
    <t>对精英和首领增伤+193.4%</t>
  </si>
  <si>
    <t>[{summon_dmg_rate,440}]</t>
  </si>
  <si>
    <t>召唤伤害+4.4%</t>
  </si>
  <si>
    <t>[{summon_dmg_rate,480}]</t>
  </si>
  <si>
    <t>召唤伤害+4.8%</t>
  </si>
  <si>
    <t>[{summon_dmg_rate,510}]</t>
  </si>
  <si>
    <t>召唤伤害+5.1%</t>
  </si>
  <si>
    <t>[{summon_dmg_rate,550}]</t>
  </si>
  <si>
    <t>召唤伤害+5.5%</t>
  </si>
  <si>
    <t>[{summon_dmg_rate,580}]</t>
  </si>
  <si>
    <t>召唤伤害+5.8%</t>
  </si>
  <si>
    <t>[{summon_dmg_red_rate,200}]</t>
  </si>
  <si>
    <t>召唤伤害减免+2%</t>
  </si>
  <si>
    <t>[{summon_dmg_red_rate,210}]</t>
  </si>
  <si>
    <t>召唤伤害减免+2.1%</t>
  </si>
  <si>
    <t>[{summon_dmg_red_rate,220}]</t>
  </si>
  <si>
    <t>召唤伤害减免+2.2%</t>
  </si>
  <si>
    <t>[{summon_dmg_red_rate,230}]</t>
  </si>
  <si>
    <t>召唤伤害减免+2.3%</t>
  </si>
  <si>
    <t>[{summon_dmg_red_rate,240}]</t>
  </si>
  <si>
    <t>召唤伤害减免+2.4%</t>
  </si>
  <si>
    <t>[{summon_class_dmg_rate,24040}]</t>
  </si>
  <si>
    <t>上阵两个召唤职业增伤+240.4%</t>
  </si>
  <si>
    <t>[{summon_class_dmg_rate,24080}]</t>
  </si>
  <si>
    <t>上阵两个召唤职业增伤+240.8%</t>
  </si>
  <si>
    <t>[{summon_class_dmg_rate,24120}]</t>
  </si>
  <si>
    <t>上阵两个召唤职业增伤+241.2%</t>
  </si>
  <si>
    <t>[{summon_class_dmg_rate,24150}]</t>
  </si>
  <si>
    <t>上阵两个召唤职业增伤+241.5%</t>
  </si>
  <si>
    <t>[{summon_class_dmg_rate,24190}]</t>
  </si>
  <si>
    <t>上阵两个召唤职业增伤+241.9%</t>
  </si>
  <si>
    <t>[{summon_crit_dmg,2000}]</t>
  </si>
  <si>
    <t>召唤暴击伤害+20%</t>
  </si>
  <si>
    <t>[{summon_crit_dmg,2100}]</t>
  </si>
  <si>
    <t>召唤暴击伤害+21%</t>
  </si>
  <si>
    <t>[{summon_crit_dmg,2200}]</t>
  </si>
  <si>
    <t>召唤暴击伤害+22%</t>
  </si>
  <si>
    <t>[{summon_crit_dmg,2300}]</t>
  </si>
  <si>
    <t>召唤暴击伤害+23%</t>
  </si>
  <si>
    <t>[{summon_crit_dmg,2400}]</t>
  </si>
  <si>
    <t>召唤暴击伤害+24%</t>
  </si>
  <si>
    <t>[{global_dmg_rate,22490}]</t>
  </si>
  <si>
    <t>伤害加成+224.9%</t>
  </si>
  <si>
    <t>[{global_dmg_rate,22530}]</t>
  </si>
  <si>
    <t>伤害加成+225.3%</t>
  </si>
  <si>
    <t>[{global_dmg_rate,22560}]</t>
  </si>
  <si>
    <t>伤害加成+225.6%</t>
  </si>
  <si>
    <t>[{global_dmg_rate,22600}]</t>
  </si>
  <si>
    <t>伤害加成+226%</t>
  </si>
  <si>
    <t>[{global_dmg_rate,22630}]</t>
  </si>
  <si>
    <t>伤害加成+226.3%</t>
  </si>
  <si>
    <t>[{elitist_monster_hit_rate,20390}]</t>
  </si>
  <si>
    <t>对精英和首领增伤+203.9%</t>
  </si>
  <si>
    <t>[{elitist_monster_hit_rate,20420}]</t>
  </si>
  <si>
    <t>对精英和首领增伤+204.2%</t>
  </si>
  <si>
    <t>[{elitist_monster_hit_rate,20450}]</t>
  </si>
  <si>
    <t>对精英和首领增伤+204.5%</t>
  </si>
  <si>
    <t>[{elitist_monster_hit_rate,20480}]</t>
  </si>
  <si>
    <t>对精英和首领增伤+204.8%</t>
  </si>
  <si>
    <t>[{elitist_monster_hit_rate,20510}]</t>
  </si>
  <si>
    <t>对精英和首领增伤+205.1%</t>
  </si>
  <si>
    <t>[{summon_dmg_rate,620}]</t>
  </si>
  <si>
    <t>召唤伤害+6.2%</t>
  </si>
  <si>
    <t>[{summon_dmg_rate,650}]</t>
  </si>
  <si>
    <t>召唤伤害+6.5%</t>
  </si>
  <si>
    <t>[{summon_dmg_rate,690}]</t>
  </si>
  <si>
    <t>召唤伤害+6.9%</t>
  </si>
  <si>
    <t>[{summon_dmg_rate,720}]</t>
  </si>
  <si>
    <t>召唤伤害+7.2%</t>
  </si>
  <si>
    <t>[{summon_class_dmg_rate,25500}]</t>
  </si>
  <si>
    <t>上阵两个召唤职业增伤+255%</t>
  </si>
  <si>
    <t>[{summon_class_dmg_rate,25540}]</t>
  </si>
  <si>
    <t>上阵两个召唤职业增伤+255.4%</t>
  </si>
  <si>
    <t>[{summon_class_dmg_rate,25580}]</t>
  </si>
  <si>
    <t>上阵两个召唤职业增伤+255.8%</t>
  </si>
  <si>
    <t>[{summon_class_dmg_rate,25620}]</t>
  </si>
  <si>
    <t>上阵两个召唤职业增伤+256.2%</t>
  </si>
  <si>
    <t>[{summon_class_dmg_rate,25650}]</t>
  </si>
  <si>
    <t>上阵两个召唤职业增伤+256.5%</t>
  </si>
  <si>
    <t>[{summon_crit_dmg,2480}]</t>
  </si>
  <si>
    <t>召唤暴击伤害+24.8%</t>
  </si>
  <si>
    <t>[{summon_crit_dmg,2550}]</t>
  </si>
  <si>
    <t>召唤暴击伤害+25.5%</t>
  </si>
  <si>
    <t>[{summon_crit_dmg,2630}]</t>
  </si>
  <si>
    <t>召唤暴击伤害+26.3%</t>
  </si>
  <si>
    <t>[{summon_crit_dmg,2700}]</t>
  </si>
  <si>
    <t>召唤暴击伤害+27%</t>
  </si>
  <si>
    <t>[{global_dmg_rate,10500}]</t>
  </si>
  <si>
    <t>伤害加成+105%</t>
  </si>
  <si>
    <t>[{global_dmg_rate,10520}]</t>
  </si>
  <si>
    <t>伤害加成+105.2%</t>
  </si>
  <si>
    <t>[{global_dmg_rate,10530}]</t>
  </si>
  <si>
    <t>伤害加成+105.3%</t>
  </si>
  <si>
    <t>[{global_dmg_rate,10550}]</t>
  </si>
  <si>
    <t>伤害加成+105.5%</t>
  </si>
  <si>
    <t>[{global_dmg_rate,10560}]</t>
  </si>
  <si>
    <t>伤害加成+105.6%</t>
  </si>
  <si>
    <t>[{summon_dmg_rate,760}]</t>
  </si>
  <si>
    <t>召唤伤害+7.6%</t>
  </si>
  <si>
    <t>[{summon_dmg_rate,790}]</t>
  </si>
  <si>
    <t>召唤伤害+7.9%</t>
  </si>
  <si>
    <t>[{summon_dmg_rate,830}]</t>
  </si>
  <si>
    <t>召唤伤害+8.3%</t>
  </si>
  <si>
    <t>[{summon_dmg_rate,860}]</t>
  </si>
  <si>
    <t>召唤伤害+8.6%</t>
  </si>
  <si>
    <t>[{summon_dmg_red_rate,250}]</t>
  </si>
  <si>
    <t>召唤伤害减免+2.5%</t>
  </si>
  <si>
    <t>[{summon_dmg_red_rate,260}]</t>
  </si>
  <si>
    <t>召唤伤害减免+2.6%</t>
  </si>
  <si>
    <t>[{summon_dmg_red_rate,270}]</t>
  </si>
  <si>
    <t>召唤伤害减免+2.7%</t>
  </si>
  <si>
    <t>[{summon_dmg_red_rate,280}]</t>
  </si>
  <si>
    <t>召唤伤害减免+2.8%</t>
  </si>
  <si>
    <t>[{summon_dmg_red_rate,290}]</t>
  </si>
  <si>
    <t>召唤伤害减免+2.9%</t>
  </si>
  <si>
    <t>[{summon_class_dmg_rate,900}]</t>
  </si>
  <si>
    <t>上阵两个召唤职业增伤+9%</t>
  </si>
  <si>
    <t>[{summon_class_dmg_rate,950}]</t>
  </si>
  <si>
    <t>上阵两个召唤职业增伤+9.5%</t>
  </si>
  <si>
    <t>[{summon_class_dmg_rate,1000}]</t>
  </si>
  <si>
    <t>上阵两个召唤职业增伤+10%</t>
  </si>
  <si>
    <t>[{summon_class_dmg_rate,1050}]</t>
  </si>
  <si>
    <t>上阵两个召唤职业增伤+10.5%</t>
  </si>
  <si>
    <t>[{summon_class_dmg_rate,1100}]</t>
  </si>
  <si>
    <t>上阵两个召唤职业增伤+11%</t>
  </si>
  <si>
    <t>[{summon_crit_dmg,2850}]</t>
  </si>
  <si>
    <t>召唤暴击伤害+28.5%</t>
  </si>
  <si>
    <t>[{summon_crit_dmg,3000}]</t>
  </si>
  <si>
    <t>召唤暴击伤害+30%</t>
  </si>
  <si>
    <t>[{summon_crit_dmg,3150}]</t>
  </si>
  <si>
    <t>召唤暴击伤害+31.5%</t>
  </si>
  <si>
    <t>[{summon_crit_dmg,3300}]</t>
  </si>
  <si>
    <t>召唤暴击伤害+33%</t>
  </si>
  <si>
    <t>[{global_dmg_rate,24730}]</t>
  </si>
  <si>
    <t>伤害加成+247.3%</t>
  </si>
  <si>
    <t>[{global_dmg_rate,24770}]</t>
  </si>
  <si>
    <t>伤害加成+247.7%</t>
  </si>
  <si>
    <t>[{global_dmg_rate,24800}]</t>
  </si>
  <si>
    <t>伤害加成+248%</t>
  </si>
  <si>
    <t>[{global_dmg_rate,24840}]</t>
  </si>
  <si>
    <t>伤害加成+248.4%</t>
  </si>
  <si>
    <t>[{global_dmg_rate,24870}]</t>
  </si>
  <si>
    <t>伤害加成+248.7%</t>
  </si>
  <si>
    <t>[{summon_dmg_rate,800}]</t>
  </si>
  <si>
    <t>召唤伤害+8%</t>
  </si>
  <si>
    <t>[{summon_dmg_rate,850}]</t>
  </si>
  <si>
    <t>召唤伤害+8.5%</t>
  </si>
  <si>
    <t>[{summon_dmg_rate,880}]</t>
  </si>
  <si>
    <t>召唤伤害+8.8%</t>
  </si>
  <si>
    <t>[{summon_dmg_rate,900}]</t>
  </si>
  <si>
    <t>召唤伤害+9%</t>
  </si>
  <si>
    <t>[{summon_dmg_red_rate,300}]</t>
  </si>
  <si>
    <t>召唤伤害减免+3%</t>
  </si>
  <si>
    <t>[{summon_dmg_red_rate,310}]</t>
  </si>
  <si>
    <t>召唤伤害减免+3.1%</t>
  </si>
  <si>
    <t>[{summon_dmg_red_rate,320}]</t>
  </si>
  <si>
    <t>召唤伤害减免+3.2%</t>
  </si>
  <si>
    <t>[{summon_dmg_red_rate,330}]</t>
  </si>
  <si>
    <t>召唤伤害减免+3.3%</t>
  </si>
  <si>
    <t>[{summon_dmg_red_rate,340}]</t>
  </si>
  <si>
    <t>召唤伤害减免+3.4%</t>
  </si>
  <si>
    <t>[{summon_class_dmg_rate,1150}]</t>
  </si>
  <si>
    <t>上阵两个召唤职业增伤+11.5%</t>
  </si>
  <si>
    <t>[{summon_class_dmg_rate,1200}]</t>
  </si>
  <si>
    <t>上阵两个召唤职业增伤+12%</t>
  </si>
  <si>
    <t>[{summon_class_dmg_rate,1250}]</t>
  </si>
  <si>
    <t>上阵两个召唤职业增伤+12.5%</t>
  </si>
  <si>
    <t>[{summon_class_dmg_rate,1300}]</t>
  </si>
  <si>
    <t>上阵两个召唤职业增伤+13%</t>
  </si>
  <si>
    <t>[{summon_crit_dmg,3450}]</t>
  </si>
  <si>
    <t>召唤暴击伤害+34.5%</t>
  </si>
  <si>
    <t>[{summon_crit_dmg,3600}]</t>
  </si>
  <si>
    <t>召唤暴击伤害+36%</t>
  </si>
  <si>
    <t>[{summon_crit_dmg,3750}]</t>
  </si>
  <si>
    <t>召唤暴击伤害+37.5%</t>
  </si>
  <si>
    <t>[{summon_crit_dmg,3900}]</t>
  </si>
  <si>
    <t>召唤暴击伤害+39%</t>
  </si>
  <si>
    <t>[{global_dmg_rate,25400}]</t>
  </si>
  <si>
    <t>伤害加成+254%</t>
  </si>
  <si>
    <t>[{global_dmg_rate,25430}]</t>
  </si>
  <si>
    <t>伤害加成+254.3%</t>
  </si>
  <si>
    <t>[{global_dmg_rate,25470}]</t>
  </si>
  <si>
    <t>伤害加成+254.7%</t>
  </si>
  <si>
    <t>[{global_dmg_rate,25500}]</t>
  </si>
  <si>
    <t>伤害加成+255%</t>
  </si>
  <si>
    <t>[{global_dmg_rate,25540}]</t>
  </si>
  <si>
    <t>伤害加成+255.4%</t>
  </si>
  <si>
    <t>[{summon_dmg_rate,930}]</t>
  </si>
  <si>
    <t>召唤伤害+9.3%</t>
  </si>
  <si>
    <t>[{summon_dmg_rate,950}]</t>
  </si>
  <si>
    <t>召唤伤害+9.5%</t>
  </si>
  <si>
    <t>[{summon_dmg_rate,980}]</t>
  </si>
  <si>
    <t>召唤伤害+9.8%</t>
  </si>
  <si>
    <t>[{summon_dmg_rate,1000}]</t>
  </si>
  <si>
    <t>召唤伤害+10%</t>
  </si>
  <si>
    <t>[{summon_dmg_red_rate,350}]</t>
  </si>
  <si>
    <t>召唤伤害减免+3.5%</t>
  </si>
  <si>
    <t>[{summon_dmg_red_rate,360}]</t>
  </si>
  <si>
    <t>召唤伤害减免+3.6%</t>
  </si>
  <si>
    <t>[{summon_dmg_red_rate,370}]</t>
  </si>
  <si>
    <t>召唤伤害减免+3.7%</t>
  </si>
  <si>
    <t>[{summon_dmg_red_rate,380}]</t>
  </si>
  <si>
    <t>召唤伤害减免+3.8%</t>
  </si>
  <si>
    <t>[{summon_dmg_red_rate,390}]</t>
  </si>
  <si>
    <t>召唤伤害减免+3.9%</t>
  </si>
  <si>
    <t>[{summon_class_dmg_rate,1350}]</t>
  </si>
  <si>
    <t>上阵两个召唤职业增伤+13.5%</t>
  </si>
  <si>
    <t>[{summon_class_dmg_rate,1400}]</t>
  </si>
  <si>
    <t>上阵两个召唤职业增伤+14%</t>
  </si>
  <si>
    <t>[{summon_class_dmg_rate,1450}]</t>
  </si>
  <si>
    <t>上阵两个召唤职业增伤+14.5%</t>
  </si>
  <si>
    <t>[{summon_class_dmg_rate,1500}]</t>
  </si>
  <si>
    <t>上阵两个召唤职业增伤+15%</t>
  </si>
  <si>
    <t>[{summon_crit_dmg,4050}]</t>
  </si>
  <si>
    <t>召唤暴击伤害+40.5%</t>
  </si>
  <si>
    <t>[{summon_crit_dmg,4200}]</t>
  </si>
  <si>
    <t>召唤暴击伤害+42%</t>
  </si>
  <si>
    <t>[{summon_crit_dmg,4350}]</t>
  </si>
  <si>
    <t>召唤暴击伤害+43.5%</t>
  </si>
  <si>
    <t>[{summon_crit_dmg,4500}]</t>
  </si>
  <si>
    <t>召唤暴击伤害+45%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</si>
</sst>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 "/>
    <numFmt numFmtId="178" formatCode="[=0]&quot;&quot;;0.0%"/>
    <numFmt numFmtId="179" formatCode="[=0]&quot;&quot;;General"/>
    <numFmt numFmtId="180" formatCode="0.0_ "/>
    <numFmt numFmtId="181" formatCode="#,##0_ "/>
    <numFmt numFmtId="182" formatCode="_ * #,##0_ ;_ * \-#,##0_ ;_ * &quot;-&quot;??_ ;_ @_ "/>
    <numFmt numFmtId="183" formatCode="0.00_ "/>
    <numFmt numFmtId="184" formatCode="0.0_);[Red]\(0.0\)"/>
    <numFmt numFmtId="185" formatCode="0_);[Red]\(0\)"/>
    <numFmt numFmtId="186" formatCode="0.00_);[Red]\(0.00\)"/>
  </numFmts>
  <fonts count="80">
    <font>
      <sz val="10"/>
      <color theme="1"/>
      <name val="等线"/>
      <charset val="134"/>
      <scheme val="minor"/>
    </font>
    <font>
      <sz val="11"/>
      <name val="Carlito"/>
      <charset val="134"/>
    </font>
    <font>
      <b/>
      <sz val="11"/>
      <color rgb="FFFFFFFF"/>
      <name val="Microsoft YaHei"/>
      <charset val="134"/>
    </font>
    <font>
      <b/>
      <sz val="10"/>
      <color rgb="FFFFFFFF"/>
      <name val="Microsoft YaHei"/>
      <charset val="134"/>
    </font>
    <font>
      <sz val="9"/>
      <color rgb="FF1F2937"/>
      <name val="Microsoft YaHei"/>
      <charset val="134"/>
    </font>
    <font>
      <sz val="9"/>
      <color indexed="8"/>
      <name val="Calibri"/>
      <charset val="134"/>
    </font>
    <font>
      <b/>
      <sz val="9"/>
      <color indexed="53"/>
      <name val="Microsoft Yahei"/>
      <charset val="134"/>
    </font>
    <font>
      <b/>
      <sz val="9"/>
      <color indexed="53"/>
      <name val="微软雅黑"/>
      <charset val="134"/>
    </font>
    <font>
      <b/>
      <sz val="9"/>
      <color indexed="8"/>
      <name val="Microsoft Yahei"/>
      <charset val="134"/>
    </font>
    <font>
      <b/>
      <sz val="9"/>
      <color indexed="10"/>
      <name val="Microsoft Yahei"/>
      <charset val="134"/>
    </font>
    <font>
      <sz val="9"/>
      <color indexed="8"/>
      <name val="Microsoft Yahei"/>
      <charset val="134"/>
    </font>
    <font>
      <sz val="10"/>
      <color indexed="8"/>
      <name val="Microsoft Yahei"/>
      <charset val="134"/>
    </font>
    <font>
      <sz val="10"/>
      <color rgb="FF000000"/>
      <name val="Microsoft Yahei"/>
      <charset val="134"/>
    </font>
    <font>
      <sz val="9"/>
      <color rgb="FF000000"/>
      <name val="Microsoft Yahei"/>
      <charset val="134"/>
    </font>
    <font>
      <sz val="10"/>
      <color indexed="22"/>
      <name val="Consolas"/>
      <charset val="134"/>
    </font>
    <font>
      <sz val="11"/>
      <color indexed="8"/>
      <name val="SimSun"/>
      <charset val="134"/>
    </font>
    <font>
      <sz val="10"/>
      <color rgb="FFFF0000"/>
      <name val="等线"/>
      <charset val="134"/>
      <scheme val="minor"/>
    </font>
    <font>
      <sz val="9"/>
      <color rgb="FF000000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2"/>
      <color rgb="FFFFFFFF"/>
      <name val="微软雅黑"/>
      <charset val="134"/>
    </font>
    <font>
      <sz val="10"/>
      <color rgb="FF000000"/>
      <name val="微软雅黑"/>
      <charset val="134"/>
    </font>
    <font>
      <sz val="12"/>
      <name val="微软雅黑"/>
      <charset val="134"/>
    </font>
    <font>
      <b/>
      <sz val="10"/>
      <color rgb="FFFF0000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b/>
      <sz val="10"/>
      <color rgb="FFFA7D00"/>
      <name val="微软雅黑"/>
      <charset val="134"/>
    </font>
    <font>
      <sz val="10"/>
      <color rgb="FF000000"/>
      <name val="å®ä½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sz val="12"/>
      <name val="等线"/>
      <charset val="134"/>
      <scheme val="minor"/>
    </font>
    <font>
      <b/>
      <sz val="11"/>
      <name val="微软雅黑"/>
      <charset val="134"/>
    </font>
    <font>
      <b/>
      <sz val="12"/>
      <color theme="4"/>
      <name val="微软雅黑"/>
      <charset val="134"/>
    </font>
    <font>
      <b/>
      <sz val="10"/>
      <color rgb="FFFFFFFF"/>
      <name val="微软雅黑"/>
      <charset val="134"/>
    </font>
    <font>
      <b/>
      <sz val="12"/>
      <color rgb="FFFFFFFF"/>
      <name val="等线"/>
      <charset val="134"/>
      <scheme val="minor"/>
    </font>
    <font>
      <b/>
      <sz val="10"/>
      <color theme="4"/>
      <name val="微软雅黑"/>
      <charset val="134"/>
    </font>
    <font>
      <b/>
      <sz val="12"/>
      <color rgb="FFFF0000"/>
      <name val="微软雅黑"/>
      <charset val="134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name val="等线"/>
      <charset val="134"/>
    </font>
    <font>
      <b/>
      <sz val="11"/>
      <color rgb="FFFF0000"/>
      <name val="微软雅黑"/>
      <charset val="134"/>
    </font>
    <font>
      <sz val="10"/>
      <color rgb="FF000000"/>
      <name val="等线"/>
      <charset val="134"/>
      <scheme val="minor"/>
    </font>
    <font>
      <b/>
      <sz val="10"/>
      <color rgb="FFDE3C36"/>
      <name val="等线"/>
      <charset val="134"/>
      <scheme val="minor"/>
    </font>
    <font>
      <b/>
      <sz val="12"/>
      <color theme="0"/>
      <name val="微软雅黑"/>
      <charset val="134"/>
    </font>
    <font>
      <b/>
      <sz val="10"/>
      <color rgb="FFFF0000"/>
      <name val="等线"/>
      <charset val="134"/>
      <scheme val="minor"/>
    </font>
    <font>
      <b/>
      <sz val="12"/>
      <name val="等线"/>
      <charset val="134"/>
      <scheme val="minor"/>
    </font>
    <font>
      <sz val="11"/>
      <name val="宋体"/>
      <charset val="134"/>
    </font>
    <font>
      <b/>
      <sz val="14"/>
      <name val="等线"/>
      <charset val="134"/>
      <scheme val="minor"/>
    </font>
    <font>
      <b/>
      <sz val="11"/>
      <name val="宋体"/>
      <charset val="134"/>
    </font>
    <font>
      <sz val="12"/>
      <color rgb="FFD9D9D9"/>
      <name val="等线"/>
      <charset val="134"/>
      <scheme val="minor"/>
    </font>
    <font>
      <b/>
      <sz val="12"/>
      <color rgb="FFD9D9D9"/>
      <name val="等线"/>
      <charset val="134"/>
      <scheme val="minor"/>
    </font>
    <font>
      <sz val="10"/>
      <color theme="5" tint="-0.25"/>
      <name val="微软雅黑"/>
      <charset val="134"/>
    </font>
    <font>
      <b/>
      <sz val="14"/>
      <color rgb="FFFFFFFF"/>
      <name val="等线"/>
      <charset val="134"/>
      <scheme val="minor"/>
    </font>
    <font>
      <sz val="14"/>
      <name val="等线"/>
      <charset val="134"/>
      <scheme val="minor"/>
    </font>
    <font>
      <b/>
      <sz val="10"/>
      <color rgb="FFFFFF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Calibri"/>
      <charset val="134"/>
    </font>
    <font>
      <sz val="9"/>
      <name val="等线"/>
      <charset val="0"/>
      <scheme val="minor"/>
    </font>
    <font>
      <sz val="10"/>
      <name val="等线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73A5E"/>
        <bgColor indexed="64"/>
      </patternFill>
    </fill>
    <fill>
      <patternFill patternType="solid">
        <fgColor rgb="FF25578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/>
      <right style="thin">
        <color rgb="FFC9D9E8"/>
      </right>
      <top/>
      <bottom style="thin">
        <color rgb="FFC9D9E8"/>
      </bottom>
      <diagonal/>
    </border>
    <border>
      <left style="thin">
        <color rgb="FFC9D9E8"/>
      </left>
      <right style="thin">
        <color rgb="FFC9D9E8"/>
      </right>
      <top/>
      <bottom style="thin">
        <color rgb="FFC9D9E8"/>
      </bottom>
      <diagonal/>
    </border>
    <border>
      <left/>
      <right style="thin">
        <color rgb="FFC9D9E8"/>
      </right>
      <top style="thin">
        <color rgb="FFC9D9E8"/>
      </top>
      <bottom style="thin">
        <color rgb="FFC9D9E8"/>
      </bottom>
      <diagonal/>
    </border>
    <border>
      <left style="thin">
        <color rgb="FFC9D9E8"/>
      </left>
      <right style="thin">
        <color rgb="FFC9D9E8"/>
      </right>
      <top style="thin">
        <color rgb="FFC9D9E8"/>
      </top>
      <bottom style="thin">
        <color rgb="FFC9D9E8"/>
      </bottom>
      <diagonal/>
    </border>
    <border>
      <left/>
      <right style="thin">
        <color rgb="FFC9D9E8"/>
      </right>
      <top style="thin">
        <color rgb="FFC9D9E8"/>
      </top>
      <bottom/>
      <diagonal/>
    </border>
    <border>
      <left style="thin">
        <color rgb="FFC9D9E8"/>
      </left>
      <right style="thin">
        <color rgb="FFC9D9E8"/>
      </right>
      <top style="thin">
        <color rgb="FFC9D9E8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/>
      </top>
      <bottom style="thin">
        <color theme="4" tint="0.39994506668294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/>
      </left>
      <right style="thin">
        <color theme="4"/>
      </right>
      <top/>
      <bottom style="thin">
        <color theme="4" tint="0.399945066682943"/>
      </bottom>
      <diagonal/>
    </border>
    <border>
      <left style="thin">
        <color theme="4"/>
      </left>
      <right/>
      <top/>
      <bottom style="thin">
        <color theme="4" tint="0.399945066682943"/>
      </bottom>
      <diagonal/>
    </border>
    <border>
      <left style="thin">
        <color theme="4"/>
      </left>
      <right style="thin">
        <color theme="4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/>
      </left>
      <right style="thin">
        <color theme="4"/>
      </right>
      <top style="thin">
        <color theme="4" tint="0.399945066682943"/>
      </top>
      <bottom/>
      <diagonal/>
    </border>
    <border>
      <left style="thin">
        <color theme="4"/>
      </left>
      <right/>
      <top style="thin">
        <color theme="4" tint="0.399945066682943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7" fillId="0" borderId="0" applyFont="0" applyFill="0" applyBorder="0" applyAlignment="0" applyProtection="0">
      <alignment vertical="center"/>
    </xf>
    <xf numFmtId="44" fontId="5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2" fontId="57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7" fillId="21" borderId="33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34" applyNumberFormat="0" applyFill="0" applyAlignment="0" applyProtection="0">
      <alignment vertical="center"/>
    </xf>
    <xf numFmtId="0" fontId="64" fillId="0" borderId="34" applyNumberFormat="0" applyFill="0" applyAlignment="0" applyProtection="0">
      <alignment vertical="center"/>
    </xf>
    <xf numFmtId="0" fontId="65" fillId="0" borderId="3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2" borderId="36" applyNumberFormat="0" applyAlignment="0" applyProtection="0">
      <alignment vertical="center"/>
    </xf>
    <xf numFmtId="0" fontId="67" fillId="23" borderId="37" applyNumberFormat="0" applyAlignment="0" applyProtection="0">
      <alignment vertical="center"/>
    </xf>
    <xf numFmtId="0" fontId="68" fillId="23" borderId="36" applyNumberFormat="0" applyAlignment="0" applyProtection="0">
      <alignment vertical="center"/>
    </xf>
    <xf numFmtId="0" fontId="69" fillId="24" borderId="38" applyNumberFormat="0" applyAlignment="0" applyProtection="0">
      <alignment vertical="center"/>
    </xf>
    <xf numFmtId="0" fontId="70" fillId="0" borderId="39" applyNumberFormat="0" applyFill="0" applyAlignment="0" applyProtection="0">
      <alignment vertical="center"/>
    </xf>
    <xf numFmtId="0" fontId="71" fillId="0" borderId="40" applyNumberFormat="0" applyFill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2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75" fillId="37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5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1" fillId="0" borderId="0"/>
  </cellStyleXfs>
  <cellXfs count="247">
    <xf numFmtId="0" fontId="0" fillId="0" borderId="0" xfId="0">
      <alignment vertical="center"/>
    </xf>
    <xf numFmtId="0" fontId="1" fillId="0" borderId="0" xfId="49"/>
    <xf numFmtId="0" fontId="0" fillId="0" borderId="0" xfId="0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top" wrapText="1"/>
    </xf>
    <xf numFmtId="0" fontId="2" fillId="2" borderId="0" xfId="49" applyNumberFormat="1" applyFont="1" applyFill="1" applyBorder="1" applyAlignment="1">
      <alignment vertical="top" wrapText="1"/>
    </xf>
    <xf numFmtId="0" fontId="3" fillId="3" borderId="1" xfId="49" applyNumberFormat="1" applyFont="1" applyFill="1" applyBorder="1" applyAlignment="1">
      <alignment horizontal="center" vertical="top" wrapText="1"/>
    </xf>
    <xf numFmtId="0" fontId="3" fillId="3" borderId="2" xfId="49" applyNumberFormat="1" applyFont="1" applyFill="1" applyBorder="1" applyAlignment="1">
      <alignment horizontal="center" vertical="top" wrapText="1"/>
    </xf>
    <xf numFmtId="0" fontId="1" fillId="0" borderId="0" xfId="49" applyNumberFormat="1" applyFont="1" applyFill="1" applyBorder="1" applyAlignment="1">
      <alignment vertical="top" wrapText="1"/>
    </xf>
    <xf numFmtId="3" fontId="4" fillId="0" borderId="3" xfId="49" applyNumberFormat="1" applyFont="1" applyFill="1" applyBorder="1" applyAlignment="1">
      <alignment horizontal="center" vertical="top" wrapText="1"/>
    </xf>
    <xf numFmtId="3" fontId="4" fillId="0" borderId="4" xfId="49" applyNumberFormat="1" applyFont="1" applyFill="1" applyBorder="1" applyAlignment="1">
      <alignment horizontal="center" vertical="top" wrapText="1"/>
    </xf>
    <xf numFmtId="0" fontId="4" fillId="0" borderId="4" xfId="49" applyNumberFormat="1" applyFont="1" applyFill="1" applyBorder="1" applyAlignment="1">
      <alignment horizontal="center" vertical="top" wrapText="1"/>
    </xf>
    <xf numFmtId="3" fontId="4" fillId="0" borderId="5" xfId="49" applyNumberFormat="1" applyFont="1" applyFill="1" applyBorder="1" applyAlignment="1">
      <alignment horizontal="center" vertical="top" wrapText="1"/>
    </xf>
    <xf numFmtId="3" fontId="4" fillId="0" borderId="6" xfId="49" applyNumberFormat="1" applyFont="1" applyFill="1" applyBorder="1" applyAlignment="1">
      <alignment horizontal="center" vertical="top" wrapText="1"/>
    </xf>
    <xf numFmtId="0" fontId="4" fillId="0" borderId="6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 applyProtection="1"/>
    <xf numFmtId="0" fontId="6" fillId="4" borderId="7" xfId="0" applyNumberFormat="1" applyFont="1" applyFill="1" applyBorder="1" applyAlignment="1" applyProtection="1">
      <alignment horizontal="center" vertical="center"/>
    </xf>
    <xf numFmtId="0" fontId="7" fillId="4" borderId="7" xfId="0" applyNumberFormat="1" applyFont="1" applyFill="1" applyBorder="1" applyAlignment="1" applyProtection="1">
      <alignment horizontal="center" vertical="center" wrapText="1"/>
    </xf>
    <xf numFmtId="0" fontId="6" fillId="4" borderId="7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5" borderId="0" xfId="0" applyNumberFormat="1" applyFont="1" applyFill="1" applyBorder="1" applyAlignment="1" applyProtection="1">
      <alignment horizontal="center"/>
    </xf>
    <xf numFmtId="0" fontId="14" fillId="0" borderId="0" xfId="0" applyNumberFormat="1" applyFont="1" applyFill="1" applyBorder="1" applyAlignment="1" applyProtection="1">
      <alignment wrapText="1"/>
    </xf>
    <xf numFmtId="0" fontId="15" fillId="0" borderId="0" xfId="0" applyNumberFormat="1" applyFont="1" applyFill="1" applyBorder="1" applyAlignment="1" applyProtection="1">
      <alignment vertical="center"/>
    </xf>
    <xf numFmtId="0" fontId="9" fillId="5" borderId="0" xfId="0" applyNumberFormat="1" applyFont="1" applyFill="1" applyBorder="1" applyAlignment="1" applyProtection="1">
      <alignment horizontal="center"/>
    </xf>
    <xf numFmtId="0" fontId="10" fillId="5" borderId="0" xfId="0" applyNumberFormat="1" applyFont="1" applyFill="1" applyBorder="1" applyAlignment="1" applyProtection="1">
      <alignment horizontal="left"/>
    </xf>
    <xf numFmtId="0" fontId="10" fillId="6" borderId="0" xfId="0" applyNumberFormat="1" applyFont="1" applyFill="1" applyBorder="1" applyAlignment="1" applyProtection="1">
      <alignment horizontal="center"/>
    </xf>
    <xf numFmtId="0" fontId="10" fillId="6" borderId="0" xfId="0" applyNumberFormat="1" applyFont="1" applyFill="1" applyBorder="1" applyAlignment="1" applyProtection="1">
      <alignment horizontal="left"/>
    </xf>
    <xf numFmtId="9" fontId="16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7" borderId="8" xfId="0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9" fontId="0" fillId="0" borderId="0" xfId="3" applyFont="1">
      <alignment vertical="center"/>
    </xf>
    <xf numFmtId="0" fontId="19" fillId="0" borderId="8" xfId="0" applyFont="1" applyBorder="1" applyAlignment="1">
      <alignment horizontal="center" vertical="center"/>
    </xf>
    <xf numFmtId="177" fontId="19" fillId="0" borderId="8" xfId="0" applyNumberFormat="1" applyFont="1" applyBorder="1" applyAlignment="1">
      <alignment horizontal="center" vertical="center"/>
    </xf>
    <xf numFmtId="9" fontId="19" fillId="0" borderId="8" xfId="3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0" fontId="21" fillId="8" borderId="12" xfId="0" applyFont="1" applyFill="1" applyBorder="1" applyAlignment="1">
      <alignment horizontal="center" vertical="center"/>
    </xf>
    <xf numFmtId="0" fontId="21" fillId="8" borderId="13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78" fontId="23" fillId="0" borderId="12" xfId="0" applyNumberFormat="1" applyFont="1" applyBorder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78" fontId="19" fillId="0" borderId="0" xfId="0" applyNumberFormat="1" applyFont="1" applyFill="1" applyAlignment="1">
      <alignment horizontal="center" vertical="center"/>
    </xf>
    <xf numFmtId="178" fontId="19" fillId="0" borderId="0" xfId="3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9" fontId="19" fillId="0" borderId="0" xfId="3" applyFont="1" applyAlignment="1">
      <alignment horizontal="center" vertical="center"/>
    </xf>
    <xf numFmtId="10" fontId="19" fillId="0" borderId="0" xfId="3" applyNumberFormat="1" applyFont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78" fontId="19" fillId="5" borderId="0" xfId="0" applyNumberFormat="1" applyFont="1" applyFill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0" fontId="25" fillId="9" borderId="8" xfId="0" applyFont="1" applyFill="1" applyBorder="1" applyAlignment="1">
      <alignment horizontal="center" vertical="center"/>
    </xf>
    <xf numFmtId="177" fontId="25" fillId="9" borderId="9" xfId="0" applyNumberFormat="1" applyFont="1" applyFill="1" applyBorder="1" applyAlignment="1">
      <alignment horizontal="center" vertical="center"/>
    </xf>
    <xf numFmtId="0" fontId="25" fillId="9" borderId="14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4" fillId="0" borderId="0" xfId="3" applyNumberFormat="1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0" fontId="19" fillId="0" borderId="0" xfId="0" applyFont="1">
      <alignment vertical="center"/>
    </xf>
    <xf numFmtId="0" fontId="28" fillId="4" borderId="0" xfId="0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 applyProtection="1"/>
    <xf numFmtId="0" fontId="22" fillId="0" borderId="0" xfId="0" applyNumberFormat="1" applyFont="1" applyFill="1" applyAlignment="1" applyProtection="1"/>
    <xf numFmtId="0" fontId="22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protection locked="0"/>
    </xf>
    <xf numFmtId="0" fontId="28" fillId="4" borderId="0" xfId="0" applyFont="1" applyFill="1" applyBorder="1" applyAlignment="1">
      <alignment horizontal="center" vertical="center" wrapText="1"/>
    </xf>
    <xf numFmtId="0" fontId="28" fillId="4" borderId="0" xfId="0" applyFont="1" applyFill="1" applyBorder="1" applyAlignment="1" applyProtection="1">
      <alignment horizontal="center" vertical="center"/>
      <protection locked="0"/>
    </xf>
    <xf numFmtId="0" fontId="22" fillId="0" borderId="0" xfId="0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  <protection locked="0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left" vertical="center" wrapText="1"/>
    </xf>
    <xf numFmtId="0" fontId="22" fillId="0" borderId="0" xfId="0" applyNumberFormat="1" applyFont="1" applyFill="1" applyBorder="1" applyAlignment="1" applyProtection="1">
      <alignment vertical="center"/>
    </xf>
    <xf numFmtId="0" fontId="22" fillId="0" borderId="0" xfId="0" applyFont="1" applyFill="1" applyBorder="1" applyAlignment="1" applyProtection="1">
      <alignment horizontal="center" vertical="center"/>
      <protection locked="0"/>
    </xf>
    <xf numFmtId="0" fontId="23" fillId="10" borderId="15" xfId="0" applyFont="1" applyFill="1" applyBorder="1" applyAlignment="1">
      <alignment horizontal="center" vertical="center"/>
    </xf>
    <xf numFmtId="0" fontId="21" fillId="11" borderId="0" xfId="0" applyFont="1" applyFill="1">
      <alignment vertical="center"/>
    </xf>
    <xf numFmtId="0" fontId="21" fillId="11" borderId="0" xfId="0" applyFont="1" applyFill="1" applyAlignment="1">
      <alignment horizontal="center" vertical="center"/>
    </xf>
    <xf numFmtId="0" fontId="30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9" fontId="19" fillId="0" borderId="0" xfId="0" applyNumberFormat="1" applyFont="1">
      <alignment vertical="center"/>
    </xf>
    <xf numFmtId="0" fontId="31" fillId="8" borderId="0" xfId="0" applyFont="1" applyFill="1">
      <alignment vertical="center"/>
    </xf>
    <xf numFmtId="0" fontId="33" fillId="0" borderId="0" xfId="0" applyFont="1">
      <alignment vertical="center"/>
    </xf>
    <xf numFmtId="0" fontId="23" fillId="0" borderId="12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23" fillId="0" borderId="12" xfId="0" applyFont="1" applyBorder="1" applyAlignment="1">
      <alignment horizontal="center" vertical="center"/>
    </xf>
    <xf numFmtId="177" fontId="23" fillId="0" borderId="12" xfId="0" applyNumberFormat="1" applyFont="1" applyBorder="1" applyAlignment="1">
      <alignment horizontal="center" vertical="center"/>
    </xf>
    <xf numFmtId="180" fontId="23" fillId="0" borderId="12" xfId="0" applyNumberFormat="1" applyFont="1" applyBorder="1" applyAlignment="1">
      <alignment horizontal="center" vertical="center"/>
    </xf>
    <xf numFmtId="178" fontId="23" fillId="5" borderId="12" xfId="0" applyNumberFormat="1" applyFont="1" applyFill="1" applyBorder="1" applyAlignment="1">
      <alignment horizontal="center" vertical="center"/>
    </xf>
    <xf numFmtId="0" fontId="21" fillId="8" borderId="16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9" fontId="34" fillId="0" borderId="8" xfId="0" applyNumberFormat="1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10" fontId="34" fillId="0" borderId="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35" fillId="8" borderId="12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177" fontId="27" fillId="0" borderId="12" xfId="0" applyNumberFormat="1" applyFont="1" applyBorder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0" fontId="36" fillId="8" borderId="12" xfId="0" applyFont="1" applyFill="1" applyBorder="1" applyAlignment="1">
      <alignment horizontal="center" vertical="center"/>
    </xf>
    <xf numFmtId="0" fontId="36" fillId="8" borderId="16" xfId="0" applyFont="1" applyFill="1" applyBorder="1" applyAlignment="1">
      <alignment horizontal="center" vertical="center"/>
    </xf>
    <xf numFmtId="0" fontId="36" fillId="8" borderId="17" xfId="0" applyFont="1" applyFill="1" applyBorder="1" applyAlignment="1">
      <alignment horizontal="center" vertical="center" wrapText="1"/>
    </xf>
    <xf numFmtId="0" fontId="36" fillId="8" borderId="18" xfId="0" applyFont="1" applyFill="1" applyBorder="1" applyAlignment="1">
      <alignment horizontal="center" vertical="center"/>
    </xf>
    <xf numFmtId="0" fontId="32" fillId="0" borderId="12" xfId="0" applyFont="1" applyBorder="1" applyAlignment="1">
      <alignment horizontal="center"/>
    </xf>
    <xf numFmtId="0" fontId="32" fillId="0" borderId="12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9" fontId="32" fillId="0" borderId="12" xfId="0" applyNumberFormat="1" applyFont="1" applyBorder="1" applyAlignment="1">
      <alignment horizontal="center" vertical="center"/>
    </xf>
    <xf numFmtId="181" fontId="32" fillId="0" borderId="12" xfId="0" applyNumberFormat="1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177" fontId="37" fillId="0" borderId="0" xfId="0" applyNumberFormat="1" applyFont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8" fillId="0" borderId="0" xfId="0" applyFont="1">
      <alignment vertical="center"/>
    </xf>
    <xf numFmtId="0" fontId="39" fillId="12" borderId="0" xfId="0" applyFont="1" applyFill="1" applyAlignment="1">
      <alignment horizontal="center" vertical="center"/>
    </xf>
    <xf numFmtId="177" fontId="38" fillId="0" borderId="0" xfId="0" applyNumberFormat="1" applyFont="1" applyAlignment="1">
      <alignment horizontal="center" vertical="center"/>
    </xf>
    <xf numFmtId="182" fontId="23" fillId="0" borderId="0" xfId="0" applyNumberFormat="1" applyFont="1" applyAlignment="1">
      <alignment horizontal="center" vertical="center"/>
    </xf>
    <xf numFmtId="183" fontId="19" fillId="0" borderId="0" xfId="0" applyNumberFormat="1" applyFont="1" applyAlignment="1">
      <alignment horizontal="center" vertical="center"/>
    </xf>
    <xf numFmtId="9" fontId="23" fillId="0" borderId="0" xfId="3" applyFont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40" fillId="14" borderId="0" xfId="0" applyFont="1" applyFill="1">
      <alignment vertical="center"/>
    </xf>
    <xf numFmtId="0" fontId="40" fillId="14" borderId="0" xfId="0" applyFont="1" applyFill="1" applyAlignment="1">
      <alignment horizontal="center" vertical="center"/>
    </xf>
    <xf numFmtId="176" fontId="34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39" fillId="15" borderId="0" xfId="0" applyFont="1" applyFill="1" applyAlignment="1">
      <alignment horizontal="center" vertical="center"/>
    </xf>
    <xf numFmtId="0" fontId="38" fillId="5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0" xfId="0" applyNumberFormat="1" applyFont="1" applyAlignment="1">
      <alignment horizontal="center" vertical="center"/>
    </xf>
    <xf numFmtId="0" fontId="21" fillId="15" borderId="12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9" fontId="19" fillId="0" borderId="0" xfId="3" applyFont="1">
      <alignment vertical="center"/>
    </xf>
    <xf numFmtId="0" fontId="40" fillId="0" borderId="0" xfId="0" applyFont="1">
      <alignment vertical="center"/>
    </xf>
    <xf numFmtId="0" fontId="40" fillId="9" borderId="0" xfId="0" applyFont="1" applyFill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21" xfId="0" applyFont="1" applyBorder="1" applyAlignment="1">
      <alignment horizontal="center" vertical="center"/>
    </xf>
    <xf numFmtId="177" fontId="23" fillId="0" borderId="21" xfId="0" applyNumberFormat="1" applyFont="1" applyBorder="1" applyAlignment="1">
      <alignment horizontal="center" vertical="center"/>
    </xf>
    <xf numFmtId="0" fontId="23" fillId="0" borderId="21" xfId="0" applyFont="1" applyFill="1" applyBorder="1" applyAlignment="1">
      <alignment horizontal="center" vertical="center"/>
    </xf>
    <xf numFmtId="177" fontId="23" fillId="0" borderId="21" xfId="0" applyNumberFormat="1" applyFont="1" applyFill="1" applyBorder="1" applyAlignment="1">
      <alignment horizontal="center" vertical="center"/>
    </xf>
    <xf numFmtId="0" fontId="21" fillId="14" borderId="12" xfId="0" applyFont="1" applyFill="1" applyBorder="1" applyAlignment="1">
      <alignment horizontal="center" vertical="center"/>
    </xf>
    <xf numFmtId="9" fontId="23" fillId="0" borderId="21" xfId="3" applyFont="1" applyBorder="1" applyAlignment="1">
      <alignment horizontal="center" vertical="center"/>
    </xf>
    <xf numFmtId="0" fontId="23" fillId="0" borderId="21" xfId="3" applyNumberFormat="1" applyFont="1" applyBorder="1" applyAlignment="1">
      <alignment horizontal="center" vertical="center"/>
    </xf>
    <xf numFmtId="184" fontId="23" fillId="0" borderId="21" xfId="0" applyNumberFormat="1" applyFont="1" applyBorder="1" applyAlignment="1">
      <alignment horizontal="center" vertical="center"/>
    </xf>
    <xf numFmtId="176" fontId="23" fillId="0" borderId="21" xfId="3" applyNumberFormat="1" applyFont="1" applyBorder="1" applyAlignment="1">
      <alignment horizontal="center" vertical="center"/>
    </xf>
    <xf numFmtId="177" fontId="23" fillId="0" borderId="21" xfId="3" applyNumberFormat="1" applyFont="1" applyBorder="1" applyAlignment="1">
      <alignment horizontal="center" vertical="center"/>
    </xf>
    <xf numFmtId="185" fontId="23" fillId="0" borderId="21" xfId="3" applyNumberFormat="1" applyFont="1" applyBorder="1" applyAlignment="1">
      <alignment horizontal="center" vertical="center"/>
    </xf>
    <xf numFmtId="180" fontId="23" fillId="0" borderId="15" xfId="0" applyNumberFormat="1" applyFont="1" applyBorder="1" applyAlignment="1">
      <alignment horizontal="center" vertical="center"/>
    </xf>
    <xf numFmtId="9" fontId="23" fillId="0" borderId="15" xfId="3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23" fillId="0" borderId="0" xfId="0" applyFont="1" applyFill="1" applyAlignment="1">
      <alignment horizontal="center" vertical="center"/>
    </xf>
    <xf numFmtId="0" fontId="23" fillId="0" borderId="0" xfId="0" applyNumberFormat="1" applyFont="1" applyFill="1" applyAlignment="1">
      <alignment horizontal="center" vertical="center"/>
    </xf>
    <xf numFmtId="0" fontId="38" fillId="0" borderId="0" xfId="0" applyNumberFormat="1" applyFont="1" applyFill="1" applyAlignment="1">
      <alignment horizontal="center" vertical="center"/>
    </xf>
    <xf numFmtId="0" fontId="23" fillId="0" borderId="21" xfId="0" applyFont="1" applyBorder="1" applyAlignment="1">
      <alignment horizontal="right" vertical="center"/>
    </xf>
    <xf numFmtId="10" fontId="40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0" fillId="16" borderId="0" xfId="0" applyFont="1" applyFill="1" applyAlignment="1">
      <alignment horizontal="center" vertical="center"/>
    </xf>
    <xf numFmtId="0" fontId="45" fillId="16" borderId="22" xfId="0" applyFont="1" applyFill="1" applyBorder="1" applyAlignment="1">
      <alignment horizontal="center" vertical="center"/>
    </xf>
    <xf numFmtId="0" fontId="23" fillId="0" borderId="21" xfId="0" applyNumberFormat="1" applyFont="1" applyFill="1" applyBorder="1" applyAlignment="1">
      <alignment horizontal="center" vertical="center"/>
    </xf>
    <xf numFmtId="0" fontId="23" fillId="0" borderId="21" xfId="0" applyNumberFormat="1" applyFont="1" applyBorder="1" applyAlignment="1">
      <alignment horizontal="center" vertical="center"/>
    </xf>
    <xf numFmtId="0" fontId="23" fillId="17" borderId="21" xfId="0" applyFont="1" applyFill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10" fontId="19" fillId="0" borderId="0" xfId="0" applyNumberFormat="1" applyFont="1">
      <alignment vertical="center"/>
    </xf>
    <xf numFmtId="0" fontId="23" fillId="0" borderId="0" xfId="0" applyNumberFormat="1" applyFont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176" fontId="21" fillId="8" borderId="23" xfId="0" applyNumberFormat="1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/>
    </xf>
    <xf numFmtId="0" fontId="30" fillId="10" borderId="25" xfId="0" applyNumberFormat="1" applyFont="1" applyFill="1" applyBorder="1" applyAlignment="1">
      <alignment horizontal="center" vertical="center"/>
    </xf>
    <xf numFmtId="186" fontId="34" fillId="10" borderId="25" xfId="0" applyNumberFormat="1" applyFont="1" applyFill="1" applyBorder="1" applyAlignment="1">
      <alignment horizontal="center" vertical="center"/>
    </xf>
    <xf numFmtId="186" fontId="34" fillId="10" borderId="15" xfId="0" applyNumberFormat="1" applyFont="1" applyFill="1" applyBorder="1" applyAlignment="1">
      <alignment horizontal="center" vertical="center"/>
    </xf>
    <xf numFmtId="0" fontId="19" fillId="0" borderId="0" xfId="0" applyNumberFormat="1" applyFont="1">
      <alignment vertical="center"/>
    </xf>
    <xf numFmtId="0" fontId="23" fillId="10" borderId="26" xfId="0" applyFont="1" applyFill="1" applyBorder="1" applyAlignment="1">
      <alignment horizontal="center" vertical="center"/>
    </xf>
    <xf numFmtId="0" fontId="30" fillId="10" borderId="15" xfId="0" applyNumberFormat="1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center" vertical="center"/>
    </xf>
    <xf numFmtId="0" fontId="23" fillId="10" borderId="26" xfId="0" applyNumberFormat="1" applyFont="1" applyFill="1" applyBorder="1" applyAlignment="1">
      <alignment horizontal="center" vertical="center"/>
    </xf>
    <xf numFmtId="0" fontId="30" fillId="0" borderId="15" xfId="0" applyNumberFormat="1" applyFont="1" applyFill="1" applyBorder="1" applyAlignment="1">
      <alignment horizontal="center" vertical="center"/>
    </xf>
    <xf numFmtId="186" fontId="34" fillId="0" borderId="15" xfId="0" applyNumberFormat="1" applyFont="1" applyFill="1" applyBorder="1" applyAlignment="1">
      <alignment horizontal="center" vertical="center"/>
    </xf>
    <xf numFmtId="0" fontId="23" fillId="0" borderId="15" xfId="0" applyNumberFormat="1" applyFont="1" applyBorder="1" applyAlignment="1">
      <alignment horizontal="center" vertical="center"/>
    </xf>
    <xf numFmtId="0" fontId="30" fillId="0" borderId="26" xfId="0" applyNumberFormat="1" applyFont="1" applyBorder="1" applyAlignment="1">
      <alignment horizontal="center" vertical="center"/>
    </xf>
    <xf numFmtId="0" fontId="30" fillId="0" borderId="15" xfId="0" applyNumberFormat="1" applyFont="1" applyBorder="1" applyAlignment="1">
      <alignment horizontal="center" vertical="center"/>
    </xf>
    <xf numFmtId="0" fontId="34" fillId="0" borderId="15" xfId="0" applyNumberFormat="1" applyFont="1" applyBorder="1" applyAlignment="1">
      <alignment horizontal="center" vertical="center"/>
    </xf>
    <xf numFmtId="186" fontId="23" fillId="0" borderId="15" xfId="0" applyNumberFormat="1" applyFont="1" applyBorder="1" applyAlignment="1">
      <alignment horizontal="center" vertical="center"/>
    </xf>
    <xf numFmtId="186" fontId="34" fillId="0" borderId="15" xfId="0" applyNumberFormat="1" applyFont="1" applyBorder="1" applyAlignment="1">
      <alignment horizontal="center" vertical="center"/>
    </xf>
    <xf numFmtId="0" fontId="23" fillId="0" borderId="26" xfId="0" applyNumberFormat="1" applyFont="1" applyBorder="1" applyAlignment="1">
      <alignment horizontal="center" vertical="center"/>
    </xf>
    <xf numFmtId="0" fontId="30" fillId="0" borderId="25" xfId="0" applyNumberFormat="1" applyFont="1" applyBorder="1" applyAlignment="1">
      <alignment horizontal="center" vertical="center"/>
    </xf>
    <xf numFmtId="186" fontId="34" fillId="0" borderId="25" xfId="0" applyNumberFormat="1" applyFont="1" applyBorder="1" applyAlignment="1">
      <alignment horizontal="center" vertical="center"/>
    </xf>
    <xf numFmtId="0" fontId="23" fillId="10" borderId="15" xfId="0" applyNumberFormat="1" applyFont="1" applyFill="1" applyBorder="1" applyAlignment="1">
      <alignment horizontal="center" vertical="center"/>
    </xf>
    <xf numFmtId="0" fontId="30" fillId="10" borderId="26" xfId="0" applyNumberFormat="1" applyFont="1" applyFill="1" applyBorder="1" applyAlignment="1">
      <alignment horizontal="center" vertical="center"/>
    </xf>
    <xf numFmtId="0" fontId="34" fillId="10" borderId="15" xfId="0" applyNumberFormat="1" applyFont="1" applyFill="1" applyBorder="1" applyAlignment="1">
      <alignment horizontal="center" vertical="center"/>
    </xf>
    <xf numFmtId="186" fontId="23" fillId="10" borderId="15" xfId="0" applyNumberFormat="1" applyFont="1" applyFill="1" applyBorder="1" applyAlignment="1">
      <alignment horizontal="center" vertical="center"/>
    </xf>
    <xf numFmtId="0" fontId="34" fillId="0" borderId="15" xfId="0" applyNumberFormat="1" applyFont="1" applyFill="1" applyBorder="1" applyAlignment="1">
      <alignment horizontal="center" vertical="center"/>
    </xf>
    <xf numFmtId="186" fontId="23" fillId="0" borderId="15" xfId="0" applyNumberFormat="1" applyFont="1" applyFill="1" applyBorder="1" applyAlignment="1">
      <alignment horizontal="center" vertical="center"/>
    </xf>
    <xf numFmtId="0" fontId="23" fillId="0" borderId="27" xfId="0" applyNumberFormat="1" applyFont="1" applyBorder="1" applyAlignment="1">
      <alignment horizontal="center" vertical="center"/>
    </xf>
    <xf numFmtId="0" fontId="30" fillId="0" borderId="28" xfId="0" applyNumberFormat="1" applyFont="1" applyBorder="1" applyAlignment="1">
      <alignment horizontal="center" vertical="center"/>
    </xf>
    <xf numFmtId="0" fontId="34" fillId="0" borderId="28" xfId="0" applyNumberFormat="1" applyFont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/>
    </xf>
    <xf numFmtId="0" fontId="30" fillId="0" borderId="24" xfId="0" applyNumberFormat="1" applyFont="1" applyBorder="1" applyAlignment="1">
      <alignment horizontal="center" vertical="center"/>
    </xf>
    <xf numFmtId="0" fontId="34" fillId="0" borderId="25" xfId="0" applyNumberFormat="1" applyFont="1" applyBorder="1" applyAlignment="1">
      <alignment horizontal="center" vertical="center"/>
    </xf>
    <xf numFmtId="0" fontId="34" fillId="10" borderId="25" xfId="0" applyNumberFormat="1" applyFont="1" applyFill="1" applyBorder="1" applyAlignment="1">
      <alignment horizontal="center" vertical="center"/>
    </xf>
    <xf numFmtId="186" fontId="23" fillId="0" borderId="25" xfId="0" applyNumberFormat="1" applyFont="1" applyBorder="1" applyAlignment="1">
      <alignment horizontal="center" vertical="center"/>
    </xf>
    <xf numFmtId="0" fontId="34" fillId="10" borderId="0" xfId="0" applyNumberFormat="1" applyFont="1" applyFill="1" applyBorder="1" applyAlignment="1">
      <alignment horizontal="center" vertical="center"/>
    </xf>
    <xf numFmtId="0" fontId="36" fillId="11" borderId="0" xfId="0" applyFont="1" applyFill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8" fillId="8" borderId="0" xfId="0" applyFont="1" applyFill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18" fillId="7" borderId="29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177" fontId="32" fillId="0" borderId="0" xfId="0" applyNumberFormat="1" applyFont="1">
      <alignment vertical="center"/>
    </xf>
    <xf numFmtId="177" fontId="19" fillId="18" borderId="8" xfId="0" applyNumberFormat="1" applyFont="1" applyFill="1" applyBorder="1" applyAlignment="1">
      <alignment horizontal="center" vertical="center"/>
    </xf>
    <xf numFmtId="177" fontId="32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176" fontId="51" fillId="0" borderId="0" xfId="0" applyNumberFormat="1" applyFont="1">
      <alignment vertical="center"/>
    </xf>
    <xf numFmtId="176" fontId="52" fillId="0" borderId="0" xfId="0" applyNumberFormat="1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32" fillId="0" borderId="0" xfId="0" applyFont="1" applyAlignment="1">
      <alignment horizontal="center"/>
    </xf>
    <xf numFmtId="177" fontId="19" fillId="18" borderId="0" xfId="0" applyNumberFormat="1" applyFont="1" applyFill="1" applyAlignment="1">
      <alignment horizontal="center" vertical="center"/>
    </xf>
    <xf numFmtId="177" fontId="53" fillId="18" borderId="8" xfId="0" applyNumberFormat="1" applyFont="1" applyFill="1" applyBorder="1" applyAlignment="1">
      <alignment horizontal="center" vertical="center"/>
    </xf>
    <xf numFmtId="0" fontId="32" fillId="0" borderId="0" xfId="0" applyFont="1" applyAlignment="1"/>
    <xf numFmtId="0" fontId="54" fillId="11" borderId="0" xfId="0" applyFont="1" applyFill="1">
      <alignment vertical="center"/>
    </xf>
    <xf numFmtId="0" fontId="55" fillId="0" borderId="0" xfId="0" applyFont="1">
      <alignment vertical="center"/>
    </xf>
    <xf numFmtId="0" fontId="54" fillId="19" borderId="0" xfId="0" applyFont="1" applyFill="1">
      <alignment vertical="center"/>
    </xf>
    <xf numFmtId="0" fontId="36" fillId="19" borderId="0" xfId="0" applyFont="1" applyFill="1">
      <alignment vertical="center"/>
    </xf>
    <xf numFmtId="0" fontId="32" fillId="8" borderId="0" xfId="0" applyFont="1" applyFill="1">
      <alignment vertical="center"/>
    </xf>
    <xf numFmtId="0" fontId="45" fillId="12" borderId="31" xfId="0" applyFont="1" applyFill="1" applyBorder="1" applyAlignment="1">
      <alignment horizontal="center" vertical="center"/>
    </xf>
    <xf numFmtId="0" fontId="45" fillId="14" borderId="31" xfId="0" applyFont="1" applyFill="1" applyBorder="1" applyAlignment="1">
      <alignment horizontal="center" vertical="center"/>
    </xf>
    <xf numFmtId="0" fontId="56" fillId="20" borderId="32" xfId="0" applyFont="1" applyFill="1" applyBorder="1" applyAlignment="1">
      <alignment horizontal="center" vertical="center"/>
    </xf>
    <xf numFmtId="0" fontId="0" fillId="0" borderId="0" xfId="0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53">
    <dxf>
      <font>
        <name val="等线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family val="3"/>
        <b val="1"/>
        <i val="0"/>
        <strike val="0"/>
        <u val="none"/>
        <sz val="12"/>
        <color theme="4"/>
      </font>
      <numFmt numFmtId="176" formatCode="0.0%"/>
      <alignment horizontal="center" vertical="center"/>
    </dxf>
    <dxf>
      <font>
        <name val="等线"/>
        <scheme val="none"/>
        <charset val="134"/>
        <family val="3"/>
        <b val="1"/>
        <i val="0"/>
        <strike val="0"/>
        <u val="none"/>
        <sz val="12"/>
        <color rgb="FFFF0000"/>
      </font>
      <numFmt numFmtId="176" formatCode="0.0%"/>
      <alignment horizontal="center" vertical="center"/>
    </dxf>
    <dxf>
      <numFmt numFmtId="0" formatCode="General"/>
      <alignment horizontal="center"/>
    </dxf>
    <dxf>
      <numFmt numFmtId="0" formatCode="General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family val="3"/>
        <b val="1"/>
        <i val="0"/>
        <strike val="0"/>
        <u val="none"/>
        <sz val="12"/>
        <color theme="4"/>
      </font>
      <numFmt numFmtId="177" formatCode="0_ "/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numFmt numFmtId="0" formatCode="General"/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alignment horizontal="center" vertical="center"/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numFmt numFmtId="0" formatCode="General"/>
      <alignment horizontal="center"/>
    </dxf>
    <dxf>
      <numFmt numFmtId="182" formatCode="_ * #,##0_ ;_ * \-#,##0_ ;_ * &quot;-&quot;??_ ;_ @_ "/>
      <alignment horizontal="center" vertical="center"/>
    </dxf>
    <dxf>
      <numFmt numFmtId="183" formatCode="0.00_ 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alignment horizontal="center"/>
    </dxf>
    <dxf>
      <font>
        <name val="等线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family val="3"/>
        <b val="0"/>
        <i val="0"/>
        <strike val="0"/>
        <u val="none"/>
        <sz val="12"/>
        <color auto="1"/>
      </font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numFmt numFmtId="0" formatCode="General"/>
      <alignment horizontal="center" vertical="center"/>
    </dxf>
    <dxf>
      <font>
        <name val="等线"/>
        <scheme val="none"/>
        <charset val="134"/>
        <b val="0"/>
        <i val="0"/>
        <strike val="0"/>
        <u val="none"/>
        <sz val="12"/>
        <color auto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2"/>
        <color auto="1"/>
      </font>
      <alignment horizontal="center" vertical="center"/>
      <border>
        <left style="thin">
          <color theme="4"/>
        </left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b val="0"/>
        <i val="0"/>
        <strike val="0"/>
        <u val="none"/>
        <sz val="12"/>
        <color auto="1"/>
      </font>
      <alignment horizontal="center" vertical="center"/>
      <border>
        <left style="thin">
          <color theme="4"/>
        </left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b val="0"/>
        <i val="0"/>
        <strike val="0"/>
        <u val="none"/>
        <sz val="12"/>
        <color auto="1"/>
      </font>
      <alignment horizontal="center" vertical="center"/>
      <border>
        <left style="thin">
          <color theme="4"/>
        </left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b val="0"/>
        <i val="0"/>
        <strike val="0"/>
        <u val="none"/>
        <sz val="12"/>
        <color auto="1"/>
      </font>
      <alignment horizontal="center" vertical="center"/>
      <border>
        <left style="thin">
          <color theme="4"/>
        </left>
        <right style="thin">
          <color theme="4"/>
        </right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b val="1"/>
        <i val="0"/>
        <strike val="0"/>
        <u val="none"/>
        <sz val="12"/>
        <color auto="1"/>
      </font>
      <numFmt numFmtId="0" formatCode="General"/>
      <alignment horizontal="center" vertical="center"/>
      <border>
        <left style="thin">
          <color theme="4"/>
        </left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family val="2"/>
        <b val="1"/>
        <i val="0"/>
        <strike val="0"/>
        <u val="none"/>
        <sz val="12"/>
        <color auto="1"/>
      </font>
      <numFmt numFmtId="0" formatCode="General"/>
      <alignment horizontal="center" vertical="center"/>
      <border>
        <left style="thin">
          <color theme="4"/>
        </left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family val="2"/>
        <b val="1"/>
        <i val="0"/>
        <strike val="0"/>
        <u val="none"/>
        <sz val="12"/>
        <color theme="4"/>
      </font>
      <numFmt numFmtId="0" formatCode="General"/>
      <alignment horizontal="center" vertical="center"/>
      <border>
        <left style="thin">
          <color theme="4"/>
        </left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b val="0"/>
        <i val="0"/>
        <strike val="0"/>
        <u val="none"/>
        <sz val="12"/>
        <color auto="1"/>
      </font>
      <numFmt numFmtId="186" formatCode="0.00_);[Red]\(0.00\)"/>
      <alignment horizontal="center" vertical="center"/>
    </dxf>
    <dxf>
      <numFmt numFmtId="186" formatCode="0.00_);[Red]\(0.00\)"/>
    </dxf>
    <dxf>
      <numFmt numFmtId="0" formatCode="General"/>
    </dxf>
    <dxf>
      <font>
        <name val="微软雅黑"/>
        <scheme val="none"/>
        <charset val="134"/>
        <family val="0"/>
        <b val="1"/>
        <i val="0"/>
        <strike val="0"/>
        <u val="none"/>
        <sz val="12"/>
        <color rgb="FFFF0000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alignment horizontal="left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2"/>
        <color auto="1"/>
      </font>
      <alignment horizontal="center" vertical="center"/>
      <border>
        <left/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2"/>
        <color auto="1"/>
      </font>
      <numFmt numFmtId="177" formatCode="0_ "/>
      <alignment horizontal="center" vertical="center"/>
      <border>
        <left/>
        <right/>
        <top style="thin">
          <color theme="4" tint="0.399945066682943"/>
        </top>
        <bottom style="thin">
          <color theme="4" tint="0.399945066682943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alignment horizontal="center"/>
    </dxf>
    <dxf>
      <font>
        <name val="微软雅黑"/>
        <scheme val="none"/>
        <charset val="134"/>
        <family val="0"/>
        <b val="1"/>
        <i val="0"/>
        <strike val="0"/>
        <u val="none"/>
        <sz val="12"/>
        <color auto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2"/>
        <color auto="1"/>
      </font>
    </dxf>
    <dxf>
      <alignment horizontal="right"/>
    </dxf>
    <dxf>
      <alignment horizontal="center"/>
    </dxf>
    <dxf>
      <numFmt numFmtId="10" formatCode="0.00%"/>
      <alignment horizontal="center"/>
    </dxf>
    <dxf>
      <font>
        <name val="微软雅黑"/>
        <scheme val="none"/>
        <charset val="134"/>
        <family val="0"/>
        <b val="1"/>
        <i val="0"/>
        <strike val="0"/>
        <u val="none"/>
        <sz val="12"/>
        <color auto="1"/>
      </font>
      <fill>
        <patternFill patternType="solid">
          <bgColor theme="0" tint="-0.15"/>
        </patternFill>
      </fill>
    </dxf>
    <dxf>
      <font>
        <name val="微软雅黑"/>
        <scheme val="none"/>
        <charset val="134"/>
        <family val="0"/>
        <b val="0"/>
        <i val="0"/>
        <strike val="0"/>
        <u val="none"/>
        <sz val="12"/>
        <color auto="1"/>
      </font>
      <fill>
        <patternFill patternType="solid">
          <bgColor theme="0" tint="-0.15"/>
        </patternFill>
      </fill>
      <alignment horizontal="center" vertical="center"/>
      <border>
        <left/>
        <right/>
        <top style="thin">
          <color theme="4" tint="0.399945066682943"/>
        </top>
        <bottom style="thin">
          <color theme="4" tint="0.399945066682943"/>
        </bottom>
      </border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left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ont>
        <name val="Microsoft Yahei"/>
        <scheme val="none"/>
        <charset val="134"/>
        <family val="2"/>
        <b val="0"/>
        <i val="0"/>
        <strike val="0"/>
        <u val="none"/>
        <sz val="9"/>
        <color indexed="8"/>
      </font>
      <numFmt numFmtId="0" formatCode="General"/>
      <fill>
        <patternFill patternType="solid">
          <bgColor rgb="FFFFFF00"/>
        </patternFill>
      </fill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2"/>
      <tableStyleElement type="headerRow" dxfId="141"/>
      <tableStyleElement type="totalRow" dxfId="140"/>
      <tableStyleElement type="firstColumn" dxfId="139"/>
      <tableStyleElement type="lastColumn" dxfId="138"/>
      <tableStyleElement type="firstRowStripe" dxfId="137"/>
      <tableStyleElement type="firstColumnStripe" dxfId="136"/>
    </tableStyle>
    <tableStyle name="PivotStylePreset2_Accent1" table="0" count="10" xr9:uid="{267968C8-6FFD-4C36-ACC1-9EA1FD1885CA}">
      <tableStyleElement type="headerRow" dxfId="152"/>
      <tableStyleElement type="totalRow" dxfId="151"/>
      <tableStyleElement type="firstRowStripe" dxfId="150"/>
      <tableStyleElement type="firstColumnStripe" dxfId="149"/>
      <tableStyleElement type="firstSubtotalRow" dxfId="148"/>
      <tableStyleElement type="secondSubtotalRow" dxfId="147"/>
      <tableStyleElement type="firstRowSubheading" dxfId="146"/>
      <tableStyleElement type="secondRowSubheading" dxfId="145"/>
      <tableStyleElement type="pageFieldLabels" dxfId="144"/>
      <tableStyleElement type="pageFieldValues" dxfId="14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装备属性!$E$919:$E$955</c:f>
              <c:numCache>
                <c:formatCode>General</c:formatCode>
                <c:ptCount val="3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18</c:v>
                </c:pt>
                <c:pt idx="4">
                  <c:v>24</c:v>
                </c:pt>
                <c:pt idx="5">
                  <c:v>40</c:v>
                </c:pt>
                <c:pt idx="6">
                  <c:v>93</c:v>
                </c:pt>
                <c:pt idx="7">
                  <c:v>215</c:v>
                </c:pt>
                <c:pt idx="8">
                  <c:v>366</c:v>
                </c:pt>
                <c:pt idx="9">
                  <c:v>416</c:v>
                </c:pt>
                <c:pt idx="10">
                  <c:v>464</c:v>
                </c:pt>
                <c:pt idx="11">
                  <c:v>526</c:v>
                </c:pt>
                <c:pt idx="12">
                  <c:v>586</c:v>
                </c:pt>
                <c:pt idx="13">
                  <c:v>695</c:v>
                </c:pt>
                <c:pt idx="14">
                  <c:v>750</c:v>
                </c:pt>
                <c:pt idx="15">
                  <c:v>778</c:v>
                </c:pt>
                <c:pt idx="16">
                  <c:v>805</c:v>
                </c:pt>
                <c:pt idx="17">
                  <c:v>911</c:v>
                </c:pt>
                <c:pt idx="18">
                  <c:v>1091</c:v>
                </c:pt>
                <c:pt idx="19">
                  <c:v>1182</c:v>
                </c:pt>
                <c:pt idx="20">
                  <c:v>1272</c:v>
                </c:pt>
                <c:pt idx="21">
                  <c:v>1362</c:v>
                </c:pt>
                <c:pt idx="22">
                  <c:v>1452</c:v>
                </c:pt>
                <c:pt idx="23">
                  <c:v>1483</c:v>
                </c:pt>
                <c:pt idx="24">
                  <c:v>1513</c:v>
                </c:pt>
                <c:pt idx="25">
                  <c:v>1544</c:v>
                </c:pt>
                <c:pt idx="26">
                  <c:v>1574</c:v>
                </c:pt>
                <c:pt idx="27">
                  <c:v>1605</c:v>
                </c:pt>
                <c:pt idx="28">
                  <c:v>1636</c:v>
                </c:pt>
                <c:pt idx="29">
                  <c:v>1667</c:v>
                </c:pt>
                <c:pt idx="30">
                  <c:v>1697</c:v>
                </c:pt>
                <c:pt idx="31">
                  <c:v>1761</c:v>
                </c:pt>
                <c:pt idx="32">
                  <c:v>1824</c:v>
                </c:pt>
                <c:pt idx="33">
                  <c:v>1888</c:v>
                </c:pt>
                <c:pt idx="34">
                  <c:v>1951</c:v>
                </c:pt>
                <c:pt idx="35">
                  <c:v>2019</c:v>
                </c:pt>
                <c:pt idx="36">
                  <c:v>2087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5516779"/>
        <c:axId val="189259254"/>
      </c:lineChart>
      <c:catAx>
        <c:axId val="9155167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259254"/>
        <c:crosses val="autoZero"/>
        <c:auto val="1"/>
        <c:lblAlgn val="ctr"/>
        <c:lblOffset val="100"/>
        <c:noMultiLvlLbl val="0"/>
      </c:catAx>
      <c:valAx>
        <c:axId val="1892592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55167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77f27c-80ee-41e1-b058-ca5db11d8c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493395</xdr:colOff>
      <xdr:row>53</xdr:row>
      <xdr:rowOff>26035</xdr:rowOff>
    </xdr:from>
    <xdr:to>
      <xdr:col>17</xdr:col>
      <xdr:colOff>283845</xdr:colOff>
      <xdr:row>57</xdr:row>
      <xdr:rowOff>226060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82755" y="12151360"/>
          <a:ext cx="230505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682625</xdr:colOff>
      <xdr:row>955</xdr:row>
      <xdr:rowOff>122555</xdr:rowOff>
    </xdr:from>
    <xdr:to>
      <xdr:col>8</xdr:col>
      <xdr:colOff>568960</xdr:colOff>
      <xdr:row>964</xdr:row>
      <xdr:rowOff>180975</xdr:rowOff>
    </xdr:to>
    <xdr:graphicFrame>
      <xdr:nvGraphicFramePr>
        <xdr:cNvPr id="3" name="图表 2"/>
        <xdr:cNvGraphicFramePr/>
      </xdr:nvGraphicFramePr>
      <xdr:xfrm>
        <a:off x="1692275" y="212663405"/>
        <a:ext cx="4824095" cy="2030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kingsoft\office6\backup\&#12298;&#26790;&#22659;&#25252;&#21355;&#38431;&#12299;1-0&#25968;&#20540;&#24635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kingsoft\office6\backup\&#12298;&#26790;&#22659;&#25252;&#21355;&#38431;&#12299;3-2&#21103;&#26412;&#20135;&#2098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angeLog"/>
      <sheetName val="核心循环"/>
      <sheetName val="战斗公式"/>
      <sheetName val="养成框架"/>
      <sheetName val="养成框架(续)"/>
      <sheetName val="属性规划"/>
      <sheetName val="玩法框架"/>
      <sheetName val="内容释放节奏"/>
      <sheetName val="商业化框架"/>
      <sheetName val="商业化框架(续)"/>
      <sheetName val="养成材料产销框架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75">
          <cell r="S75">
            <v>12</v>
          </cell>
          <cell r="T75">
            <v>10</v>
          </cell>
          <cell r="U75">
            <v>10</v>
          </cell>
          <cell r="V75" t="str">
            <v>蓝</v>
          </cell>
        </row>
        <row r="76">
          <cell r="S76">
            <v>18</v>
          </cell>
          <cell r="T76">
            <v>20</v>
          </cell>
          <cell r="U76">
            <v>16</v>
          </cell>
          <cell r="V76" t="str">
            <v>紫</v>
          </cell>
        </row>
        <row r="77">
          <cell r="S77">
            <v>22</v>
          </cell>
          <cell r="T77">
            <v>30</v>
          </cell>
          <cell r="U77">
            <v>20</v>
          </cell>
          <cell r="V77" t="str">
            <v>橙</v>
          </cell>
        </row>
        <row r="78">
          <cell r="S78">
            <v>25</v>
          </cell>
          <cell r="T78">
            <v>30</v>
          </cell>
          <cell r="U78">
            <v>24</v>
          </cell>
          <cell r="V78" t="str">
            <v>橙</v>
          </cell>
        </row>
        <row r="79">
          <cell r="S79">
            <v>28</v>
          </cell>
          <cell r="T79">
            <v>30</v>
          </cell>
          <cell r="U79">
            <v>27</v>
          </cell>
          <cell r="V79" t="str">
            <v>橙</v>
          </cell>
        </row>
        <row r="80">
          <cell r="S80">
            <v>30</v>
          </cell>
          <cell r="T80">
            <v>40</v>
          </cell>
          <cell r="U80">
            <v>30</v>
          </cell>
          <cell r="V80" t="str">
            <v>橙</v>
          </cell>
        </row>
        <row r="81">
          <cell r="S81">
            <v>32</v>
          </cell>
          <cell r="T81">
            <v>40</v>
          </cell>
          <cell r="U81">
            <v>32</v>
          </cell>
          <cell r="V81" t="str">
            <v>橙</v>
          </cell>
        </row>
        <row r="82">
          <cell r="S82">
            <v>34</v>
          </cell>
          <cell r="T82">
            <v>40</v>
          </cell>
          <cell r="U82">
            <v>34</v>
          </cell>
          <cell r="V82" t="str">
            <v>红</v>
          </cell>
        </row>
        <row r="83">
          <cell r="S83">
            <v>36</v>
          </cell>
          <cell r="T83">
            <v>40</v>
          </cell>
          <cell r="U83">
            <v>36</v>
          </cell>
          <cell r="V83" t="str">
            <v>红</v>
          </cell>
        </row>
        <row r="84">
          <cell r="S84">
            <v>38</v>
          </cell>
          <cell r="T84">
            <v>40</v>
          </cell>
          <cell r="U84">
            <v>38</v>
          </cell>
          <cell r="V84" t="str">
            <v>红</v>
          </cell>
        </row>
        <row r="85">
          <cell r="S85">
            <v>40</v>
          </cell>
          <cell r="T85">
            <v>50</v>
          </cell>
          <cell r="U85">
            <v>40</v>
          </cell>
          <cell r="V85" t="str">
            <v>红</v>
          </cell>
        </row>
        <row r="86">
          <cell r="S86">
            <v>42</v>
          </cell>
          <cell r="T86">
            <v>50</v>
          </cell>
          <cell r="U86">
            <v>42</v>
          </cell>
          <cell r="V86" t="str">
            <v>红</v>
          </cell>
        </row>
        <row r="87">
          <cell r="S87">
            <v>44</v>
          </cell>
          <cell r="T87">
            <v>50</v>
          </cell>
          <cell r="U87">
            <v>44</v>
          </cell>
          <cell r="V87" t="str">
            <v>红</v>
          </cell>
        </row>
        <row r="88">
          <cell r="S88">
            <v>45</v>
          </cell>
          <cell r="T88">
            <v>50</v>
          </cell>
          <cell r="U88">
            <v>45</v>
          </cell>
          <cell r="V88" t="str">
            <v>红</v>
          </cell>
        </row>
        <row r="89">
          <cell r="S89">
            <v>46</v>
          </cell>
          <cell r="T89">
            <v>50</v>
          </cell>
          <cell r="U89">
            <v>46</v>
          </cell>
          <cell r="V89" t="str">
            <v>红</v>
          </cell>
        </row>
        <row r="90">
          <cell r="S90">
            <v>47</v>
          </cell>
          <cell r="T90">
            <v>50</v>
          </cell>
          <cell r="U90">
            <v>47</v>
          </cell>
          <cell r="V90" t="str">
            <v>红</v>
          </cell>
        </row>
        <row r="91">
          <cell r="S91">
            <v>51</v>
          </cell>
          <cell r="T91">
            <v>60</v>
          </cell>
          <cell r="U91">
            <v>51</v>
          </cell>
          <cell r="V91" t="str">
            <v>红</v>
          </cell>
        </row>
        <row r="92">
          <cell r="S92">
            <v>56</v>
          </cell>
          <cell r="T92">
            <v>60</v>
          </cell>
          <cell r="U92">
            <v>58</v>
          </cell>
          <cell r="V92" t="str">
            <v>粉</v>
          </cell>
        </row>
        <row r="93">
          <cell r="S93">
            <v>61</v>
          </cell>
          <cell r="T93">
            <v>70</v>
          </cell>
          <cell r="U93">
            <v>62.9</v>
          </cell>
          <cell r="V93" t="str">
            <v>粉</v>
          </cell>
        </row>
        <row r="94">
          <cell r="S94">
            <v>66</v>
          </cell>
          <cell r="T94">
            <v>70</v>
          </cell>
          <cell r="U94">
            <v>67.8</v>
          </cell>
          <cell r="V94" t="str">
            <v>粉</v>
          </cell>
        </row>
        <row r="95">
          <cell r="S95">
            <v>71</v>
          </cell>
          <cell r="T95">
            <v>80</v>
          </cell>
          <cell r="U95">
            <v>72.7</v>
          </cell>
          <cell r="V95" t="str">
            <v>粉</v>
          </cell>
        </row>
        <row r="96">
          <cell r="S96">
            <v>76</v>
          </cell>
          <cell r="T96">
            <v>80</v>
          </cell>
          <cell r="U96">
            <v>77.6</v>
          </cell>
          <cell r="V96" t="str">
            <v>粉</v>
          </cell>
        </row>
        <row r="97">
          <cell r="S97">
            <v>78.5</v>
          </cell>
          <cell r="T97">
            <v>80</v>
          </cell>
          <cell r="U97">
            <v>80.4</v>
          </cell>
          <cell r="V97" t="str">
            <v>粉</v>
          </cell>
        </row>
        <row r="98">
          <cell r="S98">
            <v>88.5</v>
          </cell>
          <cell r="T98">
            <v>90</v>
          </cell>
          <cell r="U98">
            <v>91.6</v>
          </cell>
          <cell r="V98" t="str">
            <v>粉</v>
          </cell>
        </row>
        <row r="99">
          <cell r="S99">
            <v>93.8571428571429</v>
          </cell>
          <cell r="T99">
            <v>100</v>
          </cell>
          <cell r="U99">
            <v>97.6</v>
          </cell>
          <cell r="V99" t="str">
            <v>彩</v>
          </cell>
        </row>
        <row r="100">
          <cell r="S100">
            <v>99.2142857142858</v>
          </cell>
          <cell r="T100">
            <v>100</v>
          </cell>
          <cell r="U100">
            <v>103.6</v>
          </cell>
          <cell r="V100" t="str">
            <v>彩</v>
          </cell>
        </row>
        <row r="101">
          <cell r="S101">
            <v>106.357142857143</v>
          </cell>
          <cell r="T101">
            <v>110</v>
          </cell>
          <cell r="U101">
            <v>111.6</v>
          </cell>
          <cell r="V101" t="str">
            <v>彩</v>
          </cell>
        </row>
        <row r="102">
          <cell r="S102">
            <v>117.071428571429</v>
          </cell>
          <cell r="T102">
            <v>120</v>
          </cell>
          <cell r="U102">
            <v>123.6</v>
          </cell>
          <cell r="V102" t="str">
            <v>彩</v>
          </cell>
        </row>
        <row r="103">
          <cell r="S103">
            <v>127.785714285714</v>
          </cell>
          <cell r="T103">
            <v>130</v>
          </cell>
          <cell r="U103">
            <v>135.6</v>
          </cell>
          <cell r="V103" t="str">
            <v>彩</v>
          </cell>
        </row>
        <row r="104">
          <cell r="S104">
            <v>138.5</v>
          </cell>
          <cell r="T104">
            <v>140</v>
          </cell>
          <cell r="U104">
            <v>147.6</v>
          </cell>
          <cell r="V104" t="str">
            <v>彩</v>
          </cell>
        </row>
        <row r="105">
          <cell r="S105">
            <v>149.214285714286</v>
          </cell>
          <cell r="T105">
            <v>150</v>
          </cell>
          <cell r="U105">
            <v>159.6</v>
          </cell>
          <cell r="V105" t="str">
            <v>彩</v>
          </cell>
        </row>
        <row r="106">
          <cell r="S106">
            <v>165.285714285714</v>
          </cell>
          <cell r="T106">
            <v>170</v>
          </cell>
          <cell r="U106">
            <v>177.6</v>
          </cell>
          <cell r="V106" t="str">
            <v>彩</v>
          </cell>
        </row>
        <row r="159">
          <cell r="L159">
            <v>270</v>
          </cell>
          <cell r="M159">
            <v>180</v>
          </cell>
          <cell r="N159">
            <v>72</v>
          </cell>
        </row>
        <row r="160">
          <cell r="L160">
            <v>372.6</v>
          </cell>
          <cell r="M160">
            <v>324</v>
          </cell>
          <cell r="N160">
            <v>108</v>
          </cell>
        </row>
        <row r="161">
          <cell r="L161">
            <v>514.8</v>
          </cell>
          <cell r="M161">
            <v>420</v>
          </cell>
          <cell r="N161">
            <v>176</v>
          </cell>
        </row>
        <row r="162">
          <cell r="L162">
            <v>514.8</v>
          </cell>
          <cell r="M162">
            <v>540</v>
          </cell>
          <cell r="N162">
            <v>192</v>
          </cell>
        </row>
        <row r="163">
          <cell r="L163">
            <v>514.8</v>
          </cell>
          <cell r="M163">
            <v>630</v>
          </cell>
          <cell r="N163">
            <v>208</v>
          </cell>
        </row>
        <row r="164">
          <cell r="L164">
            <v>591.5</v>
          </cell>
          <cell r="M164">
            <v>756</v>
          </cell>
          <cell r="N164">
            <v>224</v>
          </cell>
        </row>
        <row r="165">
          <cell r="L165">
            <v>591.5</v>
          </cell>
          <cell r="M165">
            <v>840</v>
          </cell>
          <cell r="N165">
            <v>240</v>
          </cell>
        </row>
        <row r="166">
          <cell r="L166">
            <v>728</v>
          </cell>
          <cell r="M166">
            <v>924</v>
          </cell>
          <cell r="N166">
            <v>240</v>
          </cell>
        </row>
        <row r="167">
          <cell r="L167">
            <v>728</v>
          </cell>
          <cell r="M167">
            <v>1008</v>
          </cell>
          <cell r="N167">
            <v>240</v>
          </cell>
        </row>
        <row r="168">
          <cell r="L168">
            <v>728</v>
          </cell>
          <cell r="M168">
            <v>1092</v>
          </cell>
          <cell r="N168">
            <v>240</v>
          </cell>
        </row>
        <row r="169">
          <cell r="L169">
            <v>836.8</v>
          </cell>
          <cell r="M169">
            <v>1188</v>
          </cell>
          <cell r="N169">
            <v>240</v>
          </cell>
        </row>
        <row r="170">
          <cell r="L170">
            <v>836.8</v>
          </cell>
          <cell r="M170">
            <v>1284</v>
          </cell>
          <cell r="N170">
            <v>240</v>
          </cell>
        </row>
        <row r="171">
          <cell r="L171">
            <v>836.8</v>
          </cell>
          <cell r="M171">
            <v>1380</v>
          </cell>
          <cell r="N171">
            <v>240</v>
          </cell>
        </row>
        <row r="172">
          <cell r="L172">
            <v>836.8</v>
          </cell>
          <cell r="M172">
            <v>1428</v>
          </cell>
          <cell r="N172">
            <v>240</v>
          </cell>
        </row>
        <row r="173">
          <cell r="L173">
            <v>836.8</v>
          </cell>
          <cell r="M173">
            <v>1476</v>
          </cell>
          <cell r="N173">
            <v>360</v>
          </cell>
        </row>
        <row r="174">
          <cell r="L174">
            <v>836.8</v>
          </cell>
          <cell r="M174">
            <v>1524</v>
          </cell>
          <cell r="N174">
            <v>360</v>
          </cell>
        </row>
        <row r="175">
          <cell r="L175">
            <v>961.6</v>
          </cell>
          <cell r="M175">
            <v>1716</v>
          </cell>
          <cell r="N175">
            <v>360</v>
          </cell>
        </row>
        <row r="176">
          <cell r="L176">
            <v>1202</v>
          </cell>
          <cell r="M176">
            <v>2052</v>
          </cell>
          <cell r="N176">
            <v>360</v>
          </cell>
        </row>
        <row r="177">
          <cell r="L177">
            <v>1382</v>
          </cell>
          <cell r="M177">
            <v>2346</v>
          </cell>
          <cell r="N177">
            <v>360</v>
          </cell>
        </row>
        <row r="178">
          <cell r="L178">
            <v>1382</v>
          </cell>
          <cell r="M178">
            <v>2640</v>
          </cell>
          <cell r="N178">
            <v>360</v>
          </cell>
        </row>
        <row r="179">
          <cell r="L179">
            <v>1588</v>
          </cell>
          <cell r="M179">
            <v>2934</v>
          </cell>
          <cell r="N179">
            <v>360</v>
          </cell>
        </row>
        <row r="180">
          <cell r="L180">
            <v>1588</v>
          </cell>
          <cell r="M180">
            <v>3286.8</v>
          </cell>
          <cell r="N180">
            <v>360</v>
          </cell>
        </row>
        <row r="181">
          <cell r="L181">
            <v>1588</v>
          </cell>
          <cell r="M181">
            <v>3488.4</v>
          </cell>
          <cell r="N181">
            <v>450</v>
          </cell>
        </row>
        <row r="182">
          <cell r="L182">
            <v>1826</v>
          </cell>
          <cell r="M182">
            <v>4563.6</v>
          </cell>
          <cell r="N182">
            <v>450</v>
          </cell>
        </row>
        <row r="183">
          <cell r="L183">
            <v>2622.5</v>
          </cell>
          <cell r="M183">
            <v>5283.6</v>
          </cell>
          <cell r="N183">
            <v>450</v>
          </cell>
        </row>
        <row r="184">
          <cell r="L184">
            <v>2622.5</v>
          </cell>
          <cell r="M184">
            <v>6003.6</v>
          </cell>
          <cell r="N184">
            <v>450</v>
          </cell>
        </row>
        <row r="185">
          <cell r="L185">
            <v>3015</v>
          </cell>
          <cell r="M185">
            <v>7155.6</v>
          </cell>
          <cell r="N185">
            <v>450</v>
          </cell>
        </row>
        <row r="186">
          <cell r="L186">
            <v>3465</v>
          </cell>
          <cell r="M186">
            <v>9171.6</v>
          </cell>
          <cell r="N186">
            <v>540</v>
          </cell>
        </row>
        <row r="187">
          <cell r="L187">
            <v>3982.5</v>
          </cell>
          <cell r="M187">
            <v>11475.6</v>
          </cell>
          <cell r="N187">
            <v>540</v>
          </cell>
        </row>
        <row r="188">
          <cell r="L188">
            <v>4577.5</v>
          </cell>
          <cell r="M188">
            <v>14211.6</v>
          </cell>
          <cell r="N188">
            <v>540</v>
          </cell>
        </row>
        <row r="189">
          <cell r="L189">
            <v>5262.5</v>
          </cell>
          <cell r="M189">
            <v>17379.6</v>
          </cell>
          <cell r="N189">
            <v>540</v>
          </cell>
        </row>
        <row r="190">
          <cell r="L190">
            <v>6957.5</v>
          </cell>
          <cell r="M190">
            <v>22563.6</v>
          </cell>
          <cell r="N190">
            <v>540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版本日志"/>
      <sheetName val="设计思路"/>
      <sheetName val="主线关卡"/>
      <sheetName val="精英关卡"/>
      <sheetName val="挑战关卡"/>
      <sheetName val="价值表"/>
    </sheetNames>
    <sheetDataSet>
      <sheetData sheetId="0"/>
      <sheetData sheetId="1"/>
      <sheetData sheetId="2">
        <row r="27">
          <cell r="D27">
            <v>1</v>
          </cell>
          <cell r="E27">
            <v>1</v>
          </cell>
        </row>
        <row r="28">
          <cell r="D28">
            <v>2</v>
          </cell>
          <cell r="E28">
            <v>1</v>
          </cell>
        </row>
        <row r="29">
          <cell r="D29">
            <v>3</v>
          </cell>
          <cell r="E29">
            <v>1</v>
          </cell>
        </row>
        <row r="30">
          <cell r="D30">
            <v>4</v>
          </cell>
          <cell r="E30">
            <v>1</v>
          </cell>
        </row>
        <row r="31">
          <cell r="D31">
            <v>5</v>
          </cell>
          <cell r="E31">
            <v>1</v>
          </cell>
        </row>
        <row r="32">
          <cell r="D32">
            <v>6</v>
          </cell>
          <cell r="E32">
            <v>1</v>
          </cell>
        </row>
        <row r="33">
          <cell r="D33">
            <v>7</v>
          </cell>
          <cell r="E33">
            <v>1</v>
          </cell>
        </row>
        <row r="34">
          <cell r="D34">
            <v>8</v>
          </cell>
          <cell r="E34">
            <v>1</v>
          </cell>
        </row>
        <row r="35">
          <cell r="D35">
            <v>9</v>
          </cell>
          <cell r="E35">
            <v>1</v>
          </cell>
        </row>
        <row r="36">
          <cell r="D36">
            <v>10</v>
          </cell>
          <cell r="E36">
            <v>1</v>
          </cell>
        </row>
        <row r="37">
          <cell r="D37">
            <v>11</v>
          </cell>
          <cell r="E37">
            <v>1</v>
          </cell>
        </row>
        <row r="38">
          <cell r="D38">
            <v>12</v>
          </cell>
          <cell r="E38">
            <v>1</v>
          </cell>
        </row>
        <row r="39">
          <cell r="D39">
            <v>13</v>
          </cell>
          <cell r="E39">
            <v>2</v>
          </cell>
        </row>
        <row r="40">
          <cell r="D40">
            <v>14</v>
          </cell>
          <cell r="E40">
            <v>2</v>
          </cell>
        </row>
        <row r="41">
          <cell r="D41">
            <v>15</v>
          </cell>
          <cell r="E41">
            <v>2</v>
          </cell>
        </row>
        <row r="42">
          <cell r="D42">
            <v>16</v>
          </cell>
          <cell r="E42">
            <v>2</v>
          </cell>
        </row>
        <row r="43">
          <cell r="D43">
            <v>17</v>
          </cell>
          <cell r="E43">
            <v>2</v>
          </cell>
        </row>
        <row r="44">
          <cell r="D44">
            <v>18</v>
          </cell>
          <cell r="E44">
            <v>2</v>
          </cell>
        </row>
        <row r="45">
          <cell r="D45">
            <v>19</v>
          </cell>
          <cell r="E45">
            <v>2</v>
          </cell>
        </row>
        <row r="46">
          <cell r="D46">
            <v>20</v>
          </cell>
          <cell r="E46">
            <v>2</v>
          </cell>
        </row>
        <row r="47">
          <cell r="D47">
            <v>21</v>
          </cell>
          <cell r="E47">
            <v>3</v>
          </cell>
        </row>
        <row r="48">
          <cell r="D48">
            <v>22</v>
          </cell>
          <cell r="E48">
            <v>3</v>
          </cell>
        </row>
        <row r="49">
          <cell r="D49">
            <v>23</v>
          </cell>
          <cell r="E49">
            <v>3</v>
          </cell>
        </row>
        <row r="50">
          <cell r="D50">
            <v>24</v>
          </cell>
          <cell r="E50">
            <v>3</v>
          </cell>
        </row>
        <row r="51">
          <cell r="D51">
            <v>25</v>
          </cell>
          <cell r="E51">
            <v>3</v>
          </cell>
        </row>
        <row r="52">
          <cell r="D52">
            <v>26</v>
          </cell>
          <cell r="E52">
            <v>3</v>
          </cell>
        </row>
        <row r="53">
          <cell r="D53">
            <v>27</v>
          </cell>
          <cell r="E53">
            <v>4</v>
          </cell>
        </row>
        <row r="54">
          <cell r="D54">
            <v>28</v>
          </cell>
          <cell r="E54">
            <v>4</v>
          </cell>
        </row>
        <row r="55">
          <cell r="D55">
            <v>29</v>
          </cell>
          <cell r="E55">
            <v>4</v>
          </cell>
        </row>
        <row r="56">
          <cell r="D56">
            <v>30</v>
          </cell>
          <cell r="E56">
            <v>4</v>
          </cell>
        </row>
        <row r="57">
          <cell r="D57">
            <v>31</v>
          </cell>
          <cell r="E57">
            <v>4</v>
          </cell>
        </row>
        <row r="58">
          <cell r="D58">
            <v>32</v>
          </cell>
          <cell r="E58">
            <v>5</v>
          </cell>
        </row>
        <row r="59">
          <cell r="D59">
            <v>33</v>
          </cell>
          <cell r="E59">
            <v>5</v>
          </cell>
        </row>
        <row r="60">
          <cell r="D60">
            <v>34</v>
          </cell>
          <cell r="E60">
            <v>5</v>
          </cell>
        </row>
        <row r="61">
          <cell r="D61">
            <v>35</v>
          </cell>
          <cell r="E61">
            <v>5</v>
          </cell>
        </row>
        <row r="62">
          <cell r="D62">
            <v>36</v>
          </cell>
          <cell r="E62">
            <v>6</v>
          </cell>
        </row>
        <row r="63">
          <cell r="D63">
            <v>37</v>
          </cell>
          <cell r="E63">
            <v>6</v>
          </cell>
        </row>
        <row r="64">
          <cell r="D64">
            <v>38</v>
          </cell>
          <cell r="E64">
            <v>6</v>
          </cell>
        </row>
        <row r="65">
          <cell r="D65">
            <v>39</v>
          </cell>
          <cell r="E65">
            <v>6</v>
          </cell>
        </row>
        <row r="66">
          <cell r="D66">
            <v>40</v>
          </cell>
          <cell r="E66">
            <v>7</v>
          </cell>
        </row>
        <row r="67">
          <cell r="D67">
            <v>41</v>
          </cell>
          <cell r="E67">
            <v>7</v>
          </cell>
        </row>
        <row r="68">
          <cell r="D68">
            <v>42</v>
          </cell>
          <cell r="E68">
            <v>7</v>
          </cell>
        </row>
        <row r="69">
          <cell r="D69">
            <v>43</v>
          </cell>
          <cell r="E69">
            <v>8</v>
          </cell>
        </row>
        <row r="70">
          <cell r="D70">
            <v>44</v>
          </cell>
          <cell r="E70">
            <v>8</v>
          </cell>
        </row>
        <row r="71">
          <cell r="D71">
            <v>45</v>
          </cell>
          <cell r="E71">
            <v>8</v>
          </cell>
        </row>
        <row r="72">
          <cell r="D72">
            <v>46</v>
          </cell>
          <cell r="E72">
            <v>9</v>
          </cell>
        </row>
        <row r="73">
          <cell r="D73">
            <v>47</v>
          </cell>
          <cell r="E73">
            <v>9</v>
          </cell>
        </row>
        <row r="74">
          <cell r="D74">
            <v>48</v>
          </cell>
          <cell r="E74">
            <v>10</v>
          </cell>
        </row>
        <row r="75">
          <cell r="D75">
            <v>49</v>
          </cell>
          <cell r="E75">
            <v>10</v>
          </cell>
        </row>
        <row r="76">
          <cell r="D76">
            <v>50</v>
          </cell>
          <cell r="E76">
            <v>11</v>
          </cell>
        </row>
        <row r="77">
          <cell r="D77">
            <v>51</v>
          </cell>
          <cell r="E77">
            <v>11</v>
          </cell>
        </row>
        <row r="78">
          <cell r="D78">
            <v>52</v>
          </cell>
          <cell r="E78">
            <v>12</v>
          </cell>
        </row>
        <row r="79">
          <cell r="D79">
            <v>53</v>
          </cell>
          <cell r="E79">
            <v>12</v>
          </cell>
        </row>
        <row r="80">
          <cell r="D80">
            <v>54</v>
          </cell>
          <cell r="E80">
            <v>13</v>
          </cell>
        </row>
        <row r="81">
          <cell r="D81">
            <v>55</v>
          </cell>
          <cell r="E81">
            <v>13</v>
          </cell>
        </row>
        <row r="82">
          <cell r="D82">
            <v>56</v>
          </cell>
          <cell r="E82">
            <v>14</v>
          </cell>
        </row>
        <row r="83">
          <cell r="D83">
            <v>57</v>
          </cell>
          <cell r="E83">
            <v>14</v>
          </cell>
        </row>
        <row r="84">
          <cell r="D84">
            <v>58</v>
          </cell>
          <cell r="E84">
            <v>15</v>
          </cell>
        </row>
        <row r="85">
          <cell r="D85">
            <v>59</v>
          </cell>
          <cell r="E85">
            <v>15</v>
          </cell>
        </row>
        <row r="86">
          <cell r="D86">
            <v>60</v>
          </cell>
          <cell r="E86">
            <v>16</v>
          </cell>
        </row>
        <row r="87">
          <cell r="D87">
            <v>61</v>
          </cell>
          <cell r="E87">
            <v>16</v>
          </cell>
        </row>
        <row r="88">
          <cell r="D88">
            <v>62</v>
          </cell>
          <cell r="E88">
            <v>17</v>
          </cell>
        </row>
        <row r="89">
          <cell r="D89">
            <v>63</v>
          </cell>
          <cell r="E89">
            <v>17</v>
          </cell>
        </row>
        <row r="90">
          <cell r="D90">
            <v>64</v>
          </cell>
          <cell r="E90">
            <v>18</v>
          </cell>
        </row>
        <row r="91">
          <cell r="D91">
            <v>65</v>
          </cell>
          <cell r="E91">
            <v>18</v>
          </cell>
        </row>
        <row r="92">
          <cell r="D92">
            <v>66</v>
          </cell>
          <cell r="E92">
            <v>19</v>
          </cell>
        </row>
        <row r="93">
          <cell r="D93">
            <v>67</v>
          </cell>
          <cell r="E93">
            <v>19</v>
          </cell>
        </row>
        <row r="94">
          <cell r="D94">
            <v>68</v>
          </cell>
          <cell r="E94">
            <v>20</v>
          </cell>
        </row>
        <row r="95">
          <cell r="D95">
            <v>69</v>
          </cell>
          <cell r="E95">
            <v>21</v>
          </cell>
        </row>
        <row r="96">
          <cell r="D96">
            <v>70</v>
          </cell>
          <cell r="E96">
            <v>22</v>
          </cell>
        </row>
        <row r="97">
          <cell r="D97">
            <v>71</v>
          </cell>
          <cell r="E97">
            <v>23</v>
          </cell>
        </row>
        <row r="98">
          <cell r="D98">
            <v>72</v>
          </cell>
          <cell r="E98">
            <v>24</v>
          </cell>
        </row>
        <row r="99">
          <cell r="D99">
            <v>73</v>
          </cell>
          <cell r="E99">
            <v>25</v>
          </cell>
        </row>
        <row r="100">
          <cell r="D100">
            <v>74</v>
          </cell>
          <cell r="E100">
            <v>26</v>
          </cell>
        </row>
        <row r="101">
          <cell r="D101">
            <v>75</v>
          </cell>
          <cell r="E101">
            <v>27</v>
          </cell>
        </row>
        <row r="102">
          <cell r="D102">
            <v>76</v>
          </cell>
          <cell r="E102">
            <v>28</v>
          </cell>
        </row>
        <row r="103">
          <cell r="D103">
            <v>77</v>
          </cell>
          <cell r="E103">
            <v>29</v>
          </cell>
        </row>
        <row r="104">
          <cell r="D104">
            <v>78</v>
          </cell>
          <cell r="E104">
            <v>30</v>
          </cell>
        </row>
        <row r="105">
          <cell r="D105">
            <v>79</v>
          </cell>
          <cell r="E105">
            <v>31</v>
          </cell>
        </row>
        <row r="106">
          <cell r="D106">
            <v>80</v>
          </cell>
          <cell r="E106">
            <v>32</v>
          </cell>
        </row>
        <row r="107">
          <cell r="D107">
            <v>81</v>
          </cell>
          <cell r="E107">
            <v>33</v>
          </cell>
        </row>
        <row r="108">
          <cell r="D108">
            <v>82</v>
          </cell>
          <cell r="E108">
            <v>34</v>
          </cell>
        </row>
        <row r="109">
          <cell r="D109">
            <v>83</v>
          </cell>
          <cell r="E109">
            <v>35</v>
          </cell>
        </row>
        <row r="110">
          <cell r="D110">
            <v>84</v>
          </cell>
          <cell r="E110">
            <v>36</v>
          </cell>
        </row>
        <row r="111">
          <cell r="D111">
            <v>85</v>
          </cell>
          <cell r="E111">
            <v>37</v>
          </cell>
        </row>
        <row r="112">
          <cell r="D112">
            <v>86</v>
          </cell>
          <cell r="E112">
            <v>38</v>
          </cell>
        </row>
        <row r="113">
          <cell r="D113">
            <v>87</v>
          </cell>
          <cell r="E113">
            <v>39</v>
          </cell>
        </row>
        <row r="114">
          <cell r="D114">
            <v>88</v>
          </cell>
          <cell r="E114">
            <v>40</v>
          </cell>
        </row>
        <row r="115">
          <cell r="D115">
            <v>89</v>
          </cell>
          <cell r="E115">
            <v>41</v>
          </cell>
        </row>
        <row r="116">
          <cell r="D116">
            <v>90</v>
          </cell>
          <cell r="E116">
            <v>42</v>
          </cell>
        </row>
        <row r="117">
          <cell r="D117">
            <v>91</v>
          </cell>
          <cell r="E117">
            <v>43</v>
          </cell>
        </row>
        <row r="118">
          <cell r="D118">
            <v>92</v>
          </cell>
          <cell r="E118">
            <v>44</v>
          </cell>
        </row>
        <row r="119">
          <cell r="D119">
            <v>93</v>
          </cell>
          <cell r="E119">
            <v>45</v>
          </cell>
        </row>
        <row r="120">
          <cell r="D120">
            <v>94</v>
          </cell>
          <cell r="E120">
            <v>46</v>
          </cell>
        </row>
        <row r="121">
          <cell r="D121">
            <v>95</v>
          </cell>
          <cell r="E121">
            <v>47</v>
          </cell>
        </row>
        <row r="122">
          <cell r="D122">
            <v>96</v>
          </cell>
          <cell r="E122">
            <v>48</v>
          </cell>
        </row>
        <row r="123">
          <cell r="D123">
            <v>97</v>
          </cell>
          <cell r="E123">
            <v>49</v>
          </cell>
        </row>
        <row r="124">
          <cell r="D124">
            <v>98</v>
          </cell>
          <cell r="E124">
            <v>50</v>
          </cell>
        </row>
        <row r="125">
          <cell r="D125">
            <v>99</v>
          </cell>
          <cell r="E125">
            <v>51</v>
          </cell>
        </row>
        <row r="126">
          <cell r="D126">
            <v>100</v>
          </cell>
          <cell r="E126">
            <v>52</v>
          </cell>
        </row>
        <row r="127">
          <cell r="D127">
            <v>101</v>
          </cell>
          <cell r="E127">
            <v>53</v>
          </cell>
        </row>
        <row r="128">
          <cell r="D128">
            <v>102</v>
          </cell>
          <cell r="E128">
            <v>54</v>
          </cell>
        </row>
        <row r="129">
          <cell r="D129">
            <v>103</v>
          </cell>
          <cell r="E129">
            <v>55</v>
          </cell>
        </row>
        <row r="130">
          <cell r="D130">
            <v>104</v>
          </cell>
          <cell r="E130">
            <v>56</v>
          </cell>
        </row>
        <row r="131">
          <cell r="D131">
            <v>105</v>
          </cell>
          <cell r="E131">
            <v>57</v>
          </cell>
        </row>
        <row r="132">
          <cell r="D132">
            <v>106</v>
          </cell>
          <cell r="E132">
            <v>58</v>
          </cell>
        </row>
        <row r="133">
          <cell r="D133">
            <v>107</v>
          </cell>
          <cell r="E133">
            <v>59</v>
          </cell>
        </row>
        <row r="134">
          <cell r="D134">
            <v>108</v>
          </cell>
          <cell r="E134">
            <v>60</v>
          </cell>
        </row>
        <row r="135">
          <cell r="D135">
            <v>109</v>
          </cell>
          <cell r="E135">
            <v>61</v>
          </cell>
        </row>
        <row r="136">
          <cell r="D136">
            <v>110</v>
          </cell>
          <cell r="E136">
            <v>62</v>
          </cell>
        </row>
        <row r="137">
          <cell r="D137">
            <v>111</v>
          </cell>
          <cell r="E137">
            <v>64</v>
          </cell>
        </row>
        <row r="138">
          <cell r="D138">
            <v>112</v>
          </cell>
          <cell r="E138">
            <v>66</v>
          </cell>
        </row>
        <row r="139">
          <cell r="D139">
            <v>113</v>
          </cell>
          <cell r="E139">
            <v>68</v>
          </cell>
        </row>
        <row r="140">
          <cell r="D140">
            <v>114</v>
          </cell>
          <cell r="E140">
            <v>70</v>
          </cell>
        </row>
        <row r="141">
          <cell r="D141">
            <v>115</v>
          </cell>
          <cell r="E141">
            <v>72</v>
          </cell>
        </row>
        <row r="142">
          <cell r="D142">
            <v>116</v>
          </cell>
          <cell r="E142">
            <v>74</v>
          </cell>
        </row>
        <row r="143">
          <cell r="D143">
            <v>117</v>
          </cell>
          <cell r="E143">
            <v>76</v>
          </cell>
        </row>
        <row r="144">
          <cell r="D144">
            <v>118</v>
          </cell>
          <cell r="E144">
            <v>78</v>
          </cell>
        </row>
        <row r="145">
          <cell r="D145">
            <v>119</v>
          </cell>
          <cell r="E145">
            <v>80</v>
          </cell>
        </row>
        <row r="146">
          <cell r="D146">
            <v>120</v>
          </cell>
          <cell r="E146">
            <v>82</v>
          </cell>
        </row>
        <row r="147">
          <cell r="D147">
            <v>121</v>
          </cell>
          <cell r="E147">
            <v>84</v>
          </cell>
        </row>
        <row r="148">
          <cell r="D148">
            <v>122</v>
          </cell>
          <cell r="E148">
            <v>86</v>
          </cell>
        </row>
        <row r="149">
          <cell r="D149">
            <v>123</v>
          </cell>
          <cell r="E149">
            <v>88</v>
          </cell>
        </row>
        <row r="150">
          <cell r="D150">
            <v>124</v>
          </cell>
          <cell r="E150">
            <v>90</v>
          </cell>
        </row>
        <row r="151">
          <cell r="D151">
            <v>125</v>
          </cell>
          <cell r="E151">
            <v>92</v>
          </cell>
        </row>
        <row r="152">
          <cell r="D152">
            <v>126</v>
          </cell>
          <cell r="E152">
            <v>94</v>
          </cell>
        </row>
        <row r="153">
          <cell r="D153">
            <v>127</v>
          </cell>
          <cell r="E153">
            <v>96</v>
          </cell>
        </row>
        <row r="154">
          <cell r="D154">
            <v>128</v>
          </cell>
          <cell r="E154">
            <v>98</v>
          </cell>
        </row>
        <row r="155">
          <cell r="D155">
            <v>129</v>
          </cell>
          <cell r="E155">
            <v>100</v>
          </cell>
        </row>
        <row r="156">
          <cell r="D156">
            <v>130</v>
          </cell>
          <cell r="E156">
            <v>102</v>
          </cell>
        </row>
        <row r="157">
          <cell r="D157">
            <v>131</v>
          </cell>
          <cell r="E157">
            <v>104</v>
          </cell>
        </row>
        <row r="158">
          <cell r="D158">
            <v>132</v>
          </cell>
          <cell r="E158">
            <v>106</v>
          </cell>
        </row>
        <row r="159">
          <cell r="D159">
            <v>133</v>
          </cell>
          <cell r="E159">
            <v>108</v>
          </cell>
        </row>
        <row r="160">
          <cell r="D160">
            <v>134</v>
          </cell>
          <cell r="E160">
            <v>110</v>
          </cell>
        </row>
        <row r="161">
          <cell r="D161">
            <v>135</v>
          </cell>
          <cell r="E161">
            <v>112</v>
          </cell>
        </row>
        <row r="162">
          <cell r="D162">
            <v>136</v>
          </cell>
          <cell r="E162">
            <v>114</v>
          </cell>
        </row>
        <row r="163">
          <cell r="D163">
            <v>137</v>
          </cell>
          <cell r="E163">
            <v>116</v>
          </cell>
        </row>
        <row r="164">
          <cell r="D164">
            <v>138</v>
          </cell>
          <cell r="E164">
            <v>118</v>
          </cell>
        </row>
        <row r="165">
          <cell r="D165">
            <v>139</v>
          </cell>
          <cell r="E165">
            <v>120</v>
          </cell>
        </row>
        <row r="166">
          <cell r="D166">
            <v>140</v>
          </cell>
          <cell r="E166">
            <v>122</v>
          </cell>
        </row>
        <row r="167">
          <cell r="D167">
            <v>141</v>
          </cell>
          <cell r="E167">
            <v>124</v>
          </cell>
        </row>
        <row r="168">
          <cell r="D168">
            <v>142</v>
          </cell>
          <cell r="E168">
            <v>126</v>
          </cell>
        </row>
        <row r="169">
          <cell r="D169">
            <v>143</v>
          </cell>
          <cell r="E169">
            <v>128</v>
          </cell>
        </row>
        <row r="170">
          <cell r="D170">
            <v>144</v>
          </cell>
          <cell r="E170">
            <v>130</v>
          </cell>
        </row>
        <row r="171">
          <cell r="D171">
            <v>145</v>
          </cell>
          <cell r="E171">
            <v>132</v>
          </cell>
        </row>
        <row r="172">
          <cell r="D172">
            <v>146</v>
          </cell>
          <cell r="E172">
            <v>134</v>
          </cell>
        </row>
        <row r="173">
          <cell r="D173">
            <v>147</v>
          </cell>
          <cell r="E173">
            <v>136</v>
          </cell>
        </row>
        <row r="174">
          <cell r="D174">
            <v>148</v>
          </cell>
          <cell r="E174">
            <v>138</v>
          </cell>
        </row>
        <row r="175">
          <cell r="D175">
            <v>149</v>
          </cell>
          <cell r="E175">
            <v>140</v>
          </cell>
        </row>
        <row r="176">
          <cell r="D176">
            <v>150</v>
          </cell>
          <cell r="E176">
            <v>142</v>
          </cell>
        </row>
        <row r="177">
          <cell r="D177">
            <v>151</v>
          </cell>
          <cell r="E177">
            <v>144</v>
          </cell>
        </row>
        <row r="178">
          <cell r="D178">
            <v>152</v>
          </cell>
          <cell r="E178">
            <v>146</v>
          </cell>
        </row>
        <row r="179">
          <cell r="D179">
            <v>153</v>
          </cell>
          <cell r="E179">
            <v>148</v>
          </cell>
        </row>
        <row r="180">
          <cell r="D180">
            <v>154</v>
          </cell>
          <cell r="E180">
            <v>150</v>
          </cell>
        </row>
        <row r="181">
          <cell r="D181">
            <v>155</v>
          </cell>
          <cell r="E181">
            <v>152</v>
          </cell>
        </row>
        <row r="182">
          <cell r="D182">
            <v>156</v>
          </cell>
          <cell r="E182">
            <v>154</v>
          </cell>
        </row>
        <row r="183">
          <cell r="D183">
            <v>157</v>
          </cell>
          <cell r="E183">
            <v>156</v>
          </cell>
        </row>
        <row r="184">
          <cell r="D184">
            <v>158</v>
          </cell>
          <cell r="E184">
            <v>158</v>
          </cell>
        </row>
        <row r="185">
          <cell r="D185">
            <v>159</v>
          </cell>
          <cell r="E185">
            <v>160</v>
          </cell>
        </row>
        <row r="186">
          <cell r="D186">
            <v>160</v>
          </cell>
          <cell r="E186">
            <v>162</v>
          </cell>
        </row>
        <row r="187">
          <cell r="D187">
            <v>161</v>
          </cell>
          <cell r="E187">
            <v>164</v>
          </cell>
        </row>
        <row r="188">
          <cell r="D188">
            <v>162</v>
          </cell>
          <cell r="E188">
            <v>166</v>
          </cell>
        </row>
        <row r="189">
          <cell r="D189">
            <v>163</v>
          </cell>
          <cell r="E189">
            <v>168</v>
          </cell>
        </row>
        <row r="190">
          <cell r="D190">
            <v>164</v>
          </cell>
          <cell r="E190">
            <v>170</v>
          </cell>
        </row>
        <row r="191">
          <cell r="D191">
            <v>165</v>
          </cell>
          <cell r="E191">
            <v>172</v>
          </cell>
        </row>
        <row r="192">
          <cell r="D192">
            <v>166</v>
          </cell>
          <cell r="E192">
            <v>174</v>
          </cell>
        </row>
        <row r="193">
          <cell r="D193">
            <v>167</v>
          </cell>
          <cell r="E193">
            <v>176</v>
          </cell>
        </row>
        <row r="194">
          <cell r="D194">
            <v>168</v>
          </cell>
          <cell r="E194">
            <v>178</v>
          </cell>
        </row>
        <row r="195">
          <cell r="D195">
            <v>169</v>
          </cell>
          <cell r="E195">
            <v>180</v>
          </cell>
        </row>
        <row r="196">
          <cell r="D196">
            <v>170</v>
          </cell>
          <cell r="E196">
            <v>182</v>
          </cell>
        </row>
        <row r="197">
          <cell r="D197">
            <v>171</v>
          </cell>
          <cell r="E197">
            <v>184</v>
          </cell>
        </row>
        <row r="198">
          <cell r="D198">
            <v>172</v>
          </cell>
          <cell r="E198">
            <v>186</v>
          </cell>
        </row>
        <row r="199">
          <cell r="D199">
            <v>173</v>
          </cell>
          <cell r="E199">
            <v>188</v>
          </cell>
        </row>
        <row r="200">
          <cell r="D200">
            <v>174</v>
          </cell>
          <cell r="E200">
            <v>191</v>
          </cell>
        </row>
        <row r="201">
          <cell r="D201">
            <v>175</v>
          </cell>
          <cell r="E201">
            <v>194</v>
          </cell>
        </row>
        <row r="202">
          <cell r="D202">
            <v>176</v>
          </cell>
          <cell r="E202">
            <v>197</v>
          </cell>
        </row>
        <row r="203">
          <cell r="D203">
            <v>177</v>
          </cell>
          <cell r="E203">
            <v>200</v>
          </cell>
        </row>
        <row r="204">
          <cell r="D204">
            <v>178</v>
          </cell>
          <cell r="E204">
            <v>203</v>
          </cell>
        </row>
        <row r="205">
          <cell r="D205">
            <v>179</v>
          </cell>
          <cell r="E205">
            <v>206</v>
          </cell>
        </row>
        <row r="206">
          <cell r="D206">
            <v>180</v>
          </cell>
          <cell r="E206">
            <v>209</v>
          </cell>
        </row>
        <row r="207">
          <cell r="D207">
            <v>181</v>
          </cell>
          <cell r="E207">
            <v>212</v>
          </cell>
        </row>
        <row r="208">
          <cell r="D208">
            <v>182</v>
          </cell>
          <cell r="E208">
            <v>215</v>
          </cell>
        </row>
        <row r="209">
          <cell r="D209">
            <v>183</v>
          </cell>
          <cell r="E209">
            <v>218</v>
          </cell>
        </row>
        <row r="210">
          <cell r="D210">
            <v>184</v>
          </cell>
          <cell r="E210">
            <v>221</v>
          </cell>
        </row>
        <row r="211">
          <cell r="D211">
            <v>185</v>
          </cell>
          <cell r="E211">
            <v>224</v>
          </cell>
        </row>
        <row r="212">
          <cell r="D212">
            <v>186</v>
          </cell>
          <cell r="E212">
            <v>227</v>
          </cell>
        </row>
        <row r="213">
          <cell r="D213">
            <v>187</v>
          </cell>
          <cell r="E213">
            <v>230</v>
          </cell>
        </row>
        <row r="214">
          <cell r="D214">
            <v>188</v>
          </cell>
          <cell r="E214">
            <v>233</v>
          </cell>
        </row>
        <row r="215">
          <cell r="D215">
            <v>189</v>
          </cell>
          <cell r="E215">
            <v>236</v>
          </cell>
        </row>
        <row r="216">
          <cell r="D216">
            <v>190</v>
          </cell>
          <cell r="E216">
            <v>239</v>
          </cell>
        </row>
        <row r="217">
          <cell r="D217">
            <v>191</v>
          </cell>
          <cell r="E217">
            <v>242</v>
          </cell>
        </row>
        <row r="218">
          <cell r="D218">
            <v>192</v>
          </cell>
          <cell r="E218">
            <v>245</v>
          </cell>
        </row>
        <row r="219">
          <cell r="D219">
            <v>193</v>
          </cell>
          <cell r="E219">
            <v>248</v>
          </cell>
        </row>
        <row r="220">
          <cell r="D220">
            <v>194</v>
          </cell>
          <cell r="E220">
            <v>251</v>
          </cell>
        </row>
        <row r="221">
          <cell r="D221">
            <v>195</v>
          </cell>
          <cell r="E221">
            <v>254</v>
          </cell>
        </row>
        <row r="222">
          <cell r="D222">
            <v>196</v>
          </cell>
          <cell r="E222">
            <v>257</v>
          </cell>
        </row>
        <row r="223">
          <cell r="D223">
            <v>197</v>
          </cell>
          <cell r="E223">
            <v>260</v>
          </cell>
        </row>
        <row r="224">
          <cell r="D224">
            <v>198</v>
          </cell>
          <cell r="E224">
            <v>263</v>
          </cell>
        </row>
        <row r="225">
          <cell r="D225">
            <v>199</v>
          </cell>
          <cell r="E225">
            <v>266</v>
          </cell>
        </row>
        <row r="226">
          <cell r="D226">
            <v>200</v>
          </cell>
          <cell r="E226">
            <v>269</v>
          </cell>
        </row>
        <row r="227">
          <cell r="D227">
            <v>201</v>
          </cell>
          <cell r="E227">
            <v>272</v>
          </cell>
        </row>
        <row r="228">
          <cell r="D228">
            <v>202</v>
          </cell>
          <cell r="E228">
            <v>275</v>
          </cell>
        </row>
        <row r="229">
          <cell r="D229">
            <v>203</v>
          </cell>
          <cell r="E229">
            <v>278</v>
          </cell>
        </row>
        <row r="230">
          <cell r="D230">
            <v>204</v>
          </cell>
          <cell r="E230">
            <v>281</v>
          </cell>
        </row>
        <row r="231">
          <cell r="D231">
            <v>205</v>
          </cell>
          <cell r="E231">
            <v>284</v>
          </cell>
        </row>
        <row r="232">
          <cell r="D232">
            <v>206</v>
          </cell>
          <cell r="E232">
            <v>287</v>
          </cell>
        </row>
        <row r="233">
          <cell r="D233">
            <v>207</v>
          </cell>
          <cell r="E233">
            <v>290</v>
          </cell>
        </row>
        <row r="234">
          <cell r="D234">
            <v>208</v>
          </cell>
          <cell r="E234">
            <v>293</v>
          </cell>
        </row>
        <row r="235">
          <cell r="D235">
            <v>209</v>
          </cell>
          <cell r="E235">
            <v>296</v>
          </cell>
        </row>
        <row r="236">
          <cell r="D236">
            <v>210</v>
          </cell>
          <cell r="E236">
            <v>299</v>
          </cell>
        </row>
        <row r="237">
          <cell r="D237">
            <v>211</v>
          </cell>
          <cell r="E237">
            <v>302</v>
          </cell>
        </row>
        <row r="238">
          <cell r="D238">
            <v>212</v>
          </cell>
          <cell r="E238">
            <v>305</v>
          </cell>
        </row>
        <row r="239">
          <cell r="D239">
            <v>213</v>
          </cell>
          <cell r="E239">
            <v>308</v>
          </cell>
        </row>
        <row r="240">
          <cell r="D240">
            <v>214</v>
          </cell>
          <cell r="E240">
            <v>311</v>
          </cell>
        </row>
        <row r="241">
          <cell r="D241">
            <v>215</v>
          </cell>
          <cell r="E241">
            <v>314</v>
          </cell>
        </row>
        <row r="242">
          <cell r="D242">
            <v>216</v>
          </cell>
          <cell r="E242">
            <v>317</v>
          </cell>
        </row>
        <row r="243">
          <cell r="D243">
            <v>217</v>
          </cell>
          <cell r="E243">
            <v>320</v>
          </cell>
        </row>
        <row r="244">
          <cell r="D244">
            <v>218</v>
          </cell>
          <cell r="E244">
            <v>323</v>
          </cell>
        </row>
        <row r="245">
          <cell r="D245">
            <v>219</v>
          </cell>
          <cell r="E245">
            <v>326</v>
          </cell>
        </row>
        <row r="246">
          <cell r="D246">
            <v>220</v>
          </cell>
          <cell r="E246">
            <v>329</v>
          </cell>
        </row>
        <row r="247">
          <cell r="D247">
            <v>221</v>
          </cell>
          <cell r="E247">
            <v>332</v>
          </cell>
        </row>
        <row r="248">
          <cell r="D248">
            <v>222</v>
          </cell>
          <cell r="E248">
            <v>335</v>
          </cell>
        </row>
        <row r="249">
          <cell r="D249">
            <v>223</v>
          </cell>
          <cell r="E249">
            <v>338</v>
          </cell>
        </row>
        <row r="250">
          <cell r="D250">
            <v>224</v>
          </cell>
          <cell r="E250">
            <v>341</v>
          </cell>
        </row>
        <row r="251">
          <cell r="D251">
            <v>225</v>
          </cell>
          <cell r="E251">
            <v>344</v>
          </cell>
        </row>
        <row r="252">
          <cell r="D252">
            <v>226</v>
          </cell>
          <cell r="E252">
            <v>347</v>
          </cell>
        </row>
        <row r="253">
          <cell r="D253">
            <v>227</v>
          </cell>
          <cell r="E253">
            <v>350</v>
          </cell>
        </row>
        <row r="254">
          <cell r="D254">
            <v>228</v>
          </cell>
          <cell r="E254">
            <v>353</v>
          </cell>
        </row>
        <row r="255">
          <cell r="D255">
            <v>229</v>
          </cell>
          <cell r="E255">
            <v>356</v>
          </cell>
        </row>
        <row r="256">
          <cell r="D256">
            <v>230</v>
          </cell>
          <cell r="E256">
            <v>359</v>
          </cell>
        </row>
        <row r="257">
          <cell r="D257">
            <v>231</v>
          </cell>
          <cell r="E257">
            <v>362</v>
          </cell>
        </row>
        <row r="258">
          <cell r="D258">
            <v>232</v>
          </cell>
          <cell r="E258">
            <v>365</v>
          </cell>
        </row>
        <row r="259">
          <cell r="D259">
            <v>233</v>
          </cell>
          <cell r="E259">
            <v>368</v>
          </cell>
        </row>
        <row r="260">
          <cell r="D260">
            <v>234</v>
          </cell>
          <cell r="E260">
            <v>371</v>
          </cell>
        </row>
        <row r="261">
          <cell r="D261">
            <v>235</v>
          </cell>
          <cell r="E261">
            <v>374</v>
          </cell>
        </row>
        <row r="262">
          <cell r="D262">
            <v>236</v>
          </cell>
          <cell r="E262">
            <v>377</v>
          </cell>
        </row>
        <row r="263">
          <cell r="D263">
            <v>237</v>
          </cell>
          <cell r="E263">
            <v>380</v>
          </cell>
        </row>
        <row r="264">
          <cell r="D264">
            <v>238</v>
          </cell>
          <cell r="E264">
            <v>383</v>
          </cell>
        </row>
        <row r="265">
          <cell r="D265">
            <v>239</v>
          </cell>
          <cell r="E265">
            <v>386</v>
          </cell>
        </row>
        <row r="266">
          <cell r="D266">
            <v>240</v>
          </cell>
          <cell r="E266">
            <v>389</v>
          </cell>
        </row>
        <row r="267">
          <cell r="D267">
            <v>241</v>
          </cell>
          <cell r="E267">
            <v>392</v>
          </cell>
        </row>
        <row r="268">
          <cell r="D268">
            <v>242</v>
          </cell>
          <cell r="E268">
            <v>395</v>
          </cell>
        </row>
        <row r="269">
          <cell r="D269">
            <v>243</v>
          </cell>
          <cell r="E269">
            <v>398</v>
          </cell>
        </row>
        <row r="270">
          <cell r="D270">
            <v>244</v>
          </cell>
          <cell r="E270">
            <v>401</v>
          </cell>
        </row>
        <row r="271">
          <cell r="D271">
            <v>245</v>
          </cell>
          <cell r="E271">
            <v>404</v>
          </cell>
        </row>
        <row r="272">
          <cell r="D272">
            <v>246</v>
          </cell>
          <cell r="E272">
            <v>407</v>
          </cell>
        </row>
        <row r="273">
          <cell r="D273">
            <v>247</v>
          </cell>
          <cell r="E273">
            <v>410</v>
          </cell>
        </row>
        <row r="274">
          <cell r="D274">
            <v>248</v>
          </cell>
          <cell r="E274">
            <v>413</v>
          </cell>
        </row>
        <row r="275">
          <cell r="D275">
            <v>249</v>
          </cell>
          <cell r="E275">
            <v>416</v>
          </cell>
        </row>
        <row r="276">
          <cell r="D276">
            <v>250</v>
          </cell>
          <cell r="E276">
            <v>419</v>
          </cell>
        </row>
        <row r="277">
          <cell r="D277">
            <v>251</v>
          </cell>
          <cell r="E277">
            <v>422</v>
          </cell>
        </row>
        <row r="278">
          <cell r="D278">
            <v>252</v>
          </cell>
          <cell r="E278">
            <v>425</v>
          </cell>
        </row>
        <row r="279">
          <cell r="D279">
            <v>253</v>
          </cell>
          <cell r="E279">
            <v>428</v>
          </cell>
        </row>
        <row r="280">
          <cell r="D280">
            <v>254</v>
          </cell>
          <cell r="E280">
            <v>431</v>
          </cell>
        </row>
        <row r="281">
          <cell r="D281">
            <v>255</v>
          </cell>
          <cell r="E281">
            <v>434</v>
          </cell>
        </row>
        <row r="282">
          <cell r="D282">
            <v>256</v>
          </cell>
          <cell r="E282">
            <v>437</v>
          </cell>
        </row>
        <row r="283">
          <cell r="D283">
            <v>257</v>
          </cell>
          <cell r="E283">
            <v>440</v>
          </cell>
        </row>
        <row r="284">
          <cell r="D284">
            <v>258</v>
          </cell>
          <cell r="E284">
            <v>443</v>
          </cell>
        </row>
        <row r="285">
          <cell r="D285">
            <v>259</v>
          </cell>
          <cell r="E285">
            <v>446</v>
          </cell>
        </row>
        <row r="286">
          <cell r="D286">
            <v>260</v>
          </cell>
          <cell r="E286">
            <v>449</v>
          </cell>
        </row>
        <row r="287">
          <cell r="D287">
            <v>261</v>
          </cell>
          <cell r="E287">
            <v>452</v>
          </cell>
        </row>
        <row r="288">
          <cell r="D288">
            <v>262</v>
          </cell>
          <cell r="E288">
            <v>455</v>
          </cell>
        </row>
        <row r="289">
          <cell r="D289">
            <v>263</v>
          </cell>
          <cell r="E289">
            <v>458</v>
          </cell>
        </row>
        <row r="290">
          <cell r="D290">
            <v>264</v>
          </cell>
          <cell r="E290">
            <v>461</v>
          </cell>
        </row>
        <row r="291">
          <cell r="D291">
            <v>265</v>
          </cell>
          <cell r="E291">
            <v>464</v>
          </cell>
        </row>
        <row r="292">
          <cell r="D292">
            <v>266</v>
          </cell>
          <cell r="E292">
            <v>467</v>
          </cell>
        </row>
        <row r="293">
          <cell r="D293">
            <v>267</v>
          </cell>
          <cell r="E293">
            <v>470</v>
          </cell>
        </row>
        <row r="294">
          <cell r="D294">
            <v>268</v>
          </cell>
          <cell r="E294">
            <v>473</v>
          </cell>
        </row>
        <row r="295">
          <cell r="D295">
            <v>269</v>
          </cell>
          <cell r="E295">
            <v>476</v>
          </cell>
        </row>
        <row r="296">
          <cell r="D296">
            <v>270</v>
          </cell>
          <cell r="E296">
            <v>479</v>
          </cell>
        </row>
        <row r="297">
          <cell r="D297">
            <v>271</v>
          </cell>
          <cell r="E297">
            <v>482</v>
          </cell>
        </row>
        <row r="298">
          <cell r="D298">
            <v>272</v>
          </cell>
          <cell r="E298">
            <v>485</v>
          </cell>
        </row>
        <row r="299">
          <cell r="D299">
            <v>273</v>
          </cell>
          <cell r="E299">
            <v>488</v>
          </cell>
        </row>
        <row r="300">
          <cell r="D300">
            <v>274</v>
          </cell>
          <cell r="E300">
            <v>491</v>
          </cell>
        </row>
        <row r="301">
          <cell r="D301">
            <v>275</v>
          </cell>
          <cell r="E301">
            <v>494</v>
          </cell>
        </row>
        <row r="302">
          <cell r="D302">
            <v>276</v>
          </cell>
          <cell r="E302">
            <v>497</v>
          </cell>
        </row>
        <row r="303">
          <cell r="D303">
            <v>277</v>
          </cell>
          <cell r="E303">
            <v>500</v>
          </cell>
        </row>
        <row r="304">
          <cell r="D304">
            <v>278</v>
          </cell>
          <cell r="E304">
            <v>503</v>
          </cell>
        </row>
        <row r="305">
          <cell r="D305">
            <v>279</v>
          </cell>
          <cell r="E305">
            <v>506</v>
          </cell>
        </row>
        <row r="306">
          <cell r="D306">
            <v>280</v>
          </cell>
          <cell r="E306">
            <v>509</v>
          </cell>
        </row>
        <row r="307">
          <cell r="D307">
            <v>281</v>
          </cell>
          <cell r="E307">
            <v>512</v>
          </cell>
        </row>
        <row r="308">
          <cell r="D308">
            <v>282</v>
          </cell>
          <cell r="E308">
            <v>515</v>
          </cell>
        </row>
        <row r="309">
          <cell r="D309">
            <v>283</v>
          </cell>
          <cell r="E309">
            <v>518</v>
          </cell>
        </row>
        <row r="310">
          <cell r="D310">
            <v>284</v>
          </cell>
          <cell r="E310">
            <v>521</v>
          </cell>
        </row>
        <row r="311">
          <cell r="D311">
            <v>285</v>
          </cell>
          <cell r="E311">
            <v>524</v>
          </cell>
        </row>
        <row r="312">
          <cell r="D312">
            <v>286</v>
          </cell>
          <cell r="E312">
            <v>527</v>
          </cell>
        </row>
        <row r="313">
          <cell r="D313">
            <v>287</v>
          </cell>
          <cell r="E313">
            <v>530</v>
          </cell>
        </row>
        <row r="314">
          <cell r="D314">
            <v>288</v>
          </cell>
          <cell r="E314">
            <v>533</v>
          </cell>
        </row>
        <row r="315">
          <cell r="D315">
            <v>289</v>
          </cell>
          <cell r="E315">
            <v>536</v>
          </cell>
        </row>
        <row r="316">
          <cell r="D316">
            <v>290</v>
          </cell>
          <cell r="E316">
            <v>539</v>
          </cell>
        </row>
        <row r="317">
          <cell r="D317">
            <v>291</v>
          </cell>
          <cell r="E317">
            <v>542</v>
          </cell>
        </row>
        <row r="318">
          <cell r="D318">
            <v>292</v>
          </cell>
          <cell r="E318">
            <v>545</v>
          </cell>
        </row>
        <row r="319">
          <cell r="D319">
            <v>293</v>
          </cell>
          <cell r="E319">
            <v>548</v>
          </cell>
        </row>
        <row r="320">
          <cell r="D320">
            <v>294</v>
          </cell>
          <cell r="E320">
            <v>551</v>
          </cell>
        </row>
        <row r="321">
          <cell r="D321">
            <v>295</v>
          </cell>
          <cell r="E321">
            <v>554</v>
          </cell>
        </row>
        <row r="322">
          <cell r="D322">
            <v>296</v>
          </cell>
          <cell r="E322">
            <v>557</v>
          </cell>
        </row>
        <row r="323">
          <cell r="D323">
            <v>297</v>
          </cell>
          <cell r="E323">
            <v>560</v>
          </cell>
        </row>
        <row r="324">
          <cell r="D324">
            <v>298</v>
          </cell>
          <cell r="E324">
            <v>563</v>
          </cell>
        </row>
        <row r="325">
          <cell r="D325">
            <v>299</v>
          </cell>
          <cell r="E325">
            <v>566</v>
          </cell>
        </row>
        <row r="326">
          <cell r="D326">
            <v>300</v>
          </cell>
          <cell r="E326">
            <v>569</v>
          </cell>
        </row>
      </sheetData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id="1" name="装备品质系数" displayName="装备品质系数" ref="D65:H73" totalsRowShown="0">
  <tableColumns count="5">
    <tableColumn id="1" name="品质投放比例" dataDxfId="0"/>
    <tableColumn id="2" name="品质投放系数" dataDxfId="1"/>
    <tableColumn id="3" name="成长幅度" dataDxfId="2">
      <calculatedColumnFormula>E66/E65</calculatedColumnFormula>
    </tableColumn>
    <tableColumn id="4" name="解锁时间" dataDxfId="3">
      <calculatedColumnFormula array="1">OFFSET(装备产出!$E$18,MATCH(TRUE,OFFSET(装备产出!$F$19:$F$33,0,MATCH($D66,装备产出!$F$18:$M$18,0)-1)&gt;0,0),0)</calculatedColumnFormula>
    </tableColumn>
    <tableColumn id="5" name="装备提升" dataDxfId="4">
      <calculatedColumnFormula>LOG((F66-1)/6+1,1.07)</calculatedColumnFormula>
    </tableColumn>
  </tableColumns>
  <tableStyleInfo name="TableStylePreset3_Accent1" showFirstColumn="0" showLastColumn="0" showRowStripes="0" showColumnStripes="0"/>
</table>
</file>

<file path=xl/tables/table2.xml><?xml version="1.0" encoding="utf-8"?>
<table xmlns="http://schemas.openxmlformats.org/spreadsheetml/2006/main" id="2" name="装备预期属性" displayName="装备预期属性" ref="D14:N61" totalsRowShown="0">
  <tableColumns count="11">
    <tableColumn id="1" name="装备等级" dataDxfId="5"/>
    <tableColumn id="2" name="攻击" dataDxfId="6">
      <calculatedColumnFormula>_xlfn.XLOOKUP(D15,养成规划!$F$6:$F$38,养成规划!$I$6:$I$38)/VLOOKUP(_xlfn.XLOOKUP(D15,养成规划!$F$6:$F$38,养成规划!$H$6:$H$38),$D$65:$E$73,2,0)</calculatedColumnFormula>
    </tableColumn>
    <tableColumn id="3" name="生命" dataDxfId="7">
      <calculatedColumnFormula>E15*10</calculatedColumnFormula>
    </tableColumn>
    <tableColumn id="4" name="成长幅度" dataDxfId="8"/>
    <tableColumn id="5" name="解锁时间" dataDxfId="9">
      <calculatedColumnFormula>OFFSET('[《梦境护卫队》1-1玩家等级.xlsx]玩家升级'!$E$47,D14,0)</calculatedColumnFormula>
    </tableColumn>
    <tableColumn id="6" name="停留时间" dataDxfId="10">
      <calculatedColumnFormula>H16-H14</calculatedColumnFormula>
    </tableColumn>
    <tableColumn id="7" name="品质" dataDxfId="11">
      <calculatedColumnFormula>OFFSET(装备产出!$W$18,MATCH(H15,装备产出!$E$19:$E$33,1),0)</calculatedColumnFormula>
    </tableColumn>
    <tableColumn id="8" name="等级时间" dataDxfId="12">
      <calculatedColumnFormula>H15-H14</calculatedColumnFormula>
    </tableColumn>
    <tableColumn id="9" name="算上品质" dataDxfId="13">
      <calculatedColumnFormula>E15*E69</calculatedColumnFormula>
    </tableColumn>
    <tableColumn id="10" name="装备提升" dataDxfId="14">
      <calculatedColumnFormula>LOG((G15-1)/6+1,1.07)</calculatedColumnFormula>
    </tableColumn>
    <tableColumn id="11" name="装备性价比" dataDxfId="15"/>
  </tableColumns>
  <tableStyleInfo name="TableStylePreset3_Accent1" showFirstColumn="0" showLastColumn="0" showRowStripes="0" showColumnStripes="0"/>
</table>
</file>

<file path=xl/tables/table3.xml><?xml version="1.0" encoding="utf-8"?>
<table xmlns="http://schemas.openxmlformats.org/spreadsheetml/2006/main" id="4" name="装备部位系数" displayName="装备部位系数" ref="D75:G81" totalsRowShown="0">
  <tableColumns count="4">
    <tableColumn id="1" name="装备ID" dataDxfId="16"/>
    <tableColumn id="2" name="装备部位" dataDxfId="17"/>
    <tableColumn id="3" name="生命类型系数" dataDxfId="18"/>
    <tableColumn id="4" name="攻击类型系数" dataDxfId="19"/>
  </tableColumns>
  <tableStyleInfo name="TableStylePreset3_Accent1" showFirstColumn="0" showLastColumn="0" showRowStripes="0" showColumnStripes="0"/>
</table>
</file>

<file path=xl/tables/table4.xml><?xml version="1.0" encoding="utf-8"?>
<table xmlns="http://schemas.openxmlformats.org/spreadsheetml/2006/main" id="6" name="装备属性配置" displayName="装备属性配置" ref="D84:I466" totalsRowShown="0">
  <autoFilter xmlns:etc="http://www.wps.cn/officeDocument/2017/etCustomData" ref="D84:I466" etc:filterBottomFollowUsedRange="0"/>
  <tableColumns count="6">
    <tableColumn id="1" name="ID" dataDxfId="20">
      <calculatedColumnFormula>D84+1</calculatedColumnFormula>
    </tableColumn>
    <tableColumn id="2" name="装备等级" dataDxfId="21">
      <calculatedColumnFormula>E76+10</calculatedColumnFormula>
    </tableColumn>
    <tableColumn id="3" name="装备类型" dataDxfId="22">
      <calculatedColumnFormula>F76</calculatedColumnFormula>
    </tableColumn>
    <tableColumn id="4" name="装备品质" dataDxfId="23">
      <calculatedColumnFormula>G76</calculatedColumnFormula>
    </tableColumn>
    <tableColumn id="5" name="生命" dataDxfId="24">
      <calculatedColumnFormula>INT(VLOOKUP($E90,$D$15:$G$61,MATCH(H$84,$D$14:$G$14,0),0)*VLOOKUP($G90,$D$66:$F$73,2,0)/6*_xlfn.XLOOKUP($F90,$E$76:$E$81,$F$76:$F$81))</calculatedColumnFormula>
    </tableColumn>
    <tableColumn id="6" name="攻击" dataDxfId="25">
      <calculatedColumnFormula>INT(VLOOKUP($E90,$D$15:$G$61,MATCH(I$84,$D$14:$G$14,0),0)*VLOOKUP($G90,$D$66:$F$73,2,0)/6*_xlfn.XLOOKUP($F90,$E$76:$E$81,$F$76:$F$81))</calculatedColumnFormula>
    </tableColumn>
  </tableColumns>
  <tableStyleInfo name="TableStylePreset3_Accent1" showFirstColumn="1" showLastColumn="0" showRowStripes="0" showColumnStripes="0"/>
</table>
</file>

<file path=xl/tables/table5.xml><?xml version="1.0" encoding="utf-8"?>
<table xmlns="http://schemas.openxmlformats.org/spreadsheetml/2006/main" id="3" name="装备词条规划" displayName="装备词条规划" ref="D1083:O1444" totalsRowShown="0">
  <autoFilter xmlns:etc="http://www.wps.cn/officeDocument/2017/etCustomData" ref="D1083:O1444" etc:filterBottomFollowUsedRange="0"/>
  <sortState ref="D1083:O1444">
    <sortCondition ref="N455"/>
  </sortState>
  <tableColumns count="12">
    <tableColumn id="1" name="品质" dataDxfId="26"/>
    <tableColumn id="2" name="装备品质限制" dataDxfId="27"/>
    <tableColumn id="3" name="部位" dataDxfId="28"/>
    <tableColumn id="4" name="名称" dataDxfId="29"/>
    <tableColumn id="5" name="属性原子" dataDxfId="30"/>
    <tableColumn id="6" name="属性名" dataDxfId="31"/>
    <tableColumn id="7" name="权重" dataDxfId="32"/>
    <tableColumn id="8" name="属性上限" dataDxfId="33"/>
    <tableColumn id="9" name="属性下限" dataDxfId="34"/>
    <tableColumn id="10" name="属性类别"/>
    <tableColumn id="11" name="列1" dataDxfId="35">
      <calculatedColumnFormula>L1084-K1084</calculatedColumnFormula>
    </tableColumn>
    <tableColumn id="12" name="列2"/>
  </tableColumns>
  <tableStyleInfo name="TableStyleLight2" showFirstColumn="0" showLastColumn="0" showRowStripes="0" showColumnStripes="0"/>
</table>
</file>

<file path=xl/tables/table6.xml><?xml version="1.0" encoding="utf-8"?>
<table xmlns="http://schemas.openxmlformats.org/spreadsheetml/2006/main" id="7" name="装备部位系数_8" displayName="装备部位系数_8" ref="D480:F512" totalsRowShown="0">
  <tableColumns count="3">
    <tableColumn id="1" name="阶段" dataDxfId="36"/>
    <tableColumn id="2" name="等级上限" dataDxfId="37"/>
    <tableColumn id="3" name="等级成长值" dataDxfId="38"/>
  </tableColumns>
  <tableStyleInfo name="TableStylePreset3_Accent1" showFirstColumn="0" showLastColumn="0" showRowStripes="0" showColumnStripes="0"/>
</table>
</file>

<file path=xl/tables/table7.xml><?xml version="1.0" encoding="utf-8"?>
<table xmlns="http://schemas.openxmlformats.org/spreadsheetml/2006/main" id="8" name="装备部位系数_89" displayName="装备部位系数_89" ref="N480:P510" totalsRowShown="0">
  <tableColumns count="3">
    <tableColumn id="1" name="阶段" dataDxfId="39"/>
    <tableColumn id="2" name="等级" dataDxfId="40"/>
    <tableColumn id="3" name="属性" dataDxfId="41"/>
  </tableColumns>
  <tableStyleInfo name="TableStylePreset3_Accent1" showFirstColumn="0" showLastColumn="0" showRowStripes="0" showColumnStripes="0"/>
</table>
</file>

<file path=xl/tables/table8.xml><?xml version="1.0" encoding="utf-8"?>
<table xmlns="http://schemas.openxmlformats.org/spreadsheetml/2006/main" id="9" name="装备部位系数_10" displayName="装备部位系数_10" ref="J480:L486" totalsRowShown="0">
  <tableColumns count="3">
    <tableColumn id="1" name="装备ID" dataDxfId="42"/>
    <tableColumn id="2" name="装备部位" dataDxfId="43"/>
    <tableColumn id="3" name="投放属性" dataDxfId="44"/>
  </tableColumns>
  <tableStyleInfo name="TableStylePreset3_Accent1" showFirstColumn="0" showLastColumn="0" showRowStripes="0" showColumnStripes="0"/>
</table>
</file>

<file path=xl/tables/table9.xml><?xml version="1.0" encoding="utf-8"?>
<table xmlns="http://schemas.openxmlformats.org/spreadsheetml/2006/main" id="10" name="装备部位系数_811" displayName="装备部位系数_811" ref="U481:W500" totalsRowShown="0">
  <tableColumns count="3">
    <tableColumn id="1" name="阶段" dataDxfId="45"/>
    <tableColumn id="2" name="等级上限" dataDxfId="46"/>
    <tableColumn id="3" name="等级成长值" dataDxfId="47"/>
  </tableColumns>
  <tableStyleInfo name="TableStylePreset3_Accent1" showFirstColumn="0" showLastColumn="0" showRowStripes="0" showColumnStripes="0"/>
</table>
</file>

<file path=xl/tables/table10.xml><?xml version="1.0" encoding="utf-8"?>
<table xmlns="http://schemas.openxmlformats.org/spreadsheetml/2006/main" id="12" name="装备部位系数_1013" displayName="装备部位系数_1013" ref="U504:W510" totalsRowShown="0">
  <tableColumns count="3">
    <tableColumn id="1" name="装备ID" dataDxfId="48"/>
    <tableColumn id="2" name="装备部位" dataDxfId="49"/>
    <tableColumn id="3" name="消耗材料" dataDxfId="50"/>
  </tableColumns>
  <tableStyleInfo name="TableStylePreset3_Accent1" showFirstColumn="0" showLastColumn="0" showRowStripes="0" showColumnStripes="0"/>
</table>
</file>

<file path=xl/tables/table11.xml><?xml version="1.0" encoding="utf-8"?>
<table xmlns="http://schemas.openxmlformats.org/spreadsheetml/2006/main" id="13" name="装备部位系数_81114" displayName="装备部位系数_81114" ref="Z481:AC516" totalsRowShown="0">
  <tableColumns count="4">
    <tableColumn id="1" name="阶段" dataDxfId="51"/>
    <tableColumn id="2" name="等级上限" dataDxfId="52"/>
    <tableColumn id="3" name="阶段成长值" dataDxfId="53"/>
    <tableColumn id="4" name="等级成长值"/>
  </tableColumns>
  <tableStyleInfo name="TableStylePreset3_Accent1" showFirstColumn="0" showLastColumn="0" showRowStripes="0" showColumnStripes="0"/>
</table>
</file>

<file path=xl/tables/table12.xml><?xml version="1.0" encoding="utf-8"?>
<table xmlns="http://schemas.openxmlformats.org/spreadsheetml/2006/main" id="14" name="装备部位系数_101315" displayName="装备部位系数_101315" ref="AE481:AE482" totalsRowShown="0">
  <tableColumns count="1">
    <tableColumn id="1" name="金币ID" dataDxfId="54"/>
  </tableColumns>
  <tableStyleInfo name="TableStylePreset3_Accent1" showFirstColumn="0" showLastColumn="0" showRowStripes="0" showColumnStripes="0"/>
</table>
</file>

<file path=xl/tables/table13.xml><?xml version="1.0" encoding="utf-8"?>
<table xmlns="http://schemas.openxmlformats.org/spreadsheetml/2006/main" id="15" name="装备部位系数_1016" displayName="装备部位系数_1016" ref="D839:E843" totalsRowShown="0">
  <tableColumns count="2">
    <tableColumn id="1" name="锁定条数" dataDxfId="55"/>
    <tableColumn id="2" name="消耗倍率" dataDxfId="56"/>
  </tableColumns>
  <tableStyleInfo name="TableStylePreset3_Accent1" showFirstColumn="0" showLastColumn="0" showRowStripes="0" showColumnStripes="0"/>
</table>
</file>

<file path=xl/tables/table14.xml><?xml version="1.0" encoding="utf-8"?>
<table xmlns="http://schemas.openxmlformats.org/spreadsheetml/2006/main" id="16" name="装备部位系数_101617" displayName="装备部位系数_101617" ref="D852:I889" totalsRowShown="0">
  <tableColumns count="6">
    <tableColumn id="1" name="装备等级" dataDxfId="57"/>
    <tableColumn id="2" name="紫" dataDxfId="58">
      <calculatedColumnFormula>O853</calculatedColumnFormula>
    </tableColumn>
    <tableColumn id="3" name="橙" dataDxfId="59">
      <calculatedColumnFormula>CEILING(E853*_xlfn.XLOOKUP(F$852,$G$840:$G$844,$H$840:$H$844,0,0,1),2)</calculatedColumnFormula>
    </tableColumn>
    <tableColumn id="4" name="红">
      <calculatedColumnFormula>CEILING(F853*_xlfn.XLOOKUP(G$852,$G$840:$G$844,$H$840:$H$844,0,0,1),2)</calculatedColumnFormula>
    </tableColumn>
    <tableColumn id="5" name="粉" dataDxfId="60">
      <calculatedColumnFormula>CEILING(G853*_xlfn.XLOOKUP(H$852,$G$840:$G$844,$H$840:$H$844,0,0,1),2)</calculatedColumnFormula>
    </tableColumn>
    <tableColumn id="6" name="彩">
      <calculatedColumnFormula>CEILING(H853*_xlfn.XLOOKUP(I$852,$G$840:$G$844,$H$840:$H$844,0,0,1),2)</calculatedColumnFormula>
    </tableColumn>
  </tableColumns>
  <tableStyleInfo name="TableStylePreset3_Accent1" showFirstColumn="0" showLastColumn="0" showRowStripes="0" showColumnStripes="0"/>
</table>
</file>

<file path=xl/tables/table15.xml><?xml version="1.0" encoding="utf-8"?>
<table xmlns="http://schemas.openxmlformats.org/spreadsheetml/2006/main" id="17" name="装备部位系数_101618" displayName="装备部位系数_101618" ref="D897:E905" totalsRowShown="0">
  <tableColumns count="2">
    <tableColumn id="1" name="品质" dataDxfId="61"/>
    <tableColumn id="2" name="条数" dataDxfId="62"/>
  </tableColumns>
  <tableStyleInfo name="TableStylePreset3_Accent1" showFirstColumn="0" showLastColumn="0" showRowStripes="0" showColumnStripes="0"/>
</table>
</file>

<file path=xl/tables/table16.xml><?xml version="1.0" encoding="utf-8"?>
<table xmlns="http://schemas.openxmlformats.org/spreadsheetml/2006/main" id="18" name="装备部位系数_10161819" displayName="装备部位系数_10161819" ref="H897:J913" totalsRowShown="0">
  <tableColumns count="3">
    <tableColumn id="1" name="属性原子" dataDxfId="63"/>
    <tableColumn id="2" name="权重" dataDxfId="64"/>
    <tableColumn id="3" name="概率" dataDxfId="65"/>
  </tableColumns>
  <tableStyleInfo name="TableStylePreset3_Accent1" showFirstColumn="0" showLastColumn="0" showRowStripes="0" showColumnStripes="0"/>
</table>
</file>

<file path=xl/tables/table17.xml><?xml version="1.0" encoding="utf-8"?>
<table xmlns="http://schemas.openxmlformats.org/spreadsheetml/2006/main" id="19" name="装备部位系数_10161820" displayName="装备部位系数_10161820" ref="M918:S955" totalsRowShown="0">
  <tableColumns count="7">
    <tableColumn id="1" name="装备等级" dataDxfId="66"/>
    <tableColumn id="2" name="最大攻击" dataDxfId="67"/>
    <tableColumn id="3" name="最大生命" dataDxfId="68"/>
    <tableColumn id="4" name="攻击下限取值" dataDxfId="69">
      <calculatedColumnFormula>INT($N919/$S$827*0.5)</calculatedColumnFormula>
    </tableColumn>
    <tableColumn id="5" name="攻击上限取值" dataDxfId="70">
      <calculatedColumnFormula>INT($N919/$S$827*0.67)</calculatedColumnFormula>
    </tableColumn>
    <tableColumn id="6" name="生命下限取值" dataDxfId="71">
      <calculatedColumnFormula>INT($O919/$S$827*0.5)</calculatedColumnFormula>
    </tableColumn>
    <tableColumn id="7" name="生命上限取值" dataDxfId="72">
      <calculatedColumnFormula>INT($O919/$S$827*0.67)</calculatedColumnFormula>
    </tableColumn>
  </tableColumns>
  <tableStyleInfo name="TableStylePreset3_Accent1" showFirstColumn="0" showLastColumn="0" showRowStripes="0" showColumnStripes="0"/>
</table>
</file>

<file path=xl/tables/table18.xml><?xml version="1.0" encoding="utf-8"?>
<table xmlns="http://schemas.openxmlformats.org/spreadsheetml/2006/main" id="20" name="装备部位系数_10161821" displayName="装备部位系数_10161821" ref="D970:H1078" totalsRowShown="0">
  <tableColumns count="5">
    <tableColumn id="1" name="品质" dataDxfId="73"/>
    <tableColumn id="2" name="部位" dataDxfId="74"/>
    <tableColumn id="3" name="库" dataDxfId="75">
      <calculatedColumnFormula>1000-SUM(G971:I971)</calculatedColumnFormula>
    </tableColumn>
    <tableColumn id="4" name="数量"/>
    <tableColumn id="5" name="权重"/>
  </tableColumns>
  <tableStyleInfo name="TableStylePreset3_Accent1" showFirstColumn="0" showLastColumn="0" showRowStripes="0" showColumnStripes="0"/>
</table>
</file>

<file path=xl/tables/table19.xml><?xml version="1.0" encoding="utf-8"?>
<table xmlns="http://schemas.openxmlformats.org/spreadsheetml/2006/main" id="21" name="装备部位系数_1022" displayName="装备部位系数_1022" ref="L970:M976" totalsRowShown="0">
  <tableColumns count="2">
    <tableColumn id="1" name="装备ID" dataDxfId="76"/>
    <tableColumn id="2" name="装备部位" dataDxfId="77"/>
  </tableColumns>
  <tableStyleInfo name="TableStylePreset3_Accent1" showFirstColumn="0" showLastColumn="0" showRowStripes="0" showColumnStripes="0"/>
</table>
</file>

<file path=xl/tables/table20.xml><?xml version="1.0" encoding="utf-8"?>
<table xmlns="http://schemas.openxmlformats.org/spreadsheetml/2006/main" id="23" name="装备部位系数_1016182024" displayName="装备部位系数_1016182024" ref="D918:J955" totalsRowShown="0">
  <tableColumns count="7">
    <tableColumn id="1" name="装备等级" dataDxfId="78"/>
    <tableColumn id="2" name="最大攻击" dataDxfId="79">
      <calculatedColumnFormula>INT(VLOOKUP(D919,养成规划!$F$5:$K$41,6,0)/6)</calculatedColumnFormula>
    </tableColumn>
    <tableColumn id="3" name="最大生命" dataDxfId="80"/>
    <tableColumn id="4" name="攻击下限取值" dataDxfId="81">
      <calculatedColumnFormula>INT($E919/$S$827*0.5)</calculatedColumnFormula>
    </tableColumn>
    <tableColumn id="5" name="攻击上限取值" dataDxfId="82">
      <calculatedColumnFormula>INT($E919/$S$827*0.67)</calculatedColumnFormula>
    </tableColumn>
    <tableColumn id="6" name="生命下限取值" dataDxfId="83"/>
    <tableColumn id="7" name="生命上限取值" dataDxfId="84"/>
  </tableColumns>
  <tableStyleInfo name="TableStylePreset3_Accent1" showFirstColumn="0" showLastColumn="0" showRowStripes="0" showColumnStripes="0"/>
</table>
</file>

<file path=xl/tables/table21.xml><?xml version="1.0" encoding="utf-8"?>
<table xmlns="http://schemas.openxmlformats.org/spreadsheetml/2006/main" id="24" name="装备部位系数_101625" displayName="装备部位系数_101625" ref="G839:H844" totalsRowShown="0">
  <tableColumns count="2">
    <tableColumn id="1" name="品质"/>
    <tableColumn id="2" name="消耗品质系数"/>
  </tableColumns>
  <tableStyleInfo name="TableStylePreset3_Accent1" showFirstColumn="0" showLastColumn="0" showRowStripes="0" showColumnStripes="0"/>
</table>
</file>

<file path=xl/tables/table22.xml><?xml version="1.0" encoding="utf-8"?>
<table xmlns="http://schemas.openxmlformats.org/spreadsheetml/2006/main" id="25" name="装备部位系数_10161726" displayName="装备部位系数_10161726" ref="L852:T889" totalsRowShown="0">
  <tableColumns count="9">
    <tableColumn id="1" name="装备等级" dataDxfId="85"/>
    <tableColumn id="2" name="白" dataDxfId="86"/>
    <tableColumn id="3" name="绿" dataDxfId="87">
      <calculatedColumnFormula>CEILING(M853*_xlfn.XLOOKUP(N$852,$P$840:$P$847,$Q$840:$Q$847,0,0,1),2)</calculatedColumnFormula>
    </tableColumn>
    <tableColumn id="4" name="蓝" dataDxfId="88"/>
    <tableColumn id="5" name="紫" dataDxfId="89"/>
    <tableColumn id="6" name="橙" dataDxfId="90"/>
    <tableColumn id="7" name="红"/>
    <tableColumn id="8" name="粉"/>
    <tableColumn id="9" name="彩"/>
  </tableColumns>
  <tableStyleInfo name="TableStylePreset3_Accent1" showFirstColumn="0" showLastColumn="0" showRowStripes="0" showColumnStripes="0"/>
</table>
</file>

<file path=xl/tables/table23.xml><?xml version="1.0" encoding="utf-8"?>
<table xmlns="http://schemas.openxmlformats.org/spreadsheetml/2006/main" id="26" name="装备部位系数_10162527" displayName="装备部位系数_10162527" ref="P839:Q847" totalsRowShown="0">
  <tableColumns count="2">
    <tableColumn id="1" name="品质" dataDxfId="91"/>
    <tableColumn id="2" name="消耗品质系数" dataDxfId="92"/>
  </tableColumns>
  <tableStyleInfo name="TableStylePreset3_Accent1" showFirstColumn="0" showLastColumn="0" showRowStripes="0" showColumnStripes="0"/>
</table>
</file>

<file path=xl/tables/table24.xml><?xml version="1.0" encoding="utf-8"?>
<table xmlns="http://schemas.openxmlformats.org/spreadsheetml/2006/main" id="27" name="装备部位系数_1016252728" displayName="装备部位系数_1016252728" ref="L839:N843" totalsRowShown="0">
  <tableColumns count="3">
    <tableColumn id="1" name="阶段" dataDxfId="93"/>
    <tableColumn id="2" name="等级上限" dataDxfId="94"/>
    <tableColumn id="3" name="材料递增"/>
  </tableColumns>
  <tableStyleInfo name="TableStylePreset3_Accent1" showFirstColumn="0" showLastColumn="0" showRowStripes="0" showColumnStripes="0"/>
</table>
</file>

<file path=xl/tables/table25.xml><?xml version="1.0" encoding="utf-8"?>
<table xmlns="http://schemas.openxmlformats.org/spreadsheetml/2006/main" id="28" name="装备部位系数_10131529" displayName="装备部位系数_10131529" ref="L836:L837" totalsRowShown="0">
  <tableColumns count="1">
    <tableColumn id="1" name="材料ID" dataDxfId="95"/>
  </tableColumns>
  <tableStyleInfo name="TableStylePreset3_Accent1" showFirstColumn="0" showLastColumn="0" showRowStripes="0" showColumnStripes="0"/>
</table>
</file>

<file path=xl/tables/table26.xml><?xml version="1.0" encoding="utf-8"?>
<table xmlns="http://schemas.openxmlformats.org/spreadsheetml/2006/main" id="29" name="装备部位系数_1013152930" displayName="装备部位系数_1013152930" ref="V836:V837" totalsRowShown="0">
  <tableColumns count="1">
    <tableColumn id="1" name="材料ID" dataDxfId="96"/>
  </tableColumns>
  <tableStyleInfo name="TableStylePreset3_Accent1" showFirstColumn="0" showLastColumn="0" showRowStripes="0" showColumnStripes="0"/>
</table>
</file>

<file path=xl/tables/table27.xml><?xml version="1.0" encoding="utf-8"?>
<table xmlns="http://schemas.openxmlformats.org/spreadsheetml/2006/main" id="30" name="装备部位系数_1016252731" displayName="装备部位系数_1016252731" ref="Z839:AA847" totalsRowShown="0">
  <tableColumns count="2">
    <tableColumn id="1" name="品质" dataDxfId="97"/>
    <tableColumn id="2" name="消耗品质系数" dataDxfId="98"/>
  </tableColumns>
  <tableStyleInfo name="TableStylePreset3_Accent1" showFirstColumn="0" showLastColumn="0" showRowStripes="0" showColumnStripes="0"/>
</table>
</file>

<file path=xl/tables/table28.xml><?xml version="1.0" encoding="utf-8"?>
<table xmlns="http://schemas.openxmlformats.org/spreadsheetml/2006/main" id="31" name="装备部位系数_101625272832" displayName="装备部位系数_101625272832" ref="V839:X843" totalsRowShown="0">
  <tableColumns count="3">
    <tableColumn id="1" name="阶段" dataDxfId="99"/>
    <tableColumn id="2" name="等级上限" dataDxfId="100"/>
    <tableColumn id="3" name="金币递增" dataDxfId="101"/>
  </tableColumns>
  <tableStyleInfo name="TableStylePreset3_Accent1" showFirstColumn="0" showLastColumn="0" showRowStripes="0" showColumnStripes="0"/>
</table>
</file>

<file path=xl/tables/table29.xml><?xml version="1.0" encoding="utf-8"?>
<table xmlns="http://schemas.openxmlformats.org/spreadsheetml/2006/main" id="32" name="装备部位系数_1016172633" displayName="装备部位系数_1016172633" ref="V852:AD889" totalsRowShown="0">
  <tableColumns count="9">
    <tableColumn id="1" name="装备等级" dataDxfId="102"/>
    <tableColumn id="2" name="白" dataDxfId="103"/>
    <tableColumn id="3" name="绿" dataDxfId="104">
      <calculatedColumnFormula>CEILING(W853*_xlfn.XLOOKUP(X$852,$Z$840:$Z$847,$AA$840:$AA$847,0,0,1),2)</calculatedColumnFormula>
    </tableColumn>
    <tableColumn id="4" name="蓝" dataDxfId="105"/>
    <tableColumn id="5" name="紫" dataDxfId="106"/>
    <tableColumn id="6" name="橙" dataDxfId="107"/>
    <tableColumn id="7" name="红" dataDxfId="108"/>
    <tableColumn id="8" name="粉" dataDxfId="109"/>
    <tableColumn id="9" name="彩" dataDxfId="110">
      <calculatedColumnFormula>CEILING(AC853*_xlfn.XLOOKUP(AD$852,$Z$840:$Z$847,$AA$840:$AA$847,0,0,1),2)</calculatedColumnFormula>
    </tableColumn>
  </tableColumns>
  <tableStyleInfo name="TableStylePreset3_Accent1" showFirstColumn="0" showLastColumn="0" showRowStripes="0" showColumnStripes="0"/>
</table>
</file>

<file path=xl/tables/table30.xml><?xml version="1.0" encoding="utf-8"?>
<table xmlns="http://schemas.openxmlformats.org/spreadsheetml/2006/main" id="33" name="装备部位系数_1013152934" displayName="装备部位系数_1013152934" ref="AF836:AF837" totalsRowShown="0">
  <tableColumns count="1">
    <tableColumn id="1" name="材料ID" dataDxfId="111"/>
  </tableColumns>
  <tableStyleInfo name="TableStylePreset3_Accent1" showFirstColumn="0" showLastColumn="0" showRowStripes="0" showColumnStripes="0"/>
</table>
</file>

<file path=xl/tables/table31.xml><?xml version="1.0" encoding="utf-8"?>
<table xmlns="http://schemas.openxmlformats.org/spreadsheetml/2006/main" id="34" name="装备部位系数_1016252735" displayName="装备部位系数_1016252735" ref="AK839:AL847" totalsRowShown="0">
  <tableColumns count="2">
    <tableColumn id="1" name="品质" dataDxfId="112"/>
    <tableColumn id="2" name="消耗品质系数" dataDxfId="113"/>
  </tableColumns>
  <tableStyleInfo name="TableStylePreset3_Accent1" showFirstColumn="0" showLastColumn="0" showRowStripes="0" showColumnStripes="0"/>
</table>
</file>

<file path=xl/tables/table32.xml><?xml version="1.0" encoding="utf-8"?>
<table xmlns="http://schemas.openxmlformats.org/spreadsheetml/2006/main" id="35" name="装备部位系数_101625272836" displayName="装备部位系数_101625272836" ref="AF839:AI850" totalsRowShown="0">
  <tableColumns count="4">
    <tableColumn id="1" name="阶段" dataDxfId="114"/>
    <tableColumn id="2" name="等级上限" dataDxfId="115"/>
    <tableColumn id="3" name="阶段递增" dataDxfId="116"/>
    <tableColumn id="4" name="段内递增" dataDxfId="117"/>
  </tableColumns>
  <tableStyleInfo name="TableStylePreset3_Accent1" showFirstColumn="0" showLastColumn="0" showRowStripes="0" showColumnStripes="0"/>
</table>
</file>

<file path=xl/tables/table33.xml><?xml version="1.0" encoding="utf-8"?>
<table xmlns="http://schemas.openxmlformats.org/spreadsheetml/2006/main" id="36" name="装备部位系数_1016172637" displayName="装备部位系数_1016172637" ref="AF852:AN889" totalsRowShown="0">
  <tableColumns count="9">
    <tableColumn id="1" name="装备等级" dataDxfId="118"/>
    <tableColumn id="2" name="白" dataDxfId="119"/>
    <tableColumn id="3" name="绿" dataDxfId="120"/>
    <tableColumn id="4" name="蓝" dataDxfId="121"/>
    <tableColumn id="5" name="紫" dataDxfId="122"/>
    <tableColumn id="6" name="橙" dataDxfId="123"/>
    <tableColumn id="7" name="红" dataDxfId="124"/>
    <tableColumn id="8" name="粉" dataDxfId="125"/>
    <tableColumn id="9" name="彩" dataDxfId="126"/>
  </tableColumns>
  <tableStyleInfo name="TableStylePreset3_Accent1" showFirstColumn="0" showLastColumn="0" showRowStripes="0" showColumnStripes="0"/>
</table>
</file>

<file path=xl/tables/table34.xml><?xml version="1.0" encoding="utf-8"?>
<table xmlns="http://schemas.openxmlformats.org/spreadsheetml/2006/main" id="37" name="装备部位系数_1013152938" displayName="装备部位系数_1013152938" ref="G836:G837" totalsRowShown="0">
  <tableColumns count="1">
    <tableColumn id="1" name="消耗道具ID" dataDxfId="127"/>
  </tableColumns>
  <tableStyleInfo name="TableStylePreset3_Accent1" showFirstColumn="0" showLastColumn="0" showRowStripes="0" showColumnStripes="0"/>
</table>
</file>

<file path=xl/tables/table35.xml><?xml version="1.0" encoding="utf-8"?>
<table xmlns="http://schemas.openxmlformats.org/spreadsheetml/2006/main" id="5" name="属性原子" displayName="属性原子" ref="A2:H500" totalsRowShown="0">
  <autoFilter xmlns:etc="http://www.wps.cn/officeDocument/2017/etCustomData" ref="A2:H500" etc:filterBottomFollowUsedRange="0"/>
  <tableColumns count="8">
    <tableColumn id="1" name="id" dataDxfId="128"/>
    <tableColumn id="2" name="atom" dataDxfId="129"/>
    <tableColumn id="3" name="name" dataDxfId="130"/>
    <tableColumn id="4" name="order" dataDxfId="131"/>
    <tableColumn id="5" name="target" dataDxfId="132"/>
    <tableColumn id="6" name="rate_target" dataDxfId="133"/>
    <tableColumn id="7" name="is_show" dataDxfId="134"/>
    <tableColumn id="8" name="type" dataDxfId="135"/>
  </tableColumns>
  <tableStyleInfo name="TableStylePreset3_Accent1" showFirstColumn="0" showLastColumn="0" showRowStripes="1" showColumnStripes="0"/>
</table>
</file>

<file path=xl/tables/table36.xml><?xml version="1.0" encoding="utf-8"?>
<table xmlns="http://schemas.openxmlformats.org/spreadsheetml/2006/main" id="22" name="RandomEffectPool" displayName="RandomEffectPool" ref="A2:M2382" totalsRowShown="0">
  <autoFilter xmlns:etc="http://www.wps.cn/officeDocument/2017/etCustomData" ref="A2:M2382" etc:filterBottomFollowUsedRange="0"/>
  <tableColumns count="13">
    <tableColumn id="1" name="词条池ID"/>
    <tableColumn id="2" name="词条ID"/>
    <tableColumn id="3" name="词条品质"/>
    <tableColumn id="4" name="权重"/>
    <tableColumn id="5" name="效果ID"/>
    <tableColumn id="6" name="效果组"/>
    <tableColumn id="7" name="属性加成结构"/>
    <tableColumn id="8" name="是否放回"/>
    <tableColumn id="9" name="战力结构"/>
    <tableColumn id="10" name="排序"/>
    <tableColumn id="11" name="展示描述"/>
    <tableColumn id="12" name="词条标题"/>
    <tableColumn id="13" name="行类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table" Target="../tables/table8.xml"/><Relationship Id="rId8" Type="http://schemas.openxmlformats.org/officeDocument/2006/relationships/table" Target="../tables/table7.xml"/><Relationship Id="rId7" Type="http://schemas.openxmlformats.org/officeDocument/2006/relationships/table" Target="../tables/table6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5" Type="http://schemas.openxmlformats.org/officeDocument/2006/relationships/table" Target="../tables/table34.xml"/><Relationship Id="rId34" Type="http://schemas.openxmlformats.org/officeDocument/2006/relationships/table" Target="../tables/table33.xml"/><Relationship Id="rId33" Type="http://schemas.openxmlformats.org/officeDocument/2006/relationships/table" Target="../tables/table32.xml"/><Relationship Id="rId32" Type="http://schemas.openxmlformats.org/officeDocument/2006/relationships/table" Target="../tables/table31.xml"/><Relationship Id="rId31" Type="http://schemas.openxmlformats.org/officeDocument/2006/relationships/table" Target="../tables/table30.xml"/><Relationship Id="rId30" Type="http://schemas.openxmlformats.org/officeDocument/2006/relationships/table" Target="../tables/table29.xml"/><Relationship Id="rId3" Type="http://schemas.openxmlformats.org/officeDocument/2006/relationships/table" Target="../tables/table2.xml"/><Relationship Id="rId29" Type="http://schemas.openxmlformats.org/officeDocument/2006/relationships/table" Target="../tables/table28.xml"/><Relationship Id="rId28" Type="http://schemas.openxmlformats.org/officeDocument/2006/relationships/table" Target="../tables/table27.xml"/><Relationship Id="rId27" Type="http://schemas.openxmlformats.org/officeDocument/2006/relationships/table" Target="../tables/table26.xml"/><Relationship Id="rId26" Type="http://schemas.openxmlformats.org/officeDocument/2006/relationships/table" Target="../tables/table25.xml"/><Relationship Id="rId25" Type="http://schemas.openxmlformats.org/officeDocument/2006/relationships/table" Target="../tables/table24.xml"/><Relationship Id="rId24" Type="http://schemas.openxmlformats.org/officeDocument/2006/relationships/table" Target="../tables/table23.xml"/><Relationship Id="rId23" Type="http://schemas.openxmlformats.org/officeDocument/2006/relationships/table" Target="../tables/table22.xml"/><Relationship Id="rId22" Type="http://schemas.openxmlformats.org/officeDocument/2006/relationships/table" Target="../tables/table21.xml"/><Relationship Id="rId21" Type="http://schemas.openxmlformats.org/officeDocument/2006/relationships/table" Target="../tables/table20.xml"/><Relationship Id="rId20" Type="http://schemas.openxmlformats.org/officeDocument/2006/relationships/table" Target="../tables/table19.xml"/><Relationship Id="rId2" Type="http://schemas.openxmlformats.org/officeDocument/2006/relationships/table" Target="../tables/table1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说明"/>
  <dimension ref="A1:J35"/>
  <sheetViews>
    <sheetView topLeftCell="A15" workbookViewId="0">
      <selection activeCell="I18" sqref="I18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20.4285714285714" customWidth="1"/>
    <col min="5" max="7" width="9.71428571428571" customWidth="1"/>
  </cols>
  <sheetData>
    <row r="1" ht="18" spans="1:10">
      <c r="A1" s="239" t="s">
        <v>0</v>
      </c>
      <c r="B1" s="219"/>
      <c r="C1" s="239"/>
      <c r="D1" s="219"/>
      <c r="E1" s="219"/>
      <c r="F1" s="219"/>
      <c r="G1" s="219"/>
    </row>
    <row r="2" ht="18" spans="1:10">
      <c r="A2" s="240"/>
      <c r="B2" s="96"/>
      <c r="C2" s="223"/>
      <c r="D2" s="96"/>
      <c r="E2" s="96"/>
      <c r="F2" s="96"/>
      <c r="G2" s="96"/>
    </row>
    <row r="3" ht="18" spans="1:10">
      <c r="A3" s="241" t="s">
        <v>1</v>
      </c>
      <c r="B3" s="242"/>
      <c r="C3" s="241"/>
      <c r="D3" s="242"/>
      <c r="E3" s="242"/>
      <c r="F3" s="242"/>
      <c r="G3" s="242"/>
    </row>
    <row r="4" ht="18" spans="1:10">
      <c r="A4" s="240"/>
      <c r="B4" s="96"/>
      <c r="C4" s="223"/>
      <c r="D4" s="96"/>
      <c r="E4" s="96"/>
      <c r="F4" s="96"/>
      <c r="G4" s="96"/>
    </row>
    <row r="5" ht="18" spans="1:10">
      <c r="A5" s="240"/>
      <c r="B5" s="243"/>
      <c r="C5" s="223" t="s">
        <v>2</v>
      </c>
      <c r="D5" s="96"/>
      <c r="E5" s="96"/>
      <c r="F5" s="96"/>
      <c r="G5" s="96"/>
    </row>
    <row r="6" ht="18" spans="1:10">
      <c r="A6" s="240"/>
      <c r="B6" s="96"/>
      <c r="C6" s="96"/>
      <c r="D6" s="96" t="s">
        <v>3</v>
      </c>
      <c r="E6" s="96"/>
      <c r="F6" s="96"/>
      <c r="G6" s="96"/>
      <c r="H6" s="96"/>
      <c r="I6" s="96"/>
      <c r="J6" s="96"/>
    </row>
    <row r="7" ht="18" spans="1:10">
      <c r="A7" s="240"/>
      <c r="B7" s="96"/>
      <c r="C7" s="96"/>
      <c r="D7" s="96" t="s">
        <v>4</v>
      </c>
      <c r="E7" s="96"/>
      <c r="F7" s="96"/>
      <c r="G7" s="96"/>
      <c r="H7" s="96"/>
      <c r="I7" s="96"/>
      <c r="J7" s="96"/>
    </row>
    <row r="8" ht="18" spans="1:10">
      <c r="A8" s="240"/>
      <c r="B8" s="96"/>
      <c r="C8" s="96"/>
      <c r="D8" s="96" t="s">
        <v>5</v>
      </c>
      <c r="E8" s="96"/>
      <c r="F8" s="96"/>
      <c r="G8" s="96"/>
      <c r="H8" s="96"/>
      <c r="I8" s="96"/>
      <c r="J8" s="96"/>
    </row>
    <row r="9" ht="18" spans="1:10">
      <c r="A9" s="240"/>
      <c r="B9" s="96"/>
      <c r="C9" s="96"/>
      <c r="D9" s="96" t="s">
        <v>6</v>
      </c>
      <c r="E9" s="96"/>
      <c r="F9" s="96"/>
      <c r="G9" s="96"/>
      <c r="H9" s="96"/>
      <c r="I9" s="96"/>
      <c r="J9" s="96"/>
    </row>
    <row r="10" ht="18" spans="1:10">
      <c r="A10" s="240"/>
      <c r="B10" s="96"/>
      <c r="C10" s="96"/>
      <c r="D10" s="96"/>
      <c r="E10" s="96"/>
      <c r="F10" s="96"/>
      <c r="G10" s="96"/>
      <c r="H10" s="96"/>
      <c r="I10" s="96"/>
      <c r="J10" s="96"/>
    </row>
    <row r="11" ht="18" spans="1:10">
      <c r="A11" s="240"/>
      <c r="B11" s="243"/>
      <c r="C11" s="223" t="s">
        <v>7</v>
      </c>
      <c r="D11" s="96"/>
      <c r="E11" s="96"/>
      <c r="F11" s="96"/>
      <c r="G11" s="96"/>
      <c r="H11" s="96"/>
      <c r="I11" s="96"/>
      <c r="J11" s="96"/>
    </row>
    <row r="12" ht="18" spans="1:10">
      <c r="A12" s="240"/>
      <c r="B12" s="96"/>
      <c r="C12" s="96"/>
      <c r="D12" s="96" t="s">
        <v>8</v>
      </c>
      <c r="E12" s="96"/>
      <c r="F12" s="96"/>
      <c r="G12" s="96"/>
      <c r="H12" s="96"/>
      <c r="I12" s="96"/>
      <c r="J12" s="96"/>
    </row>
    <row r="13" ht="18" spans="1:10">
      <c r="A13" s="240"/>
      <c r="B13" s="96"/>
      <c r="C13" s="96"/>
      <c r="D13" s="96" t="s">
        <v>9</v>
      </c>
      <c r="E13" s="96"/>
      <c r="F13" s="96"/>
      <c r="G13" s="96"/>
      <c r="H13" s="96"/>
      <c r="I13" s="96"/>
      <c r="J13" s="96"/>
    </row>
    <row r="14" ht="18" spans="1:10">
      <c r="A14" s="240"/>
      <c r="B14" s="96"/>
      <c r="C14" s="96"/>
      <c r="D14" s="96" t="s">
        <v>10</v>
      </c>
      <c r="E14" s="96"/>
      <c r="F14" s="96"/>
      <c r="G14" s="96"/>
      <c r="H14" s="96"/>
      <c r="I14" s="96"/>
      <c r="J14" s="96"/>
    </row>
    <row r="15" ht="18" spans="1:10">
      <c r="A15" s="240"/>
      <c r="B15" s="96"/>
      <c r="C15" s="96"/>
      <c r="D15" s="96"/>
      <c r="E15" s="96"/>
      <c r="F15" s="96"/>
      <c r="G15" s="96"/>
      <c r="H15" s="96"/>
      <c r="I15" s="96"/>
      <c r="J15" s="96"/>
    </row>
    <row r="16" ht="18" spans="1:10">
      <c r="A16" s="240"/>
      <c r="B16" s="243"/>
      <c r="C16" s="223" t="s">
        <v>11</v>
      </c>
      <c r="D16" s="96"/>
      <c r="E16" s="96"/>
      <c r="F16" s="96"/>
      <c r="G16" s="96"/>
    </row>
    <row r="17" ht="18" spans="1:7">
      <c r="A17" s="240"/>
      <c r="B17" s="96"/>
      <c r="C17" s="223"/>
      <c r="D17" s="96"/>
      <c r="E17" s="96"/>
      <c r="F17" s="96"/>
      <c r="G17" s="96"/>
    </row>
    <row r="18" ht="18" spans="1:7">
      <c r="A18" s="240"/>
      <c r="B18" s="96"/>
      <c r="C18" s="223"/>
      <c r="D18" s="122" t="s">
        <v>12</v>
      </c>
      <c r="E18" s="122" t="s">
        <v>13</v>
      </c>
      <c r="F18" s="122" t="s">
        <v>14</v>
      </c>
      <c r="G18" s="96" t="s">
        <v>1</v>
      </c>
    </row>
    <row r="19" ht="18" spans="1:7">
      <c r="A19" s="240"/>
      <c r="B19" s="96"/>
      <c r="C19" s="223"/>
      <c r="D19" s="122" t="s">
        <v>15</v>
      </c>
      <c r="E19" s="122"/>
      <c r="F19" s="122"/>
      <c r="G19" s="96"/>
    </row>
    <row r="20" ht="18" spans="1:7">
      <c r="A20" s="240"/>
      <c r="B20" s="96"/>
      <c r="C20" s="223"/>
      <c r="D20" s="122" t="s">
        <v>16</v>
      </c>
      <c r="E20" s="122"/>
      <c r="F20" s="122"/>
      <c r="G20" s="96" t="s">
        <v>17</v>
      </c>
    </row>
    <row r="21" ht="18" spans="1:7">
      <c r="A21" s="240"/>
      <c r="B21" s="96"/>
      <c r="C21" s="223"/>
      <c r="D21" s="122"/>
      <c r="E21" s="122"/>
      <c r="F21" s="122"/>
      <c r="G21" s="96"/>
    </row>
    <row r="22" ht="18" spans="1:7">
      <c r="A22" s="240"/>
      <c r="B22" s="96"/>
      <c r="C22" s="223"/>
      <c r="D22" s="122"/>
      <c r="E22" s="122"/>
      <c r="F22" s="122"/>
      <c r="G22" s="96" t="s">
        <v>18</v>
      </c>
    </row>
    <row r="23" ht="18" spans="1:7">
      <c r="A23" s="240"/>
      <c r="B23" s="96"/>
      <c r="C23" s="223"/>
      <c r="D23" s="96"/>
      <c r="E23" s="96"/>
      <c r="F23" s="96"/>
      <c r="G23" s="96"/>
    </row>
    <row r="27" ht="18" spans="1:7">
      <c r="D27" s="244" t="s">
        <v>19</v>
      </c>
    </row>
    <row r="29" ht="18" spans="1:7">
      <c r="D29" s="245" t="s">
        <v>19</v>
      </c>
    </row>
    <row r="31" ht="16.5" spans="1:7">
      <c r="D31" s="246" t="s">
        <v>19</v>
      </c>
    </row>
    <row r="35" ht="18" spans="1:7">
      <c r="A35" s="239" t="s">
        <v>20</v>
      </c>
      <c r="B35" s="219"/>
      <c r="C35" s="239"/>
      <c r="D35" s="219"/>
      <c r="E35" s="219"/>
      <c r="F35" s="219"/>
      <c r="G35" s="2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养成属性">
    <tabColor rgb="FFFFFFFF"/>
  </sheetPr>
  <dimension ref="A1:AB97"/>
  <sheetViews>
    <sheetView tabSelected="1" topLeftCell="A3" workbookViewId="0">
      <selection activeCell="M23" sqref="M23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9.71428571428571" customWidth="1"/>
    <col min="5" max="6" width="13.4285714285714" customWidth="1"/>
    <col min="7" max="7" width="11.7142857142857" customWidth="1"/>
    <col min="8" max="12" width="9.71428571428571" customWidth="1"/>
    <col min="15" max="15" width="12.8571428571429"/>
    <col min="16" max="16" width="14.5714285714286"/>
    <col min="19" max="19" width="10.2857142857143" customWidth="1"/>
    <col min="20" max="20" width="14.5714285714286"/>
    <col min="26" max="28" width="12.8571428571429"/>
  </cols>
  <sheetData>
    <row r="1" ht="15.75" spans="1:28">
      <c r="A1" s="219" t="s">
        <v>21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</row>
    <row r="2" ht="15.75" spans="1:28">
      <c r="A2" s="96"/>
      <c r="B2" s="96"/>
      <c r="C2" s="220"/>
      <c r="D2" s="96"/>
      <c r="E2" s="96"/>
      <c r="F2" s="96"/>
      <c r="G2" s="96"/>
      <c r="H2" s="96"/>
      <c r="I2" s="96"/>
      <c r="J2" s="96"/>
      <c r="K2" s="96"/>
      <c r="L2" s="96"/>
    </row>
    <row r="3" ht="18" spans="1:28">
      <c r="A3" s="221"/>
      <c r="B3" s="222"/>
      <c r="C3" s="223" t="s">
        <v>22</v>
      </c>
      <c r="D3" s="96"/>
      <c r="E3" s="96"/>
      <c r="F3" s="96"/>
      <c r="G3" s="96"/>
      <c r="H3" s="96"/>
      <c r="I3" s="96"/>
      <c r="J3" s="96"/>
      <c r="K3" s="96"/>
      <c r="L3" s="221"/>
    </row>
    <row r="4" ht="15.75" spans="1:28">
      <c r="A4" s="221"/>
      <c r="B4" s="221"/>
      <c r="C4" s="224"/>
      <c r="D4" s="96"/>
      <c r="E4" s="96"/>
      <c r="F4" s="96"/>
      <c r="G4" s="96"/>
      <c r="H4" s="96"/>
      <c r="I4" s="96"/>
      <c r="J4" s="96"/>
      <c r="K4" s="96"/>
      <c r="L4" s="221"/>
    </row>
    <row r="5" ht="16.5" spans="1:28">
      <c r="A5" s="96"/>
      <c r="B5" s="96"/>
      <c r="C5" s="220"/>
      <c r="D5" s="225" t="s">
        <v>23</v>
      </c>
      <c r="E5" s="225" t="s">
        <v>24</v>
      </c>
      <c r="F5" s="225" t="s">
        <v>25</v>
      </c>
      <c r="G5" s="225" t="s">
        <v>26</v>
      </c>
      <c r="H5" s="225" t="s">
        <v>27</v>
      </c>
      <c r="I5" s="226" t="s">
        <v>28</v>
      </c>
      <c r="J5" s="37" t="s">
        <v>29</v>
      </c>
      <c r="K5" s="37" t="s">
        <v>30</v>
      </c>
      <c r="L5" s="95" t="s">
        <v>29</v>
      </c>
      <c r="M5" s="95"/>
      <c r="N5" s="95"/>
      <c r="O5" s="95"/>
      <c r="P5" s="95"/>
      <c r="R5" s="225" t="s">
        <v>23</v>
      </c>
      <c r="S5" s="225" t="s">
        <v>24</v>
      </c>
      <c r="T5" s="225" t="s">
        <v>25</v>
      </c>
      <c r="U5" s="225" t="s">
        <v>26</v>
      </c>
      <c r="V5" s="225" t="s">
        <v>27</v>
      </c>
      <c r="W5" s="226" t="s">
        <v>28</v>
      </c>
      <c r="X5" s="37" t="s">
        <v>29</v>
      </c>
      <c r="Y5" s="37" t="s">
        <v>30</v>
      </c>
    </row>
    <row r="6" ht="16.5" spans="1:28">
      <c r="A6" s="227">
        <v>270</v>
      </c>
      <c r="B6" s="96"/>
      <c r="C6" s="220"/>
      <c r="D6" s="42">
        <v>1</v>
      </c>
      <c r="E6" s="42">
        <v>12</v>
      </c>
      <c r="F6" s="42">
        <v>10</v>
      </c>
      <c r="G6" s="43">
        <v>10</v>
      </c>
      <c r="H6" s="42" t="s">
        <v>31</v>
      </c>
      <c r="I6" s="228">
        <v>270</v>
      </c>
      <c r="J6" s="228">
        <v>180</v>
      </c>
      <c r="K6" s="228">
        <v>90</v>
      </c>
      <c r="L6" s="95">
        <f>INT(J6/G6/6)</f>
        <v>3</v>
      </c>
      <c r="M6" s="95"/>
      <c r="N6" s="229"/>
      <c r="O6" s="95"/>
      <c r="P6" s="95">
        <v>365.4</v>
      </c>
      <c r="Q6" s="230">
        <v>180</v>
      </c>
      <c r="R6" s="42">
        <v>1</v>
      </c>
      <c r="S6" s="43" t="str">
        <f>IF([1]养成框架!S75=E6,"",[1]养成框架!S75)</f>
        <v/>
      </c>
      <c r="T6" s="43" t="str">
        <f>IF([1]养成框架!T75=F6,"",[1]养成框架!T75)</f>
        <v/>
      </c>
      <c r="U6" s="43" t="str">
        <f>IF([1]养成框架!U75=G6,"",[1]养成框架!U75)</f>
        <v/>
      </c>
      <c r="V6" s="43" t="str">
        <f>IF([1]养成框架!V75=H6,"",[1]养成框架!V75)</f>
        <v/>
      </c>
      <c r="W6" s="228" t="str">
        <f>IF(ABS([1]养成框架!L159-I6)&lt;1,"",[1]养成框架!L159)</f>
        <v/>
      </c>
      <c r="X6" s="228" t="str">
        <f>IF(ABS([1]养成框架!M159-J6)&lt;1,"",[1]养成框架!M159)</f>
        <v/>
      </c>
      <c r="Y6" s="228">
        <f>IF(ABS([1]养成框架!N159-K6)&lt;1,"",[1]养成框架!N159)</f>
        <v>72</v>
      </c>
      <c r="Z6" s="230">
        <f>IF(W6="",I6,W6)</f>
        <v>270</v>
      </c>
      <c r="AA6" s="230">
        <f>IF(X6="",J6,X6)</f>
        <v>180</v>
      </c>
      <c r="AB6" s="230">
        <f>IF(Y6="",K6,Y6)</f>
        <v>72</v>
      </c>
    </row>
    <row r="7" ht="16.5" spans="1:28">
      <c r="A7" s="227">
        <v>372.6</v>
      </c>
      <c r="B7" s="96"/>
      <c r="C7" s="220"/>
      <c r="D7" s="42">
        <v>2</v>
      </c>
      <c r="E7" s="42">
        <v>18</v>
      </c>
      <c r="F7" s="42">
        <v>20</v>
      </c>
      <c r="G7" s="43">
        <v>16</v>
      </c>
      <c r="H7" s="42" t="s">
        <v>32</v>
      </c>
      <c r="I7" s="228">
        <v>372.6</v>
      </c>
      <c r="J7" s="228">
        <v>324</v>
      </c>
      <c r="K7" s="228">
        <v>108</v>
      </c>
      <c r="L7" s="95">
        <f>INT((J7-J6)/(G7-G6)/6)</f>
        <v>4</v>
      </c>
      <c r="M7" s="95"/>
      <c r="N7" s="229"/>
      <c r="O7" s="95"/>
      <c r="P7" s="95">
        <v>518.755263157895</v>
      </c>
      <c r="Q7" s="230">
        <v>324</v>
      </c>
      <c r="R7" s="42">
        <v>2</v>
      </c>
      <c r="S7" s="43" t="str">
        <f>IF([1]养成框架!S76=E7,"",[1]养成框架!S76)</f>
        <v/>
      </c>
      <c r="T7" s="43" t="str">
        <f>IF([1]养成框架!T76=F7,"",[1]养成框架!T76)</f>
        <v/>
      </c>
      <c r="U7" s="43" t="str">
        <f>IF([1]养成框架!U76=G7,"",[1]养成框架!U76)</f>
        <v/>
      </c>
      <c r="V7" s="43" t="str">
        <f>IF([1]养成框架!V76=H7,"",[1]养成框架!V76)</f>
        <v/>
      </c>
      <c r="W7" s="228" t="str">
        <f>IF(ABS([1]养成框架!L160-I7)&lt;1,"",[1]养成框架!L160)</f>
        <v/>
      </c>
      <c r="X7" s="228" t="str">
        <f>IF(ABS([1]养成框架!M160-J7)&lt;1,"",[1]养成框架!M160)</f>
        <v/>
      </c>
      <c r="Y7" s="228" t="str">
        <f>IF(ABS([1]养成框架!N160-K7)&lt;1,"",[1]养成框架!N160)</f>
        <v/>
      </c>
      <c r="Z7" s="230">
        <f t="shared" ref="Z7:Z37" si="0">IF(W7="",I7,W7)</f>
        <v>372.6</v>
      </c>
      <c r="AA7" s="230">
        <f t="shared" ref="AA7:AA37" si="1">IF(X7="",J7,X7)</f>
        <v>324</v>
      </c>
      <c r="AB7" s="230">
        <f t="shared" ref="AB7:AB37" si="2">IF(Y7="",K7,Y7)</f>
        <v>108</v>
      </c>
    </row>
    <row r="8" ht="16.5" spans="1:28">
      <c r="A8" s="227">
        <v>514.8</v>
      </c>
      <c r="B8" s="96"/>
      <c r="C8" s="220"/>
      <c r="D8" s="42">
        <v>3</v>
      </c>
      <c r="E8" s="42">
        <v>22</v>
      </c>
      <c r="F8" s="42">
        <v>30</v>
      </c>
      <c r="G8" s="43">
        <v>20</v>
      </c>
      <c r="H8" s="42" t="s">
        <v>33</v>
      </c>
      <c r="I8" s="228">
        <v>514.8</v>
      </c>
      <c r="J8" s="228">
        <v>420</v>
      </c>
      <c r="K8" s="228">
        <v>144</v>
      </c>
      <c r="L8" s="95">
        <f t="shared" ref="L8:L41" si="3">INT((J8-J7)/(G8-G7)/6)</f>
        <v>4</v>
      </c>
      <c r="M8" s="95"/>
      <c r="N8" s="229"/>
      <c r="O8" s="95"/>
      <c r="P8" s="95">
        <v>688.977215189873</v>
      </c>
      <c r="Q8" s="230">
        <v>420</v>
      </c>
      <c r="R8" s="42">
        <v>3</v>
      </c>
      <c r="S8" s="43" t="str">
        <f>IF([1]养成框架!S77=E8,"",[1]养成框架!S77)</f>
        <v/>
      </c>
      <c r="T8" s="43" t="str">
        <f>IF([1]养成框架!T77=F8,"",[1]养成框架!T77)</f>
        <v/>
      </c>
      <c r="U8" s="43" t="str">
        <f>IF([1]养成框架!U77=G8,"",[1]养成框架!U77)</f>
        <v/>
      </c>
      <c r="V8" s="43" t="str">
        <f>IF([1]养成框架!V77=H8,"",[1]养成框架!V77)</f>
        <v/>
      </c>
      <c r="W8" s="228" t="str">
        <f>IF(ABS([1]养成框架!L161-I8)&lt;1,"",[1]养成框架!L161)</f>
        <v/>
      </c>
      <c r="X8" s="228" t="str">
        <f>IF(ABS([1]养成框架!M161-J8)&lt;1,"",[1]养成框架!M161)</f>
        <v/>
      </c>
      <c r="Y8" s="228">
        <f>IF(ABS([1]养成框架!N161-K8)&lt;1,"",[1]养成框架!N161)</f>
        <v>176</v>
      </c>
      <c r="Z8" s="230">
        <f t="shared" si="0"/>
        <v>514.8</v>
      </c>
      <c r="AA8" s="230">
        <f t="shared" si="1"/>
        <v>420</v>
      </c>
      <c r="AB8" s="230">
        <f t="shared" si="2"/>
        <v>176</v>
      </c>
    </row>
    <row r="9" ht="16.5" spans="1:28">
      <c r="A9" s="227">
        <v>514.8</v>
      </c>
      <c r="B9" s="231"/>
      <c r="C9" s="232"/>
      <c r="D9" s="42">
        <v>4</v>
      </c>
      <c r="E9" s="42">
        <v>25</v>
      </c>
      <c r="F9" s="42">
        <v>30</v>
      </c>
      <c r="G9" s="43">
        <v>24</v>
      </c>
      <c r="H9" s="42" t="s">
        <v>33</v>
      </c>
      <c r="I9" s="228">
        <v>514.8</v>
      </c>
      <c r="J9" s="228">
        <v>540</v>
      </c>
      <c r="K9" s="228">
        <v>174</v>
      </c>
      <c r="L9" s="95">
        <f t="shared" si="3"/>
        <v>5</v>
      </c>
      <c r="M9" s="95"/>
      <c r="N9" s="229"/>
      <c r="O9" s="95"/>
      <c r="P9" s="95">
        <v>749.60981595092</v>
      </c>
      <c r="Q9" s="230">
        <v>540</v>
      </c>
      <c r="R9" s="42">
        <v>4</v>
      </c>
      <c r="S9" s="43" t="str">
        <f>IF([1]养成框架!S78=E9,"",[1]养成框架!S78)</f>
        <v/>
      </c>
      <c r="T9" s="43" t="str">
        <f>IF([1]养成框架!T78=F9,"",[1]养成框架!T78)</f>
        <v/>
      </c>
      <c r="U9" s="43" t="str">
        <f>IF([1]养成框架!U78=G9,"",[1]养成框架!U78)</f>
        <v/>
      </c>
      <c r="V9" s="43" t="str">
        <f>IF([1]养成框架!V78=H9,"",[1]养成框架!V78)</f>
        <v/>
      </c>
      <c r="W9" s="228" t="str">
        <f>IF(ABS([1]养成框架!L162-I9)&lt;1,"",[1]养成框架!L162)</f>
        <v/>
      </c>
      <c r="X9" s="228" t="str">
        <f>IF(ABS([1]养成框架!M162-J9)&lt;1,"",[1]养成框架!M162)</f>
        <v/>
      </c>
      <c r="Y9" s="228">
        <f>IF(ABS([1]养成框架!N162-K9)&lt;1,"",[1]养成框架!N162)</f>
        <v>192</v>
      </c>
      <c r="Z9" s="230">
        <f t="shared" si="0"/>
        <v>514.8</v>
      </c>
      <c r="AA9" s="230">
        <f t="shared" si="1"/>
        <v>540</v>
      </c>
      <c r="AB9" s="230">
        <f t="shared" si="2"/>
        <v>192</v>
      </c>
    </row>
    <row r="10" ht="16.5" spans="1:28">
      <c r="A10" s="227">
        <v>514.8</v>
      </c>
      <c r="B10" s="233"/>
      <c r="C10" s="234"/>
      <c r="D10" s="42">
        <v>5</v>
      </c>
      <c r="E10" s="42">
        <v>28</v>
      </c>
      <c r="F10" s="42">
        <v>30</v>
      </c>
      <c r="G10" s="43">
        <v>27</v>
      </c>
      <c r="H10" s="42" t="s">
        <v>33</v>
      </c>
      <c r="I10" s="228">
        <v>514.8</v>
      </c>
      <c r="J10" s="228">
        <v>630</v>
      </c>
      <c r="K10" s="228">
        <v>234</v>
      </c>
      <c r="L10" s="95">
        <f t="shared" si="3"/>
        <v>5</v>
      </c>
      <c r="M10" s="95"/>
      <c r="N10" s="229"/>
      <c r="O10" s="95"/>
      <c r="P10" s="95">
        <v>793.858682634731</v>
      </c>
      <c r="Q10" s="230">
        <v>630</v>
      </c>
      <c r="R10" s="42">
        <v>5</v>
      </c>
      <c r="S10" s="43" t="str">
        <f>IF([1]养成框架!S79=E10,"",[1]养成框架!S79)</f>
        <v/>
      </c>
      <c r="T10" s="43" t="str">
        <f>IF([1]养成框架!T79=F10,"",[1]养成框架!T79)</f>
        <v/>
      </c>
      <c r="U10" s="43" t="str">
        <f>IF([1]养成框架!U79=G10,"",[1]养成框架!U79)</f>
        <v/>
      </c>
      <c r="V10" s="43" t="str">
        <f>IF([1]养成框架!V79=H10,"",[1]养成框架!V79)</f>
        <v/>
      </c>
      <c r="W10" s="228" t="str">
        <f>IF(ABS([1]养成框架!L163-I10)&lt;1,"",[1]养成框架!L163)</f>
        <v/>
      </c>
      <c r="X10" s="228" t="str">
        <f>IF(ABS([1]养成框架!M163-J10)&lt;1,"",[1]养成框架!M163)</f>
        <v/>
      </c>
      <c r="Y10" s="228">
        <f>IF(ABS([1]养成框架!N163-K10)&lt;1,"",[1]养成框架!N163)</f>
        <v>208</v>
      </c>
      <c r="Z10" s="230">
        <f t="shared" si="0"/>
        <v>514.8</v>
      </c>
      <c r="AA10" s="230">
        <f t="shared" si="1"/>
        <v>630</v>
      </c>
      <c r="AB10" s="230">
        <f t="shared" si="2"/>
        <v>208</v>
      </c>
    </row>
    <row r="11" ht="16.5" spans="1:28">
      <c r="A11" s="227">
        <v>591.5</v>
      </c>
      <c r="B11" s="233"/>
      <c r="C11" s="234"/>
      <c r="D11" s="42">
        <v>6</v>
      </c>
      <c r="E11" s="42">
        <v>30</v>
      </c>
      <c r="F11" s="42">
        <v>40</v>
      </c>
      <c r="G11" s="43">
        <v>30</v>
      </c>
      <c r="H11" s="42" t="s">
        <v>33</v>
      </c>
      <c r="I11" s="228">
        <v>591.5</v>
      </c>
      <c r="J11" s="228">
        <v>756</v>
      </c>
      <c r="K11" s="228">
        <v>240</v>
      </c>
      <c r="L11" s="95">
        <f t="shared" si="3"/>
        <v>7</v>
      </c>
      <c r="M11" s="95"/>
      <c r="N11" s="229"/>
      <c r="O11" s="95"/>
      <c r="P11" s="95">
        <v>905.923529411765</v>
      </c>
      <c r="Q11" s="230">
        <v>756</v>
      </c>
      <c r="R11" s="42">
        <v>6</v>
      </c>
      <c r="S11" s="43" t="str">
        <f>IF([1]养成框架!S80=E11,"",[1]养成框架!S80)</f>
        <v/>
      </c>
      <c r="T11" s="43" t="str">
        <f>IF([1]养成框架!T80=F11,"",[1]养成框架!T80)</f>
        <v/>
      </c>
      <c r="U11" s="43" t="str">
        <f>IF([1]养成框架!U80=G11,"",[1]养成框架!U80)</f>
        <v/>
      </c>
      <c r="V11" s="43" t="str">
        <f>IF([1]养成框架!V80=H11,"",[1]养成框架!V80)</f>
        <v/>
      </c>
      <c r="W11" s="228" t="str">
        <f>IF(ABS([1]养成框架!L164-I11)&lt;1,"",[1]养成框架!L164)</f>
        <v/>
      </c>
      <c r="X11" s="228" t="str">
        <f>IF(ABS([1]养成框架!M164-J11)&lt;1,"",[1]养成框架!M164)</f>
        <v/>
      </c>
      <c r="Y11" s="228">
        <f>IF(ABS([1]养成框架!N164-K11)&lt;1,"",[1]养成框架!N164)</f>
        <v>224</v>
      </c>
      <c r="Z11" s="230">
        <f t="shared" si="0"/>
        <v>591.5</v>
      </c>
      <c r="AA11" s="230">
        <f t="shared" si="1"/>
        <v>756</v>
      </c>
      <c r="AB11" s="230">
        <f t="shared" si="2"/>
        <v>224</v>
      </c>
    </row>
    <row r="12" ht="16.5" spans="1:28">
      <c r="A12" s="227">
        <v>591.5</v>
      </c>
      <c r="B12" s="233"/>
      <c r="C12" s="234"/>
      <c r="D12" s="42">
        <v>7</v>
      </c>
      <c r="E12" s="42">
        <v>32</v>
      </c>
      <c r="F12" s="42">
        <v>40</v>
      </c>
      <c r="G12" s="43">
        <v>32</v>
      </c>
      <c r="H12" s="42" t="s">
        <v>33</v>
      </c>
      <c r="I12" s="228">
        <v>591.5</v>
      </c>
      <c r="J12" s="228">
        <v>840</v>
      </c>
      <c r="K12" s="228">
        <v>288</v>
      </c>
      <c r="L12" s="95">
        <f t="shared" si="3"/>
        <v>7</v>
      </c>
      <c r="M12" s="95"/>
      <c r="N12" s="229"/>
      <c r="O12" s="95"/>
      <c r="P12" s="95">
        <v>946.861271676301</v>
      </c>
      <c r="Q12" s="230">
        <v>840</v>
      </c>
      <c r="R12" s="42">
        <v>7</v>
      </c>
      <c r="S12" s="43" t="str">
        <f>IF([1]养成框架!S81=E12,"",[1]养成框架!S81)</f>
        <v/>
      </c>
      <c r="T12" s="43" t="str">
        <f>IF([1]养成框架!T81=F12,"",[1]养成框架!T81)</f>
        <v/>
      </c>
      <c r="U12" s="43" t="str">
        <f>IF([1]养成框架!U81=G12,"",[1]养成框架!U81)</f>
        <v/>
      </c>
      <c r="V12" s="43" t="str">
        <f>IF([1]养成框架!V81=H12,"",[1]养成框架!V81)</f>
        <v/>
      </c>
      <c r="W12" s="228" t="str">
        <f>IF(ABS([1]养成框架!L165-I12)&lt;1,"",[1]养成框架!L165)</f>
        <v/>
      </c>
      <c r="X12" s="228" t="str">
        <f>IF(ABS([1]养成框架!M165-J12)&lt;1,"",[1]养成框架!M165)</f>
        <v/>
      </c>
      <c r="Y12" s="228">
        <f>IF(ABS([1]养成框架!N165-K12)&lt;1,"",[1]养成框架!N165)</f>
        <v>240</v>
      </c>
      <c r="Z12" s="230">
        <f t="shared" si="0"/>
        <v>591.5</v>
      </c>
      <c r="AA12" s="230">
        <f t="shared" si="1"/>
        <v>840</v>
      </c>
      <c r="AB12" s="230">
        <f t="shared" si="2"/>
        <v>240</v>
      </c>
    </row>
    <row r="13" ht="16.5" spans="1:28">
      <c r="A13" s="227">
        <v>728</v>
      </c>
      <c r="B13" s="233"/>
      <c r="C13" s="234"/>
      <c r="D13" s="42">
        <v>8</v>
      </c>
      <c r="E13" s="42">
        <v>34</v>
      </c>
      <c r="F13" s="42">
        <v>40</v>
      </c>
      <c r="G13" s="43">
        <v>34</v>
      </c>
      <c r="H13" s="42" t="s">
        <v>34</v>
      </c>
      <c r="I13" s="228">
        <v>728</v>
      </c>
      <c r="J13" s="228">
        <v>924</v>
      </c>
      <c r="K13" s="228">
        <v>360</v>
      </c>
      <c r="L13" s="95">
        <f t="shared" si="3"/>
        <v>7</v>
      </c>
      <c r="M13" s="95"/>
      <c r="N13" s="229"/>
      <c r="O13" s="95"/>
      <c r="P13" s="95">
        <v>1053.5</v>
      </c>
      <c r="Q13" s="230">
        <v>924</v>
      </c>
      <c r="R13" s="42">
        <v>8</v>
      </c>
      <c r="S13" s="43" t="str">
        <f>IF([1]养成框架!S82=E13,"",[1]养成框架!S82)</f>
        <v/>
      </c>
      <c r="T13" s="43" t="str">
        <f>IF([1]养成框架!T82=F13,"",[1]养成框架!T82)</f>
        <v/>
      </c>
      <c r="U13" s="43" t="str">
        <f>IF([1]养成框架!U82=G13,"",[1]养成框架!U82)</f>
        <v/>
      </c>
      <c r="V13" s="43" t="str">
        <f>IF([1]养成框架!V82=H13,"",[1]养成框架!V82)</f>
        <v/>
      </c>
      <c r="W13" s="228" t="str">
        <f>IF(ABS([1]养成框架!L166-I13)&lt;1,"",[1]养成框架!L166)</f>
        <v/>
      </c>
      <c r="X13" s="228" t="str">
        <f>IF(ABS([1]养成框架!M166-J13)&lt;1,"",[1]养成框架!M166)</f>
        <v/>
      </c>
      <c r="Y13" s="228">
        <f>IF(ABS([1]养成框架!N166-K13)&lt;1,"",[1]养成框架!N166)</f>
        <v>240</v>
      </c>
      <c r="Z13" s="230">
        <f t="shared" si="0"/>
        <v>728</v>
      </c>
      <c r="AA13" s="230">
        <f t="shared" si="1"/>
        <v>924</v>
      </c>
      <c r="AB13" s="230">
        <f t="shared" si="2"/>
        <v>240</v>
      </c>
    </row>
    <row r="14" ht="16.5" spans="1:28">
      <c r="A14" s="227">
        <v>728</v>
      </c>
      <c r="B14" s="233"/>
      <c r="C14" s="234"/>
      <c r="D14" s="42">
        <v>9</v>
      </c>
      <c r="E14" s="42">
        <v>36</v>
      </c>
      <c r="F14" s="42">
        <v>40</v>
      </c>
      <c r="G14" s="43">
        <v>36</v>
      </c>
      <c r="H14" s="42" t="s">
        <v>34</v>
      </c>
      <c r="I14" s="228">
        <v>728</v>
      </c>
      <c r="J14" s="228">
        <v>1008</v>
      </c>
      <c r="K14" s="228">
        <v>420</v>
      </c>
      <c r="L14" s="95">
        <f t="shared" si="3"/>
        <v>7</v>
      </c>
      <c r="M14" s="95"/>
      <c r="N14" s="229"/>
      <c r="O14" s="95"/>
      <c r="P14" s="95">
        <v>1081.83240223464</v>
      </c>
      <c r="Q14" s="230">
        <v>1008</v>
      </c>
      <c r="R14" s="42">
        <v>9</v>
      </c>
      <c r="S14" s="43" t="str">
        <f>IF([1]养成框架!S83=E14,"",[1]养成框架!S83)</f>
        <v/>
      </c>
      <c r="T14" s="43" t="str">
        <f>IF([1]养成框架!T83=F14,"",[1]养成框架!T83)</f>
        <v/>
      </c>
      <c r="U14" s="43" t="str">
        <f>IF([1]养成框架!U83=G14,"",[1]养成框架!U83)</f>
        <v/>
      </c>
      <c r="V14" s="43" t="str">
        <f>IF([1]养成框架!V83=H14,"",[1]养成框架!V83)</f>
        <v/>
      </c>
      <c r="W14" s="228" t="str">
        <f>IF(ABS([1]养成框架!L167-I14)&lt;1,"",[1]养成框架!L167)</f>
        <v/>
      </c>
      <c r="X14" s="228" t="str">
        <f>IF(ABS([1]养成框架!M167-J14)&lt;1,"",[1]养成框架!M167)</f>
        <v/>
      </c>
      <c r="Y14" s="228">
        <f>IF(ABS([1]养成框架!N167-K14)&lt;1,"",[1]养成框架!N167)</f>
        <v>240</v>
      </c>
      <c r="Z14" s="230">
        <f t="shared" si="0"/>
        <v>728</v>
      </c>
      <c r="AA14" s="230">
        <f t="shared" si="1"/>
        <v>1008</v>
      </c>
      <c r="AB14" s="230">
        <f t="shared" si="2"/>
        <v>240</v>
      </c>
    </row>
    <row r="15" ht="16.5" spans="1:28">
      <c r="A15" s="227">
        <v>728</v>
      </c>
      <c r="B15" s="233"/>
      <c r="C15" s="234"/>
      <c r="D15" s="42">
        <v>10</v>
      </c>
      <c r="E15" s="42">
        <v>38</v>
      </c>
      <c r="F15" s="42">
        <v>40</v>
      </c>
      <c r="G15" s="43">
        <v>38</v>
      </c>
      <c r="H15" s="42" t="s">
        <v>34</v>
      </c>
      <c r="I15" s="228">
        <v>728</v>
      </c>
      <c r="J15" s="228">
        <v>1092</v>
      </c>
      <c r="K15" s="228">
        <v>486</v>
      </c>
      <c r="L15" s="95">
        <f t="shared" si="3"/>
        <v>7</v>
      </c>
      <c r="M15" s="95"/>
      <c r="N15" s="229"/>
      <c r="O15" s="95"/>
      <c r="P15" s="95">
        <v>1115.3591160221</v>
      </c>
      <c r="Q15" s="230">
        <v>1092</v>
      </c>
      <c r="R15" s="42">
        <v>10</v>
      </c>
      <c r="S15" s="43" t="str">
        <f>IF([1]养成框架!S84=E15,"",[1]养成框架!S84)</f>
        <v/>
      </c>
      <c r="T15" s="43" t="str">
        <f>IF([1]养成框架!T84=F15,"",[1]养成框架!T84)</f>
        <v/>
      </c>
      <c r="U15" s="43" t="str">
        <f>IF([1]养成框架!U84=G15,"",[1]养成框架!U84)</f>
        <v/>
      </c>
      <c r="V15" s="43" t="str">
        <f>IF([1]养成框架!V84=H15,"",[1]养成框架!V84)</f>
        <v/>
      </c>
      <c r="W15" s="228" t="str">
        <f>IF(ABS([1]养成框架!L168-I15)&lt;1,"",[1]养成框架!L168)</f>
        <v/>
      </c>
      <c r="X15" s="228" t="str">
        <f>IF(ABS([1]养成框架!M168-J15)&lt;1,"",[1]养成框架!M168)</f>
        <v/>
      </c>
      <c r="Y15" s="228">
        <f>IF(ABS([1]养成框架!N168-K15)&lt;1,"",[1]养成框架!N168)</f>
        <v>240</v>
      </c>
      <c r="Z15" s="230">
        <f t="shared" si="0"/>
        <v>728</v>
      </c>
      <c r="AA15" s="230">
        <f t="shared" si="1"/>
        <v>1092</v>
      </c>
      <c r="AB15" s="230">
        <f t="shared" si="2"/>
        <v>240</v>
      </c>
    </row>
    <row r="16" ht="16.5" spans="1:28">
      <c r="A16" s="227">
        <v>836.8</v>
      </c>
      <c r="B16" s="233"/>
      <c r="C16" s="234"/>
      <c r="D16" s="42">
        <v>11</v>
      </c>
      <c r="E16" s="42">
        <v>40</v>
      </c>
      <c r="F16" s="42">
        <v>50</v>
      </c>
      <c r="G16" s="43">
        <v>40</v>
      </c>
      <c r="H16" s="42" t="s">
        <v>34</v>
      </c>
      <c r="I16" s="228">
        <v>836.8</v>
      </c>
      <c r="J16" s="228">
        <v>1188</v>
      </c>
      <c r="K16" s="228">
        <v>558</v>
      </c>
      <c r="L16" s="95">
        <f t="shared" si="3"/>
        <v>8</v>
      </c>
      <c r="M16" s="95"/>
      <c r="N16" s="229"/>
      <c r="O16" s="95"/>
      <c r="P16" s="95">
        <v>1212.84371584699</v>
      </c>
      <c r="Q16" s="230">
        <v>1188</v>
      </c>
      <c r="R16" s="42">
        <v>11</v>
      </c>
      <c r="S16" s="43" t="str">
        <f>IF([1]养成框架!S85=E16,"",[1]养成框架!S85)</f>
        <v/>
      </c>
      <c r="T16" s="43" t="str">
        <f>IF([1]养成框架!T85=F16,"",[1]养成框架!T85)</f>
        <v/>
      </c>
      <c r="U16" s="43" t="str">
        <f>IF([1]养成框架!U85=G16,"",[1]养成框架!U85)</f>
        <v/>
      </c>
      <c r="V16" s="43" t="str">
        <f>IF([1]养成框架!V85=H16,"",[1]养成框架!V85)</f>
        <v/>
      </c>
      <c r="W16" s="228" t="str">
        <f>IF(ABS([1]养成框架!L169-I16)&lt;1,"",[1]养成框架!L169)</f>
        <v/>
      </c>
      <c r="X16" s="228" t="str">
        <f>IF(ABS([1]养成框架!M169-J16)&lt;1,"",[1]养成框架!M169)</f>
        <v/>
      </c>
      <c r="Y16" s="228">
        <f>IF(ABS([1]养成框架!N169-K16)&lt;1,"",[1]养成框架!N169)</f>
        <v>240</v>
      </c>
      <c r="Z16" s="230">
        <f t="shared" si="0"/>
        <v>836.8</v>
      </c>
      <c r="AA16" s="230">
        <f t="shared" si="1"/>
        <v>1188</v>
      </c>
      <c r="AB16" s="230">
        <f t="shared" si="2"/>
        <v>240</v>
      </c>
    </row>
    <row r="17" ht="16.5" spans="1:28">
      <c r="A17" s="227">
        <v>836.8</v>
      </c>
      <c r="B17" s="233"/>
      <c r="C17" s="234"/>
      <c r="D17" s="42">
        <v>12</v>
      </c>
      <c r="E17" s="42">
        <v>42</v>
      </c>
      <c r="F17" s="42">
        <v>50</v>
      </c>
      <c r="G17" s="43">
        <v>42</v>
      </c>
      <c r="H17" s="42" t="s">
        <v>34</v>
      </c>
      <c r="I17" s="228">
        <v>836.8</v>
      </c>
      <c r="J17" s="228">
        <v>1284</v>
      </c>
      <c r="K17" s="228">
        <v>792</v>
      </c>
      <c r="L17" s="95">
        <f t="shared" si="3"/>
        <v>8</v>
      </c>
      <c r="M17" s="95"/>
      <c r="N17" s="229"/>
      <c r="O17" s="95"/>
      <c r="P17" s="95">
        <v>1250.58594594595</v>
      </c>
      <c r="Q17" s="230">
        <v>1284</v>
      </c>
      <c r="R17" s="42">
        <v>12</v>
      </c>
      <c r="S17" s="43" t="str">
        <f>IF([1]养成框架!S86=E17,"",[1]养成框架!S86)</f>
        <v/>
      </c>
      <c r="T17" s="43" t="str">
        <f>IF([1]养成框架!T86=F17,"",[1]养成框架!T86)</f>
        <v/>
      </c>
      <c r="U17" s="43" t="str">
        <f>IF([1]养成框架!U86=G17,"",[1]养成框架!U86)</f>
        <v/>
      </c>
      <c r="V17" s="43" t="str">
        <f>IF([1]养成框架!V86=H17,"",[1]养成框架!V86)</f>
        <v/>
      </c>
      <c r="W17" s="228" t="str">
        <f>IF(ABS([1]养成框架!L170-I17)&lt;1,"",[1]养成框架!L170)</f>
        <v/>
      </c>
      <c r="X17" s="228" t="str">
        <f>IF(ABS([1]养成框架!M170-J17)&lt;1,"",[1]养成框架!M170)</f>
        <v/>
      </c>
      <c r="Y17" s="228">
        <f>IF(ABS([1]养成框架!N170-K17)&lt;1,"",[1]养成框架!N170)</f>
        <v>240</v>
      </c>
      <c r="Z17" s="230">
        <f t="shared" si="0"/>
        <v>836.8</v>
      </c>
      <c r="AA17" s="230">
        <f t="shared" si="1"/>
        <v>1284</v>
      </c>
      <c r="AB17" s="230">
        <f t="shared" si="2"/>
        <v>240</v>
      </c>
    </row>
    <row r="18" ht="16.5" spans="1:28">
      <c r="A18" s="227">
        <v>836.8</v>
      </c>
      <c r="B18" s="233"/>
      <c r="C18" s="234"/>
      <c r="D18" s="42">
        <v>13</v>
      </c>
      <c r="E18" s="42">
        <v>44</v>
      </c>
      <c r="F18" s="42">
        <v>50</v>
      </c>
      <c r="G18" s="43">
        <v>44</v>
      </c>
      <c r="H18" s="42" t="s">
        <v>34</v>
      </c>
      <c r="I18" s="228">
        <v>836.8</v>
      </c>
      <c r="J18" s="228">
        <v>1380</v>
      </c>
      <c r="K18" s="228">
        <v>990</v>
      </c>
      <c r="L18" s="95">
        <f t="shared" si="3"/>
        <v>8</v>
      </c>
      <c r="M18" s="95"/>
      <c r="N18" s="229"/>
      <c r="O18" s="95"/>
      <c r="P18" s="95">
        <v>1287.52085561497</v>
      </c>
      <c r="Q18" s="230">
        <v>1380</v>
      </c>
      <c r="R18" s="42">
        <v>13</v>
      </c>
      <c r="S18" s="43" t="str">
        <f>IF([1]养成框架!S87=E18,"",[1]养成框架!S87)</f>
        <v/>
      </c>
      <c r="T18" s="43" t="str">
        <f>IF([1]养成框架!T87=F18,"",[1]养成框架!T87)</f>
        <v/>
      </c>
      <c r="U18" s="43" t="str">
        <f>IF([1]养成框架!U87=G18,"",[1]养成框架!U87)</f>
        <v/>
      </c>
      <c r="V18" s="43" t="str">
        <f>IF([1]养成框架!V87=H18,"",[1]养成框架!V87)</f>
        <v/>
      </c>
      <c r="W18" s="228" t="str">
        <f>IF(ABS([1]养成框架!L171-I18)&lt;1,"",[1]养成框架!L171)</f>
        <v/>
      </c>
      <c r="X18" s="228" t="str">
        <f>IF(ABS([1]养成框架!M171-J18)&lt;1,"",[1]养成框架!M171)</f>
        <v/>
      </c>
      <c r="Y18" s="228">
        <f>IF(ABS([1]养成框架!N171-K18)&lt;1,"",[1]养成框架!N171)</f>
        <v>240</v>
      </c>
      <c r="Z18" s="230">
        <f t="shared" si="0"/>
        <v>836.8</v>
      </c>
      <c r="AA18" s="230">
        <f t="shared" si="1"/>
        <v>1380</v>
      </c>
      <c r="AB18" s="230">
        <f t="shared" si="2"/>
        <v>240</v>
      </c>
    </row>
    <row r="19" ht="16.5" spans="1:28">
      <c r="A19" s="227">
        <v>836.8</v>
      </c>
      <c r="B19" s="233"/>
      <c r="C19" s="234"/>
      <c r="D19" s="42">
        <v>14</v>
      </c>
      <c r="E19" s="42">
        <v>45</v>
      </c>
      <c r="F19" s="42">
        <v>55</v>
      </c>
      <c r="G19" s="43">
        <v>45</v>
      </c>
      <c r="H19" s="42" t="s">
        <v>34</v>
      </c>
      <c r="I19" s="228">
        <v>899.2</v>
      </c>
      <c r="J19" s="228">
        <v>1428</v>
      </c>
      <c r="K19" s="228">
        <v>1290</v>
      </c>
      <c r="L19" s="95">
        <f t="shared" si="3"/>
        <v>8</v>
      </c>
      <c r="M19" s="95"/>
      <c r="N19" s="229"/>
      <c r="O19" s="95"/>
      <c r="P19" s="95">
        <v>1305.69361702128</v>
      </c>
      <c r="Q19" s="230">
        <v>1428</v>
      </c>
      <c r="R19" s="42">
        <v>14</v>
      </c>
      <c r="S19" s="43" t="str">
        <f>IF([1]养成框架!S88=E19,"",[1]养成框架!S88)</f>
        <v/>
      </c>
      <c r="T19" s="43">
        <f>IF([1]养成框架!T88=F19,"",[1]养成框架!T88)</f>
        <v>50</v>
      </c>
      <c r="U19" s="43" t="str">
        <f>IF([1]养成框架!U88=G19,"",[1]养成框架!U88)</f>
        <v/>
      </c>
      <c r="V19" s="43" t="str">
        <f>IF([1]养成框架!V88=H19,"",[1]养成框架!V88)</f>
        <v/>
      </c>
      <c r="W19" s="228">
        <f>IF(ABS([1]养成框架!L172-I19)&lt;1,"",[1]养成框架!L172)</f>
        <v>836.8</v>
      </c>
      <c r="X19" s="228" t="str">
        <f>IF(ABS([1]养成框架!M172-J19)&lt;1,"",[1]养成框架!M172)</f>
        <v/>
      </c>
      <c r="Y19" s="228">
        <f>IF(ABS([1]养成框架!N172-K19)&lt;1,"",[1]养成框架!N172)</f>
        <v>240</v>
      </c>
      <c r="Z19" s="230">
        <f t="shared" si="0"/>
        <v>836.8</v>
      </c>
      <c r="AA19" s="230">
        <f t="shared" si="1"/>
        <v>1428</v>
      </c>
      <c r="AB19" s="230">
        <f t="shared" si="2"/>
        <v>240</v>
      </c>
    </row>
    <row r="20" ht="16.5" spans="1:28">
      <c r="A20" s="227">
        <v>836.8</v>
      </c>
      <c r="B20" s="233"/>
      <c r="C20" s="234"/>
      <c r="D20" s="42">
        <v>15</v>
      </c>
      <c r="E20" s="42">
        <v>46</v>
      </c>
      <c r="F20" s="42">
        <v>55</v>
      </c>
      <c r="G20" s="43">
        <v>46</v>
      </c>
      <c r="H20" s="42" t="s">
        <v>34</v>
      </c>
      <c r="I20" s="228">
        <v>899.2</v>
      </c>
      <c r="J20" s="228">
        <v>1476</v>
      </c>
      <c r="K20" s="228">
        <v>1596</v>
      </c>
      <c r="L20" s="95">
        <f t="shared" si="3"/>
        <v>8</v>
      </c>
      <c r="M20" s="95"/>
      <c r="N20" s="229"/>
      <c r="O20" s="95"/>
      <c r="P20" s="95">
        <v>1378.60210526316</v>
      </c>
      <c r="Q20" s="230">
        <v>1476</v>
      </c>
      <c r="R20" s="42">
        <v>15</v>
      </c>
      <c r="S20" s="43" t="str">
        <f>IF([1]养成框架!S89=E20,"",[1]养成框架!S89)</f>
        <v/>
      </c>
      <c r="T20" s="43">
        <f>IF([1]养成框架!T89=F20,"",[1]养成框架!T89)</f>
        <v>50</v>
      </c>
      <c r="U20" s="43" t="str">
        <f>IF([1]养成框架!U89=G20,"",[1]养成框架!U89)</f>
        <v/>
      </c>
      <c r="V20" s="43" t="str">
        <f>IF([1]养成框架!V89=H20,"",[1]养成框架!V89)</f>
        <v/>
      </c>
      <c r="W20" s="228">
        <f>IF(ABS([1]养成框架!L173-I20)&lt;1,"",[1]养成框架!L173)</f>
        <v>836.8</v>
      </c>
      <c r="X20" s="228" t="str">
        <f>IF(ABS([1]养成框架!M173-J20)&lt;1,"",[1]养成框架!M173)</f>
        <v/>
      </c>
      <c r="Y20" s="228">
        <f>IF(ABS([1]养成框架!N173-K20)&lt;1,"",[1]养成框架!N173)</f>
        <v>360</v>
      </c>
      <c r="Z20" s="230">
        <f t="shared" si="0"/>
        <v>836.8</v>
      </c>
      <c r="AA20" s="230">
        <f t="shared" si="1"/>
        <v>1476</v>
      </c>
      <c r="AB20" s="230">
        <f t="shared" si="2"/>
        <v>360</v>
      </c>
    </row>
    <row r="21" ht="16.5" spans="1:28">
      <c r="A21" s="227">
        <v>836.8</v>
      </c>
      <c r="B21" s="233"/>
      <c r="C21" s="234"/>
      <c r="D21" s="42">
        <v>16</v>
      </c>
      <c r="E21" s="42">
        <v>47</v>
      </c>
      <c r="F21" s="42">
        <v>55</v>
      </c>
      <c r="G21" s="43">
        <v>47</v>
      </c>
      <c r="H21" s="42" t="s">
        <v>34</v>
      </c>
      <c r="I21" s="228">
        <v>899.2</v>
      </c>
      <c r="J21" s="228">
        <v>1524</v>
      </c>
      <c r="K21" s="228">
        <v>1896</v>
      </c>
      <c r="L21" s="95">
        <f t="shared" si="3"/>
        <v>8</v>
      </c>
      <c r="M21" s="95"/>
      <c r="N21" s="229"/>
      <c r="O21" s="95"/>
      <c r="P21" s="95">
        <v>1396.01256544503</v>
      </c>
      <c r="Q21" s="230">
        <v>1524</v>
      </c>
      <c r="R21" s="42">
        <v>16</v>
      </c>
      <c r="S21" s="43" t="str">
        <f>IF([1]养成框架!S90=E21,"",[1]养成框架!S90)</f>
        <v/>
      </c>
      <c r="T21" s="43">
        <f>IF([1]养成框架!T90=F21,"",[1]养成框架!T90)</f>
        <v>50</v>
      </c>
      <c r="U21" s="43" t="str">
        <f>IF([1]养成框架!U90=G21,"",[1]养成框架!U90)</f>
        <v/>
      </c>
      <c r="V21" s="43" t="str">
        <f>IF([1]养成框架!V90=H21,"",[1]养成框架!V90)</f>
        <v/>
      </c>
      <c r="W21" s="228">
        <f>IF(ABS([1]养成框架!L174-I21)&lt;1,"",[1]养成框架!L174)</f>
        <v>836.8</v>
      </c>
      <c r="X21" s="228" t="str">
        <f>IF(ABS([1]养成框架!M174-J21)&lt;1,"",[1]养成框架!M174)</f>
        <v/>
      </c>
      <c r="Y21" s="228">
        <f>IF(ABS([1]养成框架!N174-K21)&lt;1,"",[1]养成框架!N174)</f>
        <v>360</v>
      </c>
      <c r="Z21" s="230">
        <f t="shared" si="0"/>
        <v>836.8</v>
      </c>
      <c r="AA21" s="230">
        <f t="shared" si="1"/>
        <v>1524</v>
      </c>
      <c r="AB21" s="230">
        <f t="shared" si="2"/>
        <v>360</v>
      </c>
    </row>
    <row r="22" ht="16.5" spans="1:28">
      <c r="A22" s="227">
        <v>961.6</v>
      </c>
      <c r="B22" s="233"/>
      <c r="C22" s="234"/>
      <c r="D22" s="42">
        <v>20</v>
      </c>
      <c r="E22" s="42">
        <v>51</v>
      </c>
      <c r="F22" s="42">
        <v>60</v>
      </c>
      <c r="G22" s="43">
        <v>51</v>
      </c>
      <c r="H22" s="42" t="s">
        <v>34</v>
      </c>
      <c r="I22" s="228">
        <v>966.4</v>
      </c>
      <c r="J22" s="228">
        <v>1764</v>
      </c>
      <c r="K22" s="228">
        <v>2196</v>
      </c>
      <c r="L22" s="95">
        <f t="shared" si="3"/>
        <v>10</v>
      </c>
      <c r="M22" s="95"/>
      <c r="N22" s="229"/>
      <c r="O22" s="95"/>
      <c r="P22" s="95">
        <v>1542.8</v>
      </c>
      <c r="Q22" s="230">
        <v>1716</v>
      </c>
      <c r="R22" s="42">
        <v>20</v>
      </c>
      <c r="S22" s="43" t="str">
        <f>IF([1]养成框架!S91=E22,"",[1]养成框架!S91)</f>
        <v/>
      </c>
      <c r="T22" s="43" t="str">
        <f>IF([1]养成框架!T91=F22,"",[1]养成框架!T91)</f>
        <v/>
      </c>
      <c r="U22" s="43" t="str">
        <f>IF([1]养成框架!U91=G22,"",[1]养成框架!U91)</f>
        <v/>
      </c>
      <c r="V22" s="43" t="str">
        <f>IF([1]养成框架!V91=H22,"",[1]养成框架!V91)</f>
        <v/>
      </c>
      <c r="W22" s="228">
        <f>IF(ABS([1]养成框架!L175-I22)&lt;1,"",[1]养成框架!L175)</f>
        <v>961.6</v>
      </c>
      <c r="X22" s="228">
        <f>IF(ABS([1]养成框架!M175-J22)&lt;1,"",[1]养成框架!M175)</f>
        <v>1716</v>
      </c>
      <c r="Y22" s="228">
        <f>IF(ABS([1]养成框架!N175-K22)&lt;1,"",[1]养成框架!N175)</f>
        <v>360</v>
      </c>
      <c r="Z22" s="230">
        <f t="shared" si="0"/>
        <v>961.6</v>
      </c>
      <c r="AA22" s="230">
        <f t="shared" si="1"/>
        <v>1716</v>
      </c>
      <c r="AB22" s="230">
        <f t="shared" si="2"/>
        <v>360</v>
      </c>
    </row>
    <row r="23" ht="16.5" spans="1:28">
      <c r="A23" s="227">
        <v>1202</v>
      </c>
      <c r="B23" s="233"/>
      <c r="C23" s="234"/>
      <c r="D23" s="42">
        <v>27</v>
      </c>
      <c r="E23" s="43">
        <v>56</v>
      </c>
      <c r="F23" s="42">
        <v>65</v>
      </c>
      <c r="G23" s="43">
        <v>58</v>
      </c>
      <c r="H23" s="42" t="s">
        <v>35</v>
      </c>
      <c r="I23" s="228">
        <v>1298</v>
      </c>
      <c r="J23" s="228">
        <v>2184</v>
      </c>
      <c r="K23" s="228">
        <v>2496</v>
      </c>
      <c r="L23" s="95">
        <f t="shared" si="3"/>
        <v>10</v>
      </c>
      <c r="M23" s="95"/>
      <c r="N23" s="229"/>
      <c r="O23" s="95"/>
      <c r="P23" s="95">
        <v>1808.41379310345</v>
      </c>
      <c r="Q23" s="230">
        <v>2052</v>
      </c>
      <c r="R23" s="42">
        <v>27</v>
      </c>
      <c r="S23" s="43" t="str">
        <f>IF([1]养成框架!S92=E23,"",[1]养成框架!S92)</f>
        <v/>
      </c>
      <c r="T23" s="43">
        <f>IF([1]养成框架!T92=F23,"",[1]养成框架!T92)</f>
        <v>60</v>
      </c>
      <c r="U23" s="43" t="str">
        <f>IF([1]养成框架!U92=G23,"",[1]养成框架!U92)</f>
        <v/>
      </c>
      <c r="V23" s="43" t="str">
        <f>IF([1]养成框架!V92=H23,"",[1]养成框架!V92)</f>
        <v/>
      </c>
      <c r="W23" s="228">
        <f>IF(ABS([1]养成框架!L176-I23)&lt;1,"",[1]养成框架!L176)</f>
        <v>1202</v>
      </c>
      <c r="X23" s="228">
        <f>IF(ABS([1]养成框架!M176-J23)&lt;1,"",[1]养成框架!M176)</f>
        <v>2052</v>
      </c>
      <c r="Y23" s="228">
        <f>IF(ABS([1]养成框架!N176-K23)&lt;1,"",[1]养成框架!N176)</f>
        <v>360</v>
      </c>
      <c r="Z23" s="230">
        <f t="shared" si="0"/>
        <v>1202</v>
      </c>
      <c r="AA23" s="230">
        <f t="shared" si="1"/>
        <v>2052</v>
      </c>
      <c r="AB23" s="230">
        <f t="shared" si="2"/>
        <v>360</v>
      </c>
    </row>
    <row r="24" ht="16.5" spans="1:28">
      <c r="A24" s="227">
        <v>1382</v>
      </c>
      <c r="B24" s="233"/>
      <c r="C24" s="234"/>
      <c r="D24" s="42">
        <v>34</v>
      </c>
      <c r="E24" s="43">
        <v>61</v>
      </c>
      <c r="F24" s="42">
        <v>70</v>
      </c>
      <c r="G24" s="43">
        <v>62.9</v>
      </c>
      <c r="H24" s="42" t="s">
        <v>35</v>
      </c>
      <c r="I24" s="228">
        <v>1394</v>
      </c>
      <c r="J24" s="228">
        <v>2478</v>
      </c>
      <c r="K24" s="228">
        <v>2784</v>
      </c>
      <c r="L24" s="95">
        <f t="shared" si="3"/>
        <v>10</v>
      </c>
      <c r="M24" s="95"/>
      <c r="N24" s="229"/>
      <c r="O24" s="95"/>
      <c r="P24" s="95">
        <v>1969.33333333333</v>
      </c>
      <c r="Q24" s="230">
        <v>2346</v>
      </c>
      <c r="R24" s="42">
        <v>34</v>
      </c>
      <c r="S24" s="43" t="str">
        <f>IF([1]养成框架!S93=E24,"",[1]养成框架!S93)</f>
        <v/>
      </c>
      <c r="T24" s="43" t="str">
        <f>IF([1]养成框架!T93=F24,"",[1]养成框架!T93)</f>
        <v/>
      </c>
      <c r="U24" s="43" t="str">
        <f>IF([1]养成框架!U93=G24,"",[1]养成框架!U93)</f>
        <v/>
      </c>
      <c r="V24" s="43" t="str">
        <f>IF([1]养成框架!V93=H24,"",[1]养成框架!V93)</f>
        <v/>
      </c>
      <c r="W24" s="228">
        <f>IF(ABS([1]养成框架!L177-I24)&lt;1,"",[1]养成框架!L177)</f>
        <v>1382</v>
      </c>
      <c r="X24" s="228">
        <f>IF(ABS([1]养成框架!M177-J24)&lt;1,"",[1]养成框架!M177)</f>
        <v>2346</v>
      </c>
      <c r="Y24" s="228">
        <f>IF(ABS([1]养成框架!N177-K24)&lt;1,"",[1]养成框架!N177)</f>
        <v>360</v>
      </c>
      <c r="Z24" s="230">
        <f t="shared" si="0"/>
        <v>1382</v>
      </c>
      <c r="AA24" s="230">
        <f t="shared" si="1"/>
        <v>2346</v>
      </c>
      <c r="AB24" s="230">
        <f t="shared" si="2"/>
        <v>360</v>
      </c>
    </row>
    <row r="25" ht="16.5" spans="1:28">
      <c r="A25" s="227">
        <v>1382</v>
      </c>
      <c r="B25" s="233"/>
      <c r="C25" s="234"/>
      <c r="D25" s="42">
        <v>41</v>
      </c>
      <c r="E25" s="43">
        <v>66</v>
      </c>
      <c r="F25" s="42">
        <v>75</v>
      </c>
      <c r="G25" s="43">
        <v>67.8</v>
      </c>
      <c r="H25" s="42" t="s">
        <v>35</v>
      </c>
      <c r="I25" s="228">
        <v>1498</v>
      </c>
      <c r="J25" s="228">
        <v>2772</v>
      </c>
      <c r="K25" s="228">
        <v>3156</v>
      </c>
      <c r="L25" s="95">
        <f t="shared" si="3"/>
        <v>10</v>
      </c>
      <c r="M25" s="95"/>
      <c r="N25" s="229"/>
      <c r="O25" s="95"/>
      <c r="P25" s="95">
        <v>2038.58064516129</v>
      </c>
      <c r="Q25" s="230">
        <v>2640</v>
      </c>
      <c r="R25" s="42">
        <v>41</v>
      </c>
      <c r="S25" s="43" t="str">
        <f>IF([1]养成框架!S94=E25,"",[1]养成框架!S94)</f>
        <v/>
      </c>
      <c r="T25" s="43">
        <f>IF([1]养成框架!T94=F25,"",[1]养成框架!T94)</f>
        <v>70</v>
      </c>
      <c r="U25" s="43" t="str">
        <f>IF([1]养成框架!U94=G25,"",[1]养成框架!U94)</f>
        <v/>
      </c>
      <c r="V25" s="43" t="str">
        <f>IF([1]养成框架!V94=H25,"",[1]养成框架!V94)</f>
        <v/>
      </c>
      <c r="W25" s="228">
        <f>IF(ABS([1]养成框架!L178-I25)&lt;1,"",[1]养成框架!L178)</f>
        <v>1382</v>
      </c>
      <c r="X25" s="228">
        <f>IF(ABS([1]养成框架!M178-J25)&lt;1,"",[1]养成框架!M178)</f>
        <v>2640</v>
      </c>
      <c r="Y25" s="228">
        <f>IF(ABS([1]养成框架!N178-K25)&lt;1,"",[1]养成框架!N178)</f>
        <v>360</v>
      </c>
      <c r="Z25" s="230">
        <f t="shared" si="0"/>
        <v>1382</v>
      </c>
      <c r="AA25" s="230">
        <f t="shared" si="1"/>
        <v>2640</v>
      </c>
      <c r="AB25" s="230">
        <f t="shared" si="2"/>
        <v>360</v>
      </c>
    </row>
    <row r="26" ht="16.5" spans="1:28">
      <c r="A26" s="227">
        <v>1588</v>
      </c>
      <c r="B26" s="233"/>
      <c r="C26" s="234"/>
      <c r="D26" s="42">
        <v>48</v>
      </c>
      <c r="E26" s="43">
        <v>71</v>
      </c>
      <c r="F26" s="42">
        <v>80</v>
      </c>
      <c r="G26" s="43">
        <v>72.7</v>
      </c>
      <c r="H26" s="42" t="s">
        <v>35</v>
      </c>
      <c r="I26" s="228">
        <v>1610</v>
      </c>
      <c r="J26" s="228">
        <v>3066</v>
      </c>
      <c r="K26" s="228">
        <v>3516</v>
      </c>
      <c r="L26" s="95">
        <f t="shared" si="3"/>
        <v>9</v>
      </c>
      <c r="M26" s="95"/>
      <c r="N26" s="229"/>
      <c r="O26" s="95"/>
      <c r="P26" s="95">
        <v>2233.50909090909</v>
      </c>
      <c r="Q26" s="230">
        <v>2934</v>
      </c>
      <c r="R26" s="42">
        <v>48</v>
      </c>
      <c r="S26" s="43" t="str">
        <f>IF([1]养成框架!S95=E26,"",[1]养成框架!S95)</f>
        <v/>
      </c>
      <c r="T26" s="43" t="str">
        <f>IF([1]养成框架!T95=F26,"",[1]养成框架!T95)</f>
        <v/>
      </c>
      <c r="U26" s="43" t="str">
        <f>IF([1]养成框架!U95=G26,"",[1]养成框架!U95)</f>
        <v/>
      </c>
      <c r="V26" s="43" t="str">
        <f>IF([1]养成框架!V95=H26,"",[1]养成框架!V95)</f>
        <v/>
      </c>
      <c r="W26" s="228">
        <f>IF(ABS([1]养成框架!L179-I26)&lt;1,"",[1]养成框架!L179)</f>
        <v>1588</v>
      </c>
      <c r="X26" s="228">
        <f>IF(ABS([1]养成框架!M179-J26)&lt;1,"",[1]养成框架!M179)</f>
        <v>2934</v>
      </c>
      <c r="Y26" s="228">
        <f>IF(ABS([1]养成框架!N179-K26)&lt;1,"",[1]养成框架!N179)</f>
        <v>360</v>
      </c>
      <c r="Z26" s="230">
        <f t="shared" si="0"/>
        <v>1588</v>
      </c>
      <c r="AA26" s="230">
        <f t="shared" si="1"/>
        <v>2934</v>
      </c>
      <c r="AB26" s="230">
        <f t="shared" si="2"/>
        <v>360</v>
      </c>
    </row>
    <row r="27" ht="16.5" spans="1:28">
      <c r="A27" s="227">
        <v>1588</v>
      </c>
      <c r="B27" s="233"/>
      <c r="C27" s="234"/>
      <c r="D27" s="42">
        <v>55</v>
      </c>
      <c r="E27" s="43">
        <v>76</v>
      </c>
      <c r="F27" s="42">
        <v>80</v>
      </c>
      <c r="G27" s="43">
        <v>77.6</v>
      </c>
      <c r="H27" s="42" t="s">
        <v>35</v>
      </c>
      <c r="I27" s="228">
        <v>1730</v>
      </c>
      <c r="J27" s="228">
        <v>3418.8</v>
      </c>
      <c r="K27" s="228">
        <v>3840</v>
      </c>
      <c r="L27" s="95">
        <f t="shared" si="3"/>
        <v>12</v>
      </c>
      <c r="M27" s="95"/>
      <c r="N27" s="229"/>
      <c r="O27" s="95"/>
      <c r="P27" s="95">
        <v>2347.975</v>
      </c>
      <c r="Q27" s="230">
        <v>3286.8</v>
      </c>
      <c r="R27" s="42">
        <v>55</v>
      </c>
      <c r="S27" s="43" t="str">
        <f>IF([1]养成框架!S96=E27,"",[1]养成框架!S96)</f>
        <v/>
      </c>
      <c r="T27" s="43" t="str">
        <f>IF([1]养成框架!T96=F27,"",[1]养成框架!T96)</f>
        <v/>
      </c>
      <c r="U27" s="43" t="str">
        <f>IF([1]养成框架!U96=G27,"",[1]养成框架!U96)</f>
        <v/>
      </c>
      <c r="V27" s="43" t="str">
        <f>IF([1]养成框架!V96=H27,"",[1]养成框架!V96)</f>
        <v/>
      </c>
      <c r="W27" s="228">
        <f>IF(ABS([1]养成框架!L180-I27)&lt;1,"",[1]养成框架!L180)</f>
        <v>1588</v>
      </c>
      <c r="X27" s="228">
        <f>IF(ABS([1]养成框架!M180-J27)&lt;1,"",[1]养成框架!M180)</f>
        <v>3286.8</v>
      </c>
      <c r="Y27" s="228">
        <f>IF(ABS([1]养成框架!N180-K27)&lt;1,"",[1]养成框架!N180)</f>
        <v>360</v>
      </c>
      <c r="Z27" s="230">
        <f t="shared" si="0"/>
        <v>1588</v>
      </c>
      <c r="AA27" s="230">
        <f t="shared" si="1"/>
        <v>3286.8</v>
      </c>
      <c r="AB27" s="230">
        <f t="shared" si="2"/>
        <v>360</v>
      </c>
    </row>
    <row r="28" ht="16.5" spans="1:28">
      <c r="A28" s="227">
        <v>1588</v>
      </c>
      <c r="B28" s="233"/>
      <c r="C28" s="234"/>
      <c r="D28" s="42">
        <v>62</v>
      </c>
      <c r="E28" s="43">
        <v>78.5</v>
      </c>
      <c r="F28" s="42">
        <v>85</v>
      </c>
      <c r="G28" s="43">
        <v>80.4</v>
      </c>
      <c r="H28" s="42" t="s">
        <v>35</v>
      </c>
      <c r="I28" s="228">
        <v>1730</v>
      </c>
      <c r="J28" s="228">
        <v>3620.4</v>
      </c>
      <c r="K28" s="228">
        <v>4170</v>
      </c>
      <c r="L28" s="95">
        <f t="shared" si="3"/>
        <v>11</v>
      </c>
      <c r="M28" s="95"/>
      <c r="N28" s="229"/>
      <c r="O28" s="95"/>
      <c r="P28" s="95"/>
      <c r="Q28" s="230">
        <v>3488.4</v>
      </c>
      <c r="R28" s="42">
        <v>62</v>
      </c>
      <c r="S28" s="43" t="str">
        <f>IF([1]养成框架!S97=E28,"",[1]养成框架!S97)</f>
        <v/>
      </c>
      <c r="T28" s="43">
        <f>IF([1]养成框架!T97=F28,"",[1]养成框架!T97)</f>
        <v>80</v>
      </c>
      <c r="U28" s="43" t="str">
        <f>IF([1]养成框架!U97=G28,"",[1]养成框架!U97)</f>
        <v/>
      </c>
      <c r="V28" s="43" t="str">
        <f>IF([1]养成框架!V97=H28,"",[1]养成框架!V97)</f>
        <v/>
      </c>
      <c r="W28" s="228">
        <f>IF(ABS([1]养成框架!L181-I28)&lt;1,"",[1]养成框架!L181)</f>
        <v>1588</v>
      </c>
      <c r="X28" s="228">
        <f>IF(ABS([1]养成框架!M181-J28)&lt;1,"",[1]养成框架!M181)</f>
        <v>3488.4</v>
      </c>
      <c r="Y28" s="228">
        <f>IF(ABS([1]养成框架!N181-K28)&lt;1,"",[1]养成框架!N181)</f>
        <v>450</v>
      </c>
      <c r="Z28" s="230">
        <f t="shared" si="0"/>
        <v>1588</v>
      </c>
      <c r="AA28" s="230">
        <f t="shared" si="1"/>
        <v>3488.4</v>
      </c>
      <c r="AB28" s="230">
        <f t="shared" si="2"/>
        <v>450</v>
      </c>
    </row>
    <row r="29" ht="16.5" spans="1:28">
      <c r="A29" s="227">
        <v>1826</v>
      </c>
      <c r="B29" s="233"/>
      <c r="C29" s="234"/>
      <c r="D29" s="42">
        <v>90</v>
      </c>
      <c r="E29" s="43">
        <v>88.5</v>
      </c>
      <c r="F29" s="42">
        <v>90</v>
      </c>
      <c r="G29" s="43">
        <v>91.6</v>
      </c>
      <c r="H29" s="42" t="s">
        <v>35</v>
      </c>
      <c r="I29" s="228">
        <v>1858</v>
      </c>
      <c r="J29" s="228">
        <v>4695.6</v>
      </c>
      <c r="K29" s="228">
        <v>4500</v>
      </c>
      <c r="L29" s="95">
        <f t="shared" si="3"/>
        <v>16</v>
      </c>
      <c r="M29" s="95"/>
      <c r="N29" s="229"/>
      <c r="O29" s="95"/>
      <c r="P29" s="95"/>
      <c r="Q29" s="230">
        <v>4563.6</v>
      </c>
      <c r="R29" s="42">
        <v>90</v>
      </c>
      <c r="S29" s="43" t="str">
        <f>IF([1]养成框架!S98=E29,"",[1]养成框架!S98)</f>
        <v/>
      </c>
      <c r="T29" s="43" t="str">
        <f>IF([1]养成框架!T98=F29,"",[1]养成框架!T98)</f>
        <v/>
      </c>
      <c r="U29" s="43" t="str">
        <f>IF([1]养成框架!U98=G29,"",[1]养成框架!U98)</f>
        <v/>
      </c>
      <c r="V29" s="43" t="str">
        <f>IF([1]养成框架!V98=H29,"",[1]养成框架!V98)</f>
        <v/>
      </c>
      <c r="W29" s="228">
        <f>IF(ABS([1]养成框架!L182-I29)&lt;1,"",[1]养成框架!L182)</f>
        <v>1826</v>
      </c>
      <c r="X29" s="228">
        <f>IF(ABS([1]养成框架!M182-J29)&lt;1,"",[1]养成框架!M182)</f>
        <v>4563.6</v>
      </c>
      <c r="Y29" s="228">
        <f>IF(ABS([1]养成框架!N182-K29)&lt;1,"",[1]养成框架!N182)</f>
        <v>450</v>
      </c>
      <c r="Z29" s="230">
        <f t="shared" si="0"/>
        <v>1826</v>
      </c>
      <c r="AA29" s="230">
        <f t="shared" si="1"/>
        <v>4563.6</v>
      </c>
      <c r="AB29" s="230">
        <f t="shared" si="2"/>
        <v>450</v>
      </c>
    </row>
    <row r="30" ht="16.5" spans="1:28">
      <c r="A30" s="227">
        <v>2622.5</v>
      </c>
      <c r="B30" s="233"/>
      <c r="C30" s="234"/>
      <c r="D30" s="42">
        <v>120</v>
      </c>
      <c r="E30" s="43">
        <v>93.8571428571429</v>
      </c>
      <c r="F30" s="42">
        <v>100</v>
      </c>
      <c r="G30" s="43">
        <v>97.6</v>
      </c>
      <c r="H30" s="42" t="s">
        <v>36</v>
      </c>
      <c r="I30" s="228">
        <v>2680</v>
      </c>
      <c r="J30" s="228">
        <v>5415.6</v>
      </c>
      <c r="K30" s="228">
        <v>4830</v>
      </c>
      <c r="L30" s="95">
        <f t="shared" si="3"/>
        <v>20</v>
      </c>
      <c r="M30" s="95"/>
      <c r="N30" s="229"/>
      <c r="O30" s="95"/>
      <c r="P30" s="95"/>
      <c r="Q30" s="230">
        <v>5283.6</v>
      </c>
      <c r="R30" s="42">
        <v>120</v>
      </c>
      <c r="S30" s="43" t="str">
        <f>IF([1]养成框架!S99=E30,"",[1]养成框架!S99)</f>
        <v/>
      </c>
      <c r="T30" s="43" t="str">
        <f>IF([1]养成框架!T99=F30,"",[1]养成框架!T99)</f>
        <v/>
      </c>
      <c r="U30" s="43" t="str">
        <f>IF([1]养成框架!U99=G30,"",[1]养成框架!U99)</f>
        <v/>
      </c>
      <c r="V30" s="43" t="str">
        <f>IF([1]养成框架!V99=H30,"",[1]养成框架!V99)</f>
        <v/>
      </c>
      <c r="W30" s="228">
        <f>IF(ABS([1]养成框架!L183-I30)&lt;1,"",[1]养成框架!L183)</f>
        <v>2622.5</v>
      </c>
      <c r="X30" s="228">
        <f>IF(ABS([1]养成框架!M183-J30)&lt;1,"",[1]养成框架!M183)</f>
        <v>5283.6</v>
      </c>
      <c r="Y30" s="228">
        <f>IF(ABS([1]养成框架!N183-K30)&lt;1,"",[1]养成框架!N183)</f>
        <v>450</v>
      </c>
      <c r="Z30" s="230">
        <f t="shared" si="0"/>
        <v>2622.5</v>
      </c>
      <c r="AA30" s="230">
        <f t="shared" si="1"/>
        <v>5283.6</v>
      </c>
      <c r="AB30" s="230">
        <f t="shared" si="2"/>
        <v>450</v>
      </c>
    </row>
    <row r="31" ht="16.5" spans="1:28">
      <c r="A31" s="227">
        <v>2622.5</v>
      </c>
      <c r="B31" s="233"/>
      <c r="C31" s="234"/>
      <c r="D31" s="42">
        <v>150</v>
      </c>
      <c r="E31" s="43">
        <v>99.2142857142858</v>
      </c>
      <c r="F31" s="42">
        <v>105</v>
      </c>
      <c r="G31" s="43">
        <v>103.6</v>
      </c>
      <c r="H31" s="42" t="s">
        <v>36</v>
      </c>
      <c r="I31" s="228">
        <v>2880</v>
      </c>
      <c r="J31" s="228">
        <v>6135.6</v>
      </c>
      <c r="K31" s="228">
        <v>5466</v>
      </c>
      <c r="L31" s="95">
        <f t="shared" si="3"/>
        <v>20</v>
      </c>
      <c r="M31" s="95"/>
      <c r="N31" s="229"/>
      <c r="O31" s="95"/>
      <c r="P31" s="95"/>
      <c r="Q31" s="230">
        <v>6003.6</v>
      </c>
      <c r="R31" s="42">
        <v>150</v>
      </c>
      <c r="S31" s="43" t="str">
        <f>IF([1]养成框架!S100=E31,"",[1]养成框架!S100)</f>
        <v/>
      </c>
      <c r="T31" s="43">
        <f>IF([1]养成框架!T100=F31,"",[1]养成框架!T100)</f>
        <v>100</v>
      </c>
      <c r="U31" s="43" t="str">
        <f>IF([1]养成框架!U100=G31,"",[1]养成框架!U100)</f>
        <v/>
      </c>
      <c r="V31" s="43" t="str">
        <f>IF([1]养成框架!V100=H31,"",[1]养成框架!V100)</f>
        <v/>
      </c>
      <c r="W31" s="228">
        <f>IF(ABS([1]养成框架!L184-I31)&lt;1,"",[1]养成框架!L184)</f>
        <v>2622.5</v>
      </c>
      <c r="X31" s="228">
        <f>IF(ABS([1]养成框架!M184-J31)&lt;1,"",[1]养成框架!M184)</f>
        <v>6003.6</v>
      </c>
      <c r="Y31" s="228">
        <f>IF(ABS([1]养成框架!N184-K31)&lt;1,"",[1]养成框架!N184)</f>
        <v>450</v>
      </c>
      <c r="Z31" s="230">
        <f t="shared" si="0"/>
        <v>2622.5</v>
      </c>
      <c r="AA31" s="230">
        <f t="shared" si="1"/>
        <v>6003.6</v>
      </c>
      <c r="AB31" s="230">
        <f t="shared" si="2"/>
        <v>450</v>
      </c>
    </row>
    <row r="32" ht="16.5" spans="1:28">
      <c r="A32" s="227">
        <v>3015</v>
      </c>
      <c r="B32" s="233"/>
      <c r="C32" s="234"/>
      <c r="D32" s="42">
        <v>190</v>
      </c>
      <c r="E32" s="43">
        <v>106.357142857143</v>
      </c>
      <c r="F32" s="42">
        <v>110</v>
      </c>
      <c r="G32" s="43">
        <v>111.6</v>
      </c>
      <c r="H32" s="42" t="s">
        <v>36</v>
      </c>
      <c r="I32" s="228">
        <v>3095</v>
      </c>
      <c r="J32" s="228">
        <v>7287.6</v>
      </c>
      <c r="K32" s="228">
        <v>6546</v>
      </c>
      <c r="L32" s="95">
        <f t="shared" si="3"/>
        <v>24</v>
      </c>
      <c r="M32" s="95"/>
      <c r="N32" s="229"/>
      <c r="O32" s="95"/>
      <c r="P32" s="95"/>
      <c r="Q32" s="230">
        <v>7155.6</v>
      </c>
      <c r="R32" s="42">
        <v>190</v>
      </c>
      <c r="S32" s="43" t="str">
        <f>IF([1]养成框架!S101=E32,"",[1]养成框架!S101)</f>
        <v/>
      </c>
      <c r="T32" s="43" t="str">
        <f>IF([1]养成框架!T101=F32,"",[1]养成框架!T101)</f>
        <v/>
      </c>
      <c r="U32" s="43" t="str">
        <f>IF([1]养成框架!U101=G32,"",[1]养成框架!U101)</f>
        <v/>
      </c>
      <c r="V32" s="43" t="str">
        <f>IF([1]养成框架!V101=H32,"",[1]养成框架!V101)</f>
        <v/>
      </c>
      <c r="W32" s="228">
        <f>IF(ABS([1]养成框架!L185-I32)&lt;1,"",[1]养成框架!L185)</f>
        <v>3015</v>
      </c>
      <c r="X32" s="228">
        <f>IF(ABS([1]养成框架!M185-J32)&lt;1,"",[1]养成框架!M185)</f>
        <v>7155.6</v>
      </c>
      <c r="Y32" s="228">
        <f>IF(ABS([1]养成框架!N185-K32)&lt;1,"",[1]养成框架!N185)</f>
        <v>450</v>
      </c>
      <c r="Z32" s="230">
        <f t="shared" si="0"/>
        <v>3015</v>
      </c>
      <c r="AA32" s="230">
        <f t="shared" si="1"/>
        <v>7155.6</v>
      </c>
      <c r="AB32" s="230">
        <f t="shared" si="2"/>
        <v>450</v>
      </c>
    </row>
    <row r="33" ht="16.5" spans="1:28">
      <c r="A33" s="227">
        <v>3465</v>
      </c>
      <c r="B33" s="233"/>
      <c r="C33" s="234"/>
      <c r="D33" s="42">
        <v>250</v>
      </c>
      <c r="E33" s="43">
        <v>117.071428571429</v>
      </c>
      <c r="F33" s="42">
        <v>120</v>
      </c>
      <c r="G33" s="43">
        <v>123.6</v>
      </c>
      <c r="H33" s="42" t="s">
        <v>36</v>
      </c>
      <c r="I33" s="228">
        <v>3572.5</v>
      </c>
      <c r="J33" s="228">
        <v>9303.6</v>
      </c>
      <c r="K33" s="228">
        <v>7632</v>
      </c>
      <c r="L33" s="95">
        <f t="shared" si="3"/>
        <v>28</v>
      </c>
      <c r="M33" s="95"/>
      <c r="N33" s="229"/>
      <c r="O33" s="95"/>
      <c r="P33" s="95"/>
      <c r="Q33" s="230">
        <v>9171.6</v>
      </c>
      <c r="R33" s="42">
        <v>250</v>
      </c>
      <c r="S33" s="43" t="str">
        <f>IF([1]养成框架!S102=E33,"",[1]养成框架!S102)</f>
        <v/>
      </c>
      <c r="T33" s="43" t="str">
        <f>IF([1]养成框架!T102=F33,"",[1]养成框架!T102)</f>
        <v/>
      </c>
      <c r="U33" s="43" t="str">
        <f>IF([1]养成框架!U102=G33,"",[1]养成框架!U102)</f>
        <v/>
      </c>
      <c r="V33" s="43" t="str">
        <f>IF([1]养成框架!V102=H33,"",[1]养成框架!V102)</f>
        <v/>
      </c>
      <c r="W33" s="228">
        <f>IF(ABS([1]养成框架!L186-I33)&lt;1,"",[1]养成框架!L186)</f>
        <v>3465</v>
      </c>
      <c r="X33" s="228">
        <f>IF(ABS([1]养成框架!M186-J33)&lt;1,"",[1]养成框架!M186)</f>
        <v>9171.6</v>
      </c>
      <c r="Y33" s="228">
        <f>IF(ABS([1]养成框架!N186-K33)&lt;1,"",[1]养成框架!N186)</f>
        <v>540</v>
      </c>
      <c r="Z33" s="230">
        <f t="shared" si="0"/>
        <v>3465</v>
      </c>
      <c r="AA33" s="230">
        <f t="shared" si="1"/>
        <v>9171.6</v>
      </c>
      <c r="AB33" s="230">
        <f t="shared" si="2"/>
        <v>540</v>
      </c>
    </row>
    <row r="34" ht="16.5" spans="1:28">
      <c r="A34" s="227">
        <v>3982.5</v>
      </c>
      <c r="B34" s="233"/>
      <c r="C34" s="234"/>
      <c r="D34" s="42">
        <v>310</v>
      </c>
      <c r="E34" s="43">
        <v>127.785714285714</v>
      </c>
      <c r="F34" s="42">
        <v>130</v>
      </c>
      <c r="G34" s="43">
        <v>135.6</v>
      </c>
      <c r="H34" s="42" t="s">
        <v>36</v>
      </c>
      <c r="I34" s="228">
        <v>4127.5</v>
      </c>
      <c r="J34" s="228">
        <v>11607.6</v>
      </c>
      <c r="K34" s="228">
        <v>8712</v>
      </c>
      <c r="L34" s="95">
        <f t="shared" si="3"/>
        <v>32</v>
      </c>
      <c r="M34" s="95"/>
      <c r="N34" s="229"/>
      <c r="O34" s="95"/>
      <c r="P34" s="95"/>
      <c r="Q34" s="230">
        <v>11475.6</v>
      </c>
      <c r="R34" s="42">
        <v>310</v>
      </c>
      <c r="S34" s="43" t="str">
        <f>IF([1]养成框架!S103=E34,"",[1]养成框架!S103)</f>
        <v/>
      </c>
      <c r="T34" s="43" t="str">
        <f>IF([1]养成框架!T103=F34,"",[1]养成框架!T103)</f>
        <v/>
      </c>
      <c r="U34" s="43" t="str">
        <f>IF([1]养成框架!U103=G34,"",[1]养成框架!U103)</f>
        <v/>
      </c>
      <c r="V34" s="43" t="str">
        <f>IF([1]养成框架!V103=H34,"",[1]养成框架!V103)</f>
        <v/>
      </c>
      <c r="W34" s="228">
        <f>IF(ABS([1]养成框架!L187-I34)&lt;1,"",[1]养成框架!L187)</f>
        <v>3982.5</v>
      </c>
      <c r="X34" s="228">
        <f>IF(ABS([1]养成框架!M187-J34)&lt;1,"",[1]养成框架!M187)</f>
        <v>11475.6</v>
      </c>
      <c r="Y34" s="228">
        <f>IF(ABS([1]养成框架!N187-K34)&lt;1,"",[1]养成框架!N187)</f>
        <v>540</v>
      </c>
      <c r="Z34" s="230">
        <f t="shared" si="0"/>
        <v>3982.5</v>
      </c>
      <c r="AA34" s="230">
        <f t="shared" si="1"/>
        <v>11475.6</v>
      </c>
      <c r="AB34" s="230">
        <f t="shared" si="2"/>
        <v>540</v>
      </c>
    </row>
    <row r="35" ht="16.5" spans="1:28">
      <c r="A35" s="227">
        <v>4577.5</v>
      </c>
      <c r="B35" s="233"/>
      <c r="C35" s="234"/>
      <c r="D35" s="42">
        <v>370</v>
      </c>
      <c r="E35" s="43">
        <v>138.5</v>
      </c>
      <c r="F35" s="42">
        <v>140</v>
      </c>
      <c r="G35" s="43">
        <v>147.6</v>
      </c>
      <c r="H35" s="42" t="s">
        <v>36</v>
      </c>
      <c r="I35" s="228">
        <v>4767.5</v>
      </c>
      <c r="J35" s="228">
        <v>14343.6</v>
      </c>
      <c r="K35" s="228">
        <v>9078</v>
      </c>
      <c r="L35" s="95">
        <f t="shared" si="3"/>
        <v>38</v>
      </c>
      <c r="M35" s="95"/>
      <c r="N35" s="229"/>
      <c r="O35" s="95"/>
      <c r="P35" s="95"/>
      <c r="Q35" s="230">
        <v>14211.6</v>
      </c>
      <c r="R35" s="42">
        <v>370</v>
      </c>
      <c r="S35" s="43" t="str">
        <f>IF([1]养成框架!S104=E35,"",[1]养成框架!S104)</f>
        <v/>
      </c>
      <c r="T35" s="43" t="str">
        <f>IF([1]养成框架!T104=F35,"",[1]养成框架!T104)</f>
        <v/>
      </c>
      <c r="U35" s="43" t="str">
        <f>IF([1]养成框架!U104=G35,"",[1]养成框架!U104)</f>
        <v/>
      </c>
      <c r="V35" s="43" t="str">
        <f>IF([1]养成框架!V104=H35,"",[1]养成框架!V104)</f>
        <v/>
      </c>
      <c r="W35" s="228">
        <f>IF(ABS([1]养成框架!L188-I35)&lt;1,"",[1]养成框架!L188)</f>
        <v>4577.5</v>
      </c>
      <c r="X35" s="228">
        <f>IF(ABS([1]养成框架!M188-J35)&lt;1,"",[1]养成框架!M188)</f>
        <v>14211.6</v>
      </c>
      <c r="Y35" s="228">
        <f>IF(ABS([1]养成框架!N188-K35)&lt;1,"",[1]养成框架!N188)</f>
        <v>540</v>
      </c>
      <c r="Z35" s="230">
        <f t="shared" si="0"/>
        <v>4577.5</v>
      </c>
      <c r="AA35" s="230">
        <f t="shared" si="1"/>
        <v>14211.6</v>
      </c>
      <c r="AB35" s="230">
        <f t="shared" si="2"/>
        <v>540</v>
      </c>
    </row>
    <row r="36" ht="16.5" spans="1:28">
      <c r="A36" s="227">
        <v>5262.5</v>
      </c>
      <c r="B36" s="233"/>
      <c r="C36" s="234"/>
      <c r="D36" s="42">
        <v>430</v>
      </c>
      <c r="E36" s="43">
        <v>149.214285714286</v>
      </c>
      <c r="F36" s="42">
        <v>150</v>
      </c>
      <c r="G36" s="43">
        <v>159.6</v>
      </c>
      <c r="H36" s="42" t="s">
        <v>36</v>
      </c>
      <c r="I36" s="228">
        <v>5507.5</v>
      </c>
      <c r="J36" s="228">
        <v>17511.6</v>
      </c>
      <c r="K36" s="228">
        <v>9444</v>
      </c>
      <c r="L36" s="95">
        <f t="shared" si="3"/>
        <v>44</v>
      </c>
      <c r="M36" s="95"/>
      <c r="N36" s="229"/>
      <c r="O36" s="95"/>
      <c r="P36" s="95"/>
      <c r="Q36" s="230">
        <v>17379.6</v>
      </c>
      <c r="R36" s="42">
        <v>430</v>
      </c>
      <c r="S36" s="43" t="str">
        <f>IF([1]养成框架!S105=E36,"",[1]养成框架!S105)</f>
        <v/>
      </c>
      <c r="T36" s="43" t="str">
        <f>IF([1]养成框架!T105=F36,"",[1]养成框架!T105)</f>
        <v/>
      </c>
      <c r="U36" s="43" t="str">
        <f>IF([1]养成框架!U105=G36,"",[1]养成框架!U105)</f>
        <v/>
      </c>
      <c r="V36" s="43" t="str">
        <f>IF([1]养成框架!V105=H36,"",[1]养成框架!V105)</f>
        <v/>
      </c>
      <c r="W36" s="228">
        <f>IF(ABS([1]养成框架!L189-I36)&lt;1,"",[1]养成框架!L189)</f>
        <v>5262.5</v>
      </c>
      <c r="X36" s="228">
        <f>IF(ABS([1]养成框架!M189-J36)&lt;1,"",[1]养成框架!M189)</f>
        <v>17379.6</v>
      </c>
      <c r="Y36" s="228">
        <f>IF(ABS([1]养成框架!N189-K36)&lt;1,"",[1]养成框架!N189)</f>
        <v>540</v>
      </c>
      <c r="Z36" s="230">
        <f t="shared" si="0"/>
        <v>5262.5</v>
      </c>
      <c r="AA36" s="230">
        <f t="shared" si="1"/>
        <v>17379.6</v>
      </c>
      <c r="AB36" s="230">
        <f t="shared" si="2"/>
        <v>540</v>
      </c>
    </row>
    <row r="37" ht="16.5" spans="1:28">
      <c r="A37" s="227">
        <v>6957.5</v>
      </c>
      <c r="B37" s="233"/>
      <c r="C37" s="234"/>
      <c r="D37" s="42">
        <f t="shared" ref="D37:G37" si="4">ROUND((D36+D38)/2,0)</f>
        <v>475</v>
      </c>
      <c r="E37" s="42">
        <f t="shared" si="4"/>
        <v>157</v>
      </c>
      <c r="F37" s="42">
        <f t="shared" si="4"/>
        <v>160</v>
      </c>
      <c r="G37" s="42">
        <f t="shared" si="4"/>
        <v>169</v>
      </c>
      <c r="H37" s="42" t="s">
        <v>36</v>
      </c>
      <c r="I37" s="42">
        <f t="shared" ref="I37:K37" si="5">ROUND((I36+I38)/2,0)</f>
        <v>6429</v>
      </c>
      <c r="J37" s="42">
        <f t="shared" si="5"/>
        <v>20104</v>
      </c>
      <c r="K37" s="42">
        <v>9816</v>
      </c>
      <c r="L37" s="95">
        <f t="shared" si="3"/>
        <v>45</v>
      </c>
      <c r="M37" s="95"/>
      <c r="P37" s="95"/>
      <c r="Q37" s="230">
        <v>22563.6</v>
      </c>
      <c r="R37" s="42"/>
      <c r="S37" s="43"/>
      <c r="T37" s="43"/>
      <c r="U37" s="43"/>
      <c r="V37" s="43"/>
      <c r="W37" s="228"/>
      <c r="X37" s="228"/>
      <c r="Y37" s="228"/>
      <c r="Z37" s="230"/>
      <c r="AA37" s="230"/>
      <c r="AB37" s="230"/>
    </row>
    <row r="38" ht="16.5" spans="1:28">
      <c r="A38" s="235"/>
      <c r="B38" s="233"/>
      <c r="C38" s="234"/>
      <c r="D38" s="42">
        <v>520</v>
      </c>
      <c r="E38" s="43">
        <v>165.285714285715</v>
      </c>
      <c r="F38" s="42">
        <v>170</v>
      </c>
      <c r="G38" s="43">
        <v>177.6</v>
      </c>
      <c r="H38" s="42" t="s">
        <v>36</v>
      </c>
      <c r="I38" s="228">
        <v>7350</v>
      </c>
      <c r="J38" s="228">
        <v>22695.6</v>
      </c>
      <c r="K38" s="228">
        <v>10182</v>
      </c>
      <c r="L38" s="95">
        <f t="shared" si="3"/>
        <v>50</v>
      </c>
      <c r="M38" s="95"/>
      <c r="N38" s="230"/>
      <c r="O38" s="95"/>
      <c r="P38" s="95"/>
      <c r="Q38" s="230">
        <v>27555.6</v>
      </c>
      <c r="R38" s="42">
        <v>520</v>
      </c>
      <c r="S38" s="43">
        <f>IF([1]养成框架!S106=E38,"",[1]养成框架!S106)</f>
        <v>165.285714285714</v>
      </c>
      <c r="T38" s="43" t="str">
        <f>IF([1]养成框架!T106=F38,"",[1]养成框架!T106)</f>
        <v/>
      </c>
      <c r="U38" s="43" t="str">
        <f>IF([1]养成框架!U106=G38,"",[1]养成框架!U106)</f>
        <v/>
      </c>
      <c r="V38" s="43" t="str">
        <f>IF([1]养成框架!V106=H38,"",[1]养成框架!V106)</f>
        <v/>
      </c>
      <c r="W38" s="228">
        <f>IF(ABS([1]养成框架!L190-I38)&lt;1,"",[1]养成框架!L190)</f>
        <v>6957.5</v>
      </c>
      <c r="X38" s="228">
        <f>IF(ABS([1]养成框架!M190-J38)&lt;1,"",[1]养成框架!M190)</f>
        <v>22563.6</v>
      </c>
      <c r="Y38" s="228">
        <f>IF(ABS([1]养成框架!N190-K38)&lt;1,"",[1]养成框架!N190)</f>
        <v>540</v>
      </c>
      <c r="Z38" s="230">
        <f>IF(W38="",I38,W38)</f>
        <v>6957.5</v>
      </c>
      <c r="AA38" s="230">
        <f>IF(X38="",J38,X38)</f>
        <v>22563.6</v>
      </c>
      <c r="AB38" s="230">
        <f>IF(Y38="",K38,Y38)</f>
        <v>540</v>
      </c>
    </row>
    <row r="39" ht="16.5" spans="1:28">
      <c r="A39" s="235"/>
      <c r="B39" s="233"/>
      <c r="C39" s="234"/>
      <c r="D39" s="42">
        <f t="shared" ref="D39:G39" si="6">ROUND((D38+D40)/2,0)</f>
        <v>560</v>
      </c>
      <c r="E39" s="42">
        <f t="shared" si="6"/>
        <v>173</v>
      </c>
      <c r="F39" s="42">
        <f t="shared" si="6"/>
        <v>180</v>
      </c>
      <c r="G39" s="42">
        <f t="shared" si="6"/>
        <v>184</v>
      </c>
      <c r="H39" s="42" t="s">
        <v>36</v>
      </c>
      <c r="I39" s="42">
        <f t="shared" ref="I39:K39" si="7">ROUND((I38+I40)/2,0)</f>
        <v>7921</v>
      </c>
      <c r="J39" s="42">
        <f t="shared" si="7"/>
        <v>25288</v>
      </c>
      <c r="K39" s="42">
        <v>10944</v>
      </c>
      <c r="L39" s="95">
        <f t="shared" si="3"/>
        <v>67</v>
      </c>
      <c r="M39" s="95"/>
      <c r="P39" s="95"/>
      <c r="R39" s="45"/>
      <c r="S39" s="73"/>
      <c r="T39" s="73"/>
      <c r="U39" s="73"/>
      <c r="V39" s="73"/>
      <c r="W39" s="236"/>
      <c r="X39" s="236"/>
      <c r="Y39" s="236"/>
      <c r="Z39" s="230"/>
      <c r="AA39" s="230"/>
      <c r="AB39" s="230"/>
    </row>
    <row r="40" ht="16.5" spans="1:28">
      <c r="B40" s="233"/>
      <c r="C40" s="234"/>
      <c r="D40" s="42">
        <v>600</v>
      </c>
      <c r="E40" s="43">
        <v>180</v>
      </c>
      <c r="F40" s="42">
        <v>190</v>
      </c>
      <c r="G40" s="43">
        <v>190</v>
      </c>
      <c r="H40" s="42" t="s">
        <v>36</v>
      </c>
      <c r="I40" s="228">
        <v>8492.5</v>
      </c>
      <c r="J40" s="228">
        <v>27879.6</v>
      </c>
      <c r="K40" s="228">
        <v>11706</v>
      </c>
      <c r="L40" s="95">
        <f t="shared" si="3"/>
        <v>71</v>
      </c>
      <c r="M40" s="95"/>
      <c r="N40" s="229"/>
      <c r="O40" s="95"/>
      <c r="P40" s="95"/>
    </row>
    <row r="41" ht="16.5" spans="1:28">
      <c r="A41" s="96"/>
      <c r="B41" s="233"/>
      <c r="C41" s="234"/>
      <c r="D41" s="42">
        <v>640</v>
      </c>
      <c r="E41" s="43">
        <v>190</v>
      </c>
      <c r="F41" s="42">
        <v>200</v>
      </c>
      <c r="G41" s="43">
        <v>200</v>
      </c>
      <c r="H41" s="42" t="s">
        <v>36</v>
      </c>
      <c r="I41" s="237">
        <f>ROUND(I40*1.07,0)</f>
        <v>9087</v>
      </c>
      <c r="J41" s="237">
        <f>ROUND(J40*1.07,0)</f>
        <v>29831</v>
      </c>
      <c r="K41" s="237">
        <f>ROUND(K40*1.07,0)</f>
        <v>12525</v>
      </c>
      <c r="L41" s="95">
        <f t="shared" si="3"/>
        <v>32</v>
      </c>
      <c r="M41" s="95"/>
      <c r="N41" s="95"/>
      <c r="O41" s="95"/>
    </row>
    <row r="42" ht="15.75" spans="1:28">
      <c r="A42" s="96"/>
      <c r="B42" s="233"/>
      <c r="C42" s="234"/>
      <c r="D42" s="238"/>
      <c r="E42" s="96"/>
      <c r="F42" s="96"/>
      <c r="G42" s="96"/>
      <c r="H42" s="95"/>
      <c r="I42" s="95"/>
      <c r="J42" s="95"/>
      <c r="K42" s="95"/>
      <c r="L42" s="96"/>
    </row>
    <row r="43" ht="15.75" spans="1:28">
      <c r="A43" s="96"/>
      <c r="B43" s="233"/>
      <c r="C43" s="234"/>
      <c r="D43" s="238"/>
      <c r="E43" s="96"/>
      <c r="F43" s="96"/>
      <c r="G43" s="96"/>
      <c r="H43" s="95"/>
      <c r="I43" s="95"/>
      <c r="J43" s="95"/>
      <c r="K43" s="95"/>
      <c r="L43" s="96"/>
    </row>
    <row r="44" ht="15.75" spans="1:28">
      <c r="A44" s="96"/>
      <c r="B44" s="233"/>
      <c r="C44" s="234"/>
      <c r="D44" s="234"/>
      <c r="E44" s="234"/>
      <c r="F44" s="96"/>
      <c r="G44" s="96"/>
      <c r="H44" s="95"/>
      <c r="I44" s="95"/>
      <c r="J44" s="95"/>
      <c r="K44" s="95"/>
      <c r="L44" s="96"/>
    </row>
    <row r="45" ht="15.75" spans="1:28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</row>
    <row r="46" ht="15.75" spans="1:28">
      <c r="A46" s="219" t="s">
        <v>20</v>
      </c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</row>
    <row r="61" spans="13:20">
      <c r="M61" s="230"/>
      <c r="N61" s="230"/>
      <c r="O61" s="230"/>
      <c r="T61" s="230"/>
    </row>
    <row r="62" spans="13:20">
      <c r="M62" s="230"/>
      <c r="N62" s="230"/>
      <c r="O62" s="230"/>
      <c r="T62" s="230"/>
    </row>
    <row r="63" spans="13:20">
      <c r="M63" s="230"/>
      <c r="N63" s="230"/>
      <c r="O63" s="230"/>
      <c r="T63" s="230"/>
    </row>
    <row r="64" spans="13:20">
      <c r="M64" s="230"/>
      <c r="N64" s="230"/>
      <c r="O64" s="230"/>
      <c r="T64" s="230"/>
    </row>
    <row r="65" spans="13:20">
      <c r="M65" s="230"/>
      <c r="N65" s="230"/>
      <c r="O65" s="230"/>
      <c r="T65" s="230"/>
    </row>
    <row r="66" spans="13:20">
      <c r="M66" s="230"/>
      <c r="N66" s="230"/>
      <c r="O66" s="230"/>
      <c r="T66" s="230"/>
    </row>
    <row r="67" spans="13:20">
      <c r="M67" s="230"/>
      <c r="N67" s="230"/>
      <c r="O67" s="230"/>
      <c r="T67" s="230"/>
    </row>
    <row r="68" spans="13:20">
      <c r="M68" s="230"/>
      <c r="N68" s="230"/>
      <c r="O68" s="230"/>
      <c r="T68" s="230"/>
    </row>
    <row r="69" spans="13:20">
      <c r="M69" s="230"/>
      <c r="N69" s="230"/>
      <c r="O69" s="230"/>
      <c r="T69" s="230"/>
    </row>
    <row r="70" spans="13:20">
      <c r="M70" s="230"/>
      <c r="N70" s="230"/>
      <c r="O70" s="230"/>
      <c r="T70" s="230"/>
    </row>
    <row r="71" spans="13:20">
      <c r="M71" s="230"/>
      <c r="N71" s="230"/>
      <c r="O71" s="230"/>
      <c r="T71" s="230"/>
    </row>
    <row r="72" spans="13:20">
      <c r="M72" s="230"/>
      <c r="N72" s="230"/>
      <c r="O72" s="230"/>
      <c r="T72" s="230"/>
    </row>
    <row r="73" spans="13:20">
      <c r="M73" s="230"/>
      <c r="N73" s="230"/>
      <c r="O73" s="230"/>
      <c r="T73" s="230"/>
    </row>
    <row r="74" spans="13:20">
      <c r="M74" s="230"/>
      <c r="N74" s="230"/>
      <c r="O74" s="230"/>
      <c r="T74" s="230"/>
    </row>
    <row r="75" spans="13:20">
      <c r="M75" s="230"/>
      <c r="N75" s="230"/>
      <c r="O75" s="230"/>
      <c r="T75" s="230"/>
    </row>
    <row r="76" spans="13:20">
      <c r="M76" s="230"/>
      <c r="N76" s="230"/>
      <c r="O76" s="230"/>
      <c r="T76" s="230"/>
    </row>
    <row r="77" spans="13:20">
      <c r="M77" s="230"/>
      <c r="N77" s="230"/>
      <c r="O77" s="230"/>
      <c r="T77" s="230"/>
    </row>
    <row r="78" spans="13:20">
      <c r="M78" s="230"/>
      <c r="N78" s="230"/>
      <c r="O78" s="230"/>
      <c r="T78" s="230"/>
    </row>
    <row r="79" spans="13:20">
      <c r="M79" s="230"/>
      <c r="N79" s="230"/>
      <c r="O79" s="230"/>
      <c r="T79" s="230"/>
    </row>
    <row r="80" spans="13:20">
      <c r="M80" s="230"/>
      <c r="N80" s="230"/>
      <c r="O80" s="230"/>
      <c r="T80" s="230"/>
    </row>
    <row r="81" spans="13:20">
      <c r="M81" s="230"/>
      <c r="N81" s="230"/>
      <c r="O81" s="230"/>
      <c r="T81" s="230"/>
    </row>
    <row r="82" spans="13:20">
      <c r="M82" s="230"/>
      <c r="N82" s="230"/>
      <c r="O82" s="230"/>
      <c r="T82" s="230"/>
    </row>
    <row r="83" spans="13:20">
      <c r="M83" s="230"/>
      <c r="N83" s="230"/>
      <c r="O83" s="230"/>
      <c r="T83" s="230"/>
    </row>
    <row r="84" spans="13:20">
      <c r="M84" s="230"/>
      <c r="N84" s="230"/>
      <c r="O84" s="230"/>
      <c r="T84" s="230"/>
    </row>
    <row r="85" spans="13:20">
      <c r="M85" s="230"/>
      <c r="N85" s="230"/>
      <c r="O85" s="230"/>
      <c r="T85" s="230"/>
    </row>
    <row r="86" spans="13:20">
      <c r="M86" s="230"/>
      <c r="N86" s="230"/>
      <c r="O86" s="230"/>
      <c r="T86" s="230"/>
    </row>
    <row r="87" spans="13:20">
      <c r="M87" s="230"/>
      <c r="N87" s="230"/>
      <c r="O87" s="230"/>
      <c r="T87" s="230"/>
    </row>
    <row r="88" spans="13:20">
      <c r="M88" s="230"/>
      <c r="N88" s="230"/>
      <c r="O88" s="230"/>
      <c r="T88" s="230"/>
    </row>
    <row r="89" spans="13:20">
      <c r="M89" s="230"/>
      <c r="N89" s="230"/>
      <c r="O89" s="230"/>
      <c r="T89" s="230"/>
    </row>
    <row r="90" spans="13:20">
      <c r="M90" s="230"/>
      <c r="N90" s="230"/>
      <c r="O90" s="230"/>
      <c r="T90" s="230"/>
    </row>
    <row r="91" spans="13:20">
      <c r="M91" s="230"/>
      <c r="N91" s="230"/>
      <c r="O91" s="230"/>
      <c r="T91" s="230"/>
    </row>
    <row r="92" spans="13:20">
      <c r="M92" s="230"/>
      <c r="N92" s="230"/>
      <c r="O92" s="230"/>
      <c r="T92" s="230"/>
    </row>
    <row r="93" spans="13:20">
      <c r="M93" s="230"/>
      <c r="N93" s="230"/>
      <c r="O93" s="230"/>
      <c r="T93" s="230"/>
    </row>
    <row r="94" spans="13:20">
      <c r="M94" s="230"/>
      <c r="N94" s="230"/>
      <c r="O94" s="230"/>
      <c r="T94" s="230"/>
    </row>
    <row r="95" spans="13:20">
      <c r="M95" s="230"/>
      <c r="N95" s="230"/>
      <c r="O95" s="230"/>
      <c r="T95" s="230"/>
    </row>
    <row r="96" spans="13:20">
      <c r="M96" s="230"/>
      <c r="N96" s="230"/>
      <c r="O96" s="230"/>
      <c r="T96" s="230"/>
    </row>
    <row r="97" spans="13:20">
      <c r="M97" s="230"/>
      <c r="N97" s="230"/>
      <c r="O97" s="230"/>
      <c r="T97" s="23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FFFF"/>
  </sheetPr>
  <dimension ref="A1:AN1448"/>
  <sheetViews>
    <sheetView zoomScale="85" zoomScaleNormal="85" topLeftCell="A11" workbookViewId="0">
      <selection activeCell="E22" sqref="E22"/>
    </sheetView>
  </sheetViews>
  <sheetFormatPr defaultColWidth="10.2857142857143" defaultRowHeight="16.5"/>
  <cols>
    <col min="1" max="1" width="9.71428571428571" style="74" customWidth="1"/>
    <col min="2" max="3" width="2.71428571428571" style="74" customWidth="1"/>
    <col min="4" max="4" width="14" style="74" customWidth="1"/>
    <col min="5" max="6" width="12.7142857142857" style="74" customWidth="1"/>
    <col min="7" max="8" width="17.3142857142857" style="74" customWidth="1"/>
    <col min="9" max="9" width="16.6380952380952" style="74" customWidth="1"/>
    <col min="10" max="10" width="17.9809523809524" style="74" customWidth="1"/>
    <col min="11" max="11" width="11.4285714285714" style="74" customWidth="1"/>
    <col min="12" max="12" width="11.7142857142857" style="74" customWidth="1"/>
    <col min="13" max="13" width="11.5714285714286" style="74" customWidth="1"/>
    <col min="14" max="15" width="12.2857142857143" style="74" customWidth="1"/>
    <col min="16" max="31" width="12.7142857142857" style="74" customWidth="1"/>
    <col min="32" max="32" width="10.5714285714286" style="74"/>
    <col min="33" max="16384" width="10.2857142857143" style="74"/>
  </cols>
  <sheetData>
    <row r="1" ht="18" spans="1:14">
      <c r="A1" s="90" t="s">
        <v>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ht="18" spans="1:14">
      <c r="A2" s="65"/>
      <c r="B2" s="65"/>
      <c r="C2" s="92"/>
      <c r="D2" s="65"/>
      <c r="E2" s="65"/>
      <c r="F2" s="65"/>
      <c r="G2" s="65"/>
      <c r="H2" s="65"/>
      <c r="I2" s="65"/>
      <c r="J2" s="65"/>
      <c r="K2" s="65"/>
      <c r="L2" s="65"/>
    </row>
    <row r="3" ht="17.25" spans="1:14">
      <c r="A3" s="94"/>
      <c r="B3" s="98"/>
      <c r="C3" s="99" t="s">
        <v>22</v>
      </c>
      <c r="D3" s="65"/>
      <c r="E3" s="65"/>
      <c r="F3" s="65"/>
      <c r="G3" s="65"/>
      <c r="H3" s="65"/>
      <c r="I3" s="65"/>
      <c r="J3" s="65"/>
      <c r="K3" s="65"/>
      <c r="L3" s="65"/>
    </row>
    <row r="4" ht="17.25" spans="1:14">
      <c r="A4" s="94"/>
      <c r="B4" s="94"/>
      <c r="C4" s="99"/>
      <c r="D4" s="65"/>
      <c r="E4" s="65"/>
      <c r="F4" s="65"/>
      <c r="G4" s="65"/>
      <c r="H4" s="65"/>
      <c r="I4" s="65"/>
      <c r="J4" s="65"/>
      <c r="K4" s="65"/>
      <c r="L4" s="65"/>
    </row>
    <row r="5" ht="18" spans="1:14">
      <c r="A5" s="65"/>
      <c r="B5" s="65"/>
      <c r="C5" s="92"/>
      <c r="D5" s="65" t="s">
        <v>38</v>
      </c>
      <c r="E5" s="65"/>
      <c r="F5" s="65"/>
      <c r="G5" s="65"/>
      <c r="H5" s="65"/>
      <c r="I5" s="65"/>
      <c r="J5" s="65"/>
      <c r="K5" s="65"/>
      <c r="L5" s="65"/>
    </row>
    <row r="6" ht="18" spans="1:14">
      <c r="A6" s="65"/>
      <c r="B6" s="65"/>
      <c r="C6" s="92"/>
      <c r="D6" s="65"/>
      <c r="E6" s="65"/>
      <c r="F6" s="65"/>
      <c r="G6" s="65"/>
      <c r="H6" s="65"/>
      <c r="I6" s="65"/>
      <c r="J6" s="65"/>
      <c r="K6" s="65"/>
      <c r="L6" s="65"/>
    </row>
    <row r="7" ht="18" spans="1:14">
      <c r="A7" s="65"/>
      <c r="B7" s="65"/>
      <c r="C7" s="92"/>
      <c r="D7" s="65"/>
      <c r="E7" s="65"/>
      <c r="F7" s="65"/>
      <c r="G7" s="65"/>
      <c r="H7" s="65"/>
      <c r="I7" s="65"/>
      <c r="J7" s="65"/>
      <c r="K7" s="65"/>
      <c r="L7" s="65"/>
    </row>
    <row r="8" ht="18" spans="1:14">
      <c r="A8" s="90" t="s">
        <v>39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</row>
    <row r="9" ht="18" spans="1:14">
      <c r="A9" s="65"/>
      <c r="B9" s="65"/>
      <c r="C9" s="92"/>
      <c r="D9" s="65"/>
      <c r="E9" s="65"/>
      <c r="F9" s="65"/>
      <c r="G9" s="65"/>
      <c r="H9" s="65"/>
      <c r="I9" s="65"/>
      <c r="J9" s="65"/>
      <c r="K9" s="65"/>
      <c r="L9" s="65"/>
    </row>
    <row r="10" ht="18" spans="1:14">
      <c r="A10" s="65"/>
      <c r="B10" s="65"/>
      <c r="C10" s="92"/>
      <c r="D10" s="65" t="s">
        <v>40</v>
      </c>
      <c r="E10" s="65"/>
      <c r="F10" s="65"/>
      <c r="G10" s="65"/>
      <c r="H10" s="65"/>
      <c r="I10" s="65"/>
      <c r="J10" s="65"/>
      <c r="K10" s="65"/>
      <c r="L10" s="65"/>
    </row>
    <row r="11" ht="17.25" spans="1:14">
      <c r="A11" s="65"/>
      <c r="B11" s="98"/>
      <c r="C11" s="99" t="s">
        <v>41</v>
      </c>
      <c r="E11" s="65"/>
      <c r="F11" s="65"/>
      <c r="G11" s="65"/>
      <c r="H11" s="65"/>
      <c r="I11" s="65"/>
      <c r="J11" s="65"/>
      <c r="K11" s="65"/>
      <c r="L11" s="65"/>
    </row>
    <row r="12" ht="18" spans="1:14">
      <c r="A12" s="65"/>
      <c r="B12" s="65"/>
      <c r="C12" s="92"/>
      <c r="D12" s="129" t="s">
        <v>42</v>
      </c>
      <c r="I12" s="65"/>
      <c r="J12" s="65"/>
      <c r="K12" s="65"/>
      <c r="L12" s="65"/>
    </row>
    <row r="13" ht="18" spans="1:14">
      <c r="A13" s="65"/>
      <c r="B13" s="65"/>
      <c r="C13" s="92"/>
      <c r="D13" s="65"/>
      <c r="E13" s="65"/>
      <c r="F13" s="65"/>
      <c r="G13" s="65"/>
      <c r="H13" s="65" t="s">
        <v>43</v>
      </c>
      <c r="I13" s="65"/>
      <c r="J13" s="65"/>
      <c r="K13" s="65"/>
      <c r="L13" s="65"/>
    </row>
    <row r="14" ht="18" spans="1:14">
      <c r="A14" s="65"/>
      <c r="B14" s="65"/>
      <c r="C14" s="92"/>
      <c r="D14" s="130" t="s">
        <v>25</v>
      </c>
      <c r="E14" s="130" t="s">
        <v>44</v>
      </c>
      <c r="F14" s="130" t="s">
        <v>45</v>
      </c>
      <c r="G14" s="130" t="s">
        <v>46</v>
      </c>
      <c r="H14" s="130" t="s">
        <v>47</v>
      </c>
      <c r="I14" s="130" t="s">
        <v>48</v>
      </c>
      <c r="J14" s="130" t="s">
        <v>49</v>
      </c>
      <c r="K14" s="130" t="s">
        <v>50</v>
      </c>
      <c r="L14" s="130" t="s">
        <v>51</v>
      </c>
      <c r="M14" s="130" t="s">
        <v>52</v>
      </c>
      <c r="N14" s="130" t="s">
        <v>53</v>
      </c>
    </row>
    <row r="15" ht="18" spans="1:14">
      <c r="A15" s="65"/>
      <c r="B15" s="65"/>
      <c r="C15" s="92"/>
      <c r="D15" s="93">
        <v>0</v>
      </c>
      <c r="E15" s="131">
        <v>167</v>
      </c>
      <c r="F15" s="93">
        <f t="shared" ref="F15:F61" si="0">E15*10</f>
        <v>1670</v>
      </c>
      <c r="G15" s="93"/>
      <c r="H15" s="93">
        <v>1</v>
      </c>
      <c r="I15" s="93"/>
      <c r="J15" s="93" t="str">
        <f ca="1">OFFSET(装备产出!$W$18,MATCH(H15,装备产出!$E$19:$E$33,1),0)</f>
        <v>橙0.05</v>
      </c>
      <c r="K15" s="93">
        <v>0</v>
      </c>
      <c r="L15" s="132">
        <f>E15*E69</f>
        <v>180.36</v>
      </c>
      <c r="M15" s="133"/>
      <c r="N15" s="133"/>
    </row>
    <row r="16" ht="18" spans="1:14">
      <c r="A16" s="65"/>
      <c r="B16" s="65"/>
      <c r="C16" s="92"/>
      <c r="D16" s="93">
        <v>1</v>
      </c>
      <c r="E16" s="131">
        <v>167</v>
      </c>
      <c r="F16" s="93">
        <f t="shared" si="0"/>
        <v>1670</v>
      </c>
      <c r="G16" s="134">
        <f t="shared" ref="G16:G61" si="1">E16/E15</f>
        <v>1</v>
      </c>
      <c r="H16" s="93">
        <v>1</v>
      </c>
      <c r="I16" s="93">
        <f t="shared" ref="I16:I61" si="2">H16-H15</f>
        <v>0</v>
      </c>
      <c r="J16" s="93" t="str">
        <f ca="1">OFFSET(装备产出!$W$18,MATCH(H16,装备产出!$E$19:$E$33,1),0)</f>
        <v>橙0.05</v>
      </c>
      <c r="K16" s="93">
        <f t="shared" ref="K16:K61" si="3">H16-H15</f>
        <v>0</v>
      </c>
      <c r="L16" s="132">
        <f>E16*E70</f>
        <v>217.1</v>
      </c>
      <c r="M16" s="133">
        <f t="shared" ref="M16:M61" si="4">LOG((G16-1)/6+1,1.07)</f>
        <v>0</v>
      </c>
      <c r="N16" s="133"/>
    </row>
    <row r="17" ht="18" spans="1:14">
      <c r="A17" s="65"/>
      <c r="B17" s="65"/>
      <c r="C17" s="92"/>
      <c r="D17" s="93">
        <v>10</v>
      </c>
      <c r="E17" s="131">
        <v>300</v>
      </c>
      <c r="F17" s="93">
        <f t="shared" si="0"/>
        <v>3000</v>
      </c>
      <c r="G17" s="134">
        <f t="shared" si="1"/>
        <v>1.79640718562874</v>
      </c>
      <c r="H17" s="93">
        <v>1</v>
      </c>
      <c r="I17" s="93">
        <f t="shared" si="2"/>
        <v>0</v>
      </c>
      <c r="J17" s="93" t="str">
        <f ca="1">OFFSET(装备产出!$W$18,MATCH(H17,装备产出!$E$19:$E$33,1),0)</f>
        <v>橙0.05</v>
      </c>
      <c r="K17" s="93">
        <f t="shared" si="3"/>
        <v>0</v>
      </c>
      <c r="L17" s="132">
        <f>E17*E69</f>
        <v>324</v>
      </c>
      <c r="M17" s="56">
        <f t="shared" si="4"/>
        <v>1.84210963538429</v>
      </c>
      <c r="N17" s="133"/>
    </row>
    <row r="18" ht="18" spans="1:14">
      <c r="A18" s="65"/>
      <c r="B18" s="65"/>
      <c r="C18" s="92"/>
      <c r="D18" s="93">
        <v>20</v>
      </c>
      <c r="E18" s="131">
        <f>INT(E17*1.15)</f>
        <v>345</v>
      </c>
      <c r="F18" s="93">
        <f t="shared" si="0"/>
        <v>3450</v>
      </c>
      <c r="G18" s="134">
        <f t="shared" si="1"/>
        <v>1.15</v>
      </c>
      <c r="H18" s="93">
        <v>3</v>
      </c>
      <c r="I18" s="93">
        <f t="shared" si="2"/>
        <v>2</v>
      </c>
      <c r="J18" s="93" t="str">
        <f ca="1">OFFSET(装备产出!$W$18,MATCH(H18,装备产出!$E$19:$E$33,1),0)</f>
        <v>橙0.1</v>
      </c>
      <c r="K18" s="93">
        <f t="shared" si="3"/>
        <v>2</v>
      </c>
      <c r="L18" s="132">
        <f>E18*$E$70</f>
        <v>448.5</v>
      </c>
      <c r="M18" s="56">
        <f t="shared" si="4"/>
        <v>0.364958702950265</v>
      </c>
      <c r="N18" s="133"/>
    </row>
    <row r="19" ht="18" spans="1:14">
      <c r="A19" s="65"/>
      <c r="B19" s="65"/>
      <c r="C19" s="92"/>
      <c r="D19" s="135">
        <v>30</v>
      </c>
      <c r="E19" s="131">
        <f>INT(E18*1.15)</f>
        <v>396</v>
      </c>
      <c r="F19" s="93">
        <f t="shared" si="0"/>
        <v>3960</v>
      </c>
      <c r="G19" s="134">
        <f t="shared" si="1"/>
        <v>1.14782608695652</v>
      </c>
      <c r="H19" s="93">
        <v>5</v>
      </c>
      <c r="I19" s="93">
        <f t="shared" si="2"/>
        <v>2</v>
      </c>
      <c r="J19" s="93" t="str">
        <f ca="1">OFFSET(装备产出!$W$18,MATCH(H19,装备产出!$E$19:$E$33,1),0)</f>
        <v>红0.025</v>
      </c>
      <c r="K19" s="93">
        <f t="shared" si="3"/>
        <v>2</v>
      </c>
      <c r="L19" s="132">
        <f>E19*$E$71</f>
        <v>633.6</v>
      </c>
      <c r="M19" s="56">
        <f t="shared" si="4"/>
        <v>0.359733291372016</v>
      </c>
      <c r="N19" s="133"/>
    </row>
    <row r="20" ht="18" spans="1:14">
      <c r="A20" s="65"/>
      <c r="B20" s="65"/>
      <c r="C20" s="92"/>
      <c r="D20" s="93">
        <v>40</v>
      </c>
      <c r="E20" s="131">
        <f>INT(E19*1.15)</f>
        <v>455</v>
      </c>
      <c r="F20" s="93">
        <f t="shared" si="0"/>
        <v>4550</v>
      </c>
      <c r="G20" s="134">
        <f t="shared" si="1"/>
        <v>1.1489898989899</v>
      </c>
      <c r="H20" s="93">
        <v>7</v>
      </c>
      <c r="I20" s="93">
        <f t="shared" si="2"/>
        <v>2</v>
      </c>
      <c r="J20" s="93" t="str">
        <f ca="1">OFFSET(装备产出!$W$18,MATCH(H20,装备产出!$E$19:$E$33,1),0)</f>
        <v>红0.05</v>
      </c>
      <c r="K20" s="93">
        <f t="shared" si="3"/>
        <v>2</v>
      </c>
      <c r="L20" s="132">
        <f>E20*$E$71</f>
        <v>728</v>
      </c>
      <c r="M20" s="56">
        <f t="shared" si="4"/>
        <v>0.362530963704479</v>
      </c>
      <c r="N20" s="133"/>
    </row>
    <row r="21" ht="18" spans="1:14">
      <c r="A21" s="65"/>
      <c r="B21" s="65"/>
      <c r="C21" s="92"/>
      <c r="D21" s="93">
        <v>50</v>
      </c>
      <c r="E21" s="131">
        <f>INT(E20*1.15)</f>
        <v>523</v>
      </c>
      <c r="F21" s="93">
        <f t="shared" si="0"/>
        <v>5230</v>
      </c>
      <c r="G21" s="134">
        <f t="shared" si="1"/>
        <v>1.14945054945055</v>
      </c>
      <c r="H21" s="93">
        <v>11</v>
      </c>
      <c r="I21" s="93">
        <f t="shared" si="2"/>
        <v>4</v>
      </c>
      <c r="J21" s="93" t="str">
        <f ca="1">OFFSET(装备产出!$W$18,MATCH(H21,装备产出!$E$19:$E$33,1),0)</f>
        <v>红0.075</v>
      </c>
      <c r="K21" s="93">
        <f t="shared" si="3"/>
        <v>4</v>
      </c>
      <c r="L21" s="132">
        <f>E21*$E$71</f>
        <v>836.8</v>
      </c>
      <c r="M21" s="56">
        <f t="shared" si="4"/>
        <v>0.363638168976179</v>
      </c>
      <c r="N21" s="133"/>
    </row>
    <row r="22" ht="18" spans="1:14">
      <c r="A22" s="65"/>
      <c r="B22" s="65"/>
      <c r="C22" s="92"/>
      <c r="D22" s="93">
        <v>55</v>
      </c>
      <c r="E22" s="131">
        <f>(E21+E23)/2</f>
        <v>562</v>
      </c>
      <c r="F22" s="93">
        <f t="shared" si="0"/>
        <v>5620</v>
      </c>
      <c r="G22" s="134">
        <f t="shared" si="1"/>
        <v>1.07456978967495</v>
      </c>
      <c r="H22" s="131">
        <f>(H21+H23)/2</f>
        <v>14.5</v>
      </c>
      <c r="I22" s="93">
        <f t="shared" si="2"/>
        <v>3.5</v>
      </c>
      <c r="J22" s="93" t="str">
        <f ca="1">OFFSET(装备产出!$W$18,MATCH(H22,装备产出!$E$19:$E$33,1),0)</f>
        <v>红0.075</v>
      </c>
      <c r="K22" s="93">
        <f t="shared" si="3"/>
        <v>3.5</v>
      </c>
      <c r="L22" s="132">
        <f>E22*$E$71</f>
        <v>899.2</v>
      </c>
      <c r="M22" s="56">
        <f t="shared" si="4"/>
        <v>0.182559085278188</v>
      </c>
      <c r="N22" s="133"/>
    </row>
    <row r="23" ht="18" spans="1:14">
      <c r="A23" s="65"/>
      <c r="B23" s="65"/>
      <c r="C23" s="92"/>
      <c r="D23" s="93">
        <v>60</v>
      </c>
      <c r="E23" s="131">
        <f>INT(E21*1.15)</f>
        <v>601</v>
      </c>
      <c r="F23" s="93">
        <f t="shared" si="0"/>
        <v>6010</v>
      </c>
      <c r="G23" s="134">
        <f t="shared" si="1"/>
        <v>1.06939501779359</v>
      </c>
      <c r="H23" s="93">
        <v>18</v>
      </c>
      <c r="I23" s="93">
        <f t="shared" si="2"/>
        <v>3.5</v>
      </c>
      <c r="J23" s="93" t="str">
        <f ca="1">OFFSET(装备产出!$W$18,MATCH(H23,装备产出!$E$19:$E$33,1),0)</f>
        <v>粉0.025</v>
      </c>
      <c r="K23" s="93">
        <f t="shared" si="3"/>
        <v>3.5</v>
      </c>
      <c r="L23" s="132">
        <f t="shared" ref="L23:L28" si="5">E23*$E$72</f>
        <v>1202</v>
      </c>
      <c r="M23" s="56">
        <f t="shared" si="4"/>
        <v>0.169962947181101</v>
      </c>
      <c r="N23" s="133"/>
    </row>
    <row r="24" ht="18" spans="1:14">
      <c r="A24" s="65"/>
      <c r="B24" s="65"/>
      <c r="C24" s="92"/>
      <c r="D24" s="93">
        <v>65</v>
      </c>
      <c r="E24" s="131">
        <f>(E23+E25)/2</f>
        <v>646</v>
      </c>
      <c r="F24" s="93">
        <f t="shared" si="0"/>
        <v>6460</v>
      </c>
      <c r="G24" s="134">
        <f t="shared" si="1"/>
        <v>1.07487520798669</v>
      </c>
      <c r="H24" s="131">
        <f>(H23+H25)/2</f>
        <v>23</v>
      </c>
      <c r="I24" s="93">
        <f t="shared" si="2"/>
        <v>5</v>
      </c>
      <c r="J24" s="93" t="str">
        <f ca="1">OFFSET(装备产出!$W$18,MATCH(H24,装备产出!$E$19:$E$33,1),0)</f>
        <v>粉0.04</v>
      </c>
      <c r="K24" s="93">
        <f t="shared" si="3"/>
        <v>5</v>
      </c>
      <c r="L24" s="132">
        <f t="shared" si="5"/>
        <v>1292</v>
      </c>
      <c r="M24" s="56">
        <f t="shared" si="4"/>
        <v>0.183302181940186</v>
      </c>
      <c r="N24" s="133"/>
    </row>
    <row r="25" ht="18" spans="1:14">
      <c r="A25" s="65"/>
      <c r="B25" s="65"/>
      <c r="C25" s="92"/>
      <c r="D25" s="93">
        <v>70</v>
      </c>
      <c r="E25" s="131">
        <f>INT(E23*1.15)</f>
        <v>691</v>
      </c>
      <c r="F25" s="93">
        <f t="shared" si="0"/>
        <v>6910</v>
      </c>
      <c r="G25" s="134">
        <f t="shared" si="1"/>
        <v>1.06965944272446</v>
      </c>
      <c r="H25" s="93">
        <v>28</v>
      </c>
      <c r="I25" s="93">
        <f t="shared" si="2"/>
        <v>5</v>
      </c>
      <c r="J25" s="93" t="str">
        <f ca="1">OFFSET(装备产出!$W$18,MATCH(H25,装备产出!$E$19:$E$33,1),0)</f>
        <v>粉0.04</v>
      </c>
      <c r="K25" s="93">
        <f t="shared" si="3"/>
        <v>5</v>
      </c>
      <c r="L25" s="132">
        <f t="shared" si="5"/>
        <v>1382</v>
      </c>
      <c r="M25" s="56">
        <f t="shared" si="4"/>
        <v>0.170606855768661</v>
      </c>
      <c r="N25" s="133"/>
    </row>
    <row r="26" ht="21" customHeight="1" spans="1:14">
      <c r="A26" s="65"/>
      <c r="B26" s="65"/>
      <c r="C26" s="92"/>
      <c r="D26" s="93">
        <v>75</v>
      </c>
      <c r="E26" s="131">
        <f>(E25+E27)/2</f>
        <v>742.5</v>
      </c>
      <c r="F26" s="93">
        <f t="shared" si="0"/>
        <v>7425</v>
      </c>
      <c r="G26" s="134">
        <f t="shared" si="1"/>
        <v>1.07452966714906</v>
      </c>
      <c r="H26" s="131">
        <f>(H25+H27)/2</f>
        <v>35</v>
      </c>
      <c r="I26" s="93">
        <f t="shared" si="2"/>
        <v>7</v>
      </c>
      <c r="J26" s="93" t="str">
        <f ca="1">OFFSET(装备产出!$W$18,MATCH(H26,装备产出!$E$19:$E$33,1),0)</f>
        <v>粉0.055</v>
      </c>
      <c r="K26" s="93">
        <f t="shared" si="3"/>
        <v>7</v>
      </c>
      <c r="L26" s="132">
        <f t="shared" si="5"/>
        <v>1485</v>
      </c>
      <c r="M26" s="56">
        <f t="shared" si="4"/>
        <v>0.182461462568954</v>
      </c>
      <c r="N26" s="133"/>
    </row>
    <row r="27" ht="18" spans="1:14">
      <c r="A27" s="65"/>
      <c r="B27" s="65"/>
      <c r="C27" s="92"/>
      <c r="D27" s="93">
        <v>80</v>
      </c>
      <c r="E27" s="131">
        <f>INT(E25*1.15)</f>
        <v>794</v>
      </c>
      <c r="F27" s="93">
        <f t="shared" si="0"/>
        <v>7940</v>
      </c>
      <c r="G27" s="134">
        <f t="shared" si="1"/>
        <v>1.06936026936027</v>
      </c>
      <c r="H27" s="93">
        <v>42</v>
      </c>
      <c r="I27" s="93">
        <f t="shared" si="2"/>
        <v>7</v>
      </c>
      <c r="J27" s="93" t="str">
        <f ca="1">OFFSET(装备产出!$W$18,MATCH(H27,装备产出!$E$19:$E$33,1),0)</f>
        <v>粉0.075</v>
      </c>
      <c r="K27" s="93">
        <f t="shared" si="3"/>
        <v>7</v>
      </c>
      <c r="L27" s="132">
        <f t="shared" si="5"/>
        <v>1588</v>
      </c>
      <c r="M27" s="56">
        <f t="shared" si="4"/>
        <v>0.169878328208152</v>
      </c>
      <c r="N27" s="133"/>
    </row>
    <row r="28" ht="18" spans="1:14">
      <c r="A28" s="65"/>
      <c r="B28" s="65"/>
      <c r="C28" s="92"/>
      <c r="D28" s="93">
        <v>85</v>
      </c>
      <c r="E28" s="131">
        <f>(E27+E29)/2</f>
        <v>853.5</v>
      </c>
      <c r="F28" s="93">
        <f t="shared" si="0"/>
        <v>8535</v>
      </c>
      <c r="G28" s="134">
        <f t="shared" si="1"/>
        <v>1.07493702770781</v>
      </c>
      <c r="H28" s="131">
        <f>(H27+H29)/2</f>
        <v>49.5</v>
      </c>
      <c r="I28" s="93">
        <f t="shared" si="2"/>
        <v>7.5</v>
      </c>
      <c r="J28" s="93" t="str">
        <f ca="1">OFFSET(装备产出!$W$18,MATCH(H28,装备产出!$E$19:$E$33,1),0)</f>
        <v>粉0.075</v>
      </c>
      <c r="K28" s="93">
        <f t="shared" si="3"/>
        <v>7.5</v>
      </c>
      <c r="L28" s="132">
        <f t="shared" si="5"/>
        <v>1707</v>
      </c>
      <c r="M28" s="56">
        <f t="shared" si="4"/>
        <v>0.183452587590798</v>
      </c>
      <c r="N28" s="133"/>
    </row>
    <row r="29" ht="18" spans="1:14">
      <c r="A29" s="65"/>
      <c r="B29" s="65"/>
      <c r="C29" s="92"/>
      <c r="D29" s="93">
        <v>90</v>
      </c>
      <c r="E29" s="131">
        <f>INT(E27*1.15)</f>
        <v>913</v>
      </c>
      <c r="F29" s="93">
        <f t="shared" si="0"/>
        <v>9130</v>
      </c>
      <c r="G29" s="134">
        <f t="shared" si="1"/>
        <v>1.0697129466901</v>
      </c>
      <c r="H29" s="93">
        <v>57</v>
      </c>
      <c r="I29" s="93">
        <f t="shared" si="2"/>
        <v>7.5</v>
      </c>
      <c r="J29" s="93" t="str">
        <f ca="1">OFFSET(装备产出!$W$18,MATCH(H29,装备产出!$E$19:$E$33,1),0)</f>
        <v>彩0.015</v>
      </c>
      <c r="K29" s="93">
        <f t="shared" si="3"/>
        <v>7.5</v>
      </c>
      <c r="L29" s="132">
        <f t="shared" ref="L29:L61" si="6">E29*$E$73</f>
        <v>2282.5</v>
      </c>
      <c r="M29" s="56">
        <f t="shared" si="4"/>
        <v>0.170737141368216</v>
      </c>
      <c r="N29" s="133"/>
    </row>
    <row r="30" ht="18" spans="1:14">
      <c r="A30" s="65"/>
      <c r="B30" s="65"/>
      <c r="C30" s="92"/>
      <c r="D30" s="93">
        <v>95</v>
      </c>
      <c r="E30" s="131">
        <f>(E29+E31)/2</f>
        <v>981</v>
      </c>
      <c r="F30" s="93">
        <f t="shared" si="0"/>
        <v>9810</v>
      </c>
      <c r="G30" s="134">
        <f t="shared" si="1"/>
        <v>1.07447973713034</v>
      </c>
      <c r="H30" s="131">
        <f>(H29+H31)/2</f>
        <v>64.5</v>
      </c>
      <c r="I30" s="93">
        <f t="shared" si="2"/>
        <v>7.5</v>
      </c>
      <c r="J30" s="93" t="str">
        <f ca="1">OFFSET(装备产出!$W$18,MATCH(H30,装备产出!$E$19:$E$33,1),0)</f>
        <v>彩0.025</v>
      </c>
      <c r="K30" s="93">
        <f t="shared" si="3"/>
        <v>7.5</v>
      </c>
      <c r="L30" s="132">
        <f t="shared" si="6"/>
        <v>2452.5</v>
      </c>
      <c r="M30" s="56">
        <f t="shared" si="4"/>
        <v>0.182339976203848</v>
      </c>
      <c r="N30" s="133"/>
    </row>
    <row r="31" ht="18" spans="1:14">
      <c r="A31" s="65"/>
      <c r="B31" s="65"/>
      <c r="C31" s="92"/>
      <c r="D31" s="93">
        <v>100</v>
      </c>
      <c r="E31" s="131">
        <f>INT(E29*1.15)</f>
        <v>1049</v>
      </c>
      <c r="F31" s="93">
        <f t="shared" si="0"/>
        <v>10490</v>
      </c>
      <c r="G31" s="134">
        <f t="shared" si="1"/>
        <v>1.06931702344546</v>
      </c>
      <c r="H31" s="93">
        <v>72</v>
      </c>
      <c r="I31" s="93">
        <f t="shared" si="2"/>
        <v>7.5</v>
      </c>
      <c r="J31" s="93" t="str">
        <f ca="1">OFFSET(装备产出!$W$18,MATCH(H31,装备产出!$E$19:$E$33,1),0)</f>
        <v>彩0.025</v>
      </c>
      <c r="K31" s="93">
        <f t="shared" si="3"/>
        <v>7.5</v>
      </c>
      <c r="L31" s="132">
        <f t="shared" si="6"/>
        <v>2622.5</v>
      </c>
      <c r="M31" s="56">
        <f t="shared" si="4"/>
        <v>0.169773015592369</v>
      </c>
      <c r="N31" s="133"/>
    </row>
    <row r="32" ht="18" spans="1:14">
      <c r="A32" s="65"/>
      <c r="B32" s="65"/>
      <c r="C32" s="92"/>
      <c r="D32" s="93">
        <v>105</v>
      </c>
      <c r="E32" s="131">
        <f>(E31+E33)/2</f>
        <v>1127.5</v>
      </c>
      <c r="F32" s="93">
        <f t="shared" si="0"/>
        <v>11275</v>
      </c>
      <c r="G32" s="134">
        <f t="shared" si="1"/>
        <v>1.07483317445186</v>
      </c>
      <c r="H32" s="131">
        <f>(H31+H33)/2</f>
        <v>82</v>
      </c>
      <c r="I32" s="93">
        <f t="shared" si="2"/>
        <v>10</v>
      </c>
      <c r="J32" s="93" t="str">
        <f ca="1">OFFSET(装备产出!$W$18,MATCH(H32,装备产出!$E$19:$E$33,1),0)</f>
        <v>彩0.04</v>
      </c>
      <c r="K32" s="93">
        <f t="shared" si="3"/>
        <v>10</v>
      </c>
      <c r="L32" s="132">
        <f t="shared" si="6"/>
        <v>2818.75</v>
      </c>
      <c r="M32" s="56">
        <f t="shared" si="4"/>
        <v>0.183199914652676</v>
      </c>
      <c r="N32" s="133"/>
    </row>
    <row r="33" ht="18" spans="1:14">
      <c r="A33" s="65"/>
      <c r="B33" s="65"/>
      <c r="C33" s="92"/>
      <c r="D33" s="93">
        <v>110</v>
      </c>
      <c r="E33" s="131">
        <f>INT(E31*1.15)</f>
        <v>1206</v>
      </c>
      <c r="F33" s="93">
        <f t="shared" si="0"/>
        <v>12060</v>
      </c>
      <c r="G33" s="134">
        <f t="shared" si="1"/>
        <v>1.06962305986696</v>
      </c>
      <c r="H33" s="93">
        <v>92</v>
      </c>
      <c r="I33" s="93">
        <f t="shared" si="2"/>
        <v>10</v>
      </c>
      <c r="J33" s="93" t="str">
        <f ca="1">OFFSET(装备产出!$W$18,MATCH(H33,装备产出!$E$19:$E$33,1),0)</f>
        <v>彩0.04</v>
      </c>
      <c r="K33" s="93">
        <f t="shared" si="3"/>
        <v>10</v>
      </c>
      <c r="L33" s="132">
        <f t="shared" si="6"/>
        <v>3015</v>
      </c>
      <c r="M33" s="56">
        <f t="shared" si="4"/>
        <v>0.170518260513255</v>
      </c>
      <c r="N33" s="133"/>
    </row>
    <row r="34" ht="18" spans="1:14">
      <c r="A34" s="65"/>
      <c r="B34" s="65"/>
      <c r="C34" s="92"/>
      <c r="D34" s="93">
        <v>115</v>
      </c>
      <c r="E34" s="131">
        <f>(E33+E35)/2</f>
        <v>1296</v>
      </c>
      <c r="F34" s="93">
        <f t="shared" si="0"/>
        <v>12960</v>
      </c>
      <c r="G34" s="134">
        <f t="shared" si="1"/>
        <v>1.07462686567164</v>
      </c>
      <c r="H34" s="131">
        <f>(H33+H35)/2</f>
        <v>102</v>
      </c>
      <c r="I34" s="93">
        <f t="shared" si="2"/>
        <v>10</v>
      </c>
      <c r="J34" s="93" t="str">
        <f ca="1">OFFSET(装备产出!$W$18,MATCH(H34,装备产出!$E$19:$E$33,1),0)</f>
        <v>彩0.045</v>
      </c>
      <c r="K34" s="93">
        <f t="shared" si="3"/>
        <v>10</v>
      </c>
      <c r="L34" s="132">
        <f t="shared" si="6"/>
        <v>3240</v>
      </c>
      <c r="M34" s="56">
        <f t="shared" si="4"/>
        <v>0.182697956616114</v>
      </c>
      <c r="N34" s="133"/>
    </row>
    <row r="35" ht="18" spans="1:14">
      <c r="A35" s="65"/>
      <c r="B35" s="65"/>
      <c r="C35" s="92"/>
      <c r="D35" s="93">
        <v>120</v>
      </c>
      <c r="E35" s="131">
        <f>INT(E33*1.15)</f>
        <v>1386</v>
      </c>
      <c r="F35" s="93">
        <f t="shared" si="0"/>
        <v>13860</v>
      </c>
      <c r="G35" s="134">
        <f t="shared" si="1"/>
        <v>1.06944444444444</v>
      </c>
      <c r="H35" s="93">
        <v>112</v>
      </c>
      <c r="I35" s="93">
        <f t="shared" si="2"/>
        <v>10</v>
      </c>
      <c r="J35" s="93" t="str">
        <f ca="1">OFFSET(装备产出!$W$18,MATCH(H35,装备产出!$E$19:$E$33,1),0)</f>
        <v>彩0.045</v>
      </c>
      <c r="K35" s="93">
        <f t="shared" si="3"/>
        <v>10</v>
      </c>
      <c r="L35" s="132">
        <f t="shared" si="6"/>
        <v>3465</v>
      </c>
      <c r="M35" s="56">
        <f t="shared" si="4"/>
        <v>0.170083309540736</v>
      </c>
      <c r="N35" s="133"/>
    </row>
    <row r="36" ht="18" spans="1:14">
      <c r="A36" s="65"/>
      <c r="B36" s="65"/>
      <c r="C36" s="92"/>
      <c r="D36" s="93">
        <v>125</v>
      </c>
      <c r="E36" s="131">
        <f>(E35+E37)/2</f>
        <v>1489.5</v>
      </c>
      <c r="F36" s="93">
        <f t="shared" si="0"/>
        <v>14895</v>
      </c>
      <c r="G36" s="134">
        <f t="shared" si="1"/>
        <v>1.07467532467532</v>
      </c>
      <c r="H36" s="131">
        <f>(H35+H37)/2</f>
        <v>122</v>
      </c>
      <c r="I36" s="93">
        <f t="shared" si="2"/>
        <v>10</v>
      </c>
      <c r="J36" s="93" t="str">
        <f ca="1">OFFSET(装备产出!$W$18,MATCH(H36,装备产出!$E$19:$E$33,1),0)</f>
        <v>彩0.05</v>
      </c>
      <c r="K36" s="93">
        <f t="shared" si="3"/>
        <v>10</v>
      </c>
      <c r="L36" s="132">
        <f t="shared" si="6"/>
        <v>3723.75</v>
      </c>
      <c r="M36" s="56">
        <f t="shared" si="4"/>
        <v>0.182815860964873</v>
      </c>
      <c r="N36" s="133"/>
    </row>
    <row r="37" ht="18" spans="1:14">
      <c r="A37" s="65"/>
      <c r="B37" s="65"/>
      <c r="C37" s="92"/>
      <c r="D37" s="93">
        <v>130</v>
      </c>
      <c r="E37" s="131">
        <f>INT(E35*1.15)</f>
        <v>1593</v>
      </c>
      <c r="F37" s="93">
        <f t="shared" si="0"/>
        <v>15930</v>
      </c>
      <c r="G37" s="134">
        <f t="shared" si="1"/>
        <v>1.06948640483384</v>
      </c>
      <c r="H37" s="93">
        <v>132</v>
      </c>
      <c r="I37" s="93">
        <f t="shared" si="2"/>
        <v>10</v>
      </c>
      <c r="J37" s="93" t="str">
        <f ca="1">OFFSET(装备产出!$W$18,MATCH(H37,装备产出!$E$19:$E$33,1),0)</f>
        <v>彩0.05</v>
      </c>
      <c r="K37" s="93">
        <f t="shared" si="3"/>
        <v>10</v>
      </c>
      <c r="L37" s="132">
        <f t="shared" si="6"/>
        <v>3982.5</v>
      </c>
      <c r="M37" s="56">
        <f t="shared" si="4"/>
        <v>0.170185489505791</v>
      </c>
      <c r="N37" s="133"/>
    </row>
    <row r="38" ht="18" spans="1:14">
      <c r="A38" s="65"/>
      <c r="B38" s="65"/>
      <c r="C38" s="92"/>
      <c r="D38" s="93">
        <v>135</v>
      </c>
      <c r="E38" s="131">
        <f>(E37+E39)/2</f>
        <v>1712</v>
      </c>
      <c r="F38" s="93">
        <f t="shared" si="0"/>
        <v>17120</v>
      </c>
      <c r="G38" s="134">
        <f t="shared" si="1"/>
        <v>1.07470182046453</v>
      </c>
      <c r="H38" s="131">
        <f>(H37+H39)/2</f>
        <v>142</v>
      </c>
      <c r="I38" s="93">
        <f t="shared" si="2"/>
        <v>10</v>
      </c>
      <c r="J38" s="93" t="str">
        <f ca="1">OFFSET(装备产出!$W$18,MATCH(H38,装备产出!$E$19:$E$33,1),0)</f>
        <v>彩0.055</v>
      </c>
      <c r="K38" s="93">
        <f t="shared" si="3"/>
        <v>10</v>
      </c>
      <c r="L38" s="132">
        <f t="shared" si="6"/>
        <v>4280</v>
      </c>
      <c r="M38" s="56">
        <f t="shared" si="4"/>
        <v>0.18288032678672</v>
      </c>
      <c r="N38" s="133"/>
    </row>
    <row r="39" ht="18" spans="1:14">
      <c r="A39" s="65"/>
      <c r="B39" s="65"/>
      <c r="C39" s="92"/>
      <c r="D39" s="93">
        <v>140</v>
      </c>
      <c r="E39" s="131">
        <f>INT(E37*1.15)</f>
        <v>1831</v>
      </c>
      <c r="F39" s="93">
        <f t="shared" si="0"/>
        <v>18310</v>
      </c>
      <c r="G39" s="134">
        <f t="shared" si="1"/>
        <v>1.06950934579439</v>
      </c>
      <c r="H39" s="93">
        <v>152</v>
      </c>
      <c r="I39" s="93">
        <f t="shared" si="2"/>
        <v>10</v>
      </c>
      <c r="J39" s="93" t="str">
        <f ca="1">OFFSET(装备产出!$W$18,MATCH(H39,装备产出!$E$19:$E$33,1),0)</f>
        <v>彩0.055</v>
      </c>
      <c r="K39" s="93">
        <f t="shared" si="3"/>
        <v>10</v>
      </c>
      <c r="L39" s="132">
        <f t="shared" si="6"/>
        <v>4577.5</v>
      </c>
      <c r="M39" s="56">
        <f t="shared" si="4"/>
        <v>0.17024135395436</v>
      </c>
      <c r="N39" s="133"/>
    </row>
    <row r="40" ht="18" spans="1:14">
      <c r="A40" s="65"/>
      <c r="B40" s="65"/>
      <c r="C40" s="92"/>
      <c r="D40" s="93">
        <v>145</v>
      </c>
      <c r="E40" s="131">
        <f>(E39+E41)/2</f>
        <v>1968</v>
      </c>
      <c r="F40" s="93">
        <f t="shared" si="0"/>
        <v>19680</v>
      </c>
      <c r="G40" s="134">
        <f t="shared" si="1"/>
        <v>1.07482250136537</v>
      </c>
      <c r="H40" s="131">
        <f>(H39+H41)/2</f>
        <v>162</v>
      </c>
      <c r="I40" s="93">
        <f t="shared" si="2"/>
        <v>10</v>
      </c>
      <c r="J40" s="93" t="str">
        <f ca="1">OFFSET(装备产出!$W$18,MATCH(H40,装备产出!$E$19:$E$33,1),0)</f>
        <v>彩0.055</v>
      </c>
      <c r="K40" s="93">
        <f t="shared" si="3"/>
        <v>10</v>
      </c>
      <c r="L40" s="132">
        <f t="shared" si="6"/>
        <v>4920</v>
      </c>
      <c r="M40" s="56">
        <f t="shared" si="4"/>
        <v>0.183173946997476</v>
      </c>
      <c r="N40" s="133"/>
    </row>
    <row r="41" ht="18" spans="1:14">
      <c r="A41" s="65"/>
      <c r="B41" s="65"/>
      <c r="C41" s="92"/>
      <c r="D41" s="93">
        <v>150</v>
      </c>
      <c r="E41" s="131">
        <f>INT(E39*1.15)</f>
        <v>2105</v>
      </c>
      <c r="F41" s="93">
        <f t="shared" si="0"/>
        <v>21050</v>
      </c>
      <c r="G41" s="134">
        <f t="shared" si="1"/>
        <v>1.06961382113821</v>
      </c>
      <c r="H41" s="93">
        <v>172</v>
      </c>
      <c r="I41" s="93">
        <f t="shared" si="2"/>
        <v>10</v>
      </c>
      <c r="J41" s="93" t="str">
        <f ca="1">OFFSET(装备产出!$W$18,MATCH(H41,装备产出!$E$19:$E$33,1),0)</f>
        <v>彩0.055</v>
      </c>
      <c r="K41" s="93">
        <f t="shared" si="3"/>
        <v>10</v>
      </c>
      <c r="L41" s="132">
        <f t="shared" si="6"/>
        <v>5262.5</v>
      </c>
      <c r="M41" s="56">
        <f t="shared" si="4"/>
        <v>0.170495763363063</v>
      </c>
      <c r="N41" s="133"/>
    </row>
    <row r="42" ht="18" spans="1:14">
      <c r="A42" s="65"/>
      <c r="B42" s="65"/>
      <c r="C42" s="92"/>
      <c r="D42" s="93">
        <v>155</v>
      </c>
      <c r="E42" s="131">
        <f>(E41+E43)/2</f>
        <v>2262.5</v>
      </c>
      <c r="F42" s="93">
        <f t="shared" si="0"/>
        <v>22625</v>
      </c>
      <c r="G42" s="134">
        <f t="shared" si="1"/>
        <v>1.07482185273159</v>
      </c>
      <c r="H42" s="131">
        <f>(H41+H43)/2</f>
        <v>182</v>
      </c>
      <c r="I42" s="93">
        <f t="shared" si="2"/>
        <v>10</v>
      </c>
      <c r="J42" s="93" t="str">
        <f ca="1">OFFSET(装备产出!$W$18,MATCH(H42,装备产出!$E$19:$E$33,1),0)</f>
        <v>彩0.055</v>
      </c>
      <c r="K42" s="93">
        <f t="shared" si="3"/>
        <v>10</v>
      </c>
      <c r="L42" s="132">
        <f t="shared" si="6"/>
        <v>5656.25</v>
      </c>
      <c r="M42" s="56">
        <f t="shared" si="4"/>
        <v>0.183172368867841</v>
      </c>
      <c r="N42" s="133"/>
    </row>
    <row r="43" ht="18" spans="1:14">
      <c r="A43" s="65"/>
      <c r="B43" s="65"/>
      <c r="C43" s="92"/>
      <c r="D43" s="93">
        <v>160</v>
      </c>
      <c r="E43" s="131">
        <f>INT(E41*1.15)</f>
        <v>2420</v>
      </c>
      <c r="F43" s="93">
        <f t="shared" si="0"/>
        <v>24200</v>
      </c>
      <c r="G43" s="134">
        <f t="shared" si="1"/>
        <v>1.06961325966851</v>
      </c>
      <c r="H43" s="93">
        <v>192</v>
      </c>
      <c r="I43" s="93">
        <f t="shared" si="2"/>
        <v>10</v>
      </c>
      <c r="J43" s="93" t="str">
        <f ca="1">OFFSET(装备产出!$W$18,MATCH(H43,装备产出!$E$19:$E$33,1),0)</f>
        <v>彩0.055</v>
      </c>
      <c r="K43" s="93">
        <f t="shared" si="3"/>
        <v>10</v>
      </c>
      <c r="L43" s="132">
        <f t="shared" si="6"/>
        <v>6050</v>
      </c>
      <c r="M43" s="56">
        <f t="shared" si="4"/>
        <v>0.170494396131838</v>
      </c>
      <c r="N43" s="133"/>
    </row>
    <row r="44" ht="18" spans="1:14">
      <c r="A44" s="65"/>
      <c r="B44" s="65"/>
      <c r="C44" s="92"/>
      <c r="D44" s="93">
        <v>165</v>
      </c>
      <c r="E44" s="131">
        <f>(E43+E45)/2</f>
        <v>2601.5</v>
      </c>
      <c r="F44" s="93">
        <f t="shared" si="0"/>
        <v>26015</v>
      </c>
      <c r="G44" s="134">
        <f t="shared" si="1"/>
        <v>1.075</v>
      </c>
      <c r="H44" s="131">
        <f>(H43+H45)/2</f>
        <v>205</v>
      </c>
      <c r="I44" s="93">
        <f t="shared" si="2"/>
        <v>13</v>
      </c>
      <c r="J44" s="93" t="str">
        <f ca="1">OFFSET(装备产出!$W$18,MATCH(H44,装备产出!$E$19:$E$33,1),0)</f>
        <v>彩0.055</v>
      </c>
      <c r="K44" s="93">
        <f t="shared" si="3"/>
        <v>13</v>
      </c>
      <c r="L44" s="132">
        <f t="shared" si="6"/>
        <v>6503.75</v>
      </c>
      <c r="M44" s="56">
        <f t="shared" si="4"/>
        <v>0.183605795840939</v>
      </c>
      <c r="N44" s="133"/>
    </row>
    <row r="45" ht="18" spans="1:14">
      <c r="A45" s="65"/>
      <c r="B45" s="65"/>
      <c r="C45" s="92"/>
      <c r="D45" s="93">
        <v>170</v>
      </c>
      <c r="E45" s="131">
        <f>INT(E43*1.15)</f>
        <v>2783</v>
      </c>
      <c r="F45" s="93">
        <f t="shared" si="0"/>
        <v>27830</v>
      </c>
      <c r="G45" s="134">
        <f t="shared" si="1"/>
        <v>1.06976744186047</v>
      </c>
      <c r="H45" s="93">
        <v>218</v>
      </c>
      <c r="I45" s="93">
        <f t="shared" si="2"/>
        <v>13</v>
      </c>
      <c r="J45" s="93" t="str">
        <f ca="1">OFFSET(装备产出!$W$18,MATCH(H45,装备产出!$E$19:$E$33,1),0)</f>
        <v>彩0.055</v>
      </c>
      <c r="K45" s="93">
        <f t="shared" si="3"/>
        <v>13</v>
      </c>
      <c r="L45" s="132">
        <f t="shared" si="6"/>
        <v>6957.5</v>
      </c>
      <c r="M45" s="56">
        <f t="shared" si="4"/>
        <v>0.1708698394345</v>
      </c>
      <c r="N45" s="133"/>
    </row>
    <row r="46" ht="18" spans="1:14">
      <c r="A46" s="65"/>
      <c r="B46" s="65"/>
      <c r="C46" s="92"/>
      <c r="D46" s="93">
        <v>175</v>
      </c>
      <c r="E46" s="131">
        <f>(E45+E47)/2</f>
        <v>2991.5</v>
      </c>
      <c r="F46" s="93">
        <f t="shared" si="0"/>
        <v>29915</v>
      </c>
      <c r="G46" s="134">
        <f t="shared" si="1"/>
        <v>1.07491915199425</v>
      </c>
      <c r="H46" s="131">
        <f>(H45+H47)/2</f>
        <v>233</v>
      </c>
      <c r="I46" s="93">
        <f t="shared" si="2"/>
        <v>15</v>
      </c>
      <c r="J46" s="93" t="str">
        <f ca="1">OFFSET(装备产出!$W$18,MATCH(H46,装备产出!$E$19:$E$33,1),0)</f>
        <v>彩0.055</v>
      </c>
      <c r="K46" s="93">
        <f t="shared" si="3"/>
        <v>15</v>
      </c>
      <c r="L46" s="132">
        <f t="shared" si="6"/>
        <v>7478.75</v>
      </c>
      <c r="M46" s="56">
        <f t="shared" si="4"/>
        <v>0.18340909663751</v>
      </c>
      <c r="N46" s="133"/>
    </row>
    <row r="47" ht="18" spans="1:14">
      <c r="A47" s="65"/>
      <c r="B47" s="65"/>
      <c r="C47" s="92"/>
      <c r="D47" s="93">
        <v>180</v>
      </c>
      <c r="E47" s="131">
        <f>INT(E45*1.15)</f>
        <v>3200</v>
      </c>
      <c r="F47" s="93">
        <f t="shared" si="0"/>
        <v>32000</v>
      </c>
      <c r="G47" s="134">
        <f t="shared" si="1"/>
        <v>1.06969747618252</v>
      </c>
      <c r="H47" s="93">
        <v>248</v>
      </c>
      <c r="I47" s="93">
        <f t="shared" si="2"/>
        <v>15</v>
      </c>
      <c r="J47" s="93" t="str">
        <f ca="1">OFFSET(装备产出!$W$18,MATCH(H47,装备产出!$E$19:$E$33,1),0)</f>
        <v>彩0.055</v>
      </c>
      <c r="K47" s="93">
        <f t="shared" si="3"/>
        <v>15</v>
      </c>
      <c r="L47" s="132">
        <f t="shared" si="6"/>
        <v>8000</v>
      </c>
      <c r="M47" s="56">
        <f t="shared" si="4"/>
        <v>0.170699469804684</v>
      </c>
      <c r="N47" s="133"/>
    </row>
    <row r="48" ht="18" spans="1:14">
      <c r="A48" s="65"/>
      <c r="B48" s="65"/>
      <c r="C48" s="92"/>
      <c r="D48" s="93">
        <v>185</v>
      </c>
      <c r="E48" s="131">
        <f>(E47+E49)/2</f>
        <v>3440</v>
      </c>
      <c r="F48" s="93">
        <f t="shared" si="0"/>
        <v>34400</v>
      </c>
      <c r="G48" s="134">
        <f t="shared" si="1"/>
        <v>1.075</v>
      </c>
      <c r="H48" s="131">
        <f>(H47+H49)/2</f>
        <v>263</v>
      </c>
      <c r="I48" s="93">
        <f t="shared" si="2"/>
        <v>15</v>
      </c>
      <c r="J48" s="93" t="str">
        <f ca="1">OFFSET(装备产出!$W$18,MATCH(H48,装备产出!$E$19:$E$33,1),0)</f>
        <v>彩0.055</v>
      </c>
      <c r="K48" s="93">
        <f t="shared" si="3"/>
        <v>15</v>
      </c>
      <c r="L48" s="132">
        <f t="shared" si="6"/>
        <v>8600</v>
      </c>
      <c r="M48" s="56">
        <f t="shared" si="4"/>
        <v>0.183605795840939</v>
      </c>
      <c r="N48" s="133"/>
    </row>
    <row r="49" ht="18" spans="1:14">
      <c r="A49" s="65"/>
      <c r="B49" s="65"/>
      <c r="C49" s="92"/>
      <c r="D49" s="93">
        <v>190</v>
      </c>
      <c r="E49" s="131">
        <f>INT(E47*1.15)</f>
        <v>3680</v>
      </c>
      <c r="F49" s="93">
        <f t="shared" si="0"/>
        <v>36800</v>
      </c>
      <c r="G49" s="134">
        <f t="shared" si="1"/>
        <v>1.06976744186047</v>
      </c>
      <c r="H49" s="93">
        <v>278</v>
      </c>
      <c r="I49" s="93">
        <f t="shared" si="2"/>
        <v>15</v>
      </c>
      <c r="J49" s="93" t="str">
        <f ca="1">OFFSET(装备产出!$W$18,MATCH(H49,装备产出!$E$19:$E$33,1),0)</f>
        <v>彩0.055</v>
      </c>
      <c r="K49" s="93">
        <f t="shared" si="3"/>
        <v>15</v>
      </c>
      <c r="L49" s="132">
        <f t="shared" si="6"/>
        <v>9200</v>
      </c>
      <c r="M49" s="56">
        <f t="shared" si="4"/>
        <v>0.1708698394345</v>
      </c>
      <c r="N49" s="133"/>
    </row>
    <row r="50" ht="18" spans="1:14">
      <c r="A50" s="65"/>
      <c r="B50" s="65"/>
      <c r="C50" s="92"/>
      <c r="D50" s="93">
        <v>195</v>
      </c>
      <c r="E50" s="131">
        <f>(E49+E51)/2</f>
        <v>3956</v>
      </c>
      <c r="F50" s="93">
        <f t="shared" si="0"/>
        <v>39560</v>
      </c>
      <c r="G50" s="134">
        <f t="shared" si="1"/>
        <v>1.075</v>
      </c>
      <c r="H50" s="131">
        <f>(H49+H51)/2</f>
        <v>293</v>
      </c>
      <c r="I50" s="93">
        <f t="shared" si="2"/>
        <v>15</v>
      </c>
      <c r="J50" s="93" t="str">
        <f ca="1">OFFSET(装备产出!$W$18,MATCH(H50,装备产出!$E$19:$E$33,1),0)</f>
        <v>彩0.055</v>
      </c>
      <c r="K50" s="93">
        <f t="shared" si="3"/>
        <v>15</v>
      </c>
      <c r="L50" s="132">
        <f t="shared" si="6"/>
        <v>9890</v>
      </c>
      <c r="M50" s="56">
        <f t="shared" si="4"/>
        <v>0.183605795840939</v>
      </c>
      <c r="N50" s="133"/>
    </row>
    <row r="51" ht="18" spans="1:14">
      <c r="A51" s="65"/>
      <c r="B51" s="65"/>
      <c r="C51" s="92"/>
      <c r="D51" s="93">
        <v>200</v>
      </c>
      <c r="E51" s="131">
        <f>INT(E49*1.15)</f>
        <v>4232</v>
      </c>
      <c r="F51" s="93">
        <f t="shared" si="0"/>
        <v>42320</v>
      </c>
      <c r="G51" s="134">
        <f t="shared" si="1"/>
        <v>1.06976744186047</v>
      </c>
      <c r="H51" s="93">
        <v>308</v>
      </c>
      <c r="I51" s="93">
        <f t="shared" si="2"/>
        <v>15</v>
      </c>
      <c r="J51" s="93" t="str">
        <f ca="1">OFFSET(装备产出!$W$18,MATCH(H51,装备产出!$E$19:$E$33,1),0)</f>
        <v>彩0.055</v>
      </c>
      <c r="K51" s="93">
        <f t="shared" si="3"/>
        <v>15</v>
      </c>
      <c r="L51" s="132">
        <f t="shared" si="6"/>
        <v>10580</v>
      </c>
      <c r="M51" s="56">
        <f t="shared" si="4"/>
        <v>0.1708698394345</v>
      </c>
      <c r="N51" s="133"/>
    </row>
    <row r="52" ht="18" spans="1:14">
      <c r="A52" s="65"/>
      <c r="B52" s="65"/>
      <c r="C52" s="92"/>
      <c r="D52" s="93">
        <v>205</v>
      </c>
      <c r="E52" s="131">
        <f>(E51+E53)/2</f>
        <v>4549</v>
      </c>
      <c r="F52" s="93">
        <f t="shared" si="0"/>
        <v>45490</v>
      </c>
      <c r="G52" s="134">
        <f t="shared" si="1"/>
        <v>1.07490548204159</v>
      </c>
      <c r="H52" s="131">
        <f>(H51+H53)/2</f>
        <v>323</v>
      </c>
      <c r="I52" s="93">
        <f t="shared" si="2"/>
        <v>15</v>
      </c>
      <c r="J52" s="93" t="str">
        <f ca="1">OFFSET(装备产出!$W$18,MATCH(H52,装备产出!$E$19:$E$33,1),0)</f>
        <v>彩0.055</v>
      </c>
      <c r="K52" s="93">
        <f t="shared" si="3"/>
        <v>15</v>
      </c>
      <c r="L52" s="132">
        <f t="shared" si="6"/>
        <v>11372.5</v>
      </c>
      <c r="M52" s="56">
        <f t="shared" si="4"/>
        <v>0.18337583805936</v>
      </c>
      <c r="N52" s="133"/>
    </row>
    <row r="53" ht="18" spans="1:14">
      <c r="A53" s="65"/>
      <c r="B53" s="65"/>
      <c r="C53" s="92"/>
      <c r="D53" s="93">
        <v>210</v>
      </c>
      <c r="E53" s="131">
        <f>INT(E51*1.15)</f>
        <v>4866</v>
      </c>
      <c r="F53" s="93">
        <f t="shared" si="0"/>
        <v>48660</v>
      </c>
      <c r="G53" s="134">
        <f t="shared" si="1"/>
        <v>1.06968564519675</v>
      </c>
      <c r="H53" s="93">
        <v>338</v>
      </c>
      <c r="I53" s="93">
        <f t="shared" si="2"/>
        <v>15</v>
      </c>
      <c r="J53" s="93" t="str">
        <f ca="1">OFFSET(装备产出!$W$18,MATCH(H53,装备产出!$E$19:$E$33,1),0)</f>
        <v>彩0.055</v>
      </c>
      <c r="K53" s="93">
        <f t="shared" si="3"/>
        <v>15</v>
      </c>
      <c r="L53" s="132">
        <f t="shared" si="6"/>
        <v>12165</v>
      </c>
      <c r="M53" s="56">
        <f t="shared" si="4"/>
        <v>0.170670660618428</v>
      </c>
      <c r="N53" s="133"/>
    </row>
    <row r="54" ht="18" spans="1:14">
      <c r="A54" s="65"/>
      <c r="B54" s="65"/>
      <c r="C54" s="92"/>
      <c r="D54" s="93">
        <v>215</v>
      </c>
      <c r="E54" s="131">
        <f>(E53+E55)/2</f>
        <v>5230.5</v>
      </c>
      <c r="F54" s="93">
        <f t="shared" si="0"/>
        <v>52305</v>
      </c>
      <c r="G54" s="134">
        <f t="shared" si="1"/>
        <v>1.0749075215783</v>
      </c>
      <c r="H54" s="131">
        <f>(H53+H55)/2</f>
        <v>353</v>
      </c>
      <c r="I54" s="93">
        <f t="shared" si="2"/>
        <v>15</v>
      </c>
      <c r="J54" s="93" t="str">
        <f ca="1">OFFSET(装备产出!$W$18,MATCH(H54,装备产出!$E$19:$E$33,1),0)</f>
        <v>彩0.055</v>
      </c>
      <c r="K54" s="93">
        <f t="shared" si="3"/>
        <v>15</v>
      </c>
      <c r="L54" s="132">
        <f t="shared" si="6"/>
        <v>13076.25</v>
      </c>
      <c r="M54" s="56">
        <f t="shared" si="4"/>
        <v>0.183380800194758</v>
      </c>
      <c r="N54" s="133"/>
    </row>
    <row r="55" ht="18" spans="1:14">
      <c r="A55" s="65"/>
      <c r="B55" s="65"/>
      <c r="C55" s="92"/>
      <c r="D55" s="93">
        <v>220</v>
      </c>
      <c r="E55" s="131">
        <f>INT(E53*1.15)</f>
        <v>5595</v>
      </c>
      <c r="F55" s="93">
        <f t="shared" si="0"/>
        <v>55950</v>
      </c>
      <c r="G55" s="134">
        <f t="shared" si="1"/>
        <v>1.06968741038142</v>
      </c>
      <c r="H55" s="93">
        <v>368</v>
      </c>
      <c r="I55" s="93">
        <f t="shared" si="2"/>
        <v>15</v>
      </c>
      <c r="J55" s="93" t="str">
        <f ca="1">OFFSET(装备产出!$W$18,MATCH(H55,装备产出!$E$19:$E$33,1),0)</f>
        <v>彩0.055</v>
      </c>
      <c r="K55" s="93">
        <f t="shared" si="3"/>
        <v>15</v>
      </c>
      <c r="L55" s="132">
        <f t="shared" si="6"/>
        <v>13987.5</v>
      </c>
      <c r="M55" s="56">
        <f t="shared" si="4"/>
        <v>0.170674958956458</v>
      </c>
      <c r="N55" s="133"/>
    </row>
    <row r="56" ht="18" spans="1:14">
      <c r="A56" s="65"/>
      <c r="B56" s="65"/>
      <c r="C56" s="92"/>
      <c r="D56" s="93">
        <v>225</v>
      </c>
      <c r="E56" s="131">
        <f>(E55+E57)/2</f>
        <v>6014.5</v>
      </c>
      <c r="F56" s="93">
        <f t="shared" si="0"/>
        <v>60145</v>
      </c>
      <c r="G56" s="134">
        <f t="shared" si="1"/>
        <v>1.07497765862377</v>
      </c>
      <c r="H56" s="131">
        <f>(H55+H57)/2</f>
        <v>383</v>
      </c>
      <c r="I56" s="93">
        <f t="shared" si="2"/>
        <v>15</v>
      </c>
      <c r="J56" s="93" t="str">
        <f ca="1">OFFSET(装备产出!$W$18,MATCH(H56,装备产出!$E$19:$E$33,1),0)</f>
        <v>彩0.055</v>
      </c>
      <c r="K56" s="93">
        <f t="shared" si="3"/>
        <v>15</v>
      </c>
      <c r="L56" s="132">
        <f t="shared" si="6"/>
        <v>15036.25</v>
      </c>
      <c r="M56" s="56">
        <f t="shared" si="4"/>
        <v>0.183551440638164</v>
      </c>
      <c r="N56" s="133"/>
    </row>
    <row r="57" ht="18" spans="1:14">
      <c r="A57" s="65"/>
      <c r="B57" s="65"/>
      <c r="C57" s="92"/>
      <c r="D57" s="93">
        <v>230</v>
      </c>
      <c r="E57" s="131">
        <f>INT(E55*1.15)</f>
        <v>6434</v>
      </c>
      <c r="F57" s="93">
        <f t="shared" si="0"/>
        <v>64340</v>
      </c>
      <c r="G57" s="134">
        <f t="shared" si="1"/>
        <v>1.06974810873722</v>
      </c>
      <c r="H57" s="93">
        <v>398</v>
      </c>
      <c r="I57" s="93">
        <f t="shared" si="2"/>
        <v>15</v>
      </c>
      <c r="J57" s="93" t="str">
        <f ca="1">OFFSET(装备产出!$W$18,MATCH(H57,装备产出!$E$19:$E$33,1),0)</f>
        <v>彩0.055</v>
      </c>
      <c r="K57" s="93">
        <f t="shared" si="3"/>
        <v>15</v>
      </c>
      <c r="L57" s="132">
        <f t="shared" si="6"/>
        <v>16085</v>
      </c>
      <c r="M57" s="56">
        <f t="shared" si="4"/>
        <v>0.170822762590407</v>
      </c>
      <c r="N57" s="133"/>
    </row>
    <row r="58" ht="18" spans="1:14">
      <c r="A58" s="65"/>
      <c r="B58" s="65"/>
      <c r="C58" s="92"/>
      <c r="D58" s="93">
        <v>235</v>
      </c>
      <c r="E58" s="131">
        <f>(E57+E59)/2</f>
        <v>6916.5</v>
      </c>
      <c r="F58" s="93">
        <f t="shared" si="0"/>
        <v>69165</v>
      </c>
      <c r="G58" s="134">
        <f t="shared" si="1"/>
        <v>1.07499222878458</v>
      </c>
      <c r="H58" s="131">
        <f>(H57+H59)/2</f>
        <v>413</v>
      </c>
      <c r="I58" s="93">
        <f t="shared" si="2"/>
        <v>15</v>
      </c>
      <c r="J58" s="93" t="str">
        <f ca="1">OFFSET(装备产出!$W$18,MATCH(H58,装备产出!$E$19:$E$33,1),0)</f>
        <v>彩0.055</v>
      </c>
      <c r="K58" s="93">
        <f t="shared" si="3"/>
        <v>15</v>
      </c>
      <c r="L58" s="132">
        <f t="shared" si="6"/>
        <v>17291.25</v>
      </c>
      <c r="M58" s="56">
        <f t="shared" si="4"/>
        <v>0.183586888971507</v>
      </c>
      <c r="N58" s="133"/>
    </row>
    <row r="59" ht="18" spans="1:14">
      <c r="A59" s="65"/>
      <c r="B59" s="65"/>
      <c r="C59" s="92"/>
      <c r="D59" s="93">
        <v>240</v>
      </c>
      <c r="E59" s="131">
        <f>INT(E57*1.15)</f>
        <v>7399</v>
      </c>
      <c r="F59" s="93">
        <f t="shared" si="0"/>
        <v>73990</v>
      </c>
      <c r="G59" s="134">
        <f t="shared" si="1"/>
        <v>1.06976071712571</v>
      </c>
      <c r="H59" s="93">
        <v>428</v>
      </c>
      <c r="I59" s="93">
        <f t="shared" si="2"/>
        <v>15</v>
      </c>
      <c r="J59" s="93" t="str">
        <f ca="1">OFFSET(装备产出!$W$18,MATCH(H59,装备产出!$E$19:$E$33,1),0)</f>
        <v>彩0.055</v>
      </c>
      <c r="K59" s="93">
        <f t="shared" si="3"/>
        <v>15</v>
      </c>
      <c r="L59" s="132">
        <f t="shared" si="6"/>
        <v>18497.5</v>
      </c>
      <c r="M59" s="56">
        <f t="shared" si="4"/>
        <v>0.170853464482733</v>
      </c>
      <c r="N59" s="133"/>
    </row>
    <row r="60" ht="18" spans="1:14">
      <c r="A60" s="65"/>
      <c r="B60" s="65"/>
      <c r="C60" s="92"/>
      <c r="D60" s="93">
        <v>245</v>
      </c>
      <c r="E60" s="131">
        <f>(E59+E61)/2</f>
        <v>7953.5</v>
      </c>
      <c r="F60" s="93">
        <f t="shared" si="0"/>
        <v>79535</v>
      </c>
      <c r="G60" s="134">
        <f t="shared" si="1"/>
        <v>1.07494255980538</v>
      </c>
      <c r="H60" s="131">
        <f>(H59+H61)/2</f>
        <v>443</v>
      </c>
      <c r="I60" s="93">
        <f t="shared" si="2"/>
        <v>15</v>
      </c>
      <c r="J60" s="93" t="str">
        <f ca="1">OFFSET(装备产出!$W$18,MATCH(H60,装备产出!$E$19:$E$33,1),0)</f>
        <v>彩0.055</v>
      </c>
      <c r="K60" s="93">
        <f t="shared" si="3"/>
        <v>15</v>
      </c>
      <c r="L60" s="132">
        <f t="shared" si="6"/>
        <v>19883.75</v>
      </c>
      <c r="M60" s="56">
        <f t="shared" si="4"/>
        <v>0.183466046954684</v>
      </c>
      <c r="N60" s="133"/>
    </row>
    <row r="61" ht="18" spans="1:14">
      <c r="A61" s="65"/>
      <c r="B61" s="65"/>
      <c r="C61" s="92"/>
      <c r="D61" s="93">
        <v>250</v>
      </c>
      <c r="E61" s="131">
        <f>INT(E59*1.15)</f>
        <v>8508</v>
      </c>
      <c r="F61" s="93">
        <f t="shared" si="0"/>
        <v>85080</v>
      </c>
      <c r="G61" s="134">
        <f t="shared" si="1"/>
        <v>1.0697177343308</v>
      </c>
      <c r="H61" s="93">
        <v>458</v>
      </c>
      <c r="I61" s="93">
        <f t="shared" si="2"/>
        <v>15</v>
      </c>
      <c r="J61" s="93" t="str">
        <f ca="1">OFFSET(装备产出!$W$18,MATCH(H61,装备产出!$E$19:$E$33,1),0)</f>
        <v>彩0.055</v>
      </c>
      <c r="K61" s="93">
        <f t="shared" si="3"/>
        <v>15</v>
      </c>
      <c r="L61" s="132">
        <f t="shared" si="6"/>
        <v>21270</v>
      </c>
      <c r="M61" s="56">
        <f t="shared" si="4"/>
        <v>0.170748799525442</v>
      </c>
      <c r="N61" s="133"/>
    </row>
    <row r="62" ht="18" spans="1:14">
      <c r="A62" s="65"/>
      <c r="B62" s="65"/>
      <c r="C62" s="92"/>
    </row>
    <row r="63" ht="18" spans="1:14">
      <c r="A63" s="65"/>
      <c r="B63" s="98"/>
      <c r="C63" s="99" t="s">
        <v>54</v>
      </c>
      <c r="D63" s="65"/>
      <c r="E63" s="92"/>
      <c r="F63" s="92"/>
      <c r="G63" s="92"/>
      <c r="H63" s="92"/>
    </row>
    <row r="64" ht="18" spans="1:14">
      <c r="A64" s="65"/>
      <c r="B64" s="65"/>
      <c r="C64" s="92"/>
      <c r="D64" s="129" t="s">
        <v>55</v>
      </c>
      <c r="E64" s="92"/>
      <c r="F64" s="92"/>
      <c r="G64" s="92"/>
      <c r="H64" s="92"/>
    </row>
    <row r="65" ht="18" spans="1:12">
      <c r="A65" s="65"/>
      <c r="B65" s="65"/>
      <c r="C65" s="92"/>
      <c r="D65" s="136" t="s">
        <v>56</v>
      </c>
      <c r="E65" s="137" t="s">
        <v>57</v>
      </c>
      <c r="F65" s="137" t="s">
        <v>46</v>
      </c>
      <c r="G65" s="137" t="s">
        <v>47</v>
      </c>
      <c r="H65" s="137" t="s">
        <v>52</v>
      </c>
    </row>
    <row r="66" ht="18" spans="1:12">
      <c r="A66" s="65"/>
      <c r="B66" s="65"/>
      <c r="C66" s="92"/>
      <c r="D66" s="93" t="s">
        <v>58</v>
      </c>
      <c r="E66" s="138">
        <v>0.6</v>
      </c>
      <c r="F66" s="93"/>
      <c r="G66" s="45"/>
      <c r="H66" s="45"/>
    </row>
    <row r="67" ht="18" spans="1:12">
      <c r="A67" s="65"/>
      <c r="B67" s="65"/>
      <c r="C67" s="92"/>
      <c r="D67" s="93" t="s">
        <v>59</v>
      </c>
      <c r="E67" s="138">
        <v>0.75</v>
      </c>
      <c r="F67" s="139">
        <f t="shared" ref="F67:F73" si="7">E67/E66</f>
        <v>1.25</v>
      </c>
      <c r="G67" s="45" cm="1">
        <f ca="1" t="array" ref="G67">OFFSET(装备产出!$E$18,MATCH(TRUE,OFFSET(装备产出!$F$19:$F$33,0,MATCH($D67,装备产出!$F$18:$M$18,0)-1)&gt;0,0),0)</f>
        <v>1</v>
      </c>
      <c r="H67" s="56">
        <f t="shared" ref="H67:H73" si="8">LOG((F67-1)/6+1,1.07)</f>
        <v>0.603352201693093</v>
      </c>
    </row>
    <row r="68" ht="18" spans="1:12">
      <c r="A68" s="65"/>
      <c r="B68" s="65"/>
      <c r="C68" s="92"/>
      <c r="D68" s="93" t="s">
        <v>31</v>
      </c>
      <c r="E68" s="138">
        <v>0.9</v>
      </c>
      <c r="F68" s="139">
        <f t="shared" si="7"/>
        <v>1.2</v>
      </c>
      <c r="G68" s="45" cm="1">
        <f ca="1" t="array" ref="G68">OFFSET(装备产出!$E$18,MATCH(TRUE,OFFSET(装备产出!$F$19:$F$33,0,MATCH($D68,装备产出!$F$18:$M$18,0)-1)&gt;0,0),0)</f>
        <v>1</v>
      </c>
      <c r="H68" s="56">
        <f t="shared" si="8"/>
        <v>0.484636089585517</v>
      </c>
    </row>
    <row r="69" ht="18" spans="1:12">
      <c r="A69" s="65"/>
      <c r="B69" s="65"/>
      <c r="C69" s="92"/>
      <c r="D69" s="93" t="s">
        <v>32</v>
      </c>
      <c r="E69" s="138">
        <v>1.08</v>
      </c>
      <c r="F69" s="139">
        <f t="shared" si="7"/>
        <v>1.2</v>
      </c>
      <c r="G69" s="45" cm="1">
        <f ca="1" t="array" ref="G69">OFFSET(装备产出!$E$18,MATCH(TRUE,OFFSET(装备产出!$F$19:$F$33,0,MATCH($D69,装备产出!$F$18:$M$18,0)-1)&gt;0,0),0)</f>
        <v>1</v>
      </c>
      <c r="H69" s="56">
        <f t="shared" si="8"/>
        <v>0.484636089585517</v>
      </c>
    </row>
    <row r="70" ht="18" spans="1:12">
      <c r="A70" s="65"/>
      <c r="B70" s="65"/>
      <c r="C70" s="92"/>
      <c r="D70" s="93" t="s">
        <v>33</v>
      </c>
      <c r="E70" s="138">
        <v>1.3</v>
      </c>
      <c r="F70" s="139">
        <f t="shared" si="7"/>
        <v>1.2037037037037</v>
      </c>
      <c r="G70" s="45" cm="1">
        <f ca="1" t="array" ref="G70">OFFSET(装备产出!$E$18,MATCH(TRUE,OFFSET(装备产出!$F$19:$F$33,0,MATCH($D70,装备产出!$F$18:$M$18,0)-1)&gt;0,0),0)</f>
        <v>1</v>
      </c>
      <c r="H70" s="56">
        <f t="shared" si="8"/>
        <v>0.493462650907938</v>
      </c>
    </row>
    <row r="71" ht="18" spans="1:12">
      <c r="A71" s="65"/>
      <c r="B71" s="65"/>
      <c r="C71" s="92"/>
      <c r="D71" s="93" t="s">
        <v>34</v>
      </c>
      <c r="E71" s="138">
        <v>1.6</v>
      </c>
      <c r="F71" s="139">
        <f t="shared" si="7"/>
        <v>1.23076923076923</v>
      </c>
      <c r="G71" s="45" cm="1">
        <f ca="1" t="array" ref="G71">OFFSET(装备产出!$E$18,MATCH(TRUE,OFFSET(装备产出!$F$19:$F$33,0,MATCH($D71,装备产出!$F$18:$M$18,0)-1)&gt;0,0),0)</f>
        <v>4</v>
      </c>
      <c r="H71" s="56">
        <f t="shared" si="8"/>
        <v>0.557804934537723</v>
      </c>
    </row>
    <row r="72" ht="18" spans="1:12">
      <c r="A72" s="65"/>
      <c r="B72" s="65"/>
      <c r="C72" s="92"/>
      <c r="D72" s="93" t="s">
        <v>35</v>
      </c>
      <c r="E72" s="138">
        <v>2</v>
      </c>
      <c r="F72" s="139">
        <f t="shared" si="7"/>
        <v>1.25</v>
      </c>
      <c r="G72" s="45" cm="1">
        <f ca="1" t="array" ref="G72">OFFSET(装备产出!$E$18,MATCH(TRUE,OFFSET(装备产出!$F$19:$F$33,0,MATCH($D72,装备产出!$F$18:$M$18,0)-1)&gt;0,0),0)</f>
        <v>16</v>
      </c>
      <c r="H72" s="56">
        <f t="shared" si="8"/>
        <v>0.603352201693093</v>
      </c>
    </row>
    <row r="73" ht="18" spans="1:12">
      <c r="A73" s="65"/>
      <c r="B73" s="65"/>
      <c r="C73" s="92"/>
      <c r="D73" s="93" t="s">
        <v>36</v>
      </c>
      <c r="E73" s="138">
        <v>2.5</v>
      </c>
      <c r="F73" s="139">
        <f t="shared" si="7"/>
        <v>1.25</v>
      </c>
      <c r="G73" s="45" cm="1">
        <f ca="1" t="array" ref="G73">OFFSET(装备产出!$E$18,MATCH(TRUE,OFFSET(装备产出!$F$19:$F$33,0,MATCH($D73,装备产出!$F$18:$M$18,0)-1)&gt;0,0),0)</f>
        <v>52</v>
      </c>
      <c r="H73" s="56">
        <f t="shared" si="8"/>
        <v>0.603352201693093</v>
      </c>
      <c r="I73" s="93"/>
      <c r="J73" s="65"/>
      <c r="K73" s="65"/>
    </row>
    <row r="74" ht="17.25" spans="1:12">
      <c r="A74" s="65"/>
      <c r="E74" s="65"/>
      <c r="F74" s="65"/>
      <c r="G74" s="65"/>
      <c r="H74" s="65"/>
      <c r="I74" s="65"/>
      <c r="J74" s="65"/>
      <c r="K74" s="65"/>
      <c r="L74" s="65"/>
    </row>
    <row r="75" ht="18" spans="1:12">
      <c r="A75" s="65"/>
      <c r="B75" s="65"/>
      <c r="C75" s="92"/>
      <c r="D75" s="137" t="s">
        <v>60</v>
      </c>
      <c r="E75" s="137" t="s">
        <v>61</v>
      </c>
      <c r="F75" s="137" t="s">
        <v>62</v>
      </c>
      <c r="G75" s="137" t="s">
        <v>63</v>
      </c>
      <c r="H75" s="65"/>
      <c r="I75" s="65"/>
      <c r="J75" s="65"/>
      <c r="K75" s="65"/>
      <c r="L75" s="65"/>
    </row>
    <row r="76" ht="18" spans="1:12">
      <c r="A76" s="65"/>
      <c r="B76" s="65"/>
      <c r="C76" s="92"/>
      <c r="D76" s="93">
        <v>1</v>
      </c>
      <c r="E76" s="93" t="s">
        <v>64</v>
      </c>
      <c r="F76" s="93">
        <v>1</v>
      </c>
      <c r="G76" s="93">
        <v>1</v>
      </c>
      <c r="H76" s="65"/>
      <c r="I76" s="65"/>
      <c r="J76" s="65"/>
      <c r="K76" s="65"/>
      <c r="L76" s="65"/>
    </row>
    <row r="77" ht="18" spans="1:12">
      <c r="A77" s="65"/>
      <c r="B77" s="65"/>
      <c r="C77" s="92"/>
      <c r="D77" s="93">
        <v>2</v>
      </c>
      <c r="E77" s="93" t="s">
        <v>65</v>
      </c>
      <c r="F77" s="93">
        <v>1</v>
      </c>
      <c r="G77" s="93">
        <v>1</v>
      </c>
      <c r="H77" s="65"/>
      <c r="I77" s="65"/>
      <c r="J77" s="65"/>
      <c r="K77" s="65"/>
      <c r="L77" s="65"/>
    </row>
    <row r="78" ht="18" spans="1:12">
      <c r="A78" s="65"/>
      <c r="B78" s="65"/>
      <c r="C78" s="92"/>
      <c r="D78" s="93">
        <v>3</v>
      </c>
      <c r="E78" s="93" t="s">
        <v>66</v>
      </c>
      <c r="F78" s="93">
        <v>1</v>
      </c>
      <c r="G78" s="93">
        <v>1</v>
      </c>
      <c r="H78" s="65"/>
      <c r="I78" s="65"/>
      <c r="J78" s="65"/>
      <c r="K78" s="65"/>
      <c r="L78" s="65"/>
    </row>
    <row r="79" ht="18" spans="1:12">
      <c r="A79" s="65"/>
      <c r="B79" s="65"/>
      <c r="C79" s="92"/>
      <c r="D79" s="93">
        <v>4</v>
      </c>
      <c r="E79" s="93" t="s">
        <v>67</v>
      </c>
      <c r="F79" s="93">
        <v>1</v>
      </c>
      <c r="G79" s="93">
        <v>1</v>
      </c>
      <c r="H79" s="65"/>
      <c r="I79" s="65"/>
      <c r="J79" s="65"/>
      <c r="K79" s="65"/>
      <c r="L79" s="65"/>
    </row>
    <row r="80" ht="18" spans="1:12">
      <c r="A80" s="65"/>
      <c r="B80" s="65"/>
      <c r="C80" s="92"/>
      <c r="D80" s="93">
        <v>5</v>
      </c>
      <c r="E80" s="93" t="s">
        <v>68</v>
      </c>
      <c r="F80" s="93">
        <v>1</v>
      </c>
      <c r="G80" s="93">
        <v>1</v>
      </c>
      <c r="H80" s="65"/>
      <c r="I80" s="65"/>
      <c r="J80" s="65"/>
      <c r="K80" s="65"/>
      <c r="L80" s="65"/>
    </row>
    <row r="81" ht="18" spans="1:21">
      <c r="A81" s="65"/>
      <c r="B81" s="65"/>
      <c r="C81" s="92"/>
      <c r="D81" s="93">
        <v>6</v>
      </c>
      <c r="E81" s="93" t="s">
        <v>69</v>
      </c>
      <c r="F81" s="93">
        <v>1</v>
      </c>
      <c r="G81" s="93">
        <v>1</v>
      </c>
      <c r="H81" s="65"/>
      <c r="I81" s="65"/>
      <c r="J81" s="65"/>
      <c r="K81" s="65"/>
      <c r="L81" s="65"/>
    </row>
    <row r="82" ht="18" spans="1:21">
      <c r="A82" s="65"/>
      <c r="B82" s="65"/>
      <c r="C82" s="92"/>
      <c r="D82" s="129" t="s">
        <v>70</v>
      </c>
      <c r="E82" s="65"/>
      <c r="F82" s="65"/>
      <c r="G82" s="65"/>
      <c r="H82" s="65"/>
      <c r="I82" s="65"/>
      <c r="J82" s="65"/>
    </row>
    <row r="83" ht="18" spans="1:21">
      <c r="A83" s="65"/>
      <c r="B83" s="65"/>
      <c r="C83" s="65"/>
      <c r="D83" s="129" t="s">
        <v>71</v>
      </c>
      <c r="E83" s="65"/>
      <c r="F83" s="65"/>
      <c r="G83" s="65"/>
      <c r="H83" s="65"/>
      <c r="I83" s="65"/>
      <c r="J83" s="65"/>
      <c r="L83" s="65"/>
      <c r="M83" s="65"/>
      <c r="N83" s="65"/>
      <c r="O83" s="65"/>
      <c r="P83" s="65"/>
      <c r="Q83" s="65"/>
      <c r="R83" s="65"/>
      <c r="S83" s="65" t="s">
        <v>72</v>
      </c>
    </row>
    <row r="84" ht="18" spans="1:21">
      <c r="A84" s="65"/>
      <c r="B84" s="65"/>
      <c r="C84" s="92"/>
      <c r="D84" s="140" t="s">
        <v>73</v>
      </c>
      <c r="E84" s="140" t="s">
        <v>25</v>
      </c>
      <c r="F84" s="140" t="s">
        <v>74</v>
      </c>
      <c r="G84" s="140" t="s">
        <v>27</v>
      </c>
      <c r="H84" s="140" t="s">
        <v>45</v>
      </c>
      <c r="I84" s="140" t="s">
        <v>44</v>
      </c>
      <c r="K84" s="141" t="s">
        <v>75</v>
      </c>
      <c r="L84" s="141" t="s">
        <v>58</v>
      </c>
      <c r="M84" s="141" t="s">
        <v>59</v>
      </c>
      <c r="N84" s="141" t="s">
        <v>31</v>
      </c>
      <c r="O84" s="141" t="s">
        <v>32</v>
      </c>
      <c r="P84" s="141" t="s">
        <v>33</v>
      </c>
      <c r="Q84" s="141" t="s">
        <v>34</v>
      </c>
      <c r="R84" s="141" t="s">
        <v>35</v>
      </c>
      <c r="S84" s="141" t="s">
        <v>36</v>
      </c>
    </row>
    <row r="85" ht="18" spans="1:21">
      <c r="A85" s="65"/>
      <c r="B85" s="65"/>
      <c r="C85" s="92"/>
      <c r="D85" s="93">
        <v>1</v>
      </c>
      <c r="E85" s="93">
        <v>0</v>
      </c>
      <c r="F85" s="93" t="s">
        <v>64</v>
      </c>
      <c r="G85" s="93" t="s">
        <v>58</v>
      </c>
      <c r="H85" s="93">
        <f t="shared" ref="H85:H148" si="9">INT(VLOOKUP($E85,$D$15:$G$61,MATCH(H$84,$D$14:$G$14,0),0)*VLOOKUP($G85,$D$66:$F$73,2,0)/6*_xlfn.XLOOKUP($F85,$E$76:$E$81,$F$76:$F$81))</f>
        <v>167</v>
      </c>
      <c r="I85" s="142">
        <f t="shared" ref="I85:I89" si="10">INT(VLOOKUP($E85,$D$15:$G$61,MATCH(I$84,$D$14:$G$14,0),0)*VLOOKUP($G85,$D$66:$F$73,2,0)/6*_xlfn.XLOOKUP($F85,$E$76:$E$81,$F$76:$F$81))</f>
        <v>16</v>
      </c>
      <c r="K85" s="141"/>
      <c r="L85" s="141"/>
      <c r="M85" s="141"/>
      <c r="N85" s="141"/>
      <c r="O85" s="141"/>
      <c r="P85" s="141"/>
      <c r="Q85" s="141"/>
      <c r="R85" s="141"/>
      <c r="S85" s="141"/>
    </row>
    <row r="86" ht="18" spans="1:21">
      <c r="A86" s="65"/>
      <c r="B86" s="65"/>
      <c r="C86" s="92"/>
      <c r="D86" s="93">
        <v>1</v>
      </c>
      <c r="E86" s="93">
        <v>0</v>
      </c>
      <c r="F86" s="93" t="s">
        <v>65</v>
      </c>
      <c r="G86" s="93" t="s">
        <v>58</v>
      </c>
      <c r="H86" s="93">
        <f t="shared" si="9"/>
        <v>167</v>
      </c>
      <c r="I86" s="142">
        <v>17</v>
      </c>
      <c r="K86" s="141"/>
      <c r="L86" s="141"/>
      <c r="M86" s="141"/>
      <c r="N86" s="141"/>
      <c r="O86" s="141"/>
      <c r="P86" s="141"/>
      <c r="Q86" s="141"/>
      <c r="R86" s="141"/>
      <c r="S86" s="141"/>
    </row>
    <row r="87" ht="18" spans="1:21">
      <c r="A87" s="65"/>
      <c r="B87" s="65"/>
      <c r="C87" s="92"/>
      <c r="D87" s="93">
        <v>1</v>
      </c>
      <c r="E87" s="93">
        <v>0</v>
      </c>
      <c r="F87" s="93" t="s">
        <v>66</v>
      </c>
      <c r="G87" s="93" t="s">
        <v>58</v>
      </c>
      <c r="H87" s="93">
        <f t="shared" si="9"/>
        <v>167</v>
      </c>
      <c r="I87" s="142">
        <f t="shared" si="10"/>
        <v>16</v>
      </c>
      <c r="K87" s="141"/>
      <c r="L87" s="141"/>
      <c r="M87" s="141"/>
      <c r="N87" s="141"/>
      <c r="O87" s="141"/>
      <c r="P87" s="141"/>
      <c r="Q87" s="141"/>
      <c r="R87" s="141"/>
      <c r="S87" s="141"/>
    </row>
    <row r="88" ht="18" spans="1:21">
      <c r="A88" s="65"/>
      <c r="B88" s="65"/>
      <c r="C88" s="92"/>
      <c r="D88" s="93">
        <v>1</v>
      </c>
      <c r="E88" s="93">
        <v>0</v>
      </c>
      <c r="F88" s="93" t="s">
        <v>67</v>
      </c>
      <c r="G88" s="93" t="s">
        <v>58</v>
      </c>
      <c r="H88" s="93">
        <f t="shared" si="9"/>
        <v>167</v>
      </c>
      <c r="I88" s="142">
        <v>17</v>
      </c>
      <c r="K88" s="141"/>
      <c r="L88" s="141"/>
      <c r="M88" s="141"/>
      <c r="N88" s="141"/>
      <c r="O88" s="141"/>
      <c r="P88" s="141"/>
      <c r="Q88" s="141"/>
      <c r="R88" s="141"/>
      <c r="S88" s="141"/>
    </row>
    <row r="89" ht="18" spans="1:21">
      <c r="A89" s="65"/>
      <c r="B89" s="65"/>
      <c r="C89" s="92"/>
      <c r="D89" s="93">
        <v>1</v>
      </c>
      <c r="E89" s="93">
        <v>0</v>
      </c>
      <c r="F89" s="93" t="s">
        <v>68</v>
      </c>
      <c r="G89" s="93" t="s">
        <v>58</v>
      </c>
      <c r="H89" s="93">
        <f t="shared" si="9"/>
        <v>167</v>
      </c>
      <c r="I89" s="142">
        <v>17</v>
      </c>
      <c r="K89" s="141"/>
      <c r="L89" s="141"/>
      <c r="M89" s="141"/>
      <c r="N89" s="141"/>
      <c r="O89" s="141"/>
      <c r="P89" s="141"/>
      <c r="Q89" s="141"/>
      <c r="R89" s="141"/>
      <c r="S89" s="141"/>
    </row>
    <row r="90" ht="18" spans="1:21">
      <c r="A90" s="65"/>
      <c r="B90" s="65"/>
      <c r="C90" s="92"/>
      <c r="D90" s="93">
        <v>1</v>
      </c>
      <c r="E90" s="93">
        <v>0</v>
      </c>
      <c r="F90" s="93" t="s">
        <v>69</v>
      </c>
      <c r="G90" s="93" t="s">
        <v>58</v>
      </c>
      <c r="H90" s="93">
        <f t="shared" si="9"/>
        <v>167</v>
      </c>
      <c r="I90" s="142">
        <v>17</v>
      </c>
      <c r="K90" s="2">
        <v>0</v>
      </c>
      <c r="L90" s="93" cm="1">
        <f t="array" ref="L90">_xlfn.XLOOKUP($K90&amp;L$84,$E$90:$E$466&amp;$G$90:$G$466,$I$90:$I$466)</f>
        <v>17</v>
      </c>
      <c r="M90" s="93" cm="1">
        <f t="array" ref="M90">_xlfn.XLOOKUP($K90&amp;M$84,$E$90:$E$466&amp;$G$90:$G$466,$I$90:$I$466)</f>
        <v>20</v>
      </c>
      <c r="N90" s="93" cm="1">
        <f t="array" ref="N90">_xlfn.XLOOKUP($K90&amp;N$84,$E$90:$E$466&amp;$G$90:$G$466,$I$90:$I$466)</f>
        <v>25</v>
      </c>
      <c r="O90" s="93" cm="1">
        <f t="array" ref="O90">_xlfn.XLOOKUP($K90&amp;O$84,$E$90:$E$466&amp;$G$90:$G$466,$I$90:$I$466)</f>
        <v>30</v>
      </c>
      <c r="P90" s="93" cm="1">
        <f t="array" ref="P90">_xlfn.XLOOKUP($K90&amp;P$84,$E$90:$E$466&amp;$G$90:$G$466,$I$90:$I$466)</f>
        <v>36</v>
      </c>
      <c r="Q90" s="93" cm="1">
        <f t="array" ref="Q90">_xlfn.XLOOKUP($K90&amp;Q$84,$E$90:$E$466&amp;$G$90:$G$466,$I$90:$I$466)</f>
        <v>44</v>
      </c>
      <c r="R90" s="93" cm="1">
        <f t="array" ref="R90">_xlfn.XLOOKUP($K90&amp;R$84,$E$90:$E$466&amp;$G$90:$G$466,$I$90:$I$466)</f>
        <v>55</v>
      </c>
      <c r="S90" s="93" cm="1">
        <f t="array" ref="S90">_xlfn.XLOOKUP($K90&amp;S$84,$E$90:$E$466&amp;$G$90:$G$466,$I$90:$I$466)</f>
        <v>69</v>
      </c>
    </row>
    <row r="91" ht="18" spans="1:21">
      <c r="A91" s="65"/>
      <c r="B91" s="65"/>
      <c r="C91" s="92"/>
      <c r="D91" s="93">
        <v>2</v>
      </c>
      <c r="E91" s="93">
        <v>0</v>
      </c>
      <c r="F91" s="93" t="s">
        <v>64</v>
      </c>
      <c r="G91" s="93" t="s">
        <v>59</v>
      </c>
      <c r="H91" s="93">
        <f t="shared" si="9"/>
        <v>208</v>
      </c>
      <c r="I91" s="93">
        <f t="shared" ref="I91:I154" si="11">INT(VLOOKUP($E91,$D$15:$G$61,MATCH(I$84,$D$14:$G$14,0),0)*VLOOKUP($G91,$D$66:$F$73,2,0)/6*_xlfn.XLOOKUP($F91,$E$76:$E$81,$F$76:$F$81))</f>
        <v>20</v>
      </c>
      <c r="K91" s="2">
        <v>1</v>
      </c>
      <c r="L91" s="93" cm="1">
        <f t="array" ref="L91">_xlfn.XLOOKUP($K91&amp;L$84,$E$90:$E$466&amp;$G$90:$G$466,$I$90:$I$466)</f>
        <v>16</v>
      </c>
      <c r="M91" s="93" cm="1">
        <f t="array" ref="M91">_xlfn.XLOOKUP($K91&amp;M$84,$E$90:$E$466&amp;$G$90:$G$466,$I$90:$I$466)</f>
        <v>20</v>
      </c>
      <c r="N91" s="93" cm="1">
        <f t="array" ref="N91">_xlfn.XLOOKUP($K91&amp;N$84,$E$90:$E$466&amp;$G$90:$G$466,$I$90:$I$466)</f>
        <v>25</v>
      </c>
      <c r="O91" s="93" cm="1">
        <f t="array" ref="O91">_xlfn.XLOOKUP($K91&amp;O$84,$E$90:$E$466&amp;$G$90:$G$466,$I$90:$I$466)</f>
        <v>30</v>
      </c>
      <c r="P91" s="93" cm="1">
        <f t="array" ref="P91">_xlfn.XLOOKUP($K91&amp;P$84,$E$90:$E$466&amp;$G$90:$G$466,$I$90:$I$466)</f>
        <v>36</v>
      </c>
      <c r="Q91" s="93" cm="1">
        <f t="array" ref="Q91">_xlfn.XLOOKUP($K91&amp;Q$84,$E$90:$E$466&amp;$G$90:$G$466,$I$90:$I$466)</f>
        <v>44</v>
      </c>
      <c r="R91" s="93" cm="1">
        <f t="array" ref="R91">_xlfn.XLOOKUP($K91&amp;R$84,$E$90:$E$466&amp;$G$90:$G$466,$I$90:$I$466)</f>
        <v>55</v>
      </c>
      <c r="S91" s="93" cm="1">
        <f t="array" ref="S91">_xlfn.XLOOKUP($K91&amp;S$84,$E$90:$E$466&amp;$G$90:$G$466,$I$90:$I$466)</f>
        <v>69</v>
      </c>
    </row>
    <row r="92" ht="18" spans="1:21">
      <c r="A92" s="65"/>
      <c r="B92" s="65"/>
      <c r="C92" s="92"/>
      <c r="D92" s="93">
        <v>3</v>
      </c>
      <c r="E92" s="93">
        <v>0</v>
      </c>
      <c r="F92" s="93" t="s">
        <v>64</v>
      </c>
      <c r="G92" s="93" t="s">
        <v>31</v>
      </c>
      <c r="H92" s="93">
        <f t="shared" si="9"/>
        <v>250</v>
      </c>
      <c r="I92" s="93">
        <f t="shared" si="11"/>
        <v>25</v>
      </c>
      <c r="K92" s="2">
        <v>10</v>
      </c>
      <c r="L92" s="93" cm="1">
        <f t="array" ref="L92">_xlfn.XLOOKUP($K92&amp;L$84,$E$90:$E$466&amp;$G$90:$G$466,$I$90:$I$466)</f>
        <v>30</v>
      </c>
      <c r="M92" s="93" cm="1">
        <f t="array" ref="M92">_xlfn.XLOOKUP($K92&amp;M$84,$E$90:$E$466&amp;$G$90:$G$466,$I$90:$I$466)</f>
        <v>37</v>
      </c>
      <c r="N92" s="93" cm="1">
        <f t="array" ref="N92">_xlfn.XLOOKUP($K92&amp;N$84,$E$90:$E$466&amp;$G$90:$G$466,$I$90:$I$466)</f>
        <v>45</v>
      </c>
      <c r="O92" s="93" cm="1">
        <f t="array" ref="O92">_xlfn.XLOOKUP($K92&amp;O$84,$E$90:$E$466&amp;$G$90:$G$466,$I$90:$I$466)</f>
        <v>54</v>
      </c>
      <c r="P92" s="93" cm="1">
        <f t="array" ref="P92">_xlfn.XLOOKUP($K92&amp;P$84,$E$90:$E$466&amp;$G$90:$G$466,$I$90:$I$466)</f>
        <v>65</v>
      </c>
      <c r="Q92" s="93" cm="1">
        <f t="array" ref="Q92">_xlfn.XLOOKUP($K92&amp;Q$84,$E$90:$E$466&amp;$G$90:$G$466,$I$90:$I$466)</f>
        <v>80</v>
      </c>
      <c r="R92" s="93" cm="1">
        <f t="array" ref="R92">_xlfn.XLOOKUP($K92&amp;R$84,$E$90:$E$466&amp;$G$90:$G$466,$I$90:$I$466)</f>
        <v>100</v>
      </c>
      <c r="S92" s="93" cm="1">
        <f t="array" ref="S92">_xlfn.XLOOKUP($K92&amp;S$84,$E$90:$E$466&amp;$G$90:$G$466,$I$90:$I$466)</f>
        <v>125</v>
      </c>
    </row>
    <row r="93" ht="18" spans="1:21">
      <c r="A93" s="65"/>
      <c r="B93" s="65"/>
      <c r="C93" s="92"/>
      <c r="D93" s="93">
        <v>4</v>
      </c>
      <c r="E93" s="93">
        <v>0</v>
      </c>
      <c r="F93" s="93" t="s">
        <v>64</v>
      </c>
      <c r="G93" s="93" t="s">
        <v>32</v>
      </c>
      <c r="H93" s="93">
        <f t="shared" si="9"/>
        <v>300</v>
      </c>
      <c r="I93" s="93">
        <f t="shared" si="11"/>
        <v>30</v>
      </c>
      <c r="K93" s="2">
        <v>20</v>
      </c>
      <c r="L93" s="93" cm="1">
        <f t="array" ref="L93">_xlfn.XLOOKUP($K93&amp;L$84,$E$90:$E$466&amp;$G$90:$G$466,$I$90:$I$466)</f>
        <v>34</v>
      </c>
      <c r="M93" s="93" cm="1">
        <f t="array" ref="M93">_xlfn.XLOOKUP($K93&amp;M$84,$E$90:$E$466&amp;$G$90:$G$466,$I$90:$I$466)</f>
        <v>43</v>
      </c>
      <c r="N93" s="93" cm="1">
        <f t="array" ref="N93">_xlfn.XLOOKUP($K93&amp;N$84,$E$90:$E$466&amp;$G$90:$G$466,$I$90:$I$466)</f>
        <v>51</v>
      </c>
      <c r="O93" s="93" cm="1">
        <f t="array" ref="O93">_xlfn.XLOOKUP($K93&amp;O$84,$E$90:$E$466&amp;$G$90:$G$466,$I$90:$I$466)</f>
        <v>62</v>
      </c>
      <c r="P93" s="93" cm="1">
        <f t="array" ref="P93">_xlfn.XLOOKUP($K93&amp;P$84,$E$90:$E$466&amp;$G$90:$G$466,$I$90:$I$466)</f>
        <v>74</v>
      </c>
      <c r="Q93" s="93" cm="1">
        <f t="array" ref="Q93">_xlfn.XLOOKUP($K93&amp;Q$84,$E$90:$E$466&amp;$G$90:$G$466,$I$90:$I$466)</f>
        <v>92</v>
      </c>
      <c r="R93" s="93" cm="1">
        <f t="array" ref="R93">_xlfn.XLOOKUP($K93&amp;R$84,$E$90:$E$466&amp;$G$90:$G$466,$I$90:$I$466)</f>
        <v>115</v>
      </c>
      <c r="S93" s="93" cm="1">
        <f t="array" ref="S93">_xlfn.XLOOKUP($K93&amp;S$84,$E$90:$E$466&amp;$G$90:$G$466,$I$90:$I$466)</f>
        <v>143</v>
      </c>
      <c r="T93" s="93"/>
      <c r="U93" s="93"/>
    </row>
    <row r="94" ht="18" spans="1:21">
      <c r="A94" s="65"/>
      <c r="B94" s="65"/>
      <c r="C94" s="92"/>
      <c r="D94" s="93">
        <v>5</v>
      </c>
      <c r="E94" s="93">
        <v>0</v>
      </c>
      <c r="F94" s="93" t="s">
        <v>64</v>
      </c>
      <c r="G94" s="93" t="s">
        <v>33</v>
      </c>
      <c r="H94" s="93">
        <f t="shared" si="9"/>
        <v>361</v>
      </c>
      <c r="I94" s="93">
        <f t="shared" si="11"/>
        <v>36</v>
      </c>
      <c r="K94" s="2">
        <v>30</v>
      </c>
      <c r="L94" s="93" cm="1">
        <f t="array" ref="L94">_xlfn.XLOOKUP($K94&amp;L$84,$E$90:$E$466&amp;$G$90:$G$466,$I$90:$I$466)</f>
        <v>39</v>
      </c>
      <c r="M94" s="93" cm="1">
        <f t="array" ref="M94">_xlfn.XLOOKUP($K94&amp;M$84,$E$90:$E$466&amp;$G$90:$G$466,$I$90:$I$466)</f>
        <v>49</v>
      </c>
      <c r="N94" s="93" cm="1">
        <f t="array" ref="N94">_xlfn.XLOOKUP($K94&amp;N$84,$E$90:$E$466&amp;$G$90:$G$466,$I$90:$I$466)</f>
        <v>59</v>
      </c>
      <c r="O94" s="93" cm="1">
        <f t="array" ref="O94">_xlfn.XLOOKUP($K94&amp;O$84,$E$90:$E$466&amp;$G$90:$G$466,$I$90:$I$466)</f>
        <v>71</v>
      </c>
      <c r="P94" s="93" cm="1">
        <f t="array" ref="P94">_xlfn.XLOOKUP($K94&amp;P$84,$E$90:$E$466&amp;$G$90:$G$466,$I$90:$I$466)</f>
        <v>85</v>
      </c>
      <c r="Q94" s="93" cm="1">
        <f t="array" ref="Q94">_xlfn.XLOOKUP($K94&amp;Q$84,$E$90:$E$466&amp;$G$90:$G$466,$I$90:$I$466)</f>
        <v>105</v>
      </c>
      <c r="R94" s="93" cm="1">
        <f t="array" ref="R94">_xlfn.XLOOKUP($K94&amp;R$84,$E$90:$E$466&amp;$G$90:$G$466,$I$90:$I$466)</f>
        <v>132</v>
      </c>
      <c r="S94" s="93" cm="1">
        <f t="array" ref="S94">_xlfn.XLOOKUP($K94&amp;S$84,$E$90:$E$466&amp;$G$90:$G$466,$I$90:$I$466)</f>
        <v>165</v>
      </c>
      <c r="T94" s="93"/>
      <c r="U94" s="93"/>
    </row>
    <row r="95" ht="18" spans="1:21">
      <c r="A95" s="65"/>
      <c r="B95" s="65"/>
      <c r="C95" s="92"/>
      <c r="D95" s="93">
        <v>6</v>
      </c>
      <c r="E95" s="93">
        <v>0</v>
      </c>
      <c r="F95" s="93" t="s">
        <v>64</v>
      </c>
      <c r="G95" s="93" t="s">
        <v>34</v>
      </c>
      <c r="H95" s="93">
        <f t="shared" si="9"/>
        <v>445</v>
      </c>
      <c r="I95" s="93">
        <f t="shared" si="11"/>
        <v>44</v>
      </c>
      <c r="K95" s="2">
        <v>40</v>
      </c>
      <c r="L95" s="93" cm="1">
        <f t="array" ref="L95">_xlfn.XLOOKUP($K95&amp;L$84,$E$90:$E$466&amp;$G$90:$G$466,$I$90:$I$466)</f>
        <v>45</v>
      </c>
      <c r="M95" s="93" cm="1">
        <f t="array" ref="M95">_xlfn.XLOOKUP($K95&amp;M$84,$E$90:$E$466&amp;$G$90:$G$466,$I$90:$I$466)</f>
        <v>56</v>
      </c>
      <c r="N95" s="93" cm="1">
        <f t="array" ref="N95">_xlfn.XLOOKUP($K95&amp;N$84,$E$90:$E$466&amp;$G$90:$G$466,$I$90:$I$466)</f>
        <v>68</v>
      </c>
      <c r="O95" s="93" cm="1">
        <f t="array" ref="O95">_xlfn.XLOOKUP($K95&amp;O$84,$E$90:$E$466&amp;$G$90:$G$466,$I$90:$I$466)</f>
        <v>81</v>
      </c>
      <c r="P95" s="93" cm="1">
        <f t="array" ref="P95">_xlfn.XLOOKUP($K95&amp;P$84,$E$90:$E$466&amp;$G$90:$G$466,$I$90:$I$466)</f>
        <v>98</v>
      </c>
      <c r="Q95" s="93" cm="1">
        <f t="array" ref="Q95">_xlfn.XLOOKUP($K95&amp;Q$84,$E$90:$E$466&amp;$G$90:$G$466,$I$90:$I$466)</f>
        <v>121</v>
      </c>
      <c r="R95" s="93" cm="1">
        <f t="array" ref="R95">_xlfn.XLOOKUP($K95&amp;R$84,$E$90:$E$466&amp;$G$90:$G$466,$I$90:$I$466)</f>
        <v>151</v>
      </c>
      <c r="S95" s="93" cm="1">
        <f t="array" ref="S95">_xlfn.XLOOKUP($K95&amp;S$84,$E$90:$E$466&amp;$G$90:$G$466,$I$90:$I$466)</f>
        <v>189</v>
      </c>
      <c r="T95" s="93"/>
      <c r="U95" s="93"/>
    </row>
    <row r="96" ht="18" spans="1:21">
      <c r="A96" s="65"/>
      <c r="B96" s="65"/>
      <c r="C96" s="92"/>
      <c r="D96" s="93">
        <v>7</v>
      </c>
      <c r="E96" s="93">
        <v>0</v>
      </c>
      <c r="F96" s="93" t="s">
        <v>64</v>
      </c>
      <c r="G96" s="93" t="s">
        <v>35</v>
      </c>
      <c r="H96" s="93">
        <f t="shared" si="9"/>
        <v>556</v>
      </c>
      <c r="I96" s="93">
        <f t="shared" si="11"/>
        <v>55</v>
      </c>
      <c r="K96" s="2">
        <v>50</v>
      </c>
      <c r="L96" s="93" cm="1">
        <f t="array" ref="L96">_xlfn.XLOOKUP($K96&amp;L$84,$E$90:$E$466&amp;$G$90:$G$466,$I$90:$I$466)</f>
        <v>52</v>
      </c>
      <c r="M96" s="93" cm="1">
        <f t="array" ref="M96">_xlfn.XLOOKUP($K96&amp;M$84,$E$90:$E$466&amp;$G$90:$G$466,$I$90:$I$466)</f>
        <v>65</v>
      </c>
      <c r="N96" s="93" cm="1">
        <f t="array" ref="N96">_xlfn.XLOOKUP($K96&amp;N$84,$E$90:$E$466&amp;$G$90:$G$466,$I$90:$I$466)</f>
        <v>78</v>
      </c>
      <c r="O96" s="93" cm="1">
        <f t="array" ref="O96">_xlfn.XLOOKUP($K96&amp;O$84,$E$90:$E$466&amp;$G$90:$G$466,$I$90:$I$466)</f>
        <v>94</v>
      </c>
      <c r="P96" s="93" cm="1">
        <f t="array" ref="P96">_xlfn.XLOOKUP($K96&amp;P$84,$E$90:$E$466&amp;$G$90:$G$466,$I$90:$I$466)</f>
        <v>113</v>
      </c>
      <c r="Q96" s="93" cm="1">
        <f t="array" ref="Q96">_xlfn.XLOOKUP($K96&amp;Q$84,$E$90:$E$466&amp;$G$90:$G$466,$I$90:$I$466)</f>
        <v>139</v>
      </c>
      <c r="R96" s="93" cm="1">
        <f t="array" ref="R96">_xlfn.XLOOKUP($K96&amp;R$84,$E$90:$E$466&amp;$G$90:$G$466,$I$90:$I$466)</f>
        <v>174</v>
      </c>
      <c r="S96" s="93" cm="1">
        <f t="array" ref="S96">_xlfn.XLOOKUP($K96&amp;S$84,$E$90:$E$466&amp;$G$90:$G$466,$I$90:$I$466)</f>
        <v>217</v>
      </c>
      <c r="T96" s="93"/>
      <c r="U96" s="93"/>
    </row>
    <row r="97" ht="18" spans="1:21">
      <c r="A97" s="65"/>
      <c r="B97" s="65"/>
      <c r="C97" s="92"/>
      <c r="D97" s="93">
        <v>8</v>
      </c>
      <c r="E97" s="93">
        <v>0</v>
      </c>
      <c r="F97" s="93" t="s">
        <v>64</v>
      </c>
      <c r="G97" s="93" t="s">
        <v>36</v>
      </c>
      <c r="H97" s="93">
        <f t="shared" si="9"/>
        <v>695</v>
      </c>
      <c r="I97" s="93">
        <f t="shared" si="11"/>
        <v>69</v>
      </c>
      <c r="K97" s="45">
        <v>55</v>
      </c>
      <c r="L97" s="93" cm="1">
        <f t="array" ref="L97">_xlfn.XLOOKUP($K97&amp;L$84,$E$90:$E$466&amp;$G$90:$G$466,$I$90:$I$466)</f>
        <v>56</v>
      </c>
      <c r="M97" s="93" cm="1">
        <f t="array" ref="M97">_xlfn.XLOOKUP($K97&amp;M$84,$E$90:$E$466&amp;$G$90:$G$466,$I$90:$I$466)</f>
        <v>70</v>
      </c>
      <c r="N97" s="93" cm="1">
        <f t="array" ref="N97">_xlfn.XLOOKUP($K97&amp;N$84,$E$90:$E$466&amp;$G$90:$G$466,$I$90:$I$466)</f>
        <v>84</v>
      </c>
      <c r="O97" s="93" cm="1">
        <f t="array" ref="O97">_xlfn.XLOOKUP($K97&amp;O$84,$E$90:$E$466&amp;$G$90:$G$466,$I$90:$I$466)</f>
        <v>101</v>
      </c>
      <c r="P97" s="93" cm="1">
        <f t="array" ref="P97">_xlfn.XLOOKUP($K97&amp;P$84,$E$90:$E$466&amp;$G$90:$G$466,$I$90:$I$466)</f>
        <v>121</v>
      </c>
      <c r="Q97" s="93" cm="1">
        <f t="array" ref="Q97">_xlfn.XLOOKUP($K97&amp;Q$84,$E$90:$E$466&amp;$G$90:$G$466,$I$90:$I$466)</f>
        <v>149</v>
      </c>
      <c r="R97" s="93" cm="1">
        <f t="array" ref="R97">_xlfn.XLOOKUP($K97&amp;R$84,$E$90:$E$466&amp;$G$90:$G$466,$I$90:$I$466)</f>
        <v>187</v>
      </c>
      <c r="S97" s="93" cm="1">
        <f t="array" ref="S97">_xlfn.XLOOKUP($K97&amp;S$84,$E$90:$E$466&amp;$G$90:$G$466,$I$90:$I$466)</f>
        <v>234</v>
      </c>
      <c r="T97" s="93"/>
      <c r="U97" s="93"/>
    </row>
    <row r="98" ht="18" spans="1:21">
      <c r="A98" s="65"/>
      <c r="B98" s="65"/>
      <c r="C98" s="92"/>
      <c r="D98" s="93">
        <v>9</v>
      </c>
      <c r="E98" s="93">
        <v>1</v>
      </c>
      <c r="F98" s="93" t="s">
        <v>64</v>
      </c>
      <c r="G98" s="93" t="s">
        <v>58</v>
      </c>
      <c r="H98" s="93">
        <f t="shared" si="9"/>
        <v>167</v>
      </c>
      <c r="I98" s="93">
        <f t="shared" si="11"/>
        <v>16</v>
      </c>
      <c r="K98" s="2">
        <v>60</v>
      </c>
      <c r="L98" s="93" cm="1">
        <f t="array" ref="L98">_xlfn.XLOOKUP($K98&amp;L$84,$E$90:$E$466&amp;$G$90:$G$466,$I$90:$I$466)</f>
        <v>60</v>
      </c>
      <c r="M98" s="93" cm="1">
        <f t="array" ref="M98">_xlfn.XLOOKUP($K98&amp;M$84,$E$90:$E$466&amp;$G$90:$G$466,$I$90:$I$466)</f>
        <v>75</v>
      </c>
      <c r="N98" s="93" cm="1">
        <f t="array" ref="N98">_xlfn.XLOOKUP($K98&amp;N$84,$E$90:$E$466&amp;$G$90:$G$466,$I$90:$I$466)</f>
        <v>90</v>
      </c>
      <c r="O98" s="93" cm="1">
        <f t="array" ref="O98">_xlfn.XLOOKUP($K98&amp;O$84,$E$90:$E$466&amp;$G$90:$G$466,$I$90:$I$466)</f>
        <v>108</v>
      </c>
      <c r="P98" s="93" cm="1">
        <f t="array" ref="P98">_xlfn.XLOOKUP($K98&amp;P$84,$E$90:$E$466&amp;$G$90:$G$466,$I$90:$I$466)</f>
        <v>130</v>
      </c>
      <c r="Q98" s="93" cm="1">
        <f t="array" ref="Q98">_xlfn.XLOOKUP($K98&amp;Q$84,$E$90:$E$466&amp;$G$90:$G$466,$I$90:$I$466)</f>
        <v>160</v>
      </c>
      <c r="R98" s="93" cm="1">
        <f t="array" ref="R98">_xlfn.XLOOKUP($K98&amp;R$84,$E$90:$E$466&amp;$G$90:$G$466,$I$90:$I$466)</f>
        <v>200</v>
      </c>
      <c r="S98" s="93" cm="1">
        <f t="array" ref="S98">_xlfn.XLOOKUP($K98&amp;S$84,$E$90:$E$466&amp;$G$90:$G$466,$I$90:$I$466)</f>
        <v>250</v>
      </c>
      <c r="T98" s="93"/>
      <c r="U98" s="93"/>
    </row>
    <row r="99" ht="18" spans="1:21">
      <c r="A99" s="65"/>
      <c r="B99" s="65"/>
      <c r="C99" s="92"/>
      <c r="D99" s="93">
        <v>10</v>
      </c>
      <c r="E99" s="93">
        <v>1</v>
      </c>
      <c r="F99" s="93" t="s">
        <v>64</v>
      </c>
      <c r="G99" s="93" t="s">
        <v>59</v>
      </c>
      <c r="H99" s="93">
        <f t="shared" si="9"/>
        <v>208</v>
      </c>
      <c r="I99" s="93">
        <f t="shared" si="11"/>
        <v>20</v>
      </c>
      <c r="K99" s="45">
        <v>65</v>
      </c>
      <c r="L99" s="93" cm="1">
        <f t="array" ref="L99">_xlfn.XLOOKUP($K99&amp;L$84,$E$90:$E$466&amp;$G$90:$G$466,$I$90:$I$466)</f>
        <v>64</v>
      </c>
      <c r="M99" s="93" cm="1">
        <f t="array" ref="M99">_xlfn.XLOOKUP($K99&amp;M$84,$E$90:$E$466&amp;$G$90:$G$466,$I$90:$I$466)</f>
        <v>80</v>
      </c>
      <c r="N99" s="93" cm="1">
        <f t="array" ref="N99">_xlfn.XLOOKUP($K99&amp;N$84,$E$90:$E$466&amp;$G$90:$G$466,$I$90:$I$466)</f>
        <v>96</v>
      </c>
      <c r="O99" s="93" cm="1">
        <f t="array" ref="O99">_xlfn.XLOOKUP($K99&amp;O$84,$E$90:$E$466&amp;$G$90:$G$466,$I$90:$I$466)</f>
        <v>116</v>
      </c>
      <c r="P99" s="93" cm="1">
        <f t="array" ref="P99">_xlfn.XLOOKUP($K99&amp;P$84,$E$90:$E$466&amp;$G$90:$G$466,$I$90:$I$466)</f>
        <v>139</v>
      </c>
      <c r="Q99" s="93" cm="1">
        <f t="array" ref="Q99">_xlfn.XLOOKUP($K99&amp;Q$84,$E$90:$E$466&amp;$G$90:$G$466,$I$90:$I$466)</f>
        <v>172</v>
      </c>
      <c r="R99" s="93" cm="1">
        <f t="array" ref="R99">_xlfn.XLOOKUP($K99&amp;R$84,$E$90:$E$466&amp;$G$90:$G$466,$I$90:$I$466)</f>
        <v>215</v>
      </c>
      <c r="S99" s="93" cm="1">
        <f t="array" ref="S99">_xlfn.XLOOKUP($K99&amp;S$84,$E$90:$E$466&amp;$G$90:$G$466,$I$90:$I$466)</f>
        <v>269</v>
      </c>
      <c r="T99" s="93"/>
      <c r="U99" s="93"/>
    </row>
    <row r="100" ht="18" spans="1:21">
      <c r="A100" s="65"/>
      <c r="B100" s="65"/>
      <c r="C100" s="92"/>
      <c r="D100" s="93">
        <v>11</v>
      </c>
      <c r="E100" s="93">
        <v>1</v>
      </c>
      <c r="F100" s="93" t="s">
        <v>64</v>
      </c>
      <c r="G100" s="93" t="s">
        <v>31</v>
      </c>
      <c r="H100" s="93">
        <f t="shared" si="9"/>
        <v>250</v>
      </c>
      <c r="I100" s="93">
        <f t="shared" si="11"/>
        <v>25</v>
      </c>
      <c r="K100" s="2">
        <v>70</v>
      </c>
      <c r="L100" s="93" cm="1">
        <f t="array" ref="L100">_xlfn.XLOOKUP($K100&amp;L$84,$E$90:$E$466&amp;$G$90:$G$466,$I$90:$I$466)</f>
        <v>69</v>
      </c>
      <c r="M100" s="93" cm="1">
        <f t="array" ref="M100">_xlfn.XLOOKUP($K100&amp;M$84,$E$90:$E$466&amp;$G$90:$G$466,$I$90:$I$466)</f>
        <v>86</v>
      </c>
      <c r="N100" s="93" cm="1">
        <f t="array" ref="N100">_xlfn.XLOOKUP($K100&amp;N$84,$E$90:$E$466&amp;$G$90:$G$466,$I$90:$I$466)</f>
        <v>103</v>
      </c>
      <c r="O100" s="93" cm="1">
        <f t="array" ref="O100">_xlfn.XLOOKUP($K100&amp;O$84,$E$90:$E$466&amp;$G$90:$G$466,$I$90:$I$466)</f>
        <v>124</v>
      </c>
      <c r="P100" s="93" cm="1">
        <f t="array" ref="P100">_xlfn.XLOOKUP($K100&amp;P$84,$E$90:$E$466&amp;$G$90:$G$466,$I$90:$I$466)</f>
        <v>149</v>
      </c>
      <c r="Q100" s="93" cm="1">
        <f t="array" ref="Q100">_xlfn.XLOOKUP($K100&amp;Q$84,$E$90:$E$466&amp;$G$90:$G$466,$I$90:$I$466)</f>
        <v>184</v>
      </c>
      <c r="R100" s="93" cm="1">
        <f t="array" ref="R100">_xlfn.XLOOKUP($K100&amp;R$84,$E$90:$E$466&amp;$G$90:$G$466,$I$90:$I$466)</f>
        <v>230</v>
      </c>
      <c r="S100" s="93" cm="1">
        <f t="array" ref="S100">_xlfn.XLOOKUP($K100&amp;S$84,$E$90:$E$466&amp;$G$90:$G$466,$I$90:$I$466)</f>
        <v>287</v>
      </c>
      <c r="T100" s="93"/>
      <c r="U100" s="93"/>
    </row>
    <row r="101" ht="18" spans="1:21">
      <c r="A101" s="65"/>
      <c r="B101" s="65"/>
      <c r="C101" s="92"/>
      <c r="D101" s="93">
        <v>12</v>
      </c>
      <c r="E101" s="93">
        <v>1</v>
      </c>
      <c r="F101" s="93" t="s">
        <v>64</v>
      </c>
      <c r="G101" s="93" t="s">
        <v>32</v>
      </c>
      <c r="H101" s="93">
        <f t="shared" si="9"/>
        <v>300</v>
      </c>
      <c r="I101" s="93">
        <f t="shared" si="11"/>
        <v>30</v>
      </c>
      <c r="K101" s="45">
        <v>75</v>
      </c>
      <c r="L101" s="93" cm="1">
        <f t="array" ref="L101">_xlfn.XLOOKUP($K101&amp;L$84,$E$90:$E$466&amp;$G$90:$G$466,$I$90:$I$466)</f>
        <v>74</v>
      </c>
      <c r="M101" s="93" cm="1">
        <f t="array" ref="M101">_xlfn.XLOOKUP($K101&amp;M$84,$E$90:$E$466&amp;$G$90:$G$466,$I$90:$I$466)</f>
        <v>92</v>
      </c>
      <c r="N101" s="93" cm="1">
        <f t="array" ref="N101">_xlfn.XLOOKUP($K101&amp;N$84,$E$90:$E$466&amp;$G$90:$G$466,$I$90:$I$466)</f>
        <v>111</v>
      </c>
      <c r="O101" s="93" cm="1">
        <f t="array" ref="O101">_xlfn.XLOOKUP($K101&amp;O$84,$E$90:$E$466&amp;$G$90:$G$466,$I$90:$I$466)</f>
        <v>133</v>
      </c>
      <c r="P101" s="93" cm="1">
        <f t="array" ref="P101">_xlfn.XLOOKUP($K101&amp;P$84,$E$90:$E$466&amp;$G$90:$G$466,$I$90:$I$466)</f>
        <v>160</v>
      </c>
      <c r="Q101" s="93" cm="1">
        <f t="array" ref="Q101">_xlfn.XLOOKUP($K101&amp;Q$84,$E$90:$E$466&amp;$G$90:$G$466,$I$90:$I$466)</f>
        <v>198</v>
      </c>
      <c r="R101" s="93" cm="1">
        <f t="array" ref="R101">_xlfn.XLOOKUP($K101&amp;R$84,$E$90:$E$466&amp;$G$90:$G$466,$I$90:$I$466)</f>
        <v>247</v>
      </c>
      <c r="S101" s="93" cm="1">
        <f t="array" ref="S101">_xlfn.XLOOKUP($K101&amp;S$84,$E$90:$E$466&amp;$G$90:$G$466,$I$90:$I$466)</f>
        <v>309</v>
      </c>
      <c r="T101" s="93"/>
      <c r="U101" s="93"/>
    </row>
    <row r="102" ht="18" spans="1:21">
      <c r="A102" s="65"/>
      <c r="B102" s="65"/>
      <c r="C102" s="92"/>
      <c r="D102" s="93">
        <v>13</v>
      </c>
      <c r="E102" s="93">
        <v>1</v>
      </c>
      <c r="F102" s="93" t="s">
        <v>64</v>
      </c>
      <c r="G102" s="93" t="s">
        <v>33</v>
      </c>
      <c r="H102" s="93">
        <f t="shared" si="9"/>
        <v>361</v>
      </c>
      <c r="I102" s="93">
        <f t="shared" si="11"/>
        <v>36</v>
      </c>
      <c r="K102" s="2">
        <v>80</v>
      </c>
      <c r="L102" s="93" cm="1">
        <f t="array" ref="L102">_xlfn.XLOOKUP($K102&amp;L$84,$E$90:$E$466&amp;$G$90:$G$466,$I$90:$I$466)</f>
        <v>79</v>
      </c>
      <c r="M102" s="93" cm="1">
        <f t="array" ref="M102">_xlfn.XLOOKUP($K102&amp;M$84,$E$90:$E$466&amp;$G$90:$G$466,$I$90:$I$466)</f>
        <v>99</v>
      </c>
      <c r="N102" s="93" cm="1">
        <f t="array" ref="N102">_xlfn.XLOOKUP($K102&amp;N$84,$E$90:$E$466&amp;$G$90:$G$466,$I$90:$I$466)</f>
        <v>119</v>
      </c>
      <c r="O102" s="93" cm="1">
        <f t="array" ref="O102">_xlfn.XLOOKUP($K102&amp;O$84,$E$90:$E$466&amp;$G$90:$G$466,$I$90:$I$466)</f>
        <v>142</v>
      </c>
      <c r="P102" s="93" cm="1">
        <f t="array" ref="P102">_xlfn.XLOOKUP($K102&amp;P$84,$E$90:$E$466&amp;$G$90:$G$466,$I$90:$I$466)</f>
        <v>172</v>
      </c>
      <c r="Q102" s="93" cm="1">
        <f t="array" ref="Q102">_xlfn.XLOOKUP($K102&amp;Q$84,$E$90:$E$466&amp;$G$90:$G$466,$I$90:$I$466)</f>
        <v>211</v>
      </c>
      <c r="R102" s="93" cm="1">
        <f t="array" ref="R102">_xlfn.XLOOKUP($K102&amp;R$84,$E$90:$E$466&amp;$G$90:$G$466,$I$90:$I$466)</f>
        <v>264</v>
      </c>
      <c r="S102" s="93" cm="1">
        <f t="array" ref="S102">_xlfn.XLOOKUP($K102&amp;S$84,$E$90:$E$466&amp;$G$90:$G$466,$I$90:$I$466)</f>
        <v>330</v>
      </c>
      <c r="T102" s="93"/>
      <c r="U102" s="93"/>
    </row>
    <row r="103" ht="18" spans="1:21">
      <c r="A103" s="65"/>
      <c r="B103" s="65"/>
      <c r="C103" s="92"/>
      <c r="D103" s="93">
        <v>14</v>
      </c>
      <c r="E103" s="93">
        <v>1</v>
      </c>
      <c r="F103" s="93" t="s">
        <v>64</v>
      </c>
      <c r="G103" s="93" t="s">
        <v>34</v>
      </c>
      <c r="H103" s="93">
        <f t="shared" si="9"/>
        <v>445</v>
      </c>
      <c r="I103" s="93">
        <f t="shared" si="11"/>
        <v>44</v>
      </c>
      <c r="K103" s="45">
        <v>85</v>
      </c>
      <c r="L103" s="93" cm="1">
        <f t="array" ref="L103">_xlfn.XLOOKUP($K103&amp;L$84,$E$90:$E$466&amp;$G$90:$G$466,$I$90:$I$466)</f>
        <v>85</v>
      </c>
      <c r="M103" s="93" cm="1">
        <f t="array" ref="M103">_xlfn.XLOOKUP($K103&amp;M$84,$E$90:$E$466&amp;$G$90:$G$466,$I$90:$I$466)</f>
        <v>106</v>
      </c>
      <c r="N103" s="93" cm="1">
        <f t="array" ref="N103">_xlfn.XLOOKUP($K103&amp;N$84,$E$90:$E$466&amp;$G$90:$G$466,$I$90:$I$466)</f>
        <v>128</v>
      </c>
      <c r="O103" s="93" cm="1">
        <f t="array" ref="O103">_xlfn.XLOOKUP($K103&amp;O$84,$E$90:$E$466&amp;$G$90:$G$466,$I$90:$I$466)</f>
        <v>153</v>
      </c>
      <c r="P103" s="93" cm="1">
        <f t="array" ref="P103">_xlfn.XLOOKUP($K103&amp;P$84,$E$90:$E$466&amp;$G$90:$G$466,$I$90:$I$466)</f>
        <v>184</v>
      </c>
      <c r="Q103" s="93" cm="1">
        <f t="array" ref="Q103">_xlfn.XLOOKUP($K103&amp;Q$84,$E$90:$E$466&amp;$G$90:$G$466,$I$90:$I$466)</f>
        <v>227</v>
      </c>
      <c r="R103" s="93" cm="1">
        <f t="array" ref="R103">_xlfn.XLOOKUP($K103&amp;R$84,$E$90:$E$466&amp;$G$90:$G$466,$I$90:$I$466)</f>
        <v>284</v>
      </c>
      <c r="S103" s="93" cm="1">
        <f t="array" ref="S103">_xlfn.XLOOKUP($K103&amp;S$84,$E$90:$E$466&amp;$G$90:$G$466,$I$90:$I$466)</f>
        <v>355</v>
      </c>
      <c r="T103" s="93"/>
      <c r="U103" s="93"/>
    </row>
    <row r="104" ht="18" spans="1:21">
      <c r="A104" s="65"/>
      <c r="B104" s="65"/>
      <c r="C104" s="92"/>
      <c r="D104" s="93">
        <v>15</v>
      </c>
      <c r="E104" s="93">
        <v>1</v>
      </c>
      <c r="F104" s="93" t="s">
        <v>64</v>
      </c>
      <c r="G104" s="93" t="s">
        <v>35</v>
      </c>
      <c r="H104" s="93">
        <f t="shared" si="9"/>
        <v>556</v>
      </c>
      <c r="I104" s="93">
        <f t="shared" si="11"/>
        <v>55</v>
      </c>
      <c r="K104" s="2">
        <v>90</v>
      </c>
      <c r="L104" s="93" cm="1">
        <f t="array" ref="L104">_xlfn.XLOOKUP($K104&amp;L$84,$E$90:$E$466&amp;$G$90:$G$466,$I$90:$I$466)</f>
        <v>91</v>
      </c>
      <c r="M104" s="93" cm="1">
        <f t="array" ref="M104">_xlfn.XLOOKUP($K104&amp;M$84,$E$90:$E$466&amp;$G$90:$G$466,$I$90:$I$466)</f>
        <v>114</v>
      </c>
      <c r="N104" s="93" cm="1">
        <f t="array" ref="N104">_xlfn.XLOOKUP($K104&amp;N$84,$E$90:$E$466&amp;$G$90:$G$466,$I$90:$I$466)</f>
        <v>136</v>
      </c>
      <c r="O104" s="93" cm="1">
        <f t="array" ref="O104">_xlfn.XLOOKUP($K104&amp;O$84,$E$90:$E$466&amp;$G$90:$G$466,$I$90:$I$466)</f>
        <v>164</v>
      </c>
      <c r="P104" s="93" cm="1">
        <f t="array" ref="P104">_xlfn.XLOOKUP($K104&amp;P$84,$E$90:$E$466&amp;$G$90:$G$466,$I$90:$I$466)</f>
        <v>197</v>
      </c>
      <c r="Q104" s="93" cm="1">
        <f t="array" ref="Q104">_xlfn.XLOOKUP($K104&amp;Q$84,$E$90:$E$466&amp;$G$90:$G$466,$I$90:$I$466)</f>
        <v>243</v>
      </c>
      <c r="R104" s="93" cm="1">
        <f t="array" ref="R104">_xlfn.XLOOKUP($K104&amp;R$84,$E$90:$E$466&amp;$G$90:$G$466,$I$90:$I$466)</f>
        <v>304</v>
      </c>
      <c r="S104" s="93" cm="1">
        <f t="array" ref="S104">_xlfn.XLOOKUP($K104&amp;S$84,$E$90:$E$466&amp;$G$90:$G$466,$I$90:$I$466)</f>
        <v>380</v>
      </c>
      <c r="T104" s="93"/>
      <c r="U104" s="93"/>
    </row>
    <row r="105" ht="18" spans="1:21">
      <c r="A105" s="65"/>
      <c r="B105" s="65"/>
      <c r="C105" s="92"/>
      <c r="D105" s="93">
        <v>16</v>
      </c>
      <c r="E105" s="93">
        <v>1</v>
      </c>
      <c r="F105" s="93" t="s">
        <v>64</v>
      </c>
      <c r="G105" s="93" t="s">
        <v>36</v>
      </c>
      <c r="H105" s="93">
        <f t="shared" si="9"/>
        <v>695</v>
      </c>
      <c r="I105" s="93">
        <f t="shared" si="11"/>
        <v>69</v>
      </c>
      <c r="K105" s="45">
        <v>95</v>
      </c>
      <c r="L105" s="93" cm="1">
        <f t="array" ref="L105">_xlfn.XLOOKUP($K105&amp;L$84,$E$90:$E$466&amp;$G$90:$G$466,$I$90:$I$466)</f>
        <v>98</v>
      </c>
      <c r="M105" s="93" cm="1">
        <f t="array" ref="M105">_xlfn.XLOOKUP($K105&amp;M$84,$E$90:$E$466&amp;$G$90:$G$466,$I$90:$I$466)</f>
        <v>122</v>
      </c>
      <c r="N105" s="93" cm="1">
        <f t="array" ref="N105">_xlfn.XLOOKUP($K105&amp;N$84,$E$90:$E$466&amp;$G$90:$G$466,$I$90:$I$466)</f>
        <v>147</v>
      </c>
      <c r="O105" s="93" cm="1">
        <f t="array" ref="O105">_xlfn.XLOOKUP($K105&amp;O$84,$E$90:$E$466&amp;$G$90:$G$466,$I$90:$I$466)</f>
        <v>176</v>
      </c>
      <c r="P105" s="93" cm="1">
        <f t="array" ref="P105">_xlfn.XLOOKUP($K105&amp;P$84,$E$90:$E$466&amp;$G$90:$G$466,$I$90:$I$466)</f>
        <v>212</v>
      </c>
      <c r="Q105" s="93" cm="1">
        <f t="array" ref="Q105">_xlfn.XLOOKUP($K105&amp;Q$84,$E$90:$E$466&amp;$G$90:$G$466,$I$90:$I$466)</f>
        <v>261</v>
      </c>
      <c r="R105" s="93" cm="1">
        <f t="array" ref="R105">_xlfn.XLOOKUP($K105&amp;R$84,$E$90:$E$466&amp;$G$90:$G$466,$I$90:$I$466)</f>
        <v>327</v>
      </c>
      <c r="S105" s="93" cm="1">
        <f t="array" ref="S105">_xlfn.XLOOKUP($K105&amp;S$84,$E$90:$E$466&amp;$G$90:$G$466,$I$90:$I$466)</f>
        <v>408</v>
      </c>
      <c r="T105" s="93"/>
      <c r="U105" s="93"/>
    </row>
    <row r="106" ht="18" spans="1:21">
      <c r="A106" s="65"/>
      <c r="B106" s="65"/>
      <c r="C106" s="92"/>
      <c r="D106" s="93">
        <v>17</v>
      </c>
      <c r="E106" s="93">
        <v>10</v>
      </c>
      <c r="F106" s="93" t="s">
        <v>64</v>
      </c>
      <c r="G106" s="93" t="str">
        <f t="shared" ref="G106:G169" si="12">G98</f>
        <v>白</v>
      </c>
      <c r="H106" s="93">
        <f t="shared" si="9"/>
        <v>300</v>
      </c>
      <c r="I106" s="93">
        <f t="shared" si="11"/>
        <v>30</v>
      </c>
      <c r="K106" s="2">
        <v>100</v>
      </c>
      <c r="L106" s="93" cm="1">
        <f t="array" ref="L106">_xlfn.XLOOKUP($K106&amp;L$84,$E$90:$E$466&amp;$G$90:$G$466,$I$90:$I$466)</f>
        <v>104</v>
      </c>
      <c r="M106" s="93" cm="1">
        <f t="array" ref="M106">_xlfn.XLOOKUP($K106&amp;M$84,$E$90:$E$466&amp;$G$90:$G$466,$I$90:$I$466)</f>
        <v>131</v>
      </c>
      <c r="N106" s="93" cm="1">
        <f t="array" ref="N106">_xlfn.XLOOKUP($K106&amp;N$84,$E$90:$E$466&amp;$G$90:$G$466,$I$90:$I$466)</f>
        <v>157</v>
      </c>
      <c r="O106" s="93" cm="1">
        <f t="array" ref="O106">_xlfn.XLOOKUP($K106&amp;O$84,$E$90:$E$466&amp;$G$90:$G$466,$I$90:$I$466)</f>
        <v>188</v>
      </c>
      <c r="P106" s="93" cm="1">
        <f t="array" ref="P106">_xlfn.XLOOKUP($K106&amp;P$84,$E$90:$E$466&amp;$G$90:$G$466,$I$90:$I$466)</f>
        <v>227</v>
      </c>
      <c r="Q106" s="93" cm="1">
        <f t="array" ref="Q106">_xlfn.XLOOKUP($K106&amp;Q$84,$E$90:$E$466&amp;$G$90:$G$466,$I$90:$I$466)</f>
        <v>279</v>
      </c>
      <c r="R106" s="93" cm="1">
        <f t="array" ref="R106">_xlfn.XLOOKUP($K106&amp;R$84,$E$90:$E$466&amp;$G$90:$G$466,$I$90:$I$466)</f>
        <v>349</v>
      </c>
      <c r="S106" s="93" cm="1">
        <f t="array" ref="S106">_xlfn.XLOOKUP($K106&amp;S$84,$E$90:$E$466&amp;$G$90:$G$466,$I$90:$I$466)</f>
        <v>437</v>
      </c>
      <c r="T106" s="93"/>
      <c r="U106" s="93"/>
    </row>
    <row r="107" ht="18" spans="1:21">
      <c r="A107" s="65"/>
      <c r="B107" s="65"/>
      <c r="C107" s="92"/>
      <c r="D107" s="93">
        <v>18</v>
      </c>
      <c r="E107" s="93">
        <v>10</v>
      </c>
      <c r="F107" s="93" t="s">
        <v>64</v>
      </c>
      <c r="G107" s="93" t="str">
        <f t="shared" si="12"/>
        <v>绿</v>
      </c>
      <c r="H107" s="93">
        <f t="shared" si="9"/>
        <v>375</v>
      </c>
      <c r="I107" s="93">
        <f t="shared" si="11"/>
        <v>37</v>
      </c>
      <c r="K107" s="45">
        <v>105</v>
      </c>
      <c r="L107" s="93" cm="1">
        <f t="array" ref="L107">_xlfn.XLOOKUP($K107&amp;L$84,$E$90:$E$466&amp;$G$90:$G$466,$I$90:$I$466)</f>
        <v>112</v>
      </c>
      <c r="M107" s="93" cm="1">
        <f t="array" ref="M107">_xlfn.XLOOKUP($K107&amp;M$84,$E$90:$E$466&amp;$G$90:$G$466,$I$90:$I$466)</f>
        <v>140</v>
      </c>
      <c r="N107" s="93" cm="1">
        <f t="array" ref="N107">_xlfn.XLOOKUP($K107&amp;N$84,$E$90:$E$466&amp;$G$90:$G$466,$I$90:$I$466)</f>
        <v>169</v>
      </c>
      <c r="O107" s="93" cm="1">
        <f t="array" ref="O107">_xlfn.XLOOKUP($K107&amp;O$84,$E$90:$E$466&amp;$G$90:$G$466,$I$90:$I$466)</f>
        <v>202</v>
      </c>
      <c r="P107" s="93" cm="1">
        <f t="array" ref="P107">_xlfn.XLOOKUP($K107&amp;P$84,$E$90:$E$466&amp;$G$90:$G$466,$I$90:$I$466)</f>
        <v>244</v>
      </c>
      <c r="Q107" s="93" cm="1">
        <f t="array" ref="Q107">_xlfn.XLOOKUP($K107&amp;Q$84,$E$90:$E$466&amp;$G$90:$G$466,$I$90:$I$466)</f>
        <v>300</v>
      </c>
      <c r="R107" s="93" cm="1">
        <f t="array" ref="R107">_xlfn.XLOOKUP($K107&amp;R$84,$E$90:$E$466&amp;$G$90:$G$466,$I$90:$I$466)</f>
        <v>375</v>
      </c>
      <c r="S107" s="93" cm="1">
        <f t="array" ref="S107">_xlfn.XLOOKUP($K107&amp;S$84,$E$90:$E$466&amp;$G$90:$G$466,$I$90:$I$466)</f>
        <v>469</v>
      </c>
      <c r="T107" s="93"/>
      <c r="U107" s="93"/>
    </row>
    <row r="108" ht="18" spans="1:21">
      <c r="A108" s="65"/>
      <c r="B108" s="65"/>
      <c r="C108" s="92"/>
      <c r="D108" s="93">
        <v>19</v>
      </c>
      <c r="E108" s="93">
        <v>10</v>
      </c>
      <c r="F108" s="93" t="s">
        <v>64</v>
      </c>
      <c r="G108" s="93" t="str">
        <f t="shared" si="12"/>
        <v>蓝</v>
      </c>
      <c r="H108" s="93">
        <f t="shared" si="9"/>
        <v>450</v>
      </c>
      <c r="I108" s="93">
        <f t="shared" si="11"/>
        <v>45</v>
      </c>
      <c r="K108" s="2">
        <v>110</v>
      </c>
      <c r="L108" s="93" cm="1">
        <f t="array" ref="L108">_xlfn.XLOOKUP($K108&amp;L$84,$E$90:$E$466&amp;$G$90:$G$466,$I$90:$I$466)</f>
        <v>120</v>
      </c>
      <c r="M108" s="93" cm="1">
        <f t="array" ref="M108">_xlfn.XLOOKUP($K108&amp;M$84,$E$90:$E$466&amp;$G$90:$G$466,$I$90:$I$466)</f>
        <v>150</v>
      </c>
      <c r="N108" s="93" cm="1">
        <f t="array" ref="N108">_xlfn.XLOOKUP($K108&amp;N$84,$E$90:$E$466&amp;$G$90:$G$466,$I$90:$I$466)</f>
        <v>180</v>
      </c>
      <c r="O108" s="93" cm="1">
        <f t="array" ref="O108">_xlfn.XLOOKUP($K108&amp;O$84,$E$90:$E$466&amp;$G$90:$G$466,$I$90:$I$466)</f>
        <v>217</v>
      </c>
      <c r="P108" s="93" cm="1">
        <f t="array" ref="P108">_xlfn.XLOOKUP($K108&amp;P$84,$E$90:$E$466&amp;$G$90:$G$466,$I$90:$I$466)</f>
        <v>261</v>
      </c>
      <c r="Q108" s="93" cm="1">
        <f t="array" ref="Q108">_xlfn.XLOOKUP($K108&amp;Q$84,$E$90:$E$466&amp;$G$90:$G$466,$I$90:$I$466)</f>
        <v>321</v>
      </c>
      <c r="R108" s="93" cm="1">
        <f t="array" ref="R108">_xlfn.XLOOKUP($K108&amp;R$84,$E$90:$E$466&amp;$G$90:$G$466,$I$90:$I$466)</f>
        <v>402</v>
      </c>
      <c r="S108" s="93" cm="1">
        <f t="array" ref="S108">_xlfn.XLOOKUP($K108&amp;S$84,$E$90:$E$466&amp;$G$90:$G$466,$I$90:$I$466)</f>
        <v>502</v>
      </c>
      <c r="T108" s="93"/>
      <c r="U108" s="93"/>
    </row>
    <row r="109" ht="18" spans="1:21">
      <c r="A109" s="65"/>
      <c r="B109" s="65"/>
      <c r="C109" s="92"/>
      <c r="D109" s="93">
        <v>20</v>
      </c>
      <c r="E109" s="93">
        <v>10</v>
      </c>
      <c r="F109" s="93" t="s">
        <v>64</v>
      </c>
      <c r="G109" s="93" t="str">
        <f t="shared" si="12"/>
        <v>紫</v>
      </c>
      <c r="H109" s="93">
        <f t="shared" si="9"/>
        <v>540</v>
      </c>
      <c r="I109" s="93">
        <f t="shared" si="11"/>
        <v>54</v>
      </c>
      <c r="K109" s="45">
        <v>115</v>
      </c>
      <c r="L109" s="93" cm="1">
        <f t="array" ref="L109">_xlfn.XLOOKUP($K109&amp;L$84,$E$90:$E$466&amp;$G$90:$G$466,$I$90:$I$466)</f>
        <v>129</v>
      </c>
      <c r="M109" s="93" cm="1">
        <f t="array" ref="M109">_xlfn.XLOOKUP($K109&amp;M$84,$E$90:$E$466&amp;$G$90:$G$466,$I$90:$I$466)</f>
        <v>162</v>
      </c>
      <c r="N109" s="93" cm="1">
        <f t="array" ref="N109">_xlfn.XLOOKUP($K109&amp;N$84,$E$90:$E$466&amp;$G$90:$G$466,$I$90:$I$466)</f>
        <v>194</v>
      </c>
      <c r="O109" s="93" cm="1">
        <f t="array" ref="O109">_xlfn.XLOOKUP($K109&amp;O$84,$E$90:$E$466&amp;$G$90:$G$466,$I$90:$I$466)</f>
        <v>233</v>
      </c>
      <c r="P109" s="93" cm="1">
        <f t="array" ref="P109">_xlfn.XLOOKUP($K109&amp;P$84,$E$90:$E$466&amp;$G$90:$G$466,$I$90:$I$466)</f>
        <v>280</v>
      </c>
      <c r="Q109" s="93" cm="1">
        <f t="array" ref="Q109">_xlfn.XLOOKUP($K109&amp;Q$84,$E$90:$E$466&amp;$G$90:$G$466,$I$90:$I$466)</f>
        <v>345</v>
      </c>
      <c r="R109" s="93" cm="1">
        <f t="array" ref="R109">_xlfn.XLOOKUP($K109&amp;R$84,$E$90:$E$466&amp;$G$90:$G$466,$I$90:$I$466)</f>
        <v>432</v>
      </c>
      <c r="S109" s="93" cm="1">
        <f t="array" ref="S109">_xlfn.XLOOKUP($K109&amp;S$84,$E$90:$E$466&amp;$G$90:$G$466,$I$90:$I$466)</f>
        <v>540</v>
      </c>
      <c r="T109" s="93"/>
      <c r="U109" s="93"/>
    </row>
    <row r="110" ht="18" spans="1:21">
      <c r="A110" s="65"/>
      <c r="B110" s="65"/>
      <c r="C110" s="92"/>
      <c r="D110" s="93">
        <v>21</v>
      </c>
      <c r="E110" s="93">
        <v>10</v>
      </c>
      <c r="F110" s="93" t="s">
        <v>64</v>
      </c>
      <c r="G110" s="93" t="str">
        <f t="shared" si="12"/>
        <v>橙</v>
      </c>
      <c r="H110" s="93">
        <f t="shared" si="9"/>
        <v>650</v>
      </c>
      <c r="I110" s="93">
        <f t="shared" si="11"/>
        <v>65</v>
      </c>
      <c r="K110" s="2">
        <v>120</v>
      </c>
      <c r="L110" s="93" cm="1">
        <f t="array" ref="L110">_xlfn.XLOOKUP($K110&amp;L$84,$E$90:$E$466&amp;$G$90:$G$466,$I$90:$I$466)</f>
        <v>138</v>
      </c>
      <c r="M110" s="93" cm="1">
        <f t="array" ref="M110">_xlfn.XLOOKUP($K110&amp;M$84,$E$90:$E$466&amp;$G$90:$G$466,$I$90:$I$466)</f>
        <v>173</v>
      </c>
      <c r="N110" s="93" cm="1">
        <f t="array" ref="N110">_xlfn.XLOOKUP($K110&amp;N$84,$E$90:$E$466&amp;$G$90:$G$466,$I$90:$I$466)</f>
        <v>207</v>
      </c>
      <c r="O110" s="93" cm="1">
        <f t="array" ref="O110">_xlfn.XLOOKUP($K110&amp;O$84,$E$90:$E$466&amp;$G$90:$G$466,$I$90:$I$466)</f>
        <v>249</v>
      </c>
      <c r="P110" s="93" cm="1">
        <f t="array" ref="P110">_xlfn.XLOOKUP($K110&amp;P$84,$E$90:$E$466&amp;$G$90:$G$466,$I$90:$I$466)</f>
        <v>300</v>
      </c>
      <c r="Q110" s="93" cm="1">
        <f t="array" ref="Q110">_xlfn.XLOOKUP($K110&amp;Q$84,$E$90:$E$466&amp;$G$90:$G$466,$I$90:$I$466)</f>
        <v>369</v>
      </c>
      <c r="R110" s="93" cm="1">
        <f t="array" ref="R110">_xlfn.XLOOKUP($K110&amp;R$84,$E$90:$E$466&amp;$G$90:$G$466,$I$90:$I$466)</f>
        <v>462</v>
      </c>
      <c r="S110" s="93" cm="1">
        <f t="array" ref="S110">_xlfn.XLOOKUP($K110&amp;S$84,$E$90:$E$466&amp;$G$90:$G$466,$I$90:$I$466)</f>
        <v>577</v>
      </c>
      <c r="T110" s="93"/>
      <c r="U110" s="93"/>
    </row>
    <row r="111" ht="18" spans="1:21">
      <c r="A111" s="65"/>
      <c r="B111" s="65"/>
      <c r="C111" s="92"/>
      <c r="D111" s="93">
        <v>22</v>
      </c>
      <c r="E111" s="93">
        <v>10</v>
      </c>
      <c r="F111" s="93" t="s">
        <v>64</v>
      </c>
      <c r="G111" s="93" t="str">
        <f t="shared" si="12"/>
        <v>红</v>
      </c>
      <c r="H111" s="93">
        <f t="shared" si="9"/>
        <v>800</v>
      </c>
      <c r="I111" s="93">
        <f t="shared" si="11"/>
        <v>80</v>
      </c>
      <c r="K111" s="45">
        <v>125</v>
      </c>
      <c r="L111" s="93" cm="1">
        <f t="array" ref="L111">_xlfn.XLOOKUP($K111&amp;L$84,$E$90:$E$466&amp;$G$90:$G$466,$I$90:$I$466)</f>
        <v>148</v>
      </c>
      <c r="M111" s="93" cm="1">
        <f t="array" ref="M111">_xlfn.XLOOKUP($K111&amp;M$84,$E$90:$E$466&amp;$G$90:$G$466,$I$90:$I$466)</f>
        <v>186</v>
      </c>
      <c r="N111" s="93" cm="1">
        <f t="array" ref="N111">_xlfn.XLOOKUP($K111&amp;N$84,$E$90:$E$466&amp;$G$90:$G$466,$I$90:$I$466)</f>
        <v>223</v>
      </c>
      <c r="O111" s="93" cm="1">
        <f t="array" ref="O111">_xlfn.XLOOKUP($K111&amp;O$84,$E$90:$E$466&amp;$G$90:$G$466,$I$90:$I$466)</f>
        <v>268</v>
      </c>
      <c r="P111" s="93" cm="1">
        <f t="array" ref="P111">_xlfn.XLOOKUP($K111&amp;P$84,$E$90:$E$466&amp;$G$90:$G$466,$I$90:$I$466)</f>
        <v>322</v>
      </c>
      <c r="Q111" s="93" cm="1">
        <f t="array" ref="Q111">_xlfn.XLOOKUP($K111&amp;Q$84,$E$90:$E$466&amp;$G$90:$G$466,$I$90:$I$466)</f>
        <v>397</v>
      </c>
      <c r="R111" s="93" cm="1">
        <f t="array" ref="R111">_xlfn.XLOOKUP($K111&amp;R$84,$E$90:$E$466&amp;$G$90:$G$466,$I$90:$I$466)</f>
        <v>496</v>
      </c>
      <c r="S111" s="93" cm="1">
        <f t="array" ref="S111">_xlfn.XLOOKUP($K111&amp;S$84,$E$90:$E$466&amp;$G$90:$G$466,$I$90:$I$466)</f>
        <v>620</v>
      </c>
      <c r="T111" s="93"/>
      <c r="U111" s="93"/>
    </row>
    <row r="112" ht="18" spans="1:21">
      <c r="A112" s="65"/>
      <c r="B112" s="65"/>
      <c r="C112" s="92"/>
      <c r="D112" s="93">
        <v>23</v>
      </c>
      <c r="E112" s="93">
        <v>10</v>
      </c>
      <c r="F112" s="93" t="s">
        <v>64</v>
      </c>
      <c r="G112" s="93" t="str">
        <f t="shared" si="12"/>
        <v>粉</v>
      </c>
      <c r="H112" s="93">
        <f t="shared" si="9"/>
        <v>1000</v>
      </c>
      <c r="I112" s="93">
        <f t="shared" si="11"/>
        <v>100</v>
      </c>
      <c r="K112" s="2">
        <v>130</v>
      </c>
      <c r="L112" s="93" cm="1">
        <f t="array" ref="L112">_xlfn.XLOOKUP($K112&amp;L$84,$E$90:$E$466&amp;$G$90:$G$466,$I$90:$I$466)</f>
        <v>159</v>
      </c>
      <c r="M112" s="93" cm="1">
        <f t="array" ref="M112">_xlfn.XLOOKUP($K112&amp;M$84,$E$90:$E$466&amp;$G$90:$G$466,$I$90:$I$466)</f>
        <v>199</v>
      </c>
      <c r="N112" s="93" cm="1">
        <f t="array" ref="N112">_xlfn.XLOOKUP($K112&amp;N$84,$E$90:$E$466&amp;$G$90:$G$466,$I$90:$I$466)</f>
        <v>238</v>
      </c>
      <c r="O112" s="93" cm="1">
        <f t="array" ref="O112">_xlfn.XLOOKUP($K112&amp;O$84,$E$90:$E$466&amp;$G$90:$G$466,$I$90:$I$466)</f>
        <v>286</v>
      </c>
      <c r="P112" s="93" cm="1">
        <f t="array" ref="P112">_xlfn.XLOOKUP($K112&amp;P$84,$E$90:$E$466&amp;$G$90:$G$466,$I$90:$I$466)</f>
        <v>345</v>
      </c>
      <c r="Q112" s="93" cm="1">
        <f t="array" ref="Q112">_xlfn.XLOOKUP($K112&amp;Q$84,$E$90:$E$466&amp;$G$90:$G$466,$I$90:$I$466)</f>
        <v>424</v>
      </c>
      <c r="R112" s="93" cm="1">
        <f t="array" ref="R112">_xlfn.XLOOKUP($K112&amp;R$84,$E$90:$E$466&amp;$G$90:$G$466,$I$90:$I$466)</f>
        <v>531</v>
      </c>
      <c r="S112" s="93" cm="1">
        <f t="array" ref="S112">_xlfn.XLOOKUP($K112&amp;S$84,$E$90:$E$466&amp;$G$90:$G$466,$I$90:$I$466)</f>
        <v>663</v>
      </c>
      <c r="T112" s="93"/>
      <c r="U112" s="93"/>
    </row>
    <row r="113" ht="18" spans="1:22">
      <c r="A113" s="65"/>
      <c r="B113" s="65"/>
      <c r="C113" s="92"/>
      <c r="D113" s="93">
        <v>24</v>
      </c>
      <c r="E113" s="93">
        <v>10</v>
      </c>
      <c r="F113" s="93" t="s">
        <v>64</v>
      </c>
      <c r="G113" s="93" t="str">
        <f t="shared" si="12"/>
        <v>彩</v>
      </c>
      <c r="H113" s="93">
        <f t="shared" si="9"/>
        <v>1250</v>
      </c>
      <c r="I113" s="93">
        <f t="shared" si="11"/>
        <v>125</v>
      </c>
      <c r="K113" s="45">
        <v>135</v>
      </c>
      <c r="L113" s="93" cm="1">
        <f t="array" ref="L113">_xlfn.XLOOKUP($K113&amp;L$84,$E$90:$E$466&amp;$G$90:$G$466,$I$90:$I$466)</f>
        <v>171</v>
      </c>
      <c r="M113" s="93" cm="1">
        <f t="array" ref="M113">_xlfn.XLOOKUP($K113&amp;M$84,$E$90:$E$466&amp;$G$90:$G$466,$I$90:$I$466)</f>
        <v>214</v>
      </c>
      <c r="N113" s="93" cm="1">
        <f t="array" ref="N113">_xlfn.XLOOKUP($K113&amp;N$84,$E$90:$E$466&amp;$G$90:$G$466,$I$90:$I$466)</f>
        <v>256</v>
      </c>
      <c r="O113" s="93" cm="1">
        <f t="array" ref="O113">_xlfn.XLOOKUP($K113&amp;O$84,$E$90:$E$466&amp;$G$90:$G$466,$I$90:$I$466)</f>
        <v>308</v>
      </c>
      <c r="P113" s="93" cm="1">
        <f t="array" ref="P113">_xlfn.XLOOKUP($K113&amp;P$84,$E$90:$E$466&amp;$G$90:$G$466,$I$90:$I$466)</f>
        <v>370</v>
      </c>
      <c r="Q113" s="93" cm="1">
        <f t="array" ref="Q113">_xlfn.XLOOKUP($K113&amp;Q$84,$E$90:$E$466&amp;$G$90:$G$466,$I$90:$I$466)</f>
        <v>456</v>
      </c>
      <c r="R113" s="93" cm="1">
        <f t="array" ref="R113">_xlfn.XLOOKUP($K113&amp;R$84,$E$90:$E$466&amp;$G$90:$G$466,$I$90:$I$466)</f>
        <v>570</v>
      </c>
      <c r="S113" s="93" cm="1">
        <f t="array" ref="S113">_xlfn.XLOOKUP($K113&amp;S$84,$E$90:$E$466&amp;$G$90:$G$466,$I$90:$I$466)</f>
        <v>713</v>
      </c>
      <c r="T113" s="93"/>
      <c r="U113" s="93"/>
    </row>
    <row r="114" ht="18" spans="1:22">
      <c r="A114" s="65"/>
      <c r="B114" s="65"/>
      <c r="C114" s="92"/>
      <c r="D114" s="93">
        <v>25</v>
      </c>
      <c r="E114" s="93">
        <f t="shared" ref="E114:E145" si="13">E106+10</f>
        <v>20</v>
      </c>
      <c r="F114" s="93" t="s">
        <v>64</v>
      </c>
      <c r="G114" s="93" t="str">
        <f t="shared" si="12"/>
        <v>白</v>
      </c>
      <c r="H114" s="93">
        <f t="shared" si="9"/>
        <v>345</v>
      </c>
      <c r="I114" s="93">
        <f t="shared" si="11"/>
        <v>34</v>
      </c>
      <c r="K114" s="2">
        <v>140</v>
      </c>
      <c r="L114" s="93" cm="1">
        <f t="array" ref="L114">_xlfn.XLOOKUP($K114&amp;L$84,$E$90:$E$466&amp;$G$90:$G$466,$I$90:$I$466)</f>
        <v>183</v>
      </c>
      <c r="M114" s="93" cm="1">
        <f t="array" ref="M114">_xlfn.XLOOKUP($K114&amp;M$84,$E$90:$E$466&amp;$G$90:$G$466,$I$90:$I$466)</f>
        <v>228</v>
      </c>
      <c r="N114" s="93" cm="1">
        <f t="array" ref="N114">_xlfn.XLOOKUP($K114&amp;N$84,$E$90:$E$466&amp;$G$90:$G$466,$I$90:$I$466)</f>
        <v>274</v>
      </c>
      <c r="O114" s="93" cm="1">
        <f t="array" ref="O114">_xlfn.XLOOKUP($K114&amp;O$84,$E$90:$E$466&amp;$G$90:$G$466,$I$90:$I$466)</f>
        <v>329</v>
      </c>
      <c r="P114" s="93" cm="1">
        <f t="array" ref="P114">_xlfn.XLOOKUP($K114&amp;P$84,$E$90:$E$466&amp;$G$90:$G$466,$I$90:$I$466)</f>
        <v>396</v>
      </c>
      <c r="Q114" s="93" cm="1">
        <f t="array" ref="Q114">_xlfn.XLOOKUP($K114&amp;Q$84,$E$90:$E$466&amp;$G$90:$G$466,$I$90:$I$466)</f>
        <v>488</v>
      </c>
      <c r="R114" s="93" cm="1">
        <f t="array" ref="R114">_xlfn.XLOOKUP($K114&amp;R$84,$E$90:$E$466&amp;$G$90:$G$466,$I$90:$I$466)</f>
        <v>610</v>
      </c>
      <c r="S114" s="93" cm="1">
        <f t="array" ref="S114">_xlfn.XLOOKUP($K114&amp;S$84,$E$90:$E$466&amp;$G$90:$G$466,$I$90:$I$466)</f>
        <v>762</v>
      </c>
      <c r="T114" s="93"/>
      <c r="U114" s="93"/>
    </row>
    <row r="115" ht="18" spans="1:22">
      <c r="A115" s="65"/>
      <c r="B115" s="65"/>
      <c r="C115" s="92"/>
      <c r="D115" s="93">
        <v>26</v>
      </c>
      <c r="E115" s="93">
        <f t="shared" si="13"/>
        <v>20</v>
      </c>
      <c r="F115" s="93" t="s">
        <v>64</v>
      </c>
      <c r="G115" s="93" t="str">
        <f t="shared" si="12"/>
        <v>绿</v>
      </c>
      <c r="H115" s="93">
        <f t="shared" si="9"/>
        <v>431</v>
      </c>
      <c r="I115" s="93">
        <f t="shared" si="11"/>
        <v>43</v>
      </c>
      <c r="K115" s="45">
        <v>145</v>
      </c>
      <c r="L115" s="93" cm="1">
        <f t="array" ref="L115">_xlfn.XLOOKUP($K115&amp;L$84,$E$90:$E$466&amp;$G$90:$G$466,$I$90:$I$466)</f>
        <v>196</v>
      </c>
      <c r="M115" s="93" cm="1">
        <f t="array" ref="M115">_xlfn.XLOOKUP($K115&amp;M$84,$E$90:$E$466&amp;$G$90:$G$466,$I$90:$I$466)</f>
        <v>246</v>
      </c>
      <c r="N115" s="93" cm="1">
        <f t="array" ref="N115">_xlfn.XLOOKUP($K115&amp;N$84,$E$90:$E$466&amp;$G$90:$G$466,$I$90:$I$466)</f>
        <v>295</v>
      </c>
      <c r="O115" s="93" cm="1">
        <f t="array" ref="O115">_xlfn.XLOOKUP($K115&amp;O$84,$E$90:$E$466&amp;$G$90:$G$466,$I$90:$I$466)</f>
        <v>354</v>
      </c>
      <c r="P115" s="93" cm="1">
        <f t="array" ref="P115">_xlfn.XLOOKUP($K115&amp;P$84,$E$90:$E$466&amp;$G$90:$G$466,$I$90:$I$466)</f>
        <v>426</v>
      </c>
      <c r="Q115" s="93" cm="1">
        <f t="array" ref="Q115">_xlfn.XLOOKUP($K115&amp;Q$84,$E$90:$E$466&amp;$G$90:$G$466,$I$90:$I$466)</f>
        <v>524</v>
      </c>
      <c r="R115" s="93" cm="1">
        <f t="array" ref="R115">_xlfn.XLOOKUP($K115&amp;R$84,$E$90:$E$466&amp;$G$90:$G$466,$I$90:$I$466)</f>
        <v>656</v>
      </c>
      <c r="S115" s="93" cm="1">
        <f t="array" ref="S115">_xlfn.XLOOKUP($K115&amp;S$84,$E$90:$E$466&amp;$G$90:$G$466,$I$90:$I$466)</f>
        <v>820</v>
      </c>
      <c r="T115" s="93"/>
      <c r="U115" s="93"/>
    </row>
    <row r="116" ht="18" spans="1:22">
      <c r="A116" s="65"/>
      <c r="B116" s="65"/>
      <c r="C116" s="92"/>
      <c r="D116" s="93">
        <v>27</v>
      </c>
      <c r="E116" s="93">
        <f t="shared" si="13"/>
        <v>20</v>
      </c>
      <c r="F116" s="93" t="s">
        <v>64</v>
      </c>
      <c r="G116" s="93" t="str">
        <f t="shared" si="12"/>
        <v>蓝</v>
      </c>
      <c r="H116" s="93">
        <f t="shared" si="9"/>
        <v>517</v>
      </c>
      <c r="I116" s="93">
        <f t="shared" si="11"/>
        <v>51</v>
      </c>
      <c r="K116" s="2">
        <v>150</v>
      </c>
      <c r="L116" s="93" cm="1">
        <f t="array" ref="L116">_xlfn.XLOOKUP($K116&amp;L$84,$E$90:$E$466&amp;$G$90:$G$466,$I$90:$I$466)</f>
        <v>210</v>
      </c>
      <c r="M116" s="93" cm="1">
        <f t="array" ref="M116">_xlfn.XLOOKUP($K116&amp;M$84,$E$90:$E$466&amp;$G$90:$G$466,$I$90:$I$466)</f>
        <v>263</v>
      </c>
      <c r="N116" s="93" cm="1">
        <f t="array" ref="N116">_xlfn.XLOOKUP($K116&amp;N$84,$E$90:$E$466&amp;$G$90:$G$466,$I$90:$I$466)</f>
        <v>315</v>
      </c>
      <c r="O116" s="93" cm="1">
        <f t="array" ref="O116">_xlfn.XLOOKUP($K116&amp;O$84,$E$90:$E$466&amp;$G$90:$G$466,$I$90:$I$466)</f>
        <v>378</v>
      </c>
      <c r="P116" s="93" cm="1">
        <f t="array" ref="P116">_xlfn.XLOOKUP($K116&amp;P$84,$E$90:$E$466&amp;$G$90:$G$466,$I$90:$I$466)</f>
        <v>456</v>
      </c>
      <c r="Q116" s="93" cm="1">
        <f t="array" ref="Q116">_xlfn.XLOOKUP($K116&amp;Q$84,$E$90:$E$466&amp;$G$90:$G$466,$I$90:$I$466)</f>
        <v>561</v>
      </c>
      <c r="R116" s="93" cm="1">
        <f t="array" ref="R116">_xlfn.XLOOKUP($K116&amp;R$84,$E$90:$E$466&amp;$G$90:$G$466,$I$90:$I$466)</f>
        <v>701</v>
      </c>
      <c r="S116" s="93" cm="1">
        <f t="array" ref="S116">_xlfn.XLOOKUP($K116&amp;S$84,$E$90:$E$466&amp;$G$90:$G$466,$I$90:$I$466)</f>
        <v>877</v>
      </c>
      <c r="T116" s="93"/>
      <c r="U116" s="93"/>
    </row>
    <row r="117" ht="18" spans="1:22">
      <c r="A117" s="65"/>
      <c r="B117" s="65"/>
      <c r="C117" s="92"/>
      <c r="D117" s="93">
        <v>28</v>
      </c>
      <c r="E117" s="93">
        <f t="shared" si="13"/>
        <v>20</v>
      </c>
      <c r="F117" s="93" t="s">
        <v>64</v>
      </c>
      <c r="G117" s="93" t="str">
        <f t="shared" si="12"/>
        <v>紫</v>
      </c>
      <c r="H117" s="93">
        <f t="shared" si="9"/>
        <v>621</v>
      </c>
      <c r="I117" s="93">
        <f t="shared" si="11"/>
        <v>62</v>
      </c>
      <c r="K117" s="45">
        <v>155</v>
      </c>
      <c r="L117" s="93" cm="1">
        <f t="array" ref="L117">_xlfn.XLOOKUP($K117&amp;L$84,$E$90:$E$466&amp;$G$90:$G$466,$I$90:$I$466)</f>
        <v>226</v>
      </c>
      <c r="M117" s="93" cm="1">
        <f t="array" ref="M117">_xlfn.XLOOKUP($K117&amp;M$84,$E$90:$E$466&amp;$G$90:$G$466,$I$90:$I$466)</f>
        <v>282</v>
      </c>
      <c r="N117" s="93" cm="1">
        <f t="array" ref="N117">_xlfn.XLOOKUP($K117&amp;N$84,$E$90:$E$466&amp;$G$90:$G$466,$I$90:$I$466)</f>
        <v>339</v>
      </c>
      <c r="O117" s="93" cm="1">
        <f t="array" ref="O117">_xlfn.XLOOKUP($K117&amp;O$84,$E$90:$E$466&amp;$G$90:$G$466,$I$90:$I$466)</f>
        <v>407</v>
      </c>
      <c r="P117" s="93" cm="1">
        <f t="array" ref="P117">_xlfn.XLOOKUP($K117&amp;P$84,$E$90:$E$466&amp;$G$90:$G$466,$I$90:$I$466)</f>
        <v>490</v>
      </c>
      <c r="Q117" s="93" cm="1">
        <f t="array" ref="Q117">_xlfn.XLOOKUP($K117&amp;Q$84,$E$90:$E$466&amp;$G$90:$G$466,$I$90:$I$466)</f>
        <v>603</v>
      </c>
      <c r="R117" s="93" cm="1">
        <f t="array" ref="R117">_xlfn.XLOOKUP($K117&amp;R$84,$E$90:$E$466&amp;$G$90:$G$466,$I$90:$I$466)</f>
        <v>754</v>
      </c>
      <c r="S117" s="93" cm="1">
        <f t="array" ref="S117">_xlfn.XLOOKUP($K117&amp;S$84,$E$90:$E$466&amp;$G$90:$G$466,$I$90:$I$466)</f>
        <v>942</v>
      </c>
      <c r="T117" s="93"/>
      <c r="U117" s="93"/>
    </row>
    <row r="118" ht="18" spans="1:22">
      <c r="A118" s="65"/>
      <c r="B118" s="65"/>
      <c r="C118" s="92"/>
      <c r="D118" s="93">
        <v>29</v>
      </c>
      <c r="E118" s="93">
        <f t="shared" si="13"/>
        <v>20</v>
      </c>
      <c r="F118" s="93" t="s">
        <v>64</v>
      </c>
      <c r="G118" s="93" t="str">
        <f t="shared" si="12"/>
        <v>橙</v>
      </c>
      <c r="H118" s="93">
        <f t="shared" si="9"/>
        <v>747</v>
      </c>
      <c r="I118" s="93">
        <f t="shared" si="11"/>
        <v>74</v>
      </c>
      <c r="K118" s="2">
        <v>160</v>
      </c>
      <c r="L118" s="93" cm="1">
        <f t="array" ref="L118">_xlfn.XLOOKUP($K118&amp;L$84,$E$90:$E$466&amp;$G$90:$G$466,$I$90:$I$466)</f>
        <v>242</v>
      </c>
      <c r="M118" s="93" cm="1">
        <f t="array" ref="M118">_xlfn.XLOOKUP($K118&amp;M$84,$E$90:$E$466&amp;$G$90:$G$466,$I$90:$I$466)</f>
        <v>302</v>
      </c>
      <c r="N118" s="93" cm="1">
        <f t="array" ref="N118">_xlfn.XLOOKUP($K118&amp;N$84,$E$90:$E$466&amp;$G$90:$G$466,$I$90:$I$466)</f>
        <v>363</v>
      </c>
      <c r="O118" s="93" cm="1">
        <f t="array" ref="O118">_xlfn.XLOOKUP($K118&amp;O$84,$E$90:$E$466&amp;$G$90:$G$466,$I$90:$I$466)</f>
        <v>435</v>
      </c>
      <c r="P118" s="93" cm="1">
        <f t="array" ref="P118">_xlfn.XLOOKUP($K118&amp;P$84,$E$90:$E$466&amp;$G$90:$G$466,$I$90:$I$466)</f>
        <v>524</v>
      </c>
      <c r="Q118" s="93" cm="1">
        <f t="array" ref="Q118">_xlfn.XLOOKUP($K118&amp;Q$84,$E$90:$E$466&amp;$G$90:$G$466,$I$90:$I$466)</f>
        <v>645</v>
      </c>
      <c r="R118" s="93" cm="1">
        <f t="array" ref="R118">_xlfn.XLOOKUP($K118&amp;R$84,$E$90:$E$466&amp;$G$90:$G$466,$I$90:$I$466)</f>
        <v>806</v>
      </c>
      <c r="S118" s="93" cm="1">
        <f t="array" ref="S118">_xlfn.XLOOKUP($K118&amp;S$84,$E$90:$E$466&amp;$G$90:$G$466,$I$90:$I$466)</f>
        <v>1008</v>
      </c>
      <c r="T118" s="93"/>
      <c r="U118" s="93"/>
    </row>
    <row r="119" ht="18" spans="1:22">
      <c r="A119" s="65"/>
      <c r="B119" s="65"/>
      <c r="C119" s="92"/>
      <c r="D119" s="93">
        <v>30</v>
      </c>
      <c r="E119" s="93">
        <f t="shared" si="13"/>
        <v>20</v>
      </c>
      <c r="F119" s="93" t="s">
        <v>64</v>
      </c>
      <c r="G119" s="93" t="str">
        <f t="shared" si="12"/>
        <v>红</v>
      </c>
      <c r="H119" s="93">
        <f t="shared" si="9"/>
        <v>920</v>
      </c>
      <c r="I119" s="93">
        <f t="shared" si="11"/>
        <v>92</v>
      </c>
      <c r="K119" s="45">
        <v>165</v>
      </c>
      <c r="L119" s="93" cm="1">
        <f t="array" ref="L119">_xlfn.XLOOKUP($K119&amp;L$84,$E$90:$E$466&amp;$G$90:$G$466,$I$90:$I$466)</f>
        <v>260</v>
      </c>
      <c r="M119" s="93" cm="1">
        <f t="array" ref="M119">_xlfn.XLOOKUP($K119&amp;M$84,$E$90:$E$466&amp;$G$90:$G$466,$I$90:$I$466)</f>
        <v>325</v>
      </c>
      <c r="N119" s="93" cm="1">
        <f t="array" ref="N119">_xlfn.XLOOKUP($K119&amp;N$84,$E$90:$E$466&amp;$G$90:$G$466,$I$90:$I$466)</f>
        <v>390</v>
      </c>
      <c r="O119" s="93" cm="1">
        <f t="array" ref="O119">_xlfn.XLOOKUP($K119&amp;O$84,$E$90:$E$466&amp;$G$90:$G$466,$I$90:$I$466)</f>
        <v>468</v>
      </c>
      <c r="P119" s="93" cm="1">
        <f t="array" ref="P119">_xlfn.XLOOKUP($K119&amp;P$84,$E$90:$E$466&amp;$G$90:$G$466,$I$90:$I$466)</f>
        <v>563</v>
      </c>
      <c r="Q119" s="93" cm="1">
        <f t="array" ref="Q119">_xlfn.XLOOKUP($K119&amp;Q$84,$E$90:$E$466&amp;$G$90:$G$466,$I$90:$I$466)</f>
        <v>693</v>
      </c>
      <c r="R119" s="93" cm="1">
        <f t="array" ref="R119">_xlfn.XLOOKUP($K119&amp;R$84,$E$90:$E$466&amp;$G$90:$G$466,$I$90:$I$466)</f>
        <v>867</v>
      </c>
      <c r="S119" s="93" cm="1">
        <f t="array" ref="S119">_xlfn.XLOOKUP($K119&amp;S$84,$E$90:$E$466&amp;$G$90:$G$466,$I$90:$I$466)</f>
        <v>1083</v>
      </c>
    </row>
    <row r="120" ht="18" spans="1:22">
      <c r="A120" s="65"/>
      <c r="B120" s="65"/>
      <c r="C120" s="92"/>
      <c r="D120" s="93">
        <v>31</v>
      </c>
      <c r="E120" s="93">
        <f t="shared" si="13"/>
        <v>20</v>
      </c>
      <c r="F120" s="93" t="s">
        <v>64</v>
      </c>
      <c r="G120" s="93" t="str">
        <f t="shared" si="12"/>
        <v>粉</v>
      </c>
      <c r="H120" s="93">
        <f t="shared" si="9"/>
        <v>1150</v>
      </c>
      <c r="I120" s="93">
        <f t="shared" si="11"/>
        <v>115</v>
      </c>
      <c r="K120" s="2">
        <v>170</v>
      </c>
      <c r="L120" s="93" cm="1">
        <f t="array" ref="L120">_xlfn.XLOOKUP($K120&amp;L$84,$E$90:$E$466&amp;$G$90:$G$466,$I$90:$I$466)</f>
        <v>278</v>
      </c>
      <c r="M120" s="93" cm="1">
        <f t="array" ref="M120">_xlfn.XLOOKUP($K120&amp;M$84,$E$90:$E$466&amp;$G$90:$G$466,$I$90:$I$466)</f>
        <v>347</v>
      </c>
      <c r="N120" s="93" cm="1">
        <f t="array" ref="N120">_xlfn.XLOOKUP($K120&amp;N$84,$E$90:$E$466&amp;$G$90:$G$466,$I$90:$I$466)</f>
        <v>417</v>
      </c>
      <c r="O120" s="93" cm="1">
        <f t="array" ref="O120">_xlfn.XLOOKUP($K120&amp;O$84,$E$90:$E$466&amp;$G$90:$G$466,$I$90:$I$466)</f>
        <v>500</v>
      </c>
      <c r="P120" s="93" cm="1">
        <f t="array" ref="P120">_xlfn.XLOOKUP($K120&amp;P$84,$E$90:$E$466&amp;$G$90:$G$466,$I$90:$I$466)</f>
        <v>602</v>
      </c>
      <c r="Q120" s="93" cm="1">
        <f t="array" ref="Q120">_xlfn.XLOOKUP($K120&amp;Q$84,$E$90:$E$466&amp;$G$90:$G$466,$I$90:$I$466)</f>
        <v>742</v>
      </c>
      <c r="R120" s="93" cm="1">
        <f t="array" ref="R120">_xlfn.XLOOKUP($K120&amp;R$84,$E$90:$E$466&amp;$G$90:$G$466,$I$90:$I$466)</f>
        <v>927</v>
      </c>
      <c r="S120" s="93" cm="1">
        <f t="array" ref="S120">_xlfn.XLOOKUP($K120&amp;S$84,$E$90:$E$466&amp;$G$90:$G$466,$I$90:$I$466)</f>
        <v>1159</v>
      </c>
      <c r="V120" s="65"/>
    </row>
    <row r="121" ht="18" spans="1:22">
      <c r="A121" s="65"/>
      <c r="B121" s="65"/>
      <c r="C121" s="92"/>
      <c r="D121" s="93">
        <v>32</v>
      </c>
      <c r="E121" s="93">
        <f t="shared" si="13"/>
        <v>20</v>
      </c>
      <c r="F121" s="93" t="s">
        <v>64</v>
      </c>
      <c r="G121" s="93" t="str">
        <f t="shared" si="12"/>
        <v>彩</v>
      </c>
      <c r="H121" s="93">
        <f t="shared" si="9"/>
        <v>1437</v>
      </c>
      <c r="I121" s="93">
        <f t="shared" si="11"/>
        <v>143</v>
      </c>
      <c r="K121" s="45">
        <v>175</v>
      </c>
      <c r="L121" s="93" cm="1">
        <f t="array" ref="L121">_xlfn.XLOOKUP($K121&amp;L$84,$E$90:$E$466&amp;$G$90:$G$466,$I$90:$I$466)</f>
        <v>299</v>
      </c>
      <c r="M121" s="93" cm="1">
        <f t="array" ref="M121">_xlfn.XLOOKUP($K121&amp;M$84,$E$90:$E$466&amp;$G$90:$G$466,$I$90:$I$466)</f>
        <v>373</v>
      </c>
      <c r="N121" s="93" cm="1">
        <f t="array" ref="N121">_xlfn.XLOOKUP($K121&amp;N$84,$E$90:$E$466&amp;$G$90:$G$466,$I$90:$I$466)</f>
        <v>448</v>
      </c>
      <c r="O121" s="93" cm="1">
        <f t="array" ref="O121">_xlfn.XLOOKUP($K121&amp;O$84,$E$90:$E$466&amp;$G$90:$G$466,$I$90:$I$466)</f>
        <v>538</v>
      </c>
      <c r="P121" s="93" cm="1">
        <f t="array" ref="P121">_xlfn.XLOOKUP($K121&amp;P$84,$E$90:$E$466&amp;$G$90:$G$466,$I$90:$I$466)</f>
        <v>648</v>
      </c>
      <c r="Q121" s="93" cm="1">
        <f t="array" ref="Q121">_xlfn.XLOOKUP($K121&amp;Q$84,$E$90:$E$466&amp;$G$90:$G$466,$I$90:$I$466)</f>
        <v>797</v>
      </c>
      <c r="R121" s="93" cm="1">
        <f t="array" ref="R121">_xlfn.XLOOKUP($K121&amp;R$84,$E$90:$E$466&amp;$G$90:$G$466,$I$90:$I$466)</f>
        <v>997</v>
      </c>
      <c r="S121" s="93" cm="1">
        <f t="array" ref="S121">_xlfn.XLOOKUP($K121&amp;S$84,$E$90:$E$466&amp;$G$90:$G$466,$I$90:$I$466)</f>
        <v>1246</v>
      </c>
      <c r="V121" s="65"/>
    </row>
    <row r="122" ht="18" spans="1:22">
      <c r="A122" s="65"/>
      <c r="B122" s="65"/>
      <c r="C122" s="92"/>
      <c r="D122" s="93">
        <v>33</v>
      </c>
      <c r="E122" s="93">
        <f t="shared" si="13"/>
        <v>30</v>
      </c>
      <c r="F122" s="93" t="s">
        <v>64</v>
      </c>
      <c r="G122" s="93" t="str">
        <f t="shared" si="12"/>
        <v>白</v>
      </c>
      <c r="H122" s="93">
        <f t="shared" si="9"/>
        <v>396</v>
      </c>
      <c r="I122" s="93">
        <f t="shared" si="11"/>
        <v>39</v>
      </c>
      <c r="K122" s="2">
        <v>180</v>
      </c>
      <c r="L122" s="93" cm="1">
        <f t="array" ref="L122">_xlfn.XLOOKUP($K122&amp;L$84,$E$90:$E$466&amp;$G$90:$G$466,$I$90:$I$466)</f>
        <v>320</v>
      </c>
      <c r="M122" s="93" cm="1">
        <f t="array" ref="M122">_xlfn.XLOOKUP($K122&amp;M$84,$E$90:$E$466&amp;$G$90:$G$466,$I$90:$I$466)</f>
        <v>400</v>
      </c>
      <c r="N122" s="93" cm="1">
        <f t="array" ref="N122">_xlfn.XLOOKUP($K122&amp;N$84,$E$90:$E$466&amp;$G$90:$G$466,$I$90:$I$466)</f>
        <v>480</v>
      </c>
      <c r="O122" s="93" cm="1">
        <f t="array" ref="O122">_xlfn.XLOOKUP($K122&amp;O$84,$E$90:$E$466&amp;$G$90:$G$466,$I$90:$I$466)</f>
        <v>576</v>
      </c>
      <c r="P122" s="93" cm="1">
        <f t="array" ref="P122">_xlfn.XLOOKUP($K122&amp;P$84,$E$90:$E$466&amp;$G$90:$G$466,$I$90:$I$466)</f>
        <v>693</v>
      </c>
      <c r="Q122" s="93" cm="1">
        <f t="array" ref="Q122">_xlfn.XLOOKUP($K122&amp;Q$84,$E$90:$E$466&amp;$G$90:$G$466,$I$90:$I$466)</f>
        <v>853</v>
      </c>
      <c r="R122" s="93" cm="1">
        <f t="array" ref="R122">_xlfn.XLOOKUP($K122&amp;R$84,$E$90:$E$466&amp;$G$90:$G$466,$I$90:$I$466)</f>
        <v>1066</v>
      </c>
      <c r="S122" s="93" cm="1">
        <f t="array" ref="S122">_xlfn.XLOOKUP($K122&amp;S$84,$E$90:$E$466&amp;$G$90:$G$466,$I$90:$I$466)</f>
        <v>1333</v>
      </c>
      <c r="V122" s="65"/>
    </row>
    <row r="123" ht="18" spans="1:22">
      <c r="A123" s="65"/>
      <c r="B123" s="65"/>
      <c r="C123" s="92"/>
      <c r="D123" s="93">
        <v>34</v>
      </c>
      <c r="E123" s="93">
        <f t="shared" si="13"/>
        <v>30</v>
      </c>
      <c r="F123" s="93" t="s">
        <v>64</v>
      </c>
      <c r="G123" s="93" t="str">
        <f t="shared" si="12"/>
        <v>绿</v>
      </c>
      <c r="H123" s="93">
        <f t="shared" si="9"/>
        <v>495</v>
      </c>
      <c r="I123" s="93">
        <f t="shared" si="11"/>
        <v>49</v>
      </c>
      <c r="K123" s="45">
        <v>185</v>
      </c>
      <c r="L123" s="93" cm="1">
        <f t="array" ref="L123">_xlfn.XLOOKUP($K123&amp;L$84,$E$90:$E$466&amp;$G$90:$G$466,$I$90:$I$466)</f>
        <v>344</v>
      </c>
      <c r="M123" s="93" cm="1">
        <f t="array" ref="M123">_xlfn.XLOOKUP($K123&amp;M$84,$E$90:$E$466&amp;$G$90:$G$466,$I$90:$I$466)</f>
        <v>430</v>
      </c>
      <c r="N123" s="93" cm="1">
        <f t="array" ref="N123">_xlfn.XLOOKUP($K123&amp;N$84,$E$90:$E$466&amp;$G$90:$G$466,$I$90:$I$466)</f>
        <v>516</v>
      </c>
      <c r="O123" s="93" cm="1">
        <f t="array" ref="O123">_xlfn.XLOOKUP($K123&amp;O$84,$E$90:$E$466&amp;$G$90:$G$466,$I$90:$I$466)</f>
        <v>619</v>
      </c>
      <c r="P123" s="93" cm="1">
        <f t="array" ref="P123">_xlfn.XLOOKUP($K123&amp;P$84,$E$90:$E$466&amp;$G$90:$G$466,$I$90:$I$466)</f>
        <v>745</v>
      </c>
      <c r="Q123" s="93" cm="1">
        <f t="array" ref="Q123">_xlfn.XLOOKUP($K123&amp;Q$84,$E$90:$E$466&amp;$G$90:$G$466,$I$90:$I$466)</f>
        <v>917</v>
      </c>
      <c r="R123" s="93" cm="1">
        <f t="array" ref="R123">_xlfn.XLOOKUP($K123&amp;R$84,$E$90:$E$466&amp;$G$90:$G$466,$I$90:$I$466)</f>
        <v>1146</v>
      </c>
      <c r="S123" s="93" cm="1">
        <f t="array" ref="S123">_xlfn.XLOOKUP($K123&amp;S$84,$E$90:$E$466&amp;$G$90:$G$466,$I$90:$I$466)</f>
        <v>1433</v>
      </c>
      <c r="V123" s="65"/>
    </row>
    <row r="124" ht="18" spans="1:22">
      <c r="A124" s="65"/>
      <c r="B124" s="65"/>
      <c r="C124" s="92"/>
      <c r="D124" s="93">
        <v>35</v>
      </c>
      <c r="E124" s="93">
        <f t="shared" si="13"/>
        <v>30</v>
      </c>
      <c r="F124" s="93" t="s">
        <v>64</v>
      </c>
      <c r="G124" s="93" t="str">
        <f t="shared" si="12"/>
        <v>蓝</v>
      </c>
      <c r="H124" s="93">
        <f t="shared" si="9"/>
        <v>594</v>
      </c>
      <c r="I124" s="93">
        <f t="shared" si="11"/>
        <v>59</v>
      </c>
      <c r="K124" s="2">
        <v>190</v>
      </c>
      <c r="L124" s="93" cm="1">
        <f t="array" ref="L124">_xlfn.XLOOKUP($K124&amp;L$84,$E$90:$E$466&amp;$G$90:$G$466,$I$90:$I$466)</f>
        <v>368</v>
      </c>
      <c r="M124" s="93" cm="1">
        <f t="array" ref="M124">_xlfn.XLOOKUP($K124&amp;M$84,$E$90:$E$466&amp;$G$90:$G$466,$I$90:$I$466)</f>
        <v>460</v>
      </c>
      <c r="N124" s="93" cm="1">
        <f t="array" ref="N124">_xlfn.XLOOKUP($K124&amp;N$84,$E$90:$E$466&amp;$G$90:$G$466,$I$90:$I$466)</f>
        <v>552</v>
      </c>
      <c r="O124" s="93" cm="1">
        <f t="array" ref="O124">_xlfn.XLOOKUP($K124&amp;O$84,$E$90:$E$466&amp;$G$90:$G$466,$I$90:$I$466)</f>
        <v>662</v>
      </c>
      <c r="P124" s="93" cm="1">
        <f t="array" ref="P124">_xlfn.XLOOKUP($K124&amp;P$84,$E$90:$E$466&amp;$G$90:$G$466,$I$90:$I$466)</f>
        <v>797</v>
      </c>
      <c r="Q124" s="93" cm="1">
        <f t="array" ref="Q124">_xlfn.XLOOKUP($K124&amp;Q$84,$E$90:$E$466&amp;$G$90:$G$466,$I$90:$I$466)</f>
        <v>981</v>
      </c>
      <c r="R124" s="93" cm="1">
        <f t="array" ref="R124">_xlfn.XLOOKUP($K124&amp;R$84,$E$90:$E$466&amp;$G$90:$G$466,$I$90:$I$466)</f>
        <v>1226</v>
      </c>
      <c r="S124" s="93" cm="1">
        <f t="array" ref="S124">_xlfn.XLOOKUP($K124&amp;S$84,$E$90:$E$466&amp;$G$90:$G$466,$I$90:$I$466)</f>
        <v>1533</v>
      </c>
      <c r="V124" s="65"/>
    </row>
    <row r="125" ht="18" spans="1:22">
      <c r="A125" s="65"/>
      <c r="B125" s="65"/>
      <c r="C125" s="92"/>
      <c r="D125" s="93">
        <v>36</v>
      </c>
      <c r="E125" s="93">
        <f t="shared" si="13"/>
        <v>30</v>
      </c>
      <c r="F125" s="93" t="s">
        <v>64</v>
      </c>
      <c r="G125" s="93" t="str">
        <f t="shared" si="12"/>
        <v>紫</v>
      </c>
      <c r="H125" s="93">
        <f t="shared" si="9"/>
        <v>712</v>
      </c>
      <c r="I125" s="93">
        <f t="shared" si="11"/>
        <v>71</v>
      </c>
      <c r="K125" s="45">
        <v>195</v>
      </c>
      <c r="L125" s="93" cm="1">
        <f t="array" ref="L125">_xlfn.XLOOKUP($K125&amp;L$84,$E$90:$E$466&amp;$G$90:$G$466,$I$90:$I$466)</f>
        <v>395</v>
      </c>
      <c r="M125" s="93" cm="1">
        <f t="array" ref="M125">_xlfn.XLOOKUP($K125&amp;M$84,$E$90:$E$466&amp;$G$90:$G$466,$I$90:$I$466)</f>
        <v>494</v>
      </c>
      <c r="N125" s="93" cm="1">
        <f t="array" ref="N125">_xlfn.XLOOKUP($K125&amp;N$84,$E$90:$E$466&amp;$G$90:$G$466,$I$90:$I$466)</f>
        <v>593</v>
      </c>
      <c r="O125" s="93" cm="1">
        <f t="array" ref="O125">_xlfn.XLOOKUP($K125&amp;O$84,$E$90:$E$466&amp;$G$90:$G$466,$I$90:$I$466)</f>
        <v>712</v>
      </c>
      <c r="P125" s="93" cm="1">
        <f t="array" ref="P125">_xlfn.XLOOKUP($K125&amp;P$84,$E$90:$E$466&amp;$G$90:$G$466,$I$90:$I$466)</f>
        <v>857</v>
      </c>
      <c r="Q125" s="93" cm="1">
        <f t="array" ref="Q125">_xlfn.XLOOKUP($K125&amp;Q$84,$E$90:$E$466&amp;$G$90:$G$466,$I$90:$I$466)</f>
        <v>1054</v>
      </c>
      <c r="R125" s="93" cm="1">
        <f t="array" ref="R125">_xlfn.XLOOKUP($K125&amp;R$84,$E$90:$E$466&amp;$G$90:$G$466,$I$90:$I$466)</f>
        <v>1318</v>
      </c>
      <c r="S125" s="93" cm="1">
        <f t="array" ref="S125">_xlfn.XLOOKUP($K125&amp;S$84,$E$90:$E$466&amp;$G$90:$G$466,$I$90:$I$466)</f>
        <v>1648</v>
      </c>
      <c r="V125" s="65"/>
    </row>
    <row r="126" ht="18" spans="1:22">
      <c r="A126" s="65"/>
      <c r="B126" s="65"/>
      <c r="C126" s="92"/>
      <c r="D126" s="93">
        <v>37</v>
      </c>
      <c r="E126" s="93">
        <f t="shared" si="13"/>
        <v>30</v>
      </c>
      <c r="F126" s="93" t="s">
        <v>64</v>
      </c>
      <c r="G126" s="93" t="str">
        <f t="shared" si="12"/>
        <v>橙</v>
      </c>
      <c r="H126" s="93">
        <f t="shared" si="9"/>
        <v>858</v>
      </c>
      <c r="I126" s="93">
        <f t="shared" si="11"/>
        <v>85</v>
      </c>
      <c r="K126" s="2">
        <v>200</v>
      </c>
      <c r="L126" s="93" cm="1">
        <f t="array" ref="L126">_xlfn.XLOOKUP($K126&amp;L$84,$E$90:$E$466&amp;$G$90:$G$466,$I$90:$I$466)</f>
        <v>423</v>
      </c>
      <c r="M126" s="93" cm="1">
        <f t="array" ref="M126">_xlfn.XLOOKUP($K126&amp;M$84,$E$90:$E$466&amp;$G$90:$G$466,$I$90:$I$466)</f>
        <v>529</v>
      </c>
      <c r="N126" s="93" cm="1">
        <f t="array" ref="N126">_xlfn.XLOOKUP($K126&amp;N$84,$E$90:$E$466&amp;$G$90:$G$466,$I$90:$I$466)</f>
        <v>634</v>
      </c>
      <c r="O126" s="93" cm="1">
        <f t="array" ref="O126">_xlfn.XLOOKUP($K126&amp;O$84,$E$90:$E$466&amp;$G$90:$G$466,$I$90:$I$466)</f>
        <v>761</v>
      </c>
      <c r="P126" s="93" cm="1">
        <f t="array" ref="P126">_xlfn.XLOOKUP($K126&amp;P$84,$E$90:$E$466&amp;$G$90:$G$466,$I$90:$I$466)</f>
        <v>916</v>
      </c>
      <c r="Q126" s="93" cm="1">
        <f t="array" ref="Q126">_xlfn.XLOOKUP($K126&amp;Q$84,$E$90:$E$466&amp;$G$90:$G$466,$I$90:$I$466)</f>
        <v>1128</v>
      </c>
      <c r="R126" s="93" cm="1">
        <f t="array" ref="R126">_xlfn.XLOOKUP($K126&amp;R$84,$E$90:$E$466&amp;$G$90:$G$466,$I$90:$I$466)</f>
        <v>1410</v>
      </c>
      <c r="S126" s="93" cm="1">
        <f t="array" ref="S126">_xlfn.XLOOKUP($K126&amp;S$84,$E$90:$E$466&amp;$G$90:$G$466,$I$90:$I$466)</f>
        <v>1763</v>
      </c>
      <c r="V126" s="65"/>
    </row>
    <row r="127" ht="18" spans="1:22">
      <c r="A127" s="65"/>
      <c r="B127" s="65"/>
      <c r="C127" s="92"/>
      <c r="D127" s="93">
        <v>38</v>
      </c>
      <c r="E127" s="93">
        <f t="shared" si="13"/>
        <v>30</v>
      </c>
      <c r="F127" s="93" t="s">
        <v>64</v>
      </c>
      <c r="G127" s="93" t="str">
        <f t="shared" si="12"/>
        <v>红</v>
      </c>
      <c r="H127" s="93">
        <f t="shared" si="9"/>
        <v>1056</v>
      </c>
      <c r="I127" s="93">
        <f t="shared" si="11"/>
        <v>105</v>
      </c>
      <c r="K127" s="45">
        <v>205</v>
      </c>
      <c r="L127" s="93" cm="1">
        <f t="array" ref="L127">_xlfn.XLOOKUP($K127&amp;L$84,$E$90:$E$466&amp;$G$90:$G$466,$I$90:$I$466)</f>
        <v>454</v>
      </c>
      <c r="M127" s="93" cm="1">
        <f t="array" ref="M127">_xlfn.XLOOKUP($K127&amp;M$84,$E$90:$E$466&amp;$G$90:$G$466,$I$90:$I$466)</f>
        <v>568</v>
      </c>
      <c r="N127" s="93" cm="1">
        <f t="array" ref="N127">_xlfn.XLOOKUP($K127&amp;N$84,$E$90:$E$466&amp;$G$90:$G$466,$I$90:$I$466)</f>
        <v>682</v>
      </c>
      <c r="O127" s="93" cm="1">
        <f t="array" ref="O127">_xlfn.XLOOKUP($K127&amp;O$84,$E$90:$E$466&amp;$G$90:$G$466,$I$90:$I$466)</f>
        <v>818</v>
      </c>
      <c r="P127" s="93" cm="1">
        <f t="array" ref="P127">_xlfn.XLOOKUP($K127&amp;P$84,$E$90:$E$466&amp;$G$90:$G$466,$I$90:$I$466)</f>
        <v>985</v>
      </c>
      <c r="Q127" s="93" cm="1">
        <f t="array" ref="Q127">_xlfn.XLOOKUP($K127&amp;Q$84,$E$90:$E$466&amp;$G$90:$G$466,$I$90:$I$466)</f>
        <v>1213</v>
      </c>
      <c r="R127" s="93" cm="1">
        <f t="array" ref="R127">_xlfn.XLOOKUP($K127&amp;R$84,$E$90:$E$466&amp;$G$90:$G$466,$I$90:$I$466)</f>
        <v>1516</v>
      </c>
      <c r="S127" s="93" cm="1">
        <f t="array" ref="S127">_xlfn.XLOOKUP($K127&amp;S$84,$E$90:$E$466&amp;$G$90:$G$466,$I$90:$I$466)</f>
        <v>1895</v>
      </c>
      <c r="V127" s="65"/>
    </row>
    <row r="128" ht="18" spans="1:22">
      <c r="A128" s="65"/>
      <c r="B128" s="65"/>
      <c r="C128" s="92"/>
      <c r="D128" s="93">
        <v>39</v>
      </c>
      <c r="E128" s="93">
        <f t="shared" si="13"/>
        <v>30</v>
      </c>
      <c r="F128" s="93" t="s">
        <v>64</v>
      </c>
      <c r="G128" s="93" t="str">
        <f t="shared" si="12"/>
        <v>粉</v>
      </c>
      <c r="H128" s="93">
        <f t="shared" si="9"/>
        <v>1320</v>
      </c>
      <c r="I128" s="93">
        <f t="shared" si="11"/>
        <v>132</v>
      </c>
      <c r="K128" s="2">
        <v>210</v>
      </c>
      <c r="L128" s="93" cm="1">
        <f t="array" ref="L128">_xlfn.XLOOKUP($K128&amp;L$84,$E$90:$E$466&amp;$G$90:$G$466,$I$90:$I$466)</f>
        <v>486</v>
      </c>
      <c r="M128" s="93" cm="1">
        <f t="array" ref="M128">_xlfn.XLOOKUP($K128&amp;M$84,$E$90:$E$466&amp;$G$90:$G$466,$I$90:$I$466)</f>
        <v>608</v>
      </c>
      <c r="N128" s="93" cm="1">
        <f t="array" ref="N128">_xlfn.XLOOKUP($K128&amp;N$84,$E$90:$E$466&amp;$G$90:$G$466,$I$90:$I$466)</f>
        <v>729</v>
      </c>
      <c r="O128" s="93" cm="1">
        <f t="array" ref="O128">_xlfn.XLOOKUP($K128&amp;O$84,$E$90:$E$466&amp;$G$90:$G$466,$I$90:$I$466)</f>
        <v>875</v>
      </c>
      <c r="P128" s="93" cm="1">
        <f t="array" ref="P128">_xlfn.XLOOKUP($K128&amp;P$84,$E$90:$E$466&amp;$G$90:$G$466,$I$90:$I$466)</f>
        <v>1054</v>
      </c>
      <c r="Q128" s="93" cm="1">
        <f t="array" ref="Q128">_xlfn.XLOOKUP($K128&amp;Q$84,$E$90:$E$466&amp;$G$90:$G$466,$I$90:$I$466)</f>
        <v>1297</v>
      </c>
      <c r="R128" s="93" cm="1">
        <f t="array" ref="R128">_xlfn.XLOOKUP($K128&amp;R$84,$E$90:$E$466&amp;$G$90:$G$466,$I$90:$I$466)</f>
        <v>1622</v>
      </c>
      <c r="S128" s="93" cm="1">
        <f t="array" ref="S128">_xlfn.XLOOKUP($K128&amp;S$84,$E$90:$E$466&amp;$G$90:$G$466,$I$90:$I$466)</f>
        <v>2027</v>
      </c>
      <c r="V128" s="65"/>
    </row>
    <row r="129" ht="18" spans="1:22">
      <c r="A129" s="65"/>
      <c r="B129" s="65"/>
      <c r="C129" s="92"/>
      <c r="D129" s="93">
        <v>40</v>
      </c>
      <c r="E129" s="93">
        <f t="shared" si="13"/>
        <v>30</v>
      </c>
      <c r="F129" s="93" t="s">
        <v>64</v>
      </c>
      <c r="G129" s="93" t="str">
        <f t="shared" si="12"/>
        <v>彩</v>
      </c>
      <c r="H129" s="93">
        <f t="shared" si="9"/>
        <v>1650</v>
      </c>
      <c r="I129" s="93">
        <f t="shared" si="11"/>
        <v>165</v>
      </c>
      <c r="K129" s="45">
        <v>215</v>
      </c>
      <c r="L129" s="93" cm="1">
        <f t="array" ref="L129">_xlfn.XLOOKUP($K129&amp;L$84,$E$90:$E$466&amp;$G$90:$G$466,$I$90:$I$466)</f>
        <v>523</v>
      </c>
      <c r="M129" s="93" cm="1">
        <f t="array" ref="M129">_xlfn.XLOOKUP($K129&amp;M$84,$E$90:$E$466&amp;$G$90:$G$466,$I$90:$I$466)</f>
        <v>653</v>
      </c>
      <c r="N129" s="93" cm="1">
        <f t="array" ref="N129">_xlfn.XLOOKUP($K129&amp;N$84,$E$90:$E$466&amp;$G$90:$G$466,$I$90:$I$466)</f>
        <v>784</v>
      </c>
      <c r="O129" s="93" cm="1">
        <f t="array" ref="O129">_xlfn.XLOOKUP($K129&amp;O$84,$E$90:$E$466&amp;$G$90:$G$466,$I$90:$I$466)</f>
        <v>941</v>
      </c>
      <c r="P129" s="93" cm="1">
        <f t="array" ref="P129">_xlfn.XLOOKUP($K129&amp;P$84,$E$90:$E$466&amp;$G$90:$G$466,$I$90:$I$466)</f>
        <v>1133</v>
      </c>
      <c r="Q129" s="93" cm="1">
        <f t="array" ref="Q129">_xlfn.XLOOKUP($K129&amp;Q$84,$E$90:$E$466&amp;$G$90:$G$466,$I$90:$I$466)</f>
        <v>1394</v>
      </c>
      <c r="R129" s="93" cm="1">
        <f t="array" ref="R129">_xlfn.XLOOKUP($K129&amp;R$84,$E$90:$E$466&amp;$G$90:$G$466,$I$90:$I$466)</f>
        <v>1743</v>
      </c>
      <c r="S129" s="93" cm="1">
        <f t="array" ref="S129">_xlfn.XLOOKUP($K129&amp;S$84,$E$90:$E$466&amp;$G$90:$G$466,$I$90:$I$466)</f>
        <v>2179</v>
      </c>
      <c r="V129" s="65"/>
    </row>
    <row r="130" ht="18" spans="1:22">
      <c r="A130" s="65"/>
      <c r="B130" s="65"/>
      <c r="C130" s="92"/>
      <c r="D130" s="93">
        <v>41</v>
      </c>
      <c r="E130" s="93">
        <f t="shared" si="13"/>
        <v>40</v>
      </c>
      <c r="F130" s="93" t="s">
        <v>64</v>
      </c>
      <c r="G130" s="93" t="str">
        <f t="shared" si="12"/>
        <v>白</v>
      </c>
      <c r="H130" s="93">
        <f t="shared" si="9"/>
        <v>455</v>
      </c>
      <c r="I130" s="93">
        <f t="shared" si="11"/>
        <v>45</v>
      </c>
      <c r="K130" s="2">
        <v>220</v>
      </c>
      <c r="L130" s="93" cm="1">
        <f t="array" ref="L130">_xlfn.XLOOKUP($K130&amp;L$84,$E$90:$E$466&amp;$G$90:$G$466,$I$90:$I$466)</f>
        <v>559</v>
      </c>
      <c r="M130" s="93" cm="1">
        <f t="array" ref="M130">_xlfn.XLOOKUP($K130&amp;M$84,$E$90:$E$466&amp;$G$90:$G$466,$I$90:$I$466)</f>
        <v>699</v>
      </c>
      <c r="N130" s="93" cm="1">
        <f t="array" ref="N130">_xlfn.XLOOKUP($K130&amp;N$84,$E$90:$E$466&amp;$G$90:$G$466,$I$90:$I$466)</f>
        <v>839</v>
      </c>
      <c r="O130" s="93" cm="1">
        <f t="array" ref="O130">_xlfn.XLOOKUP($K130&amp;O$84,$E$90:$E$466&amp;$G$90:$G$466,$I$90:$I$466)</f>
        <v>1007</v>
      </c>
      <c r="P130" s="93" cm="1">
        <f t="array" ref="P130">_xlfn.XLOOKUP($K130&amp;P$84,$E$90:$E$466&amp;$G$90:$G$466,$I$90:$I$466)</f>
        <v>1212</v>
      </c>
      <c r="Q130" s="93" cm="1">
        <f t="array" ref="Q130">_xlfn.XLOOKUP($K130&amp;Q$84,$E$90:$E$466&amp;$G$90:$G$466,$I$90:$I$466)</f>
        <v>1492</v>
      </c>
      <c r="R130" s="93" cm="1">
        <f t="array" ref="R130">_xlfn.XLOOKUP($K130&amp;R$84,$E$90:$E$466&amp;$G$90:$G$466,$I$90:$I$466)</f>
        <v>1865</v>
      </c>
      <c r="S130" s="93" cm="1">
        <f t="array" ref="S130">_xlfn.XLOOKUP($K130&amp;S$84,$E$90:$E$466&amp;$G$90:$G$466,$I$90:$I$466)</f>
        <v>2331</v>
      </c>
      <c r="V130" s="65"/>
    </row>
    <row r="131" ht="18" spans="1:22">
      <c r="A131" s="65"/>
      <c r="B131" s="65"/>
      <c r="C131" s="92"/>
      <c r="D131" s="93">
        <v>42</v>
      </c>
      <c r="E131" s="93">
        <f t="shared" si="13"/>
        <v>40</v>
      </c>
      <c r="F131" s="93" t="s">
        <v>64</v>
      </c>
      <c r="G131" s="93" t="str">
        <f t="shared" si="12"/>
        <v>绿</v>
      </c>
      <c r="H131" s="93">
        <f t="shared" si="9"/>
        <v>568</v>
      </c>
      <c r="I131" s="93">
        <f t="shared" si="11"/>
        <v>56</v>
      </c>
      <c r="K131" s="45">
        <v>225</v>
      </c>
      <c r="L131" s="93" cm="1">
        <f t="array" ref="L131">_xlfn.XLOOKUP($K131&amp;L$84,$E$90:$E$466&amp;$G$90:$G$466,$I$90:$I$466)</f>
        <v>601</v>
      </c>
      <c r="M131" s="93" cm="1">
        <f t="array" ref="M131">_xlfn.XLOOKUP($K131&amp;M$84,$E$90:$E$466&amp;$G$90:$G$466,$I$90:$I$466)</f>
        <v>751</v>
      </c>
      <c r="N131" s="93" cm="1">
        <f t="array" ref="N131">_xlfn.XLOOKUP($K131&amp;N$84,$E$90:$E$466&amp;$G$90:$G$466,$I$90:$I$466)</f>
        <v>902</v>
      </c>
      <c r="O131" s="93" cm="1">
        <f t="array" ref="O131">_xlfn.XLOOKUP($K131&amp;O$84,$E$90:$E$466&amp;$G$90:$G$466,$I$90:$I$466)</f>
        <v>1082</v>
      </c>
      <c r="P131" s="93" cm="1">
        <f t="array" ref="P131">_xlfn.XLOOKUP($K131&amp;P$84,$E$90:$E$466&amp;$G$90:$G$466,$I$90:$I$466)</f>
        <v>1303</v>
      </c>
      <c r="Q131" s="93" cm="1">
        <f t="array" ref="Q131">_xlfn.XLOOKUP($K131&amp;Q$84,$E$90:$E$466&amp;$G$90:$G$466,$I$90:$I$466)</f>
        <v>1603</v>
      </c>
      <c r="R131" s="93" cm="1">
        <f t="array" ref="R131">_xlfn.XLOOKUP($K131&amp;R$84,$E$90:$E$466&amp;$G$90:$G$466,$I$90:$I$466)</f>
        <v>2004</v>
      </c>
      <c r="S131" s="93" cm="1">
        <f t="array" ref="S131">_xlfn.XLOOKUP($K131&amp;S$84,$E$90:$E$466&amp;$G$90:$G$466,$I$90:$I$466)</f>
        <v>2506</v>
      </c>
      <c r="V131" s="65"/>
    </row>
    <row r="132" ht="18" spans="1:22">
      <c r="A132" s="65"/>
      <c r="B132" s="65"/>
      <c r="C132" s="92"/>
      <c r="D132" s="93">
        <v>43</v>
      </c>
      <c r="E132" s="93">
        <f t="shared" si="13"/>
        <v>40</v>
      </c>
      <c r="F132" s="93" t="s">
        <v>64</v>
      </c>
      <c r="G132" s="93" t="str">
        <f t="shared" si="12"/>
        <v>蓝</v>
      </c>
      <c r="H132" s="93">
        <f t="shared" si="9"/>
        <v>682</v>
      </c>
      <c r="I132" s="93">
        <f t="shared" si="11"/>
        <v>68</v>
      </c>
      <c r="K132" s="2">
        <v>230</v>
      </c>
      <c r="L132" s="93" cm="1">
        <f t="array" ref="L132">_xlfn.XLOOKUP($K132&amp;L$84,$E$90:$E$466&amp;$G$90:$G$466,$I$90:$I$466)</f>
        <v>643</v>
      </c>
      <c r="M132" s="93" cm="1">
        <f t="array" ref="M132">_xlfn.XLOOKUP($K132&amp;M$84,$E$90:$E$466&amp;$G$90:$G$466,$I$90:$I$466)</f>
        <v>804</v>
      </c>
      <c r="N132" s="93" cm="1">
        <f t="array" ref="N132">_xlfn.XLOOKUP($K132&amp;N$84,$E$90:$E$466&amp;$G$90:$G$466,$I$90:$I$466)</f>
        <v>965</v>
      </c>
      <c r="O132" s="93" cm="1">
        <f t="array" ref="O132">_xlfn.XLOOKUP($K132&amp;O$84,$E$90:$E$466&amp;$G$90:$G$466,$I$90:$I$466)</f>
        <v>1158</v>
      </c>
      <c r="P132" s="93" cm="1">
        <f t="array" ref="P132">_xlfn.XLOOKUP($K132&amp;P$84,$E$90:$E$466&amp;$G$90:$G$466,$I$90:$I$466)</f>
        <v>1394</v>
      </c>
      <c r="Q132" s="93" cm="1">
        <f t="array" ref="Q132">_xlfn.XLOOKUP($K132&amp;Q$84,$E$90:$E$466&amp;$G$90:$G$466,$I$90:$I$466)</f>
        <v>1715</v>
      </c>
      <c r="R132" s="93" cm="1">
        <f t="array" ref="R132">_xlfn.XLOOKUP($K132&amp;R$84,$E$90:$E$466&amp;$G$90:$G$466,$I$90:$I$466)</f>
        <v>2144</v>
      </c>
      <c r="S132" s="93" cm="1">
        <f t="array" ref="S132">_xlfn.XLOOKUP($K132&amp;S$84,$E$90:$E$466&amp;$G$90:$G$466,$I$90:$I$466)</f>
        <v>2680</v>
      </c>
      <c r="V132" s="65"/>
    </row>
    <row r="133" ht="18" spans="1:22">
      <c r="A133" s="65"/>
      <c r="B133" s="65"/>
      <c r="C133" s="92"/>
      <c r="D133" s="93">
        <v>44</v>
      </c>
      <c r="E133" s="93">
        <f t="shared" si="13"/>
        <v>40</v>
      </c>
      <c r="F133" s="93" t="s">
        <v>64</v>
      </c>
      <c r="G133" s="93" t="str">
        <f t="shared" si="12"/>
        <v>紫</v>
      </c>
      <c r="H133" s="93">
        <f t="shared" si="9"/>
        <v>819</v>
      </c>
      <c r="I133" s="93">
        <f t="shared" si="11"/>
        <v>81</v>
      </c>
      <c r="K133" s="45">
        <v>235</v>
      </c>
      <c r="L133" s="93" cm="1">
        <f t="array" ref="L133">_xlfn.XLOOKUP($K133&amp;L$84,$E$90:$E$466&amp;$G$90:$G$466,$I$90:$I$466)</f>
        <v>691</v>
      </c>
      <c r="M133" s="93" cm="1">
        <f t="array" ref="M133">_xlfn.XLOOKUP($K133&amp;M$84,$E$90:$E$466&amp;$G$90:$G$466,$I$90:$I$466)</f>
        <v>864</v>
      </c>
      <c r="N133" s="93" cm="1">
        <f t="array" ref="N133">_xlfn.XLOOKUP($K133&amp;N$84,$E$90:$E$466&amp;$G$90:$G$466,$I$90:$I$466)</f>
        <v>1037</v>
      </c>
      <c r="O133" s="93" cm="1">
        <f t="array" ref="O133">_xlfn.XLOOKUP($K133&amp;O$84,$E$90:$E$466&amp;$G$90:$G$466,$I$90:$I$466)</f>
        <v>1244</v>
      </c>
      <c r="P133" s="93" cm="1">
        <f t="array" ref="P133">_xlfn.XLOOKUP($K133&amp;P$84,$E$90:$E$466&amp;$G$90:$G$466,$I$90:$I$466)</f>
        <v>1498</v>
      </c>
      <c r="Q133" s="93" cm="1">
        <f t="array" ref="Q133">_xlfn.XLOOKUP($K133&amp;Q$84,$E$90:$E$466&amp;$G$90:$G$466,$I$90:$I$466)</f>
        <v>1844</v>
      </c>
      <c r="R133" s="93" cm="1">
        <f t="array" ref="R133">_xlfn.XLOOKUP($K133&amp;R$84,$E$90:$E$466&amp;$G$90:$G$466,$I$90:$I$466)</f>
        <v>2305</v>
      </c>
      <c r="S133" s="93" cm="1">
        <f t="array" ref="S133">_xlfn.XLOOKUP($K133&amp;S$84,$E$90:$E$466&amp;$G$90:$G$466,$I$90:$I$466)</f>
        <v>2881</v>
      </c>
      <c r="V133" s="65"/>
    </row>
    <row r="134" ht="18" spans="1:22">
      <c r="A134" s="65"/>
      <c r="B134" s="65"/>
      <c r="C134" s="92"/>
      <c r="D134" s="93">
        <v>45</v>
      </c>
      <c r="E134" s="93">
        <f t="shared" si="13"/>
        <v>40</v>
      </c>
      <c r="F134" s="93" t="s">
        <v>64</v>
      </c>
      <c r="G134" s="93" t="str">
        <f t="shared" si="12"/>
        <v>橙</v>
      </c>
      <c r="H134" s="93">
        <f t="shared" si="9"/>
        <v>985</v>
      </c>
      <c r="I134" s="93">
        <f t="shared" si="11"/>
        <v>98</v>
      </c>
      <c r="K134" s="2">
        <v>240</v>
      </c>
      <c r="L134" s="93" cm="1">
        <f t="array" ref="L134">_xlfn.XLOOKUP($K134&amp;L$84,$E$90:$E$466&amp;$G$90:$G$466,$I$90:$I$466)</f>
        <v>739</v>
      </c>
      <c r="M134" s="93" cm="1">
        <f t="array" ref="M134">_xlfn.XLOOKUP($K134&amp;M$84,$E$90:$E$466&amp;$G$90:$G$466,$I$90:$I$466)</f>
        <v>924</v>
      </c>
      <c r="N134" s="93" cm="1">
        <f t="array" ref="N134">_xlfn.XLOOKUP($K134&amp;N$84,$E$90:$E$466&amp;$G$90:$G$466,$I$90:$I$466)</f>
        <v>1109</v>
      </c>
      <c r="O134" s="93" cm="1">
        <f t="array" ref="O134">_xlfn.XLOOKUP($K134&amp;O$84,$E$90:$E$466&amp;$G$90:$G$466,$I$90:$I$466)</f>
        <v>1331</v>
      </c>
      <c r="P134" s="93" cm="1">
        <f t="array" ref="P134">_xlfn.XLOOKUP($K134&amp;P$84,$E$90:$E$466&amp;$G$90:$G$466,$I$90:$I$466)</f>
        <v>1603</v>
      </c>
      <c r="Q134" s="93" cm="1">
        <f t="array" ref="Q134">_xlfn.XLOOKUP($K134&amp;Q$84,$E$90:$E$466&amp;$G$90:$G$466,$I$90:$I$466)</f>
        <v>1973</v>
      </c>
      <c r="R134" s="93" cm="1">
        <f t="array" ref="R134">_xlfn.XLOOKUP($K134&amp;R$84,$E$90:$E$466&amp;$G$90:$G$466,$I$90:$I$466)</f>
        <v>2466</v>
      </c>
      <c r="S134" s="93" cm="1">
        <f t="array" ref="S134">_xlfn.XLOOKUP($K134&amp;S$84,$E$90:$E$466&amp;$G$90:$G$466,$I$90:$I$466)</f>
        <v>3082</v>
      </c>
      <c r="V134" s="65"/>
    </row>
    <row r="135" ht="18" spans="1:22">
      <c r="A135" s="65"/>
      <c r="B135" s="65"/>
      <c r="C135" s="92"/>
      <c r="D135" s="93">
        <v>46</v>
      </c>
      <c r="E135" s="93">
        <f t="shared" si="13"/>
        <v>40</v>
      </c>
      <c r="F135" s="93" t="s">
        <v>64</v>
      </c>
      <c r="G135" s="93" t="str">
        <f t="shared" si="12"/>
        <v>红</v>
      </c>
      <c r="H135" s="93">
        <f t="shared" si="9"/>
        <v>1213</v>
      </c>
      <c r="I135" s="93">
        <f t="shared" si="11"/>
        <v>121</v>
      </c>
      <c r="K135" s="45">
        <v>245</v>
      </c>
      <c r="L135" s="93" cm="1">
        <f t="array" ref="L135">_xlfn.XLOOKUP($K135&amp;L$84,$E$90:$E$466&amp;$G$90:$G$466,$I$90:$I$466)</f>
        <v>795</v>
      </c>
      <c r="M135" s="93" cm="1">
        <f t="array" ref="M135">_xlfn.XLOOKUP($K135&amp;M$84,$E$90:$E$466&amp;$G$90:$G$466,$I$90:$I$466)</f>
        <v>994</v>
      </c>
      <c r="N135" s="93" cm="1">
        <f t="array" ref="N135">_xlfn.XLOOKUP($K135&amp;N$84,$E$90:$E$466&amp;$G$90:$G$466,$I$90:$I$466)</f>
        <v>1193</v>
      </c>
      <c r="O135" s="93" cm="1">
        <f t="array" ref="O135">_xlfn.XLOOKUP($K135&amp;O$84,$E$90:$E$466&amp;$G$90:$G$466,$I$90:$I$466)</f>
        <v>1431</v>
      </c>
      <c r="P135" s="93" cm="1">
        <f t="array" ref="P135">_xlfn.XLOOKUP($K135&amp;P$84,$E$90:$E$466&amp;$G$90:$G$466,$I$90:$I$466)</f>
        <v>1723</v>
      </c>
      <c r="Q135" s="93" cm="1">
        <f t="array" ref="Q135">_xlfn.XLOOKUP($K135&amp;Q$84,$E$90:$E$466&amp;$G$90:$G$466,$I$90:$I$466)</f>
        <v>2120</v>
      </c>
      <c r="R135" s="93" cm="1">
        <f t="array" ref="R135">_xlfn.XLOOKUP($K135&amp;R$84,$E$90:$E$466&amp;$G$90:$G$466,$I$90:$I$466)</f>
        <v>2651</v>
      </c>
      <c r="S135" s="93" cm="1">
        <f t="array" ref="S135">_xlfn.XLOOKUP($K135&amp;S$84,$E$90:$E$466&amp;$G$90:$G$466,$I$90:$I$466)</f>
        <v>3313</v>
      </c>
      <c r="V135" s="65"/>
    </row>
    <row r="136" ht="18" spans="1:22">
      <c r="A136" s="65"/>
      <c r="B136" s="65"/>
      <c r="C136" s="92"/>
      <c r="D136" s="93">
        <v>47</v>
      </c>
      <c r="E136" s="93">
        <f t="shared" si="13"/>
        <v>40</v>
      </c>
      <c r="F136" s="93" t="s">
        <v>64</v>
      </c>
      <c r="G136" s="93" t="str">
        <f t="shared" si="12"/>
        <v>粉</v>
      </c>
      <c r="H136" s="93">
        <f t="shared" si="9"/>
        <v>1516</v>
      </c>
      <c r="I136" s="93">
        <f t="shared" si="11"/>
        <v>151</v>
      </c>
      <c r="K136" s="2">
        <v>250</v>
      </c>
      <c r="L136" s="93" cm="1">
        <f t="array" ref="L136">_xlfn.XLOOKUP($K136&amp;L$84,$E$90:$E$466&amp;$G$90:$G$466,$I$90:$I$466)</f>
        <v>850</v>
      </c>
      <c r="M136" s="93" cm="1">
        <f t="array" ref="M136">_xlfn.XLOOKUP($K136&amp;M$84,$E$90:$E$466&amp;$G$90:$G$466,$I$90:$I$466)</f>
        <v>1063</v>
      </c>
      <c r="N136" s="93" cm="1">
        <f t="array" ref="N136">_xlfn.XLOOKUP($K136&amp;N$84,$E$90:$E$466&amp;$G$90:$G$466,$I$90:$I$466)</f>
        <v>1276</v>
      </c>
      <c r="O136" s="93" cm="1">
        <f t="array" ref="O136">_xlfn.XLOOKUP($K136&amp;O$84,$E$90:$E$466&amp;$G$90:$G$466,$I$90:$I$466)</f>
        <v>1531</v>
      </c>
      <c r="P136" s="93" cm="1">
        <f t="array" ref="P136">_xlfn.XLOOKUP($K136&amp;P$84,$E$90:$E$466&amp;$G$90:$G$466,$I$90:$I$466)</f>
        <v>1843</v>
      </c>
      <c r="Q136" s="93" cm="1">
        <f t="array" ref="Q136">_xlfn.XLOOKUP($K136&amp;Q$84,$E$90:$E$466&amp;$G$90:$G$466,$I$90:$I$466)</f>
        <v>2268</v>
      </c>
      <c r="R136" s="93" cm="1">
        <f t="array" ref="R136">_xlfn.XLOOKUP($K136&amp;R$84,$E$90:$E$466&amp;$G$90:$G$466,$I$90:$I$466)</f>
        <v>2836</v>
      </c>
      <c r="S136" s="93" cm="1">
        <f t="array" ref="S136">_xlfn.XLOOKUP($K136&amp;S$84,$E$90:$E$466&amp;$G$90:$G$466,$I$90:$I$466)</f>
        <v>3545</v>
      </c>
      <c r="V136" s="65"/>
    </row>
    <row r="137" ht="18" spans="1:22">
      <c r="A137" s="65"/>
      <c r="B137" s="65"/>
      <c r="C137" s="92"/>
      <c r="D137" s="93">
        <v>48</v>
      </c>
      <c r="E137" s="93">
        <f t="shared" si="13"/>
        <v>40</v>
      </c>
      <c r="F137" s="93" t="s">
        <v>64</v>
      </c>
      <c r="G137" s="93" t="str">
        <f t="shared" si="12"/>
        <v>彩</v>
      </c>
      <c r="H137" s="93">
        <f t="shared" si="9"/>
        <v>1895</v>
      </c>
      <c r="I137" s="93">
        <f t="shared" si="11"/>
        <v>189</v>
      </c>
      <c r="V137" s="65"/>
    </row>
    <row r="138" ht="18" spans="1:22">
      <c r="A138" s="65"/>
      <c r="B138" s="65"/>
      <c r="C138" s="92"/>
      <c r="D138" s="93">
        <v>49</v>
      </c>
      <c r="E138" s="93">
        <f t="shared" si="13"/>
        <v>50</v>
      </c>
      <c r="F138" s="93" t="s">
        <v>64</v>
      </c>
      <c r="G138" s="93" t="str">
        <f t="shared" si="12"/>
        <v>白</v>
      </c>
      <c r="H138" s="93">
        <f t="shared" si="9"/>
        <v>523</v>
      </c>
      <c r="I138" s="93">
        <f t="shared" si="11"/>
        <v>52</v>
      </c>
      <c r="K138" s="2"/>
      <c r="V138" s="65"/>
    </row>
    <row r="139" ht="18" spans="1:22">
      <c r="A139" s="65"/>
      <c r="B139" s="65"/>
      <c r="C139" s="92"/>
      <c r="D139" s="93">
        <v>50</v>
      </c>
      <c r="E139" s="93">
        <f t="shared" si="13"/>
        <v>50</v>
      </c>
      <c r="F139" s="93" t="s">
        <v>64</v>
      </c>
      <c r="G139" s="93" t="str">
        <f t="shared" si="12"/>
        <v>绿</v>
      </c>
      <c r="H139" s="93">
        <f t="shared" si="9"/>
        <v>653</v>
      </c>
      <c r="I139" s="93">
        <f t="shared" si="11"/>
        <v>65</v>
      </c>
      <c r="V139" s="65"/>
    </row>
    <row r="140" ht="18" spans="1:22">
      <c r="A140" s="65"/>
      <c r="B140" s="65"/>
      <c r="C140" s="92"/>
      <c r="D140" s="93">
        <v>51</v>
      </c>
      <c r="E140" s="93">
        <f t="shared" si="13"/>
        <v>50</v>
      </c>
      <c r="F140" s="93" t="s">
        <v>64</v>
      </c>
      <c r="G140" s="93" t="str">
        <f t="shared" si="12"/>
        <v>蓝</v>
      </c>
      <c r="H140" s="93">
        <f t="shared" si="9"/>
        <v>784</v>
      </c>
      <c r="I140" s="93">
        <f t="shared" si="11"/>
        <v>78</v>
      </c>
      <c r="V140" s="65"/>
    </row>
    <row r="141" ht="18" spans="1:22">
      <c r="A141" s="65"/>
      <c r="B141" s="65"/>
      <c r="C141" s="92"/>
      <c r="D141" s="93">
        <v>52</v>
      </c>
      <c r="E141" s="93">
        <f t="shared" si="13"/>
        <v>50</v>
      </c>
      <c r="F141" s="93" t="s">
        <v>64</v>
      </c>
      <c r="G141" s="93" t="str">
        <f t="shared" si="12"/>
        <v>紫</v>
      </c>
      <c r="H141" s="93">
        <f t="shared" si="9"/>
        <v>941</v>
      </c>
      <c r="I141" s="93">
        <f t="shared" si="11"/>
        <v>94</v>
      </c>
      <c r="V141" s="65"/>
    </row>
    <row r="142" ht="18" spans="1:22">
      <c r="A142" s="65"/>
      <c r="B142" s="65"/>
      <c r="C142" s="92"/>
      <c r="D142" s="93">
        <v>53</v>
      </c>
      <c r="E142" s="93">
        <f t="shared" si="13"/>
        <v>50</v>
      </c>
      <c r="F142" s="93" t="s">
        <v>64</v>
      </c>
      <c r="G142" s="93" t="str">
        <f t="shared" si="12"/>
        <v>橙</v>
      </c>
      <c r="H142" s="93">
        <f t="shared" si="9"/>
        <v>1133</v>
      </c>
      <c r="I142" s="93">
        <f t="shared" si="11"/>
        <v>113</v>
      </c>
      <c r="V142" s="65"/>
    </row>
    <row r="143" ht="18" spans="1:22">
      <c r="A143" s="65"/>
      <c r="B143" s="65"/>
      <c r="C143" s="92"/>
      <c r="D143" s="93">
        <v>54</v>
      </c>
      <c r="E143" s="93">
        <f t="shared" si="13"/>
        <v>50</v>
      </c>
      <c r="F143" s="93" t="s">
        <v>64</v>
      </c>
      <c r="G143" s="93" t="str">
        <f t="shared" si="12"/>
        <v>红</v>
      </c>
      <c r="H143" s="93">
        <f t="shared" si="9"/>
        <v>1394</v>
      </c>
      <c r="I143" s="93">
        <f t="shared" si="11"/>
        <v>139</v>
      </c>
      <c r="V143" s="65"/>
    </row>
    <row r="144" ht="18" spans="1:22">
      <c r="A144" s="65"/>
      <c r="B144" s="65"/>
      <c r="C144" s="92"/>
      <c r="D144" s="93">
        <v>55</v>
      </c>
      <c r="E144" s="93">
        <f t="shared" si="13"/>
        <v>50</v>
      </c>
      <c r="F144" s="93" t="s">
        <v>64</v>
      </c>
      <c r="G144" s="93" t="str">
        <f t="shared" si="12"/>
        <v>粉</v>
      </c>
      <c r="H144" s="93">
        <f t="shared" si="9"/>
        <v>1743</v>
      </c>
      <c r="I144" s="93">
        <f t="shared" si="11"/>
        <v>174</v>
      </c>
      <c r="V144" s="65"/>
    </row>
    <row r="145" ht="18" spans="1:9">
      <c r="A145" s="65"/>
      <c r="B145" s="65"/>
      <c r="C145" s="92"/>
      <c r="D145" s="93">
        <v>56</v>
      </c>
      <c r="E145" s="93">
        <f t="shared" si="13"/>
        <v>50</v>
      </c>
      <c r="F145" s="93" t="s">
        <v>64</v>
      </c>
      <c r="G145" s="93" t="str">
        <f t="shared" si="12"/>
        <v>彩</v>
      </c>
      <c r="H145" s="93">
        <f t="shared" si="9"/>
        <v>2179</v>
      </c>
      <c r="I145" s="93">
        <f t="shared" si="11"/>
        <v>217</v>
      </c>
    </row>
    <row r="146" ht="18" spans="1:9">
      <c r="A146" s="65"/>
      <c r="B146" s="65"/>
      <c r="C146" s="92"/>
      <c r="D146" s="93">
        <v>57</v>
      </c>
      <c r="E146" s="93">
        <f t="shared" ref="E146:E209" si="14">E138+5</f>
        <v>55</v>
      </c>
      <c r="F146" s="93" t="s">
        <v>64</v>
      </c>
      <c r="G146" s="93" t="str">
        <f t="shared" si="12"/>
        <v>白</v>
      </c>
      <c r="H146" s="93">
        <f t="shared" si="9"/>
        <v>562</v>
      </c>
      <c r="I146" s="93">
        <f t="shared" si="11"/>
        <v>56</v>
      </c>
    </row>
    <row r="147" ht="18" spans="1:9">
      <c r="A147" s="65"/>
      <c r="B147" s="65"/>
      <c r="C147" s="92"/>
      <c r="D147" s="93">
        <v>58</v>
      </c>
      <c r="E147" s="93">
        <f t="shared" si="14"/>
        <v>55</v>
      </c>
      <c r="F147" s="93" t="s">
        <v>64</v>
      </c>
      <c r="G147" s="93" t="str">
        <f t="shared" si="12"/>
        <v>绿</v>
      </c>
      <c r="H147" s="93">
        <f t="shared" si="9"/>
        <v>702</v>
      </c>
      <c r="I147" s="93">
        <f t="shared" si="11"/>
        <v>70</v>
      </c>
    </row>
    <row r="148" ht="18" spans="1:9">
      <c r="A148" s="65"/>
      <c r="B148" s="65"/>
      <c r="C148" s="92"/>
      <c r="D148" s="93">
        <v>59</v>
      </c>
      <c r="E148" s="93">
        <f t="shared" si="14"/>
        <v>55</v>
      </c>
      <c r="F148" s="93" t="s">
        <v>64</v>
      </c>
      <c r="G148" s="93" t="str">
        <f t="shared" si="12"/>
        <v>蓝</v>
      </c>
      <c r="H148" s="93">
        <f t="shared" si="9"/>
        <v>843</v>
      </c>
      <c r="I148" s="93">
        <f t="shared" si="11"/>
        <v>84</v>
      </c>
    </row>
    <row r="149" ht="18" spans="1:9">
      <c r="A149" s="65"/>
      <c r="B149" s="65"/>
      <c r="C149" s="92"/>
      <c r="D149" s="93">
        <v>60</v>
      </c>
      <c r="E149" s="93">
        <f t="shared" si="14"/>
        <v>55</v>
      </c>
      <c r="F149" s="93" t="s">
        <v>64</v>
      </c>
      <c r="G149" s="93" t="str">
        <f t="shared" si="12"/>
        <v>紫</v>
      </c>
      <c r="H149" s="93">
        <f t="shared" ref="H149:H212" si="15">INT(VLOOKUP($E149,$D$15:$G$61,MATCH(H$84,$D$14:$G$14,0),0)*VLOOKUP($G149,$D$66:$F$73,2,0)/6*_xlfn.XLOOKUP($F149,$E$76:$E$81,$F$76:$F$81))</f>
        <v>1011</v>
      </c>
      <c r="I149" s="93">
        <f t="shared" si="11"/>
        <v>101</v>
      </c>
    </row>
    <row r="150" ht="18" spans="1:9">
      <c r="A150" s="65"/>
      <c r="B150" s="65"/>
      <c r="C150" s="92"/>
      <c r="D150" s="93">
        <v>61</v>
      </c>
      <c r="E150" s="93">
        <f t="shared" si="14"/>
        <v>55</v>
      </c>
      <c r="F150" s="93" t="s">
        <v>64</v>
      </c>
      <c r="G150" s="93" t="str">
        <f t="shared" si="12"/>
        <v>橙</v>
      </c>
      <c r="H150" s="93">
        <f t="shared" si="15"/>
        <v>1217</v>
      </c>
      <c r="I150" s="93">
        <f t="shared" si="11"/>
        <v>121</v>
      </c>
    </row>
    <row r="151" ht="18" spans="1:9">
      <c r="A151" s="65"/>
      <c r="B151" s="65"/>
      <c r="C151" s="92"/>
      <c r="D151" s="93">
        <v>62</v>
      </c>
      <c r="E151" s="93">
        <f t="shared" si="14"/>
        <v>55</v>
      </c>
      <c r="F151" s="93" t="s">
        <v>64</v>
      </c>
      <c r="G151" s="93" t="str">
        <f t="shared" si="12"/>
        <v>红</v>
      </c>
      <c r="H151" s="93">
        <f t="shared" si="15"/>
        <v>1498</v>
      </c>
      <c r="I151" s="93">
        <f t="shared" si="11"/>
        <v>149</v>
      </c>
    </row>
    <row r="152" ht="18" spans="1:9">
      <c r="A152" s="65"/>
      <c r="B152" s="65"/>
      <c r="C152" s="92"/>
      <c r="D152" s="93">
        <v>63</v>
      </c>
      <c r="E152" s="93">
        <f t="shared" si="14"/>
        <v>55</v>
      </c>
      <c r="F152" s="93" t="s">
        <v>64</v>
      </c>
      <c r="G152" s="93" t="str">
        <f t="shared" si="12"/>
        <v>粉</v>
      </c>
      <c r="H152" s="93">
        <f t="shared" si="15"/>
        <v>1873</v>
      </c>
      <c r="I152" s="93">
        <f t="shared" si="11"/>
        <v>187</v>
      </c>
    </row>
    <row r="153" ht="18" spans="1:9">
      <c r="A153" s="65"/>
      <c r="B153" s="65"/>
      <c r="C153" s="92"/>
      <c r="D153" s="93">
        <v>64</v>
      </c>
      <c r="E153" s="93">
        <f t="shared" si="14"/>
        <v>55</v>
      </c>
      <c r="F153" s="93" t="s">
        <v>64</v>
      </c>
      <c r="G153" s="93" t="str">
        <f t="shared" si="12"/>
        <v>彩</v>
      </c>
      <c r="H153" s="93">
        <f t="shared" si="15"/>
        <v>2341</v>
      </c>
      <c r="I153" s="93">
        <f t="shared" si="11"/>
        <v>234</v>
      </c>
    </row>
    <row r="154" ht="18" spans="1:9">
      <c r="A154" s="65"/>
      <c r="B154" s="65"/>
      <c r="C154" s="92"/>
      <c r="D154" s="93">
        <v>65</v>
      </c>
      <c r="E154" s="93">
        <f t="shared" si="14"/>
        <v>60</v>
      </c>
      <c r="F154" s="93" t="s">
        <v>64</v>
      </c>
      <c r="G154" s="93" t="str">
        <f t="shared" si="12"/>
        <v>白</v>
      </c>
      <c r="H154" s="93">
        <f t="shared" si="15"/>
        <v>601</v>
      </c>
      <c r="I154" s="93">
        <f t="shared" si="11"/>
        <v>60</v>
      </c>
    </row>
    <row r="155" ht="18" spans="1:9">
      <c r="A155" s="65"/>
      <c r="B155" s="65"/>
      <c r="C155" s="92"/>
      <c r="D155" s="93">
        <v>66</v>
      </c>
      <c r="E155" s="93">
        <f t="shared" si="14"/>
        <v>60</v>
      </c>
      <c r="F155" s="93" t="s">
        <v>64</v>
      </c>
      <c r="G155" s="93" t="str">
        <f t="shared" si="12"/>
        <v>绿</v>
      </c>
      <c r="H155" s="93">
        <f t="shared" si="15"/>
        <v>751</v>
      </c>
      <c r="I155" s="93">
        <f t="shared" ref="I155:I218" si="16">INT(VLOOKUP($E155,$D$15:$G$61,MATCH(I$84,$D$14:$G$14,0),0)*VLOOKUP($G155,$D$66:$F$73,2,0)/6*_xlfn.XLOOKUP($F155,$E$76:$E$81,$F$76:$F$81))</f>
        <v>75</v>
      </c>
    </row>
    <row r="156" ht="18" spans="1:9">
      <c r="A156" s="65"/>
      <c r="B156" s="65"/>
      <c r="C156" s="92"/>
      <c r="D156" s="93">
        <v>67</v>
      </c>
      <c r="E156" s="93">
        <f t="shared" si="14"/>
        <v>60</v>
      </c>
      <c r="F156" s="93" t="s">
        <v>64</v>
      </c>
      <c r="G156" s="93" t="str">
        <f t="shared" si="12"/>
        <v>蓝</v>
      </c>
      <c r="H156" s="93">
        <f t="shared" si="15"/>
        <v>901</v>
      </c>
      <c r="I156" s="93">
        <f t="shared" si="16"/>
        <v>90</v>
      </c>
    </row>
    <row r="157" ht="18" spans="1:9">
      <c r="A157" s="65"/>
      <c r="B157" s="65"/>
      <c r="C157" s="92"/>
      <c r="D157" s="93">
        <v>68</v>
      </c>
      <c r="E157" s="93">
        <f t="shared" si="14"/>
        <v>60</v>
      </c>
      <c r="F157" s="93" t="s">
        <v>64</v>
      </c>
      <c r="G157" s="93" t="str">
        <f t="shared" si="12"/>
        <v>紫</v>
      </c>
      <c r="H157" s="93">
        <f t="shared" si="15"/>
        <v>1081</v>
      </c>
      <c r="I157" s="93">
        <f t="shared" si="16"/>
        <v>108</v>
      </c>
    </row>
    <row r="158" ht="18" spans="1:9">
      <c r="A158" s="65"/>
      <c r="B158" s="65"/>
      <c r="C158" s="92"/>
      <c r="D158" s="93">
        <v>69</v>
      </c>
      <c r="E158" s="93">
        <f t="shared" si="14"/>
        <v>60</v>
      </c>
      <c r="F158" s="93" t="s">
        <v>64</v>
      </c>
      <c r="G158" s="93" t="str">
        <f t="shared" si="12"/>
        <v>橙</v>
      </c>
      <c r="H158" s="93">
        <f t="shared" si="15"/>
        <v>1302</v>
      </c>
      <c r="I158" s="93">
        <f t="shared" si="16"/>
        <v>130</v>
      </c>
    </row>
    <row r="159" ht="18" spans="1:9">
      <c r="A159" s="65"/>
      <c r="B159" s="65"/>
      <c r="C159" s="92"/>
      <c r="D159" s="93">
        <v>70</v>
      </c>
      <c r="E159" s="93">
        <f t="shared" si="14"/>
        <v>60</v>
      </c>
      <c r="F159" s="93" t="s">
        <v>64</v>
      </c>
      <c r="G159" s="93" t="str">
        <f t="shared" si="12"/>
        <v>红</v>
      </c>
      <c r="H159" s="93">
        <f t="shared" si="15"/>
        <v>1602</v>
      </c>
      <c r="I159" s="93">
        <f t="shared" si="16"/>
        <v>160</v>
      </c>
    </row>
    <row r="160" ht="18" spans="1:9">
      <c r="A160" s="65"/>
      <c r="B160" s="65"/>
      <c r="C160" s="92"/>
      <c r="D160" s="93">
        <v>71</v>
      </c>
      <c r="E160" s="93">
        <f t="shared" si="14"/>
        <v>60</v>
      </c>
      <c r="F160" s="93" t="s">
        <v>64</v>
      </c>
      <c r="G160" s="93" t="str">
        <f t="shared" si="12"/>
        <v>粉</v>
      </c>
      <c r="H160" s="93">
        <f t="shared" si="15"/>
        <v>2003</v>
      </c>
      <c r="I160" s="93">
        <f t="shared" si="16"/>
        <v>200</v>
      </c>
    </row>
    <row r="161" ht="18" spans="1:9">
      <c r="A161" s="65"/>
      <c r="B161" s="65"/>
      <c r="C161" s="92"/>
      <c r="D161" s="93">
        <v>72</v>
      </c>
      <c r="E161" s="93">
        <f t="shared" si="14"/>
        <v>60</v>
      </c>
      <c r="F161" s="93" t="s">
        <v>64</v>
      </c>
      <c r="G161" s="93" t="str">
        <f t="shared" si="12"/>
        <v>彩</v>
      </c>
      <c r="H161" s="93">
        <f t="shared" si="15"/>
        <v>2504</v>
      </c>
      <c r="I161" s="93">
        <f t="shared" si="16"/>
        <v>250</v>
      </c>
    </row>
    <row r="162" ht="18" spans="1:9">
      <c r="A162" s="65"/>
      <c r="B162" s="65"/>
      <c r="C162" s="92"/>
      <c r="D162" s="93">
        <v>73</v>
      </c>
      <c r="E162" s="93">
        <f t="shared" si="14"/>
        <v>65</v>
      </c>
      <c r="F162" s="93" t="s">
        <v>64</v>
      </c>
      <c r="G162" s="93" t="str">
        <f t="shared" si="12"/>
        <v>白</v>
      </c>
      <c r="H162" s="93">
        <f t="shared" si="15"/>
        <v>646</v>
      </c>
      <c r="I162" s="93">
        <f t="shared" si="16"/>
        <v>64</v>
      </c>
    </row>
    <row r="163" ht="18" spans="1:9">
      <c r="A163" s="65"/>
      <c r="B163" s="65"/>
      <c r="C163" s="92"/>
      <c r="D163" s="93">
        <v>74</v>
      </c>
      <c r="E163" s="93">
        <f t="shared" si="14"/>
        <v>65</v>
      </c>
      <c r="F163" s="93" t="s">
        <v>64</v>
      </c>
      <c r="G163" s="93" t="str">
        <f t="shared" si="12"/>
        <v>绿</v>
      </c>
      <c r="H163" s="93">
        <f t="shared" si="15"/>
        <v>807</v>
      </c>
      <c r="I163" s="93">
        <f t="shared" si="16"/>
        <v>80</v>
      </c>
    </row>
    <row r="164" ht="18" spans="1:9">
      <c r="A164" s="65"/>
      <c r="B164" s="65"/>
      <c r="C164" s="92"/>
      <c r="D164" s="93">
        <v>75</v>
      </c>
      <c r="E164" s="93">
        <f t="shared" si="14"/>
        <v>65</v>
      </c>
      <c r="F164" s="93" t="s">
        <v>64</v>
      </c>
      <c r="G164" s="93" t="str">
        <f t="shared" si="12"/>
        <v>蓝</v>
      </c>
      <c r="H164" s="93">
        <f t="shared" si="15"/>
        <v>969</v>
      </c>
      <c r="I164" s="93">
        <f t="shared" si="16"/>
        <v>96</v>
      </c>
    </row>
    <row r="165" ht="18" spans="1:9">
      <c r="A165" s="65"/>
      <c r="B165" s="65"/>
      <c r="C165" s="92"/>
      <c r="D165" s="93">
        <v>76</v>
      </c>
      <c r="E165" s="93">
        <f t="shared" si="14"/>
        <v>65</v>
      </c>
      <c r="F165" s="93" t="s">
        <v>64</v>
      </c>
      <c r="G165" s="93" t="str">
        <f t="shared" si="12"/>
        <v>紫</v>
      </c>
      <c r="H165" s="93">
        <f t="shared" si="15"/>
        <v>1162</v>
      </c>
      <c r="I165" s="93">
        <f t="shared" si="16"/>
        <v>116</v>
      </c>
    </row>
    <row r="166" ht="18" spans="1:9">
      <c r="A166" s="65"/>
      <c r="B166" s="65"/>
      <c r="C166" s="92"/>
      <c r="D166" s="93">
        <v>77</v>
      </c>
      <c r="E166" s="93">
        <f t="shared" si="14"/>
        <v>65</v>
      </c>
      <c r="F166" s="93" t="s">
        <v>64</v>
      </c>
      <c r="G166" s="93" t="str">
        <f t="shared" si="12"/>
        <v>橙</v>
      </c>
      <c r="H166" s="93">
        <f t="shared" si="15"/>
        <v>1399</v>
      </c>
      <c r="I166" s="93">
        <f t="shared" si="16"/>
        <v>139</v>
      </c>
    </row>
    <row r="167" ht="18" spans="1:9">
      <c r="A167" s="65"/>
      <c r="B167" s="65"/>
      <c r="C167" s="92"/>
      <c r="D167" s="93">
        <v>78</v>
      </c>
      <c r="E167" s="93">
        <f t="shared" si="14"/>
        <v>65</v>
      </c>
      <c r="F167" s="93" t="s">
        <v>64</v>
      </c>
      <c r="G167" s="93" t="str">
        <f t="shared" si="12"/>
        <v>红</v>
      </c>
      <c r="H167" s="93">
        <f t="shared" si="15"/>
        <v>1722</v>
      </c>
      <c r="I167" s="93">
        <f t="shared" si="16"/>
        <v>172</v>
      </c>
    </row>
    <row r="168" ht="18" spans="1:9">
      <c r="A168" s="65"/>
      <c r="B168" s="65"/>
      <c r="C168" s="92"/>
      <c r="D168" s="93">
        <v>79</v>
      </c>
      <c r="E168" s="93">
        <f t="shared" si="14"/>
        <v>65</v>
      </c>
      <c r="F168" s="93" t="s">
        <v>64</v>
      </c>
      <c r="G168" s="93" t="str">
        <f t="shared" si="12"/>
        <v>粉</v>
      </c>
      <c r="H168" s="93">
        <f t="shared" si="15"/>
        <v>2153</v>
      </c>
      <c r="I168" s="93">
        <f t="shared" si="16"/>
        <v>215</v>
      </c>
    </row>
    <row r="169" ht="18" spans="1:9">
      <c r="A169" s="65"/>
      <c r="B169" s="65"/>
      <c r="C169" s="92"/>
      <c r="D169" s="93">
        <v>80</v>
      </c>
      <c r="E169" s="93">
        <f t="shared" si="14"/>
        <v>65</v>
      </c>
      <c r="F169" s="93" t="s">
        <v>64</v>
      </c>
      <c r="G169" s="93" t="str">
        <f t="shared" si="12"/>
        <v>彩</v>
      </c>
      <c r="H169" s="93">
        <f t="shared" si="15"/>
        <v>2691</v>
      </c>
      <c r="I169" s="93">
        <f t="shared" si="16"/>
        <v>269</v>
      </c>
    </row>
    <row r="170" ht="18" spans="1:9">
      <c r="A170" s="65"/>
      <c r="B170" s="65"/>
      <c r="C170" s="92"/>
      <c r="D170" s="93">
        <v>81</v>
      </c>
      <c r="E170" s="93">
        <f t="shared" si="14"/>
        <v>70</v>
      </c>
      <c r="F170" s="93" t="s">
        <v>64</v>
      </c>
      <c r="G170" s="93" t="str">
        <f t="shared" ref="G170:G190" si="17">G162</f>
        <v>白</v>
      </c>
      <c r="H170" s="93">
        <f t="shared" si="15"/>
        <v>691</v>
      </c>
      <c r="I170" s="93">
        <f t="shared" si="16"/>
        <v>69</v>
      </c>
    </row>
    <row r="171" ht="18" spans="1:9">
      <c r="A171" s="65"/>
      <c r="B171" s="65"/>
      <c r="C171" s="92"/>
      <c r="D171" s="93">
        <v>82</v>
      </c>
      <c r="E171" s="93">
        <f t="shared" si="14"/>
        <v>70</v>
      </c>
      <c r="F171" s="93" t="s">
        <v>64</v>
      </c>
      <c r="G171" s="93" t="str">
        <f t="shared" si="17"/>
        <v>绿</v>
      </c>
      <c r="H171" s="93">
        <f t="shared" si="15"/>
        <v>863</v>
      </c>
      <c r="I171" s="93">
        <f t="shared" si="16"/>
        <v>86</v>
      </c>
    </row>
    <row r="172" ht="18" spans="1:9">
      <c r="A172" s="65"/>
      <c r="B172" s="65"/>
      <c r="C172" s="92"/>
      <c r="D172" s="93">
        <v>83</v>
      </c>
      <c r="E172" s="93">
        <f t="shared" si="14"/>
        <v>70</v>
      </c>
      <c r="F172" s="93" t="s">
        <v>64</v>
      </c>
      <c r="G172" s="93" t="str">
        <f t="shared" si="17"/>
        <v>蓝</v>
      </c>
      <c r="H172" s="93">
        <f t="shared" si="15"/>
        <v>1036</v>
      </c>
      <c r="I172" s="93">
        <f t="shared" si="16"/>
        <v>103</v>
      </c>
    </row>
    <row r="173" ht="18" spans="1:9">
      <c r="A173" s="65"/>
      <c r="B173" s="65"/>
      <c r="C173" s="92"/>
      <c r="D173" s="93">
        <v>84</v>
      </c>
      <c r="E173" s="93">
        <f t="shared" si="14"/>
        <v>70</v>
      </c>
      <c r="F173" s="93" t="s">
        <v>64</v>
      </c>
      <c r="G173" s="93" t="str">
        <f t="shared" si="17"/>
        <v>紫</v>
      </c>
      <c r="H173" s="93">
        <f t="shared" si="15"/>
        <v>1243</v>
      </c>
      <c r="I173" s="93">
        <f t="shared" si="16"/>
        <v>124</v>
      </c>
    </row>
    <row r="174" ht="18" spans="1:9">
      <c r="A174" s="65"/>
      <c r="B174" s="65"/>
      <c r="C174" s="92"/>
      <c r="D174" s="93">
        <v>85</v>
      </c>
      <c r="E174" s="93">
        <f t="shared" si="14"/>
        <v>70</v>
      </c>
      <c r="F174" s="93" t="s">
        <v>64</v>
      </c>
      <c r="G174" s="93" t="str">
        <f t="shared" si="17"/>
        <v>橙</v>
      </c>
      <c r="H174" s="93">
        <f t="shared" si="15"/>
        <v>1497</v>
      </c>
      <c r="I174" s="93">
        <f t="shared" si="16"/>
        <v>149</v>
      </c>
    </row>
    <row r="175" ht="18" spans="1:9">
      <c r="A175" s="65"/>
      <c r="B175" s="65"/>
      <c r="C175" s="92"/>
      <c r="D175" s="93">
        <v>86</v>
      </c>
      <c r="E175" s="93">
        <f t="shared" si="14"/>
        <v>70</v>
      </c>
      <c r="F175" s="93" t="s">
        <v>64</v>
      </c>
      <c r="G175" s="93" t="str">
        <f t="shared" si="17"/>
        <v>红</v>
      </c>
      <c r="H175" s="93">
        <f t="shared" si="15"/>
        <v>1842</v>
      </c>
      <c r="I175" s="93">
        <f t="shared" si="16"/>
        <v>184</v>
      </c>
    </row>
    <row r="176" ht="18" spans="1:9">
      <c r="A176" s="65"/>
      <c r="B176" s="65"/>
      <c r="C176" s="92"/>
      <c r="D176" s="93">
        <v>87</v>
      </c>
      <c r="E176" s="93">
        <f t="shared" si="14"/>
        <v>70</v>
      </c>
      <c r="F176" s="93" t="s">
        <v>64</v>
      </c>
      <c r="G176" s="93" t="str">
        <f t="shared" si="17"/>
        <v>粉</v>
      </c>
      <c r="H176" s="93">
        <f t="shared" si="15"/>
        <v>2303</v>
      </c>
      <c r="I176" s="93">
        <f t="shared" si="16"/>
        <v>230</v>
      </c>
    </row>
    <row r="177" ht="18" spans="1:9">
      <c r="A177" s="65"/>
      <c r="B177" s="65"/>
      <c r="C177" s="92"/>
      <c r="D177" s="93">
        <v>88</v>
      </c>
      <c r="E177" s="93">
        <f t="shared" si="14"/>
        <v>70</v>
      </c>
      <c r="F177" s="93" t="s">
        <v>64</v>
      </c>
      <c r="G177" s="93" t="str">
        <f t="shared" si="17"/>
        <v>彩</v>
      </c>
      <c r="H177" s="93">
        <f t="shared" si="15"/>
        <v>2879</v>
      </c>
      <c r="I177" s="93">
        <f t="shared" si="16"/>
        <v>287</v>
      </c>
    </row>
    <row r="178" ht="18" spans="1:9">
      <c r="A178" s="65"/>
      <c r="B178" s="65"/>
      <c r="C178" s="92"/>
      <c r="D178" s="93">
        <v>89</v>
      </c>
      <c r="E178" s="93">
        <f t="shared" si="14"/>
        <v>75</v>
      </c>
      <c r="F178" s="93" t="s">
        <v>64</v>
      </c>
      <c r="G178" s="93" t="str">
        <f t="shared" si="17"/>
        <v>白</v>
      </c>
      <c r="H178" s="93">
        <f t="shared" si="15"/>
        <v>742</v>
      </c>
      <c r="I178" s="93">
        <f t="shared" si="16"/>
        <v>74</v>
      </c>
    </row>
    <row r="179" ht="18" spans="1:9">
      <c r="A179" s="65"/>
      <c r="B179" s="65"/>
      <c r="C179" s="92"/>
      <c r="D179" s="93">
        <v>90</v>
      </c>
      <c r="E179" s="93">
        <f t="shared" si="14"/>
        <v>75</v>
      </c>
      <c r="F179" s="93" t="s">
        <v>64</v>
      </c>
      <c r="G179" s="93" t="str">
        <f t="shared" si="17"/>
        <v>绿</v>
      </c>
      <c r="H179" s="93">
        <f t="shared" si="15"/>
        <v>928</v>
      </c>
      <c r="I179" s="93">
        <f t="shared" si="16"/>
        <v>92</v>
      </c>
    </row>
    <row r="180" ht="18" spans="1:9">
      <c r="A180" s="65"/>
      <c r="B180" s="65"/>
      <c r="C180" s="92"/>
      <c r="D180" s="93">
        <v>91</v>
      </c>
      <c r="E180" s="93">
        <f t="shared" si="14"/>
        <v>75</v>
      </c>
      <c r="F180" s="93" t="s">
        <v>64</v>
      </c>
      <c r="G180" s="93" t="str">
        <f t="shared" si="17"/>
        <v>蓝</v>
      </c>
      <c r="H180" s="93">
        <f t="shared" si="15"/>
        <v>1113</v>
      </c>
      <c r="I180" s="93">
        <f t="shared" si="16"/>
        <v>111</v>
      </c>
    </row>
    <row r="181" ht="18" spans="1:9">
      <c r="A181" s="65"/>
      <c r="B181" s="65"/>
      <c r="C181" s="92"/>
      <c r="D181" s="93">
        <v>92</v>
      </c>
      <c r="E181" s="93">
        <f t="shared" si="14"/>
        <v>75</v>
      </c>
      <c r="F181" s="93" t="s">
        <v>64</v>
      </c>
      <c r="G181" s="93" t="str">
        <f t="shared" si="17"/>
        <v>紫</v>
      </c>
      <c r="H181" s="93">
        <f t="shared" si="15"/>
        <v>1336</v>
      </c>
      <c r="I181" s="93">
        <f t="shared" si="16"/>
        <v>133</v>
      </c>
    </row>
    <row r="182" ht="18" spans="1:9">
      <c r="A182" s="65"/>
      <c r="B182" s="65"/>
      <c r="C182" s="92"/>
      <c r="D182" s="93">
        <v>93</v>
      </c>
      <c r="E182" s="93">
        <f t="shared" si="14"/>
        <v>75</v>
      </c>
      <c r="F182" s="93" t="s">
        <v>64</v>
      </c>
      <c r="G182" s="93" t="str">
        <f t="shared" si="17"/>
        <v>橙</v>
      </c>
      <c r="H182" s="93">
        <f t="shared" si="15"/>
        <v>1608</v>
      </c>
      <c r="I182" s="93">
        <f t="shared" si="16"/>
        <v>160</v>
      </c>
    </row>
    <row r="183" ht="18" spans="1:9">
      <c r="A183" s="65"/>
      <c r="B183" s="65"/>
      <c r="C183" s="92"/>
      <c r="D183" s="93">
        <v>94</v>
      </c>
      <c r="E183" s="93">
        <f t="shared" si="14"/>
        <v>75</v>
      </c>
      <c r="F183" s="93" t="s">
        <v>64</v>
      </c>
      <c r="G183" s="93" t="str">
        <f t="shared" si="17"/>
        <v>红</v>
      </c>
      <c r="H183" s="93">
        <f t="shared" si="15"/>
        <v>1980</v>
      </c>
      <c r="I183" s="93">
        <f t="shared" si="16"/>
        <v>198</v>
      </c>
    </row>
    <row r="184" ht="18" spans="1:9">
      <c r="A184" s="65"/>
      <c r="B184" s="65"/>
      <c r="C184" s="92"/>
      <c r="D184" s="93">
        <v>95</v>
      </c>
      <c r="E184" s="93">
        <f t="shared" si="14"/>
        <v>75</v>
      </c>
      <c r="F184" s="93" t="s">
        <v>64</v>
      </c>
      <c r="G184" s="93" t="str">
        <f t="shared" si="17"/>
        <v>粉</v>
      </c>
      <c r="H184" s="93">
        <f t="shared" si="15"/>
        <v>2475</v>
      </c>
      <c r="I184" s="93">
        <f t="shared" si="16"/>
        <v>247</v>
      </c>
    </row>
    <row r="185" ht="18" spans="1:9">
      <c r="A185" s="65"/>
      <c r="B185" s="65"/>
      <c r="C185" s="92"/>
      <c r="D185" s="93">
        <v>96</v>
      </c>
      <c r="E185" s="93">
        <f t="shared" si="14"/>
        <v>75</v>
      </c>
      <c r="F185" s="93" t="s">
        <v>64</v>
      </c>
      <c r="G185" s="93" t="str">
        <f t="shared" si="17"/>
        <v>彩</v>
      </c>
      <c r="H185" s="93">
        <f t="shared" si="15"/>
        <v>3093</v>
      </c>
      <c r="I185" s="93">
        <f t="shared" si="16"/>
        <v>309</v>
      </c>
    </row>
    <row r="186" ht="18" spans="1:9">
      <c r="A186" s="65"/>
      <c r="B186" s="65"/>
      <c r="C186" s="92"/>
      <c r="D186" s="93">
        <v>97</v>
      </c>
      <c r="E186" s="93">
        <f t="shared" si="14"/>
        <v>80</v>
      </c>
      <c r="F186" s="93" t="s">
        <v>64</v>
      </c>
      <c r="G186" s="93" t="str">
        <f t="shared" si="17"/>
        <v>白</v>
      </c>
      <c r="H186" s="93">
        <f t="shared" si="15"/>
        <v>794</v>
      </c>
      <c r="I186" s="93">
        <f t="shared" si="16"/>
        <v>79</v>
      </c>
    </row>
    <row r="187" ht="18" spans="1:9">
      <c r="A187" s="65"/>
      <c r="B187" s="65"/>
      <c r="C187" s="92"/>
      <c r="D187" s="93">
        <v>98</v>
      </c>
      <c r="E187" s="93">
        <f t="shared" si="14"/>
        <v>80</v>
      </c>
      <c r="F187" s="93" t="s">
        <v>64</v>
      </c>
      <c r="G187" s="93" t="str">
        <f t="shared" si="17"/>
        <v>绿</v>
      </c>
      <c r="H187" s="93">
        <f t="shared" si="15"/>
        <v>992</v>
      </c>
      <c r="I187" s="93">
        <f t="shared" si="16"/>
        <v>99</v>
      </c>
    </row>
    <row r="188" ht="18" spans="1:9">
      <c r="A188" s="65"/>
      <c r="B188" s="65"/>
      <c r="C188" s="92"/>
      <c r="D188" s="93">
        <v>99</v>
      </c>
      <c r="E188" s="93">
        <f t="shared" si="14"/>
        <v>80</v>
      </c>
      <c r="F188" s="93" t="s">
        <v>64</v>
      </c>
      <c r="G188" s="93" t="str">
        <f t="shared" si="17"/>
        <v>蓝</v>
      </c>
      <c r="H188" s="93">
        <f t="shared" si="15"/>
        <v>1191</v>
      </c>
      <c r="I188" s="93">
        <f t="shared" si="16"/>
        <v>119</v>
      </c>
    </row>
    <row r="189" ht="18" spans="1:9">
      <c r="A189" s="65"/>
      <c r="B189" s="65"/>
      <c r="C189" s="92"/>
      <c r="D189" s="93">
        <v>100</v>
      </c>
      <c r="E189" s="93">
        <f t="shared" si="14"/>
        <v>80</v>
      </c>
      <c r="F189" s="93" t="s">
        <v>64</v>
      </c>
      <c r="G189" s="93" t="str">
        <f t="shared" si="17"/>
        <v>紫</v>
      </c>
      <c r="H189" s="93">
        <f t="shared" si="15"/>
        <v>1429</v>
      </c>
      <c r="I189" s="93">
        <f t="shared" si="16"/>
        <v>142</v>
      </c>
    </row>
    <row r="190" ht="18" spans="1:9">
      <c r="A190" s="65"/>
      <c r="B190" s="65"/>
      <c r="C190" s="92"/>
      <c r="D190" s="93">
        <v>101</v>
      </c>
      <c r="E190" s="93">
        <f t="shared" si="14"/>
        <v>80</v>
      </c>
      <c r="F190" s="93" t="s">
        <v>64</v>
      </c>
      <c r="G190" s="93" t="str">
        <f t="shared" si="17"/>
        <v>橙</v>
      </c>
      <c r="H190" s="93">
        <f t="shared" si="15"/>
        <v>1720</v>
      </c>
      <c r="I190" s="93">
        <f t="shared" si="16"/>
        <v>172</v>
      </c>
    </row>
    <row r="191" ht="18" spans="1:9">
      <c r="A191" s="65"/>
      <c r="B191" s="65"/>
      <c r="C191" s="92"/>
      <c r="D191" s="93">
        <v>102</v>
      </c>
      <c r="E191" s="93">
        <f t="shared" si="14"/>
        <v>80</v>
      </c>
      <c r="F191" s="93" t="s">
        <v>64</v>
      </c>
      <c r="G191" s="93" t="s">
        <v>34</v>
      </c>
      <c r="H191" s="93">
        <f t="shared" si="15"/>
        <v>2117</v>
      </c>
      <c r="I191" s="93">
        <f t="shared" si="16"/>
        <v>211</v>
      </c>
    </row>
    <row r="192" ht="18" spans="1:9">
      <c r="A192" s="65"/>
      <c r="B192" s="65"/>
      <c r="C192" s="92"/>
      <c r="D192" s="93">
        <v>103</v>
      </c>
      <c r="E192" s="93">
        <f t="shared" si="14"/>
        <v>80</v>
      </c>
      <c r="F192" s="93" t="s">
        <v>64</v>
      </c>
      <c r="G192" s="93" t="s">
        <v>35</v>
      </c>
      <c r="H192" s="93">
        <f t="shared" si="15"/>
        <v>2646</v>
      </c>
      <c r="I192" s="93">
        <f t="shared" si="16"/>
        <v>264</v>
      </c>
    </row>
    <row r="193" ht="18" spans="1:9">
      <c r="A193" s="65"/>
      <c r="B193" s="65"/>
      <c r="C193" s="92"/>
      <c r="D193" s="93">
        <v>104</v>
      </c>
      <c r="E193" s="93">
        <f t="shared" si="14"/>
        <v>80</v>
      </c>
      <c r="F193" s="93" t="s">
        <v>64</v>
      </c>
      <c r="G193" s="93" t="s">
        <v>36</v>
      </c>
      <c r="H193" s="93">
        <f t="shared" si="15"/>
        <v>3308</v>
      </c>
      <c r="I193" s="93">
        <f t="shared" si="16"/>
        <v>330</v>
      </c>
    </row>
    <row r="194" ht="18" spans="1:9">
      <c r="A194" s="65"/>
      <c r="B194" s="65"/>
      <c r="C194" s="92"/>
      <c r="D194" s="93">
        <v>105</v>
      </c>
      <c r="E194" s="93">
        <f t="shared" si="14"/>
        <v>85</v>
      </c>
      <c r="F194" s="93" t="s">
        <v>64</v>
      </c>
      <c r="G194" s="93" t="s">
        <v>58</v>
      </c>
      <c r="H194" s="93">
        <f t="shared" si="15"/>
        <v>853</v>
      </c>
      <c r="I194" s="93">
        <f t="shared" si="16"/>
        <v>85</v>
      </c>
    </row>
    <row r="195" ht="18" spans="1:9">
      <c r="A195" s="65"/>
      <c r="B195" s="65"/>
      <c r="C195" s="92"/>
      <c r="D195" s="93">
        <v>106</v>
      </c>
      <c r="E195" s="93">
        <f t="shared" si="14"/>
        <v>85</v>
      </c>
      <c r="F195" s="93" t="s">
        <v>64</v>
      </c>
      <c r="G195" s="93" t="s">
        <v>59</v>
      </c>
      <c r="H195" s="93">
        <f t="shared" si="15"/>
        <v>1066</v>
      </c>
      <c r="I195" s="93">
        <f t="shared" si="16"/>
        <v>106</v>
      </c>
    </row>
    <row r="196" ht="18" spans="1:9">
      <c r="A196" s="65"/>
      <c r="B196" s="65"/>
      <c r="C196" s="92"/>
      <c r="D196" s="93">
        <v>107</v>
      </c>
      <c r="E196" s="93">
        <f t="shared" si="14"/>
        <v>85</v>
      </c>
      <c r="F196" s="93" t="s">
        <v>64</v>
      </c>
      <c r="G196" s="93" t="s">
        <v>31</v>
      </c>
      <c r="H196" s="93">
        <f t="shared" si="15"/>
        <v>1280</v>
      </c>
      <c r="I196" s="93">
        <f t="shared" si="16"/>
        <v>128</v>
      </c>
    </row>
    <row r="197" ht="18" spans="1:9">
      <c r="A197" s="65"/>
      <c r="B197" s="65"/>
      <c r="C197" s="92"/>
      <c r="D197" s="93">
        <v>108</v>
      </c>
      <c r="E197" s="93">
        <f t="shared" si="14"/>
        <v>85</v>
      </c>
      <c r="F197" s="93" t="s">
        <v>64</v>
      </c>
      <c r="G197" s="93" t="s">
        <v>32</v>
      </c>
      <c r="H197" s="93">
        <f t="shared" si="15"/>
        <v>1536</v>
      </c>
      <c r="I197" s="93">
        <f t="shared" si="16"/>
        <v>153</v>
      </c>
    </row>
    <row r="198" ht="18" spans="1:9">
      <c r="A198" s="65"/>
      <c r="B198" s="65"/>
      <c r="C198" s="92"/>
      <c r="D198" s="93">
        <v>109</v>
      </c>
      <c r="E198" s="93">
        <f t="shared" si="14"/>
        <v>85</v>
      </c>
      <c r="F198" s="93" t="s">
        <v>64</v>
      </c>
      <c r="G198" s="93" t="s">
        <v>33</v>
      </c>
      <c r="H198" s="93">
        <f t="shared" si="15"/>
        <v>1849</v>
      </c>
      <c r="I198" s="93">
        <f t="shared" si="16"/>
        <v>184</v>
      </c>
    </row>
    <row r="199" ht="18" spans="1:9">
      <c r="A199" s="65"/>
      <c r="B199" s="65"/>
      <c r="C199" s="92"/>
      <c r="D199" s="93">
        <v>110</v>
      </c>
      <c r="E199" s="93">
        <f t="shared" si="14"/>
        <v>85</v>
      </c>
      <c r="F199" s="93" t="s">
        <v>64</v>
      </c>
      <c r="G199" s="93" t="s">
        <v>34</v>
      </c>
      <c r="H199" s="93">
        <f t="shared" si="15"/>
        <v>2276</v>
      </c>
      <c r="I199" s="93">
        <f t="shared" si="16"/>
        <v>227</v>
      </c>
    </row>
    <row r="200" ht="18" spans="1:9">
      <c r="A200" s="65"/>
      <c r="B200" s="65"/>
      <c r="C200" s="92"/>
      <c r="D200" s="93">
        <v>111</v>
      </c>
      <c r="E200" s="93">
        <f t="shared" si="14"/>
        <v>85</v>
      </c>
      <c r="F200" s="93" t="s">
        <v>64</v>
      </c>
      <c r="G200" s="93" t="s">
        <v>35</v>
      </c>
      <c r="H200" s="93">
        <f t="shared" si="15"/>
        <v>2845</v>
      </c>
      <c r="I200" s="93">
        <f t="shared" si="16"/>
        <v>284</v>
      </c>
    </row>
    <row r="201" ht="18" spans="1:9">
      <c r="A201" s="65"/>
      <c r="B201" s="65"/>
      <c r="C201" s="92"/>
      <c r="D201" s="93">
        <v>112</v>
      </c>
      <c r="E201" s="93">
        <f t="shared" si="14"/>
        <v>85</v>
      </c>
      <c r="F201" s="93" t="s">
        <v>64</v>
      </c>
      <c r="G201" s="93" t="s">
        <v>36</v>
      </c>
      <c r="H201" s="93">
        <f t="shared" si="15"/>
        <v>3556</v>
      </c>
      <c r="I201" s="93">
        <f t="shared" si="16"/>
        <v>355</v>
      </c>
    </row>
    <row r="202" ht="18" spans="1:9">
      <c r="A202" s="65"/>
      <c r="B202" s="65"/>
      <c r="C202" s="92"/>
      <c r="D202" s="93">
        <v>113</v>
      </c>
      <c r="E202" s="93">
        <f t="shared" si="14"/>
        <v>90</v>
      </c>
      <c r="F202" s="93" t="s">
        <v>64</v>
      </c>
      <c r="G202" s="93" t="s">
        <v>58</v>
      </c>
      <c r="H202" s="93">
        <f t="shared" si="15"/>
        <v>913</v>
      </c>
      <c r="I202" s="93">
        <f t="shared" si="16"/>
        <v>91</v>
      </c>
    </row>
    <row r="203" ht="18" spans="1:9">
      <c r="A203" s="65"/>
      <c r="B203" s="65"/>
      <c r="C203" s="92"/>
      <c r="D203" s="93">
        <v>114</v>
      </c>
      <c r="E203" s="93">
        <f t="shared" si="14"/>
        <v>90</v>
      </c>
      <c r="F203" s="93" t="s">
        <v>64</v>
      </c>
      <c r="G203" s="93" t="s">
        <v>59</v>
      </c>
      <c r="H203" s="93">
        <f t="shared" si="15"/>
        <v>1141</v>
      </c>
      <c r="I203" s="93">
        <f t="shared" si="16"/>
        <v>114</v>
      </c>
    </row>
    <row r="204" ht="18" spans="1:9">
      <c r="A204" s="65"/>
      <c r="B204" s="65"/>
      <c r="C204" s="92"/>
      <c r="D204" s="93">
        <v>115</v>
      </c>
      <c r="E204" s="93">
        <f t="shared" si="14"/>
        <v>90</v>
      </c>
      <c r="F204" s="93" t="s">
        <v>64</v>
      </c>
      <c r="G204" s="93" t="s">
        <v>31</v>
      </c>
      <c r="H204" s="93">
        <f t="shared" si="15"/>
        <v>1369</v>
      </c>
      <c r="I204" s="93">
        <f t="shared" si="16"/>
        <v>136</v>
      </c>
    </row>
    <row r="205" ht="18" spans="1:9">
      <c r="A205" s="65"/>
      <c r="B205" s="65"/>
      <c r="C205" s="92"/>
      <c r="D205" s="93">
        <v>116</v>
      </c>
      <c r="E205" s="93">
        <f t="shared" si="14"/>
        <v>90</v>
      </c>
      <c r="F205" s="93" t="s">
        <v>64</v>
      </c>
      <c r="G205" s="93" t="s">
        <v>32</v>
      </c>
      <c r="H205" s="93">
        <f t="shared" si="15"/>
        <v>1643</v>
      </c>
      <c r="I205" s="93">
        <f t="shared" si="16"/>
        <v>164</v>
      </c>
    </row>
    <row r="206" ht="18" spans="1:9">
      <c r="A206" s="65"/>
      <c r="B206" s="65"/>
      <c r="C206" s="92"/>
      <c r="D206" s="93">
        <v>117</v>
      </c>
      <c r="E206" s="93">
        <f t="shared" si="14"/>
        <v>90</v>
      </c>
      <c r="F206" s="93" t="s">
        <v>64</v>
      </c>
      <c r="G206" s="93" t="s">
        <v>33</v>
      </c>
      <c r="H206" s="93">
        <f t="shared" si="15"/>
        <v>1978</v>
      </c>
      <c r="I206" s="93">
        <f t="shared" si="16"/>
        <v>197</v>
      </c>
    </row>
    <row r="207" ht="18" spans="1:9">
      <c r="A207" s="65"/>
      <c r="B207" s="65"/>
      <c r="C207" s="92"/>
      <c r="D207" s="93">
        <v>118</v>
      </c>
      <c r="E207" s="93">
        <f t="shared" si="14"/>
        <v>90</v>
      </c>
      <c r="F207" s="93" t="s">
        <v>64</v>
      </c>
      <c r="G207" s="93" t="s">
        <v>34</v>
      </c>
      <c r="H207" s="93">
        <f t="shared" si="15"/>
        <v>2434</v>
      </c>
      <c r="I207" s="93">
        <f t="shared" si="16"/>
        <v>243</v>
      </c>
    </row>
    <row r="208" ht="18" spans="1:9">
      <c r="A208" s="65"/>
      <c r="B208" s="65"/>
      <c r="C208" s="92"/>
      <c r="D208" s="93">
        <v>119</v>
      </c>
      <c r="E208" s="93">
        <f t="shared" si="14"/>
        <v>90</v>
      </c>
      <c r="F208" s="93" t="s">
        <v>64</v>
      </c>
      <c r="G208" s="93" t="s">
        <v>35</v>
      </c>
      <c r="H208" s="93">
        <f t="shared" si="15"/>
        <v>3043</v>
      </c>
      <c r="I208" s="93">
        <f t="shared" si="16"/>
        <v>304</v>
      </c>
    </row>
    <row r="209" ht="18" spans="1:9">
      <c r="A209" s="65"/>
      <c r="B209" s="65"/>
      <c r="C209" s="92"/>
      <c r="D209" s="93">
        <v>120</v>
      </c>
      <c r="E209" s="93">
        <f t="shared" si="14"/>
        <v>90</v>
      </c>
      <c r="F209" s="93" t="s">
        <v>64</v>
      </c>
      <c r="G209" s="93" t="s">
        <v>36</v>
      </c>
      <c r="H209" s="93">
        <f t="shared" si="15"/>
        <v>3804</v>
      </c>
      <c r="I209" s="93">
        <f t="shared" si="16"/>
        <v>380</v>
      </c>
    </row>
    <row r="210" ht="18" spans="1:9">
      <c r="A210" s="65"/>
      <c r="B210" s="65"/>
      <c r="C210" s="92"/>
      <c r="D210" s="93">
        <v>121</v>
      </c>
      <c r="E210" s="93">
        <f t="shared" ref="E210:E273" si="18">E202+5</f>
        <v>95</v>
      </c>
      <c r="F210" s="93" t="s">
        <v>64</v>
      </c>
      <c r="G210" s="93" t="s">
        <v>58</v>
      </c>
      <c r="H210" s="93">
        <f t="shared" si="15"/>
        <v>981</v>
      </c>
      <c r="I210" s="93">
        <f t="shared" si="16"/>
        <v>98</v>
      </c>
    </row>
    <row r="211" ht="18" spans="1:9">
      <c r="A211" s="65"/>
      <c r="B211" s="65"/>
      <c r="C211" s="92"/>
      <c r="D211" s="93">
        <v>122</v>
      </c>
      <c r="E211" s="93">
        <f t="shared" si="18"/>
        <v>95</v>
      </c>
      <c r="F211" s="93" t="s">
        <v>64</v>
      </c>
      <c r="G211" s="93" t="s">
        <v>59</v>
      </c>
      <c r="H211" s="93">
        <f t="shared" si="15"/>
        <v>1226</v>
      </c>
      <c r="I211" s="93">
        <f t="shared" si="16"/>
        <v>122</v>
      </c>
    </row>
    <row r="212" ht="18" spans="1:9">
      <c r="A212" s="65"/>
      <c r="B212" s="65"/>
      <c r="C212" s="92"/>
      <c r="D212" s="93">
        <v>123</v>
      </c>
      <c r="E212" s="93">
        <f t="shared" si="18"/>
        <v>95</v>
      </c>
      <c r="F212" s="93" t="s">
        <v>64</v>
      </c>
      <c r="G212" s="93" t="s">
        <v>31</v>
      </c>
      <c r="H212" s="93">
        <f t="shared" si="15"/>
        <v>1471</v>
      </c>
      <c r="I212" s="93">
        <f t="shared" si="16"/>
        <v>147</v>
      </c>
    </row>
    <row r="213" ht="18" spans="1:9">
      <c r="A213" s="65"/>
      <c r="B213" s="65"/>
      <c r="C213" s="92"/>
      <c r="D213" s="93">
        <v>124</v>
      </c>
      <c r="E213" s="93">
        <f t="shared" si="18"/>
        <v>95</v>
      </c>
      <c r="F213" s="93" t="s">
        <v>64</v>
      </c>
      <c r="G213" s="93" t="s">
        <v>32</v>
      </c>
      <c r="H213" s="93">
        <f t="shared" ref="H213:H276" si="19">INT(VLOOKUP($E213,$D$15:$G$61,MATCH(H$84,$D$14:$G$14,0),0)*VLOOKUP($G213,$D$66:$F$73,2,0)/6*_xlfn.XLOOKUP($F213,$E$76:$E$81,$F$76:$F$81))</f>
        <v>1765</v>
      </c>
      <c r="I213" s="93">
        <f t="shared" si="16"/>
        <v>176</v>
      </c>
    </row>
    <row r="214" ht="18" spans="1:9">
      <c r="A214" s="65"/>
      <c r="B214" s="65"/>
      <c r="C214" s="92"/>
      <c r="D214" s="93">
        <v>125</v>
      </c>
      <c r="E214" s="93">
        <f t="shared" si="18"/>
        <v>95</v>
      </c>
      <c r="F214" s="93" t="s">
        <v>64</v>
      </c>
      <c r="G214" s="93" t="s">
        <v>33</v>
      </c>
      <c r="H214" s="93">
        <f t="shared" si="19"/>
        <v>2125</v>
      </c>
      <c r="I214" s="93">
        <f t="shared" si="16"/>
        <v>212</v>
      </c>
    </row>
    <row r="215" ht="18" spans="1:9">
      <c r="A215" s="65"/>
      <c r="B215" s="65"/>
      <c r="C215" s="92"/>
      <c r="D215" s="93">
        <v>126</v>
      </c>
      <c r="E215" s="93">
        <f t="shared" si="18"/>
        <v>95</v>
      </c>
      <c r="F215" s="93" t="s">
        <v>64</v>
      </c>
      <c r="G215" s="93" t="s">
        <v>34</v>
      </c>
      <c r="H215" s="93">
        <f t="shared" si="19"/>
        <v>2616</v>
      </c>
      <c r="I215" s="93">
        <f t="shared" si="16"/>
        <v>261</v>
      </c>
    </row>
    <row r="216" ht="18" spans="1:9">
      <c r="A216" s="65"/>
      <c r="B216" s="65"/>
      <c r="C216" s="92"/>
      <c r="D216" s="93">
        <v>127</v>
      </c>
      <c r="E216" s="93">
        <f t="shared" si="18"/>
        <v>95</v>
      </c>
      <c r="F216" s="93" t="s">
        <v>64</v>
      </c>
      <c r="G216" s="93" t="s">
        <v>35</v>
      </c>
      <c r="H216" s="93">
        <f t="shared" si="19"/>
        <v>3270</v>
      </c>
      <c r="I216" s="93">
        <f t="shared" si="16"/>
        <v>327</v>
      </c>
    </row>
    <row r="217" ht="18" spans="1:9">
      <c r="A217" s="65"/>
      <c r="B217" s="65"/>
      <c r="C217" s="92"/>
      <c r="D217" s="93">
        <v>128</v>
      </c>
      <c r="E217" s="93">
        <f t="shared" si="18"/>
        <v>95</v>
      </c>
      <c r="F217" s="93" t="s">
        <v>64</v>
      </c>
      <c r="G217" s="93" t="s">
        <v>36</v>
      </c>
      <c r="H217" s="93">
        <f t="shared" si="19"/>
        <v>4087</v>
      </c>
      <c r="I217" s="93">
        <f t="shared" si="16"/>
        <v>408</v>
      </c>
    </row>
    <row r="218" ht="18" spans="1:9">
      <c r="A218" s="65"/>
      <c r="B218" s="65"/>
      <c r="C218" s="92"/>
      <c r="D218" s="93">
        <v>129</v>
      </c>
      <c r="E218" s="93">
        <f t="shared" si="18"/>
        <v>100</v>
      </c>
      <c r="F218" s="93" t="s">
        <v>64</v>
      </c>
      <c r="G218" s="93" t="s">
        <v>58</v>
      </c>
      <c r="H218" s="93">
        <f t="shared" si="19"/>
        <v>1049</v>
      </c>
      <c r="I218" s="93">
        <f t="shared" si="16"/>
        <v>104</v>
      </c>
    </row>
    <row r="219" ht="18" spans="1:9">
      <c r="A219" s="65"/>
      <c r="B219" s="65"/>
      <c r="C219" s="92"/>
      <c r="D219" s="93">
        <v>130</v>
      </c>
      <c r="E219" s="93">
        <f t="shared" si="18"/>
        <v>100</v>
      </c>
      <c r="F219" s="93" t="s">
        <v>64</v>
      </c>
      <c r="G219" s="93" t="s">
        <v>59</v>
      </c>
      <c r="H219" s="93">
        <f t="shared" si="19"/>
        <v>1311</v>
      </c>
      <c r="I219" s="93">
        <f t="shared" ref="I219:I282" si="20">INT(VLOOKUP($E219,$D$15:$G$61,MATCH(I$84,$D$14:$G$14,0),0)*VLOOKUP($G219,$D$66:$F$73,2,0)/6*_xlfn.XLOOKUP($F219,$E$76:$E$81,$F$76:$F$81))</f>
        <v>131</v>
      </c>
    </row>
    <row r="220" ht="18" spans="1:9">
      <c r="A220" s="65"/>
      <c r="B220" s="65"/>
      <c r="C220" s="92"/>
      <c r="D220" s="93">
        <v>131</v>
      </c>
      <c r="E220" s="93">
        <f t="shared" si="18"/>
        <v>100</v>
      </c>
      <c r="F220" s="93" t="s">
        <v>64</v>
      </c>
      <c r="G220" s="93" t="s">
        <v>31</v>
      </c>
      <c r="H220" s="93">
        <f t="shared" si="19"/>
        <v>1573</v>
      </c>
      <c r="I220" s="93">
        <f t="shared" si="20"/>
        <v>157</v>
      </c>
    </row>
    <row r="221" ht="18" spans="1:9">
      <c r="A221" s="65"/>
      <c r="B221" s="65"/>
      <c r="C221" s="92"/>
      <c r="D221" s="93">
        <v>132</v>
      </c>
      <c r="E221" s="93">
        <f t="shared" si="18"/>
        <v>100</v>
      </c>
      <c r="F221" s="93" t="s">
        <v>64</v>
      </c>
      <c r="G221" s="93" t="s">
        <v>32</v>
      </c>
      <c r="H221" s="93">
        <f t="shared" si="19"/>
        <v>1888</v>
      </c>
      <c r="I221" s="93">
        <f t="shared" si="20"/>
        <v>188</v>
      </c>
    </row>
    <row r="222" ht="18" spans="1:9">
      <c r="A222" s="65"/>
      <c r="B222" s="65"/>
      <c r="C222" s="92"/>
      <c r="D222" s="93">
        <v>133</v>
      </c>
      <c r="E222" s="93">
        <f t="shared" si="18"/>
        <v>100</v>
      </c>
      <c r="F222" s="93" t="s">
        <v>64</v>
      </c>
      <c r="G222" s="93" t="s">
        <v>33</v>
      </c>
      <c r="H222" s="93">
        <f t="shared" si="19"/>
        <v>2272</v>
      </c>
      <c r="I222" s="93">
        <f t="shared" si="20"/>
        <v>227</v>
      </c>
    </row>
    <row r="223" ht="18" spans="1:9">
      <c r="A223" s="65"/>
      <c r="B223" s="65"/>
      <c r="C223" s="92"/>
      <c r="D223" s="93">
        <v>134</v>
      </c>
      <c r="E223" s="93">
        <f t="shared" si="18"/>
        <v>100</v>
      </c>
      <c r="F223" s="93" t="s">
        <v>64</v>
      </c>
      <c r="G223" s="93" t="s">
        <v>34</v>
      </c>
      <c r="H223" s="93">
        <f t="shared" si="19"/>
        <v>2797</v>
      </c>
      <c r="I223" s="93">
        <f t="shared" si="20"/>
        <v>279</v>
      </c>
    </row>
    <row r="224" ht="18" spans="1:9">
      <c r="A224" s="65"/>
      <c r="B224" s="65"/>
      <c r="C224" s="92"/>
      <c r="D224" s="93">
        <v>135</v>
      </c>
      <c r="E224" s="93">
        <f t="shared" si="18"/>
        <v>100</v>
      </c>
      <c r="F224" s="93" t="s">
        <v>64</v>
      </c>
      <c r="G224" s="93" t="s">
        <v>35</v>
      </c>
      <c r="H224" s="93">
        <f t="shared" si="19"/>
        <v>3496</v>
      </c>
      <c r="I224" s="93">
        <f t="shared" si="20"/>
        <v>349</v>
      </c>
    </row>
    <row r="225" ht="18" spans="1:9">
      <c r="A225" s="65"/>
      <c r="B225" s="65"/>
      <c r="C225" s="92"/>
      <c r="D225" s="93">
        <v>136</v>
      </c>
      <c r="E225" s="93">
        <f t="shared" si="18"/>
        <v>100</v>
      </c>
      <c r="F225" s="93" t="s">
        <v>64</v>
      </c>
      <c r="G225" s="93" t="s">
        <v>36</v>
      </c>
      <c r="H225" s="93">
        <f t="shared" si="19"/>
        <v>4370</v>
      </c>
      <c r="I225" s="93">
        <f t="shared" si="20"/>
        <v>437</v>
      </c>
    </row>
    <row r="226" ht="18" spans="1:9">
      <c r="A226" s="65"/>
      <c r="B226" s="65"/>
      <c r="C226" s="92"/>
      <c r="D226" s="93">
        <v>137</v>
      </c>
      <c r="E226" s="93">
        <f t="shared" si="18"/>
        <v>105</v>
      </c>
      <c r="F226" s="93" t="s">
        <v>64</v>
      </c>
      <c r="G226" s="93" t="s">
        <v>58</v>
      </c>
      <c r="H226" s="93">
        <f t="shared" si="19"/>
        <v>1127</v>
      </c>
      <c r="I226" s="93">
        <f t="shared" si="20"/>
        <v>112</v>
      </c>
    </row>
    <row r="227" ht="18" spans="1:9">
      <c r="A227" s="65"/>
      <c r="B227" s="65"/>
      <c r="C227" s="92"/>
      <c r="D227" s="93">
        <v>138</v>
      </c>
      <c r="E227" s="93">
        <f t="shared" si="18"/>
        <v>105</v>
      </c>
      <c r="F227" s="93" t="s">
        <v>64</v>
      </c>
      <c r="G227" s="93" t="s">
        <v>59</v>
      </c>
      <c r="H227" s="93">
        <f t="shared" si="19"/>
        <v>1409</v>
      </c>
      <c r="I227" s="93">
        <f t="shared" si="20"/>
        <v>140</v>
      </c>
    </row>
    <row r="228" ht="18" spans="1:9">
      <c r="A228" s="65"/>
      <c r="B228" s="65"/>
      <c r="C228" s="92"/>
      <c r="D228" s="93">
        <v>139</v>
      </c>
      <c r="E228" s="93">
        <f t="shared" si="18"/>
        <v>105</v>
      </c>
      <c r="F228" s="93" t="s">
        <v>64</v>
      </c>
      <c r="G228" s="93" t="s">
        <v>31</v>
      </c>
      <c r="H228" s="93">
        <f t="shared" si="19"/>
        <v>1691</v>
      </c>
      <c r="I228" s="93">
        <f t="shared" si="20"/>
        <v>169</v>
      </c>
    </row>
    <row r="229" ht="18" spans="1:9">
      <c r="A229" s="65"/>
      <c r="B229" s="65"/>
      <c r="C229" s="92"/>
      <c r="D229" s="93">
        <v>140</v>
      </c>
      <c r="E229" s="93">
        <f t="shared" si="18"/>
        <v>105</v>
      </c>
      <c r="F229" s="93" t="s">
        <v>64</v>
      </c>
      <c r="G229" s="93" t="s">
        <v>32</v>
      </c>
      <c r="H229" s="93">
        <f t="shared" si="19"/>
        <v>2029</v>
      </c>
      <c r="I229" s="93">
        <f t="shared" si="20"/>
        <v>202</v>
      </c>
    </row>
    <row r="230" ht="18" spans="1:9">
      <c r="A230" s="65"/>
      <c r="B230" s="65"/>
      <c r="C230" s="92"/>
      <c r="D230" s="93">
        <v>141</v>
      </c>
      <c r="E230" s="93">
        <f t="shared" si="18"/>
        <v>105</v>
      </c>
      <c r="F230" s="93" t="s">
        <v>64</v>
      </c>
      <c r="G230" s="93" t="s">
        <v>33</v>
      </c>
      <c r="H230" s="93">
        <f t="shared" si="19"/>
        <v>2442</v>
      </c>
      <c r="I230" s="93">
        <f t="shared" si="20"/>
        <v>244</v>
      </c>
    </row>
    <row r="231" ht="18" spans="1:9">
      <c r="A231" s="65"/>
      <c r="B231" s="65"/>
      <c r="C231" s="92"/>
      <c r="D231" s="93">
        <v>142</v>
      </c>
      <c r="E231" s="93">
        <f t="shared" si="18"/>
        <v>105</v>
      </c>
      <c r="F231" s="93" t="s">
        <v>64</v>
      </c>
      <c r="G231" s="93" t="s">
        <v>34</v>
      </c>
      <c r="H231" s="93">
        <f t="shared" si="19"/>
        <v>3006</v>
      </c>
      <c r="I231" s="93">
        <f t="shared" si="20"/>
        <v>300</v>
      </c>
    </row>
    <row r="232" ht="18" spans="1:9">
      <c r="A232" s="65"/>
      <c r="B232" s="65"/>
      <c r="C232" s="92"/>
      <c r="D232" s="93">
        <v>143</v>
      </c>
      <c r="E232" s="93">
        <f t="shared" si="18"/>
        <v>105</v>
      </c>
      <c r="F232" s="93" t="s">
        <v>64</v>
      </c>
      <c r="G232" s="93" t="s">
        <v>35</v>
      </c>
      <c r="H232" s="93">
        <f t="shared" si="19"/>
        <v>3758</v>
      </c>
      <c r="I232" s="93">
        <f t="shared" si="20"/>
        <v>375</v>
      </c>
    </row>
    <row r="233" ht="18" spans="1:9">
      <c r="A233" s="65"/>
      <c r="B233" s="65"/>
      <c r="C233" s="92"/>
      <c r="D233" s="93">
        <v>144</v>
      </c>
      <c r="E233" s="93">
        <f t="shared" si="18"/>
        <v>105</v>
      </c>
      <c r="F233" s="93" t="s">
        <v>64</v>
      </c>
      <c r="G233" s="93" t="s">
        <v>36</v>
      </c>
      <c r="H233" s="93">
        <f t="shared" si="19"/>
        <v>4697</v>
      </c>
      <c r="I233" s="93">
        <f t="shared" si="20"/>
        <v>469</v>
      </c>
    </row>
    <row r="234" ht="18" spans="1:9">
      <c r="A234" s="65"/>
      <c r="B234" s="65"/>
      <c r="C234" s="92"/>
      <c r="D234" s="93">
        <v>145</v>
      </c>
      <c r="E234" s="93">
        <f t="shared" si="18"/>
        <v>110</v>
      </c>
      <c r="F234" s="93" t="s">
        <v>64</v>
      </c>
      <c r="G234" s="93" t="s">
        <v>58</v>
      </c>
      <c r="H234" s="93">
        <f t="shared" si="19"/>
        <v>1206</v>
      </c>
      <c r="I234" s="93">
        <f t="shared" si="20"/>
        <v>120</v>
      </c>
    </row>
    <row r="235" ht="18" spans="1:9">
      <c r="A235" s="65"/>
      <c r="B235" s="65"/>
      <c r="C235" s="92"/>
      <c r="D235" s="93">
        <v>146</v>
      </c>
      <c r="E235" s="93">
        <f t="shared" si="18"/>
        <v>110</v>
      </c>
      <c r="F235" s="93" t="s">
        <v>64</v>
      </c>
      <c r="G235" s="93" t="s">
        <v>59</v>
      </c>
      <c r="H235" s="93">
        <f t="shared" si="19"/>
        <v>1507</v>
      </c>
      <c r="I235" s="93">
        <f t="shared" si="20"/>
        <v>150</v>
      </c>
    </row>
    <row r="236" ht="18" spans="1:9">
      <c r="A236" s="65"/>
      <c r="B236" s="65"/>
      <c r="C236" s="92"/>
      <c r="D236" s="93">
        <v>147</v>
      </c>
      <c r="E236" s="93">
        <f t="shared" si="18"/>
        <v>110</v>
      </c>
      <c r="F236" s="93" t="s">
        <v>64</v>
      </c>
      <c r="G236" s="93" t="s">
        <v>31</v>
      </c>
      <c r="H236" s="93">
        <f t="shared" si="19"/>
        <v>1809</v>
      </c>
      <c r="I236" s="93">
        <f t="shared" si="20"/>
        <v>180</v>
      </c>
    </row>
    <row r="237" ht="18" spans="1:9">
      <c r="A237" s="65"/>
      <c r="B237" s="65"/>
      <c r="C237" s="92"/>
      <c r="D237" s="93">
        <v>148</v>
      </c>
      <c r="E237" s="93">
        <f t="shared" si="18"/>
        <v>110</v>
      </c>
      <c r="F237" s="93" t="s">
        <v>64</v>
      </c>
      <c r="G237" s="93" t="s">
        <v>32</v>
      </c>
      <c r="H237" s="93">
        <f t="shared" si="19"/>
        <v>2170</v>
      </c>
      <c r="I237" s="93">
        <f t="shared" si="20"/>
        <v>217</v>
      </c>
    </row>
    <row r="238" ht="18" spans="1:9">
      <c r="A238" s="65"/>
      <c r="B238" s="65"/>
      <c r="C238" s="92"/>
      <c r="D238" s="93">
        <v>149</v>
      </c>
      <c r="E238" s="93">
        <f t="shared" si="18"/>
        <v>110</v>
      </c>
      <c r="F238" s="93" t="s">
        <v>64</v>
      </c>
      <c r="G238" s="93" t="s">
        <v>33</v>
      </c>
      <c r="H238" s="93">
        <f t="shared" si="19"/>
        <v>2613</v>
      </c>
      <c r="I238" s="93">
        <f t="shared" si="20"/>
        <v>261</v>
      </c>
    </row>
    <row r="239" ht="18" spans="1:9">
      <c r="A239" s="65"/>
      <c r="B239" s="65"/>
      <c r="C239" s="92"/>
      <c r="D239" s="93">
        <v>150</v>
      </c>
      <c r="E239" s="93">
        <f t="shared" si="18"/>
        <v>110</v>
      </c>
      <c r="F239" s="93" t="s">
        <v>64</v>
      </c>
      <c r="G239" s="93" t="s">
        <v>34</v>
      </c>
      <c r="H239" s="93">
        <f t="shared" si="19"/>
        <v>3216</v>
      </c>
      <c r="I239" s="93">
        <f t="shared" si="20"/>
        <v>321</v>
      </c>
    </row>
    <row r="240" ht="18" spans="1:9">
      <c r="A240" s="65"/>
      <c r="B240" s="65"/>
      <c r="C240" s="92"/>
      <c r="D240" s="93">
        <v>151</v>
      </c>
      <c r="E240" s="93">
        <f t="shared" si="18"/>
        <v>110</v>
      </c>
      <c r="F240" s="93" t="s">
        <v>64</v>
      </c>
      <c r="G240" s="93" t="s">
        <v>35</v>
      </c>
      <c r="H240" s="93">
        <f t="shared" si="19"/>
        <v>4020</v>
      </c>
      <c r="I240" s="93">
        <f t="shared" si="20"/>
        <v>402</v>
      </c>
    </row>
    <row r="241" ht="18" spans="1:9">
      <c r="A241" s="65"/>
      <c r="B241" s="65"/>
      <c r="C241" s="92"/>
      <c r="D241" s="93">
        <v>152</v>
      </c>
      <c r="E241" s="93">
        <f t="shared" si="18"/>
        <v>110</v>
      </c>
      <c r="F241" s="93" t="s">
        <v>64</v>
      </c>
      <c r="G241" s="93" t="s">
        <v>36</v>
      </c>
      <c r="H241" s="93">
        <f t="shared" si="19"/>
        <v>5025</v>
      </c>
      <c r="I241" s="93">
        <f t="shared" si="20"/>
        <v>502</v>
      </c>
    </row>
    <row r="242" ht="18" spans="1:9">
      <c r="A242" s="65"/>
      <c r="B242" s="65"/>
      <c r="C242" s="92"/>
      <c r="D242" s="93">
        <v>153</v>
      </c>
      <c r="E242" s="93">
        <f t="shared" si="18"/>
        <v>115</v>
      </c>
      <c r="F242" s="93" t="s">
        <v>64</v>
      </c>
      <c r="G242" s="93" t="s">
        <v>58</v>
      </c>
      <c r="H242" s="93">
        <f t="shared" si="19"/>
        <v>1296</v>
      </c>
      <c r="I242" s="93">
        <f t="shared" si="20"/>
        <v>129</v>
      </c>
    </row>
    <row r="243" ht="18" spans="1:9">
      <c r="A243" s="65"/>
      <c r="B243" s="65"/>
      <c r="C243" s="92"/>
      <c r="D243" s="93">
        <v>154</v>
      </c>
      <c r="E243" s="93">
        <f t="shared" si="18"/>
        <v>115</v>
      </c>
      <c r="F243" s="93" t="s">
        <v>64</v>
      </c>
      <c r="G243" s="93" t="s">
        <v>59</v>
      </c>
      <c r="H243" s="93">
        <f t="shared" si="19"/>
        <v>1620</v>
      </c>
      <c r="I243" s="93">
        <f t="shared" si="20"/>
        <v>162</v>
      </c>
    </row>
    <row r="244" ht="18" spans="1:9">
      <c r="A244" s="65"/>
      <c r="B244" s="65"/>
      <c r="C244" s="92"/>
      <c r="D244" s="93">
        <v>155</v>
      </c>
      <c r="E244" s="93">
        <f t="shared" si="18"/>
        <v>115</v>
      </c>
      <c r="F244" s="93" t="s">
        <v>64</v>
      </c>
      <c r="G244" s="93" t="s">
        <v>31</v>
      </c>
      <c r="H244" s="93">
        <f t="shared" si="19"/>
        <v>1944</v>
      </c>
      <c r="I244" s="93">
        <f t="shared" si="20"/>
        <v>194</v>
      </c>
    </row>
    <row r="245" ht="18" spans="1:9">
      <c r="A245" s="65"/>
      <c r="B245" s="65"/>
      <c r="C245" s="92"/>
      <c r="D245" s="93">
        <v>156</v>
      </c>
      <c r="E245" s="93">
        <f t="shared" si="18"/>
        <v>115</v>
      </c>
      <c r="F245" s="93" t="s">
        <v>64</v>
      </c>
      <c r="G245" s="93" t="s">
        <v>32</v>
      </c>
      <c r="H245" s="93">
        <f t="shared" si="19"/>
        <v>2332</v>
      </c>
      <c r="I245" s="93">
        <f t="shared" si="20"/>
        <v>233</v>
      </c>
    </row>
    <row r="246" ht="18" spans="1:9">
      <c r="A246" s="65"/>
      <c r="B246" s="65"/>
      <c r="C246" s="92"/>
      <c r="D246" s="93">
        <v>157</v>
      </c>
      <c r="E246" s="93">
        <f t="shared" si="18"/>
        <v>115</v>
      </c>
      <c r="F246" s="93" t="s">
        <v>64</v>
      </c>
      <c r="G246" s="93" t="s">
        <v>33</v>
      </c>
      <c r="H246" s="93">
        <f t="shared" si="19"/>
        <v>2808</v>
      </c>
      <c r="I246" s="93">
        <f t="shared" si="20"/>
        <v>280</v>
      </c>
    </row>
    <row r="247" ht="18" spans="1:9">
      <c r="A247" s="65"/>
      <c r="B247" s="65"/>
      <c r="C247" s="92"/>
      <c r="D247" s="93">
        <v>158</v>
      </c>
      <c r="E247" s="93">
        <f t="shared" si="18"/>
        <v>115</v>
      </c>
      <c r="F247" s="93" t="s">
        <v>64</v>
      </c>
      <c r="G247" s="93" t="s">
        <v>34</v>
      </c>
      <c r="H247" s="93">
        <f t="shared" si="19"/>
        <v>3456</v>
      </c>
      <c r="I247" s="93">
        <f t="shared" si="20"/>
        <v>345</v>
      </c>
    </row>
    <row r="248" ht="18" spans="1:9">
      <c r="A248" s="65"/>
      <c r="B248" s="65"/>
      <c r="C248" s="92"/>
      <c r="D248" s="93">
        <v>159</v>
      </c>
      <c r="E248" s="93">
        <f t="shared" si="18"/>
        <v>115</v>
      </c>
      <c r="F248" s="93" t="s">
        <v>64</v>
      </c>
      <c r="G248" s="93" t="s">
        <v>35</v>
      </c>
      <c r="H248" s="93">
        <f t="shared" si="19"/>
        <v>4320</v>
      </c>
      <c r="I248" s="93">
        <f t="shared" si="20"/>
        <v>432</v>
      </c>
    </row>
    <row r="249" ht="18" spans="1:9">
      <c r="A249" s="65"/>
      <c r="B249" s="65"/>
      <c r="C249" s="92"/>
      <c r="D249" s="93">
        <v>160</v>
      </c>
      <c r="E249" s="93">
        <f t="shared" si="18"/>
        <v>115</v>
      </c>
      <c r="F249" s="93" t="s">
        <v>64</v>
      </c>
      <c r="G249" s="93" t="s">
        <v>36</v>
      </c>
      <c r="H249" s="93">
        <f t="shared" si="19"/>
        <v>5400</v>
      </c>
      <c r="I249" s="93">
        <f t="shared" si="20"/>
        <v>540</v>
      </c>
    </row>
    <row r="250" ht="18" spans="1:9">
      <c r="A250" s="65"/>
      <c r="B250" s="65"/>
      <c r="C250" s="92"/>
      <c r="D250" s="93">
        <v>161</v>
      </c>
      <c r="E250" s="93">
        <f t="shared" si="18"/>
        <v>120</v>
      </c>
      <c r="F250" s="93" t="s">
        <v>64</v>
      </c>
      <c r="G250" s="93" t="s">
        <v>58</v>
      </c>
      <c r="H250" s="93">
        <f t="shared" si="19"/>
        <v>1386</v>
      </c>
      <c r="I250" s="93">
        <f t="shared" si="20"/>
        <v>138</v>
      </c>
    </row>
    <row r="251" ht="18" spans="1:9">
      <c r="A251" s="65"/>
      <c r="B251" s="65"/>
      <c r="C251" s="92"/>
      <c r="D251" s="93">
        <v>162</v>
      </c>
      <c r="E251" s="93">
        <f t="shared" si="18"/>
        <v>120</v>
      </c>
      <c r="F251" s="93" t="s">
        <v>64</v>
      </c>
      <c r="G251" s="93" t="s">
        <v>59</v>
      </c>
      <c r="H251" s="93">
        <f t="shared" si="19"/>
        <v>1732</v>
      </c>
      <c r="I251" s="93">
        <f t="shared" si="20"/>
        <v>173</v>
      </c>
    </row>
    <row r="252" ht="18" spans="1:9">
      <c r="A252" s="65"/>
      <c r="B252" s="65"/>
      <c r="C252" s="92"/>
      <c r="D252" s="93">
        <v>163</v>
      </c>
      <c r="E252" s="93">
        <f t="shared" si="18"/>
        <v>120</v>
      </c>
      <c r="F252" s="93" t="s">
        <v>64</v>
      </c>
      <c r="G252" s="93" t="s">
        <v>31</v>
      </c>
      <c r="H252" s="93">
        <f t="shared" si="19"/>
        <v>2079</v>
      </c>
      <c r="I252" s="93">
        <f t="shared" si="20"/>
        <v>207</v>
      </c>
    </row>
    <row r="253" ht="18" spans="1:9">
      <c r="A253" s="65"/>
      <c r="B253" s="65"/>
      <c r="C253" s="92"/>
      <c r="D253" s="93">
        <v>164</v>
      </c>
      <c r="E253" s="93">
        <f t="shared" si="18"/>
        <v>120</v>
      </c>
      <c r="F253" s="93" t="s">
        <v>64</v>
      </c>
      <c r="G253" s="93" t="s">
        <v>32</v>
      </c>
      <c r="H253" s="93">
        <f t="shared" si="19"/>
        <v>2494</v>
      </c>
      <c r="I253" s="93">
        <f t="shared" si="20"/>
        <v>249</v>
      </c>
    </row>
    <row r="254" ht="18" spans="1:9">
      <c r="A254" s="65"/>
      <c r="B254" s="65"/>
      <c r="C254" s="92"/>
      <c r="D254" s="93">
        <v>165</v>
      </c>
      <c r="E254" s="93">
        <f t="shared" si="18"/>
        <v>120</v>
      </c>
      <c r="F254" s="93" t="s">
        <v>64</v>
      </c>
      <c r="G254" s="93" t="s">
        <v>33</v>
      </c>
      <c r="H254" s="93">
        <f t="shared" si="19"/>
        <v>3003</v>
      </c>
      <c r="I254" s="93">
        <f t="shared" si="20"/>
        <v>300</v>
      </c>
    </row>
    <row r="255" ht="18" spans="1:9">
      <c r="A255" s="65"/>
      <c r="B255" s="65"/>
      <c r="C255" s="92"/>
      <c r="D255" s="93">
        <v>166</v>
      </c>
      <c r="E255" s="93">
        <f t="shared" si="18"/>
        <v>120</v>
      </c>
      <c r="F255" s="93" t="s">
        <v>64</v>
      </c>
      <c r="G255" s="93" t="s">
        <v>34</v>
      </c>
      <c r="H255" s="93">
        <f t="shared" si="19"/>
        <v>3696</v>
      </c>
      <c r="I255" s="93">
        <f t="shared" si="20"/>
        <v>369</v>
      </c>
    </row>
    <row r="256" ht="18" spans="1:9">
      <c r="A256" s="65"/>
      <c r="B256" s="65"/>
      <c r="C256" s="92"/>
      <c r="D256" s="93">
        <v>167</v>
      </c>
      <c r="E256" s="93">
        <f t="shared" si="18"/>
        <v>120</v>
      </c>
      <c r="F256" s="93" t="s">
        <v>64</v>
      </c>
      <c r="G256" s="93" t="s">
        <v>35</v>
      </c>
      <c r="H256" s="93">
        <f t="shared" si="19"/>
        <v>4620</v>
      </c>
      <c r="I256" s="93">
        <f t="shared" si="20"/>
        <v>462</v>
      </c>
    </row>
    <row r="257" ht="18" spans="1:9">
      <c r="A257" s="65"/>
      <c r="B257" s="65"/>
      <c r="C257" s="92"/>
      <c r="D257" s="93">
        <v>168</v>
      </c>
      <c r="E257" s="93">
        <f t="shared" si="18"/>
        <v>120</v>
      </c>
      <c r="F257" s="93" t="s">
        <v>64</v>
      </c>
      <c r="G257" s="93" t="s">
        <v>36</v>
      </c>
      <c r="H257" s="93">
        <f t="shared" si="19"/>
        <v>5775</v>
      </c>
      <c r="I257" s="93">
        <f t="shared" si="20"/>
        <v>577</v>
      </c>
    </row>
    <row r="258" ht="18" spans="1:9">
      <c r="A258" s="65"/>
      <c r="B258" s="65"/>
      <c r="C258" s="92"/>
      <c r="D258" s="93">
        <v>167</v>
      </c>
      <c r="E258" s="93">
        <f t="shared" si="18"/>
        <v>125</v>
      </c>
      <c r="F258" s="93" t="s">
        <v>64</v>
      </c>
      <c r="G258" s="93" t="s">
        <v>58</v>
      </c>
      <c r="H258" s="93">
        <f t="shared" si="19"/>
        <v>1489</v>
      </c>
      <c r="I258" s="93">
        <f t="shared" si="20"/>
        <v>148</v>
      </c>
    </row>
    <row r="259" ht="18" spans="1:9">
      <c r="A259" s="65"/>
      <c r="B259" s="65"/>
      <c r="C259" s="92"/>
      <c r="D259" s="93">
        <v>168</v>
      </c>
      <c r="E259" s="93">
        <f t="shared" si="18"/>
        <v>125</v>
      </c>
      <c r="F259" s="93" t="s">
        <v>64</v>
      </c>
      <c r="G259" s="93" t="s">
        <v>59</v>
      </c>
      <c r="H259" s="93">
        <f t="shared" si="19"/>
        <v>1861</v>
      </c>
      <c r="I259" s="93">
        <f t="shared" si="20"/>
        <v>186</v>
      </c>
    </row>
    <row r="260" ht="18" spans="1:9">
      <c r="A260" s="65"/>
      <c r="B260" s="65"/>
      <c r="C260" s="92"/>
      <c r="D260" s="93">
        <v>167</v>
      </c>
      <c r="E260" s="93">
        <f t="shared" si="18"/>
        <v>125</v>
      </c>
      <c r="F260" s="93" t="s">
        <v>64</v>
      </c>
      <c r="G260" s="93" t="s">
        <v>31</v>
      </c>
      <c r="H260" s="93">
        <f t="shared" si="19"/>
        <v>2234</v>
      </c>
      <c r="I260" s="93">
        <f t="shared" si="20"/>
        <v>223</v>
      </c>
    </row>
    <row r="261" ht="18" spans="1:9">
      <c r="A261" s="65"/>
      <c r="B261" s="65"/>
      <c r="C261" s="92"/>
      <c r="D261" s="93">
        <v>168</v>
      </c>
      <c r="E261" s="93">
        <f t="shared" si="18"/>
        <v>125</v>
      </c>
      <c r="F261" s="93" t="s">
        <v>64</v>
      </c>
      <c r="G261" s="93" t="s">
        <v>32</v>
      </c>
      <c r="H261" s="93">
        <f t="shared" si="19"/>
        <v>2681</v>
      </c>
      <c r="I261" s="93">
        <f t="shared" si="20"/>
        <v>268</v>
      </c>
    </row>
    <row r="262" ht="18" spans="1:9">
      <c r="A262" s="65"/>
      <c r="B262" s="65"/>
      <c r="C262" s="92"/>
      <c r="D262" s="93">
        <v>167</v>
      </c>
      <c r="E262" s="93">
        <f t="shared" si="18"/>
        <v>125</v>
      </c>
      <c r="F262" s="93" t="s">
        <v>64</v>
      </c>
      <c r="G262" s="93" t="s">
        <v>33</v>
      </c>
      <c r="H262" s="93">
        <f t="shared" si="19"/>
        <v>3227</v>
      </c>
      <c r="I262" s="93">
        <f t="shared" si="20"/>
        <v>322</v>
      </c>
    </row>
    <row r="263" ht="18" spans="1:9">
      <c r="A263" s="65"/>
      <c r="B263" s="65"/>
      <c r="C263" s="92"/>
      <c r="D263" s="93">
        <v>168</v>
      </c>
      <c r="E263" s="93">
        <f t="shared" si="18"/>
        <v>125</v>
      </c>
      <c r="F263" s="93" t="s">
        <v>64</v>
      </c>
      <c r="G263" s="93" t="s">
        <v>34</v>
      </c>
      <c r="H263" s="93">
        <f t="shared" si="19"/>
        <v>3972</v>
      </c>
      <c r="I263" s="93">
        <f t="shared" si="20"/>
        <v>397</v>
      </c>
    </row>
    <row r="264" ht="18" spans="1:9">
      <c r="A264" s="65"/>
      <c r="B264" s="65"/>
      <c r="C264" s="92"/>
      <c r="D264" s="93">
        <v>167</v>
      </c>
      <c r="E264" s="93">
        <f t="shared" si="18"/>
        <v>125</v>
      </c>
      <c r="F264" s="93" t="s">
        <v>64</v>
      </c>
      <c r="G264" s="93" t="s">
        <v>35</v>
      </c>
      <c r="H264" s="93">
        <f t="shared" si="19"/>
        <v>4965</v>
      </c>
      <c r="I264" s="93">
        <f t="shared" si="20"/>
        <v>496</v>
      </c>
    </row>
    <row r="265" ht="18" spans="1:9">
      <c r="A265" s="65"/>
      <c r="B265" s="65"/>
      <c r="C265" s="92"/>
      <c r="D265" s="93">
        <f t="shared" ref="D265:D328" si="21">D264+1</f>
        <v>168</v>
      </c>
      <c r="E265" s="93">
        <f t="shared" si="18"/>
        <v>125</v>
      </c>
      <c r="F265" s="93" t="s">
        <v>64</v>
      </c>
      <c r="G265" s="93" t="s">
        <v>36</v>
      </c>
      <c r="H265" s="93">
        <f t="shared" si="19"/>
        <v>6206</v>
      </c>
      <c r="I265" s="93">
        <f t="shared" si="20"/>
        <v>620</v>
      </c>
    </row>
    <row r="266" ht="18" spans="1:9">
      <c r="A266" s="65"/>
      <c r="B266" s="65"/>
      <c r="C266" s="92"/>
      <c r="D266" s="93">
        <f t="shared" si="21"/>
        <v>169</v>
      </c>
      <c r="E266" s="93">
        <f t="shared" si="18"/>
        <v>130</v>
      </c>
      <c r="F266" s="93" t="str">
        <f t="shared" ref="F266:F329" si="22">F258</f>
        <v>头盔</v>
      </c>
      <c r="G266" s="93" t="str">
        <f t="shared" ref="G266:G329" si="23">G258</f>
        <v>白</v>
      </c>
      <c r="H266" s="93">
        <f t="shared" si="19"/>
        <v>1593</v>
      </c>
      <c r="I266" s="93">
        <f t="shared" si="20"/>
        <v>159</v>
      </c>
    </row>
    <row r="267" ht="18" spans="1:9">
      <c r="A267" s="65"/>
      <c r="B267" s="65"/>
      <c r="C267" s="92"/>
      <c r="D267" s="93">
        <f t="shared" si="21"/>
        <v>170</v>
      </c>
      <c r="E267" s="93">
        <f t="shared" si="18"/>
        <v>130</v>
      </c>
      <c r="F267" s="93" t="str">
        <f t="shared" si="22"/>
        <v>头盔</v>
      </c>
      <c r="G267" s="93" t="str">
        <f t="shared" si="23"/>
        <v>绿</v>
      </c>
      <c r="H267" s="93">
        <f t="shared" si="19"/>
        <v>1991</v>
      </c>
      <c r="I267" s="93">
        <f t="shared" si="20"/>
        <v>199</v>
      </c>
    </row>
    <row r="268" ht="18" spans="1:9">
      <c r="A268" s="65"/>
      <c r="B268" s="65"/>
      <c r="C268" s="92"/>
      <c r="D268" s="93">
        <f t="shared" si="21"/>
        <v>171</v>
      </c>
      <c r="E268" s="93">
        <f t="shared" si="18"/>
        <v>130</v>
      </c>
      <c r="F268" s="93" t="str">
        <f t="shared" si="22"/>
        <v>头盔</v>
      </c>
      <c r="G268" s="93" t="str">
        <f t="shared" si="23"/>
        <v>蓝</v>
      </c>
      <c r="H268" s="93">
        <f t="shared" si="19"/>
        <v>2389</v>
      </c>
      <c r="I268" s="93">
        <f t="shared" si="20"/>
        <v>238</v>
      </c>
    </row>
    <row r="269" ht="18" spans="1:9">
      <c r="A269" s="65"/>
      <c r="B269" s="65"/>
      <c r="C269" s="92"/>
      <c r="D269" s="93">
        <f t="shared" si="21"/>
        <v>172</v>
      </c>
      <c r="E269" s="93">
        <f t="shared" si="18"/>
        <v>130</v>
      </c>
      <c r="F269" s="93" t="str">
        <f t="shared" si="22"/>
        <v>头盔</v>
      </c>
      <c r="G269" s="93" t="str">
        <f t="shared" si="23"/>
        <v>紫</v>
      </c>
      <c r="H269" s="93">
        <f t="shared" si="19"/>
        <v>2867</v>
      </c>
      <c r="I269" s="93">
        <f t="shared" si="20"/>
        <v>286</v>
      </c>
    </row>
    <row r="270" ht="18" spans="1:9">
      <c r="A270" s="65"/>
      <c r="B270" s="65"/>
      <c r="C270" s="92"/>
      <c r="D270" s="93">
        <f t="shared" si="21"/>
        <v>173</v>
      </c>
      <c r="E270" s="93">
        <f t="shared" si="18"/>
        <v>130</v>
      </c>
      <c r="F270" s="93" t="str">
        <f t="shared" si="22"/>
        <v>头盔</v>
      </c>
      <c r="G270" s="93" t="str">
        <f t="shared" si="23"/>
        <v>橙</v>
      </c>
      <c r="H270" s="93">
        <f t="shared" si="19"/>
        <v>3451</v>
      </c>
      <c r="I270" s="93">
        <f t="shared" si="20"/>
        <v>345</v>
      </c>
    </row>
    <row r="271" ht="18" spans="1:9">
      <c r="A271" s="65"/>
      <c r="B271" s="65"/>
      <c r="C271" s="92"/>
      <c r="D271" s="93">
        <f t="shared" si="21"/>
        <v>174</v>
      </c>
      <c r="E271" s="93">
        <f t="shared" si="18"/>
        <v>130</v>
      </c>
      <c r="F271" s="93" t="str">
        <f t="shared" si="22"/>
        <v>头盔</v>
      </c>
      <c r="G271" s="93" t="str">
        <f t="shared" si="23"/>
        <v>红</v>
      </c>
      <c r="H271" s="93">
        <f t="shared" si="19"/>
        <v>4248</v>
      </c>
      <c r="I271" s="93">
        <f t="shared" si="20"/>
        <v>424</v>
      </c>
    </row>
    <row r="272" ht="18" spans="1:9">
      <c r="A272" s="65"/>
      <c r="B272" s="65"/>
      <c r="C272" s="92"/>
      <c r="D272" s="93">
        <f t="shared" si="21"/>
        <v>175</v>
      </c>
      <c r="E272" s="93">
        <f t="shared" si="18"/>
        <v>130</v>
      </c>
      <c r="F272" s="93" t="str">
        <f t="shared" si="22"/>
        <v>头盔</v>
      </c>
      <c r="G272" s="93" t="str">
        <f t="shared" si="23"/>
        <v>粉</v>
      </c>
      <c r="H272" s="93">
        <f t="shared" si="19"/>
        <v>5310</v>
      </c>
      <c r="I272" s="93">
        <f t="shared" si="20"/>
        <v>531</v>
      </c>
    </row>
    <row r="273" ht="18" spans="1:9">
      <c r="A273" s="65"/>
      <c r="B273" s="65"/>
      <c r="C273" s="92"/>
      <c r="D273" s="93">
        <f t="shared" si="21"/>
        <v>176</v>
      </c>
      <c r="E273" s="93">
        <f t="shared" si="18"/>
        <v>130</v>
      </c>
      <c r="F273" s="93" t="str">
        <f t="shared" si="22"/>
        <v>头盔</v>
      </c>
      <c r="G273" s="93" t="str">
        <f t="shared" si="23"/>
        <v>彩</v>
      </c>
      <c r="H273" s="93">
        <f t="shared" si="19"/>
        <v>6637</v>
      </c>
      <c r="I273" s="93">
        <f t="shared" si="20"/>
        <v>663</v>
      </c>
    </row>
    <row r="274" ht="18" spans="1:9">
      <c r="A274" s="65"/>
      <c r="B274" s="65"/>
      <c r="C274" s="92"/>
      <c r="D274" s="93">
        <f t="shared" si="21"/>
        <v>177</v>
      </c>
      <c r="E274" s="93">
        <f t="shared" ref="E274:E337" si="24">E266+5</f>
        <v>135</v>
      </c>
      <c r="F274" s="93" t="str">
        <f t="shared" si="22"/>
        <v>头盔</v>
      </c>
      <c r="G274" s="93" t="str">
        <f t="shared" si="23"/>
        <v>白</v>
      </c>
      <c r="H274" s="93">
        <f t="shared" si="19"/>
        <v>1712</v>
      </c>
      <c r="I274" s="93">
        <f t="shared" si="20"/>
        <v>171</v>
      </c>
    </row>
    <row r="275" ht="18" spans="1:9">
      <c r="A275" s="65"/>
      <c r="B275" s="65"/>
      <c r="C275" s="92"/>
      <c r="D275" s="93">
        <f t="shared" si="21"/>
        <v>178</v>
      </c>
      <c r="E275" s="93">
        <f t="shared" si="24"/>
        <v>135</v>
      </c>
      <c r="F275" s="93" t="str">
        <f t="shared" si="22"/>
        <v>头盔</v>
      </c>
      <c r="G275" s="93" t="str">
        <f t="shared" si="23"/>
        <v>绿</v>
      </c>
      <c r="H275" s="93">
        <f t="shared" si="19"/>
        <v>2140</v>
      </c>
      <c r="I275" s="93">
        <f t="shared" si="20"/>
        <v>214</v>
      </c>
    </row>
    <row r="276" ht="18" spans="1:9">
      <c r="A276" s="65"/>
      <c r="B276" s="65"/>
      <c r="C276" s="92"/>
      <c r="D276" s="93">
        <f t="shared" si="21"/>
        <v>179</v>
      </c>
      <c r="E276" s="93">
        <f t="shared" si="24"/>
        <v>135</v>
      </c>
      <c r="F276" s="93" t="str">
        <f t="shared" si="22"/>
        <v>头盔</v>
      </c>
      <c r="G276" s="93" t="str">
        <f t="shared" si="23"/>
        <v>蓝</v>
      </c>
      <c r="H276" s="93">
        <f t="shared" si="19"/>
        <v>2568</v>
      </c>
      <c r="I276" s="93">
        <f t="shared" si="20"/>
        <v>256</v>
      </c>
    </row>
    <row r="277" ht="18" spans="1:9">
      <c r="A277" s="65"/>
      <c r="B277" s="65"/>
      <c r="C277" s="92"/>
      <c r="D277" s="93">
        <f t="shared" si="21"/>
        <v>180</v>
      </c>
      <c r="E277" s="93">
        <f t="shared" si="24"/>
        <v>135</v>
      </c>
      <c r="F277" s="93" t="str">
        <f t="shared" si="22"/>
        <v>头盔</v>
      </c>
      <c r="G277" s="93" t="str">
        <f t="shared" si="23"/>
        <v>紫</v>
      </c>
      <c r="H277" s="93">
        <f t="shared" ref="H277:H340" si="25">INT(VLOOKUP($E277,$D$15:$G$61,MATCH(H$84,$D$14:$G$14,0),0)*VLOOKUP($G277,$D$66:$F$73,2,0)/6*_xlfn.XLOOKUP($F277,$E$76:$E$81,$F$76:$F$81))</f>
        <v>3081</v>
      </c>
      <c r="I277" s="93">
        <f t="shared" si="20"/>
        <v>308</v>
      </c>
    </row>
    <row r="278" ht="18" spans="1:9">
      <c r="A278" s="65"/>
      <c r="B278" s="65"/>
      <c r="C278" s="92"/>
      <c r="D278" s="93">
        <f t="shared" si="21"/>
        <v>181</v>
      </c>
      <c r="E278" s="93">
        <f t="shared" si="24"/>
        <v>135</v>
      </c>
      <c r="F278" s="93" t="str">
        <f t="shared" si="22"/>
        <v>头盔</v>
      </c>
      <c r="G278" s="93" t="str">
        <f t="shared" si="23"/>
        <v>橙</v>
      </c>
      <c r="H278" s="93">
        <f t="shared" si="25"/>
        <v>3709</v>
      </c>
      <c r="I278" s="93">
        <f t="shared" si="20"/>
        <v>370</v>
      </c>
    </row>
    <row r="279" ht="18" spans="1:9">
      <c r="A279" s="65"/>
      <c r="B279" s="65"/>
      <c r="C279" s="92"/>
      <c r="D279" s="93">
        <f t="shared" si="21"/>
        <v>182</v>
      </c>
      <c r="E279" s="93">
        <f t="shared" si="24"/>
        <v>135</v>
      </c>
      <c r="F279" s="93" t="str">
        <f t="shared" si="22"/>
        <v>头盔</v>
      </c>
      <c r="G279" s="93" t="str">
        <f t="shared" si="23"/>
        <v>红</v>
      </c>
      <c r="H279" s="93">
        <f t="shared" si="25"/>
        <v>4565</v>
      </c>
      <c r="I279" s="93">
        <f t="shared" si="20"/>
        <v>456</v>
      </c>
    </row>
    <row r="280" ht="18" spans="1:9">
      <c r="A280" s="65"/>
      <c r="B280" s="65"/>
      <c r="C280" s="92"/>
      <c r="D280" s="93">
        <f t="shared" si="21"/>
        <v>183</v>
      </c>
      <c r="E280" s="93">
        <f t="shared" si="24"/>
        <v>135</v>
      </c>
      <c r="F280" s="93" t="str">
        <f t="shared" si="22"/>
        <v>头盔</v>
      </c>
      <c r="G280" s="93" t="str">
        <f t="shared" si="23"/>
        <v>粉</v>
      </c>
      <c r="H280" s="93">
        <f t="shared" si="25"/>
        <v>5706</v>
      </c>
      <c r="I280" s="93">
        <f t="shared" si="20"/>
        <v>570</v>
      </c>
    </row>
    <row r="281" ht="18" spans="1:9">
      <c r="A281" s="65"/>
      <c r="B281" s="65"/>
      <c r="C281" s="92"/>
      <c r="D281" s="93">
        <f t="shared" si="21"/>
        <v>184</v>
      </c>
      <c r="E281" s="93">
        <f t="shared" si="24"/>
        <v>135</v>
      </c>
      <c r="F281" s="93" t="str">
        <f t="shared" si="22"/>
        <v>头盔</v>
      </c>
      <c r="G281" s="93" t="str">
        <f t="shared" si="23"/>
        <v>彩</v>
      </c>
      <c r="H281" s="93">
        <f t="shared" si="25"/>
        <v>7133</v>
      </c>
      <c r="I281" s="93">
        <f t="shared" si="20"/>
        <v>713</v>
      </c>
    </row>
    <row r="282" ht="18" spans="1:9">
      <c r="A282" s="65"/>
      <c r="B282" s="65"/>
      <c r="C282" s="92"/>
      <c r="D282" s="93">
        <f t="shared" si="21"/>
        <v>185</v>
      </c>
      <c r="E282" s="93">
        <f t="shared" si="24"/>
        <v>140</v>
      </c>
      <c r="F282" s="93" t="str">
        <f t="shared" si="22"/>
        <v>头盔</v>
      </c>
      <c r="G282" s="93" t="str">
        <f t="shared" si="23"/>
        <v>白</v>
      </c>
      <c r="H282" s="93">
        <f t="shared" si="25"/>
        <v>1831</v>
      </c>
      <c r="I282" s="93">
        <f t="shared" si="20"/>
        <v>183</v>
      </c>
    </row>
    <row r="283" ht="18" spans="1:9">
      <c r="A283" s="65"/>
      <c r="B283" s="65"/>
      <c r="C283" s="92"/>
      <c r="D283" s="93">
        <f t="shared" si="21"/>
        <v>186</v>
      </c>
      <c r="E283" s="93">
        <f t="shared" si="24"/>
        <v>140</v>
      </c>
      <c r="F283" s="93" t="str">
        <f t="shared" si="22"/>
        <v>头盔</v>
      </c>
      <c r="G283" s="93" t="str">
        <f t="shared" si="23"/>
        <v>绿</v>
      </c>
      <c r="H283" s="93">
        <f t="shared" si="25"/>
        <v>2288</v>
      </c>
      <c r="I283" s="93">
        <f t="shared" ref="I283:I346" si="26">INT(VLOOKUP($E283,$D$15:$G$61,MATCH(I$84,$D$14:$G$14,0),0)*VLOOKUP($G283,$D$66:$F$73,2,0)/6*_xlfn.XLOOKUP($F283,$E$76:$E$81,$F$76:$F$81))</f>
        <v>228</v>
      </c>
    </row>
    <row r="284" ht="18" spans="1:9">
      <c r="A284" s="65"/>
      <c r="B284" s="65"/>
      <c r="C284" s="92"/>
      <c r="D284" s="93">
        <f t="shared" si="21"/>
        <v>187</v>
      </c>
      <c r="E284" s="93">
        <f t="shared" si="24"/>
        <v>140</v>
      </c>
      <c r="F284" s="93" t="str">
        <f t="shared" si="22"/>
        <v>头盔</v>
      </c>
      <c r="G284" s="93" t="str">
        <f t="shared" si="23"/>
        <v>蓝</v>
      </c>
      <c r="H284" s="93">
        <f t="shared" si="25"/>
        <v>2746</v>
      </c>
      <c r="I284" s="93">
        <f t="shared" si="26"/>
        <v>274</v>
      </c>
    </row>
    <row r="285" ht="18" spans="1:9">
      <c r="A285" s="65"/>
      <c r="B285" s="65"/>
      <c r="C285" s="92"/>
      <c r="D285" s="93">
        <f t="shared" si="21"/>
        <v>188</v>
      </c>
      <c r="E285" s="93">
        <f t="shared" si="24"/>
        <v>140</v>
      </c>
      <c r="F285" s="93" t="str">
        <f t="shared" si="22"/>
        <v>头盔</v>
      </c>
      <c r="G285" s="93" t="str">
        <f t="shared" si="23"/>
        <v>紫</v>
      </c>
      <c r="H285" s="93">
        <f t="shared" si="25"/>
        <v>3295</v>
      </c>
      <c r="I285" s="93">
        <f t="shared" si="26"/>
        <v>329</v>
      </c>
    </row>
    <row r="286" ht="18" spans="1:9">
      <c r="A286" s="65"/>
      <c r="B286" s="65"/>
      <c r="C286" s="92"/>
      <c r="D286" s="93">
        <f t="shared" si="21"/>
        <v>189</v>
      </c>
      <c r="E286" s="93">
        <f t="shared" si="24"/>
        <v>140</v>
      </c>
      <c r="F286" s="93" t="str">
        <f t="shared" si="22"/>
        <v>头盔</v>
      </c>
      <c r="G286" s="93" t="str">
        <f t="shared" si="23"/>
        <v>橙</v>
      </c>
      <c r="H286" s="93">
        <f t="shared" si="25"/>
        <v>3967</v>
      </c>
      <c r="I286" s="93">
        <f t="shared" si="26"/>
        <v>396</v>
      </c>
    </row>
    <row r="287" ht="18" spans="1:9">
      <c r="A287" s="65"/>
      <c r="B287" s="65"/>
      <c r="C287" s="92"/>
      <c r="D287" s="93">
        <f t="shared" si="21"/>
        <v>190</v>
      </c>
      <c r="E287" s="93">
        <f t="shared" si="24"/>
        <v>140</v>
      </c>
      <c r="F287" s="93" t="str">
        <f t="shared" si="22"/>
        <v>头盔</v>
      </c>
      <c r="G287" s="93" t="str">
        <f t="shared" si="23"/>
        <v>红</v>
      </c>
      <c r="H287" s="93">
        <f t="shared" si="25"/>
        <v>4882</v>
      </c>
      <c r="I287" s="93">
        <f t="shared" si="26"/>
        <v>488</v>
      </c>
    </row>
    <row r="288" ht="18" spans="1:9">
      <c r="A288" s="65"/>
      <c r="B288" s="65"/>
      <c r="C288" s="92"/>
      <c r="D288" s="93">
        <f t="shared" si="21"/>
        <v>191</v>
      </c>
      <c r="E288" s="93">
        <f t="shared" si="24"/>
        <v>140</v>
      </c>
      <c r="F288" s="93" t="str">
        <f t="shared" si="22"/>
        <v>头盔</v>
      </c>
      <c r="G288" s="93" t="str">
        <f t="shared" si="23"/>
        <v>粉</v>
      </c>
      <c r="H288" s="93">
        <f t="shared" si="25"/>
        <v>6103</v>
      </c>
      <c r="I288" s="93">
        <f t="shared" si="26"/>
        <v>610</v>
      </c>
    </row>
    <row r="289" ht="18" spans="1:9">
      <c r="A289" s="65"/>
      <c r="B289" s="65"/>
      <c r="C289" s="92"/>
      <c r="D289" s="93">
        <f t="shared" si="21"/>
        <v>192</v>
      </c>
      <c r="E289" s="93">
        <f t="shared" si="24"/>
        <v>140</v>
      </c>
      <c r="F289" s="93" t="str">
        <f t="shared" si="22"/>
        <v>头盔</v>
      </c>
      <c r="G289" s="93" t="str">
        <f t="shared" si="23"/>
        <v>彩</v>
      </c>
      <c r="H289" s="93">
        <f t="shared" si="25"/>
        <v>7629</v>
      </c>
      <c r="I289" s="93">
        <f t="shared" si="26"/>
        <v>762</v>
      </c>
    </row>
    <row r="290" ht="18" spans="1:9">
      <c r="A290" s="65"/>
      <c r="B290" s="65"/>
      <c r="C290" s="92"/>
      <c r="D290" s="93">
        <f t="shared" si="21"/>
        <v>193</v>
      </c>
      <c r="E290" s="93">
        <f t="shared" si="24"/>
        <v>145</v>
      </c>
      <c r="F290" s="93" t="str">
        <f t="shared" si="22"/>
        <v>头盔</v>
      </c>
      <c r="G290" s="93" t="str">
        <f t="shared" si="23"/>
        <v>白</v>
      </c>
      <c r="H290" s="93">
        <f t="shared" si="25"/>
        <v>1968</v>
      </c>
      <c r="I290" s="93">
        <f t="shared" si="26"/>
        <v>196</v>
      </c>
    </row>
    <row r="291" ht="18" spans="1:9">
      <c r="A291" s="65"/>
      <c r="B291" s="65"/>
      <c r="C291" s="92"/>
      <c r="D291" s="93">
        <f t="shared" si="21"/>
        <v>194</v>
      </c>
      <c r="E291" s="93">
        <f t="shared" si="24"/>
        <v>145</v>
      </c>
      <c r="F291" s="93" t="str">
        <f t="shared" si="22"/>
        <v>头盔</v>
      </c>
      <c r="G291" s="93" t="str">
        <f t="shared" si="23"/>
        <v>绿</v>
      </c>
      <c r="H291" s="93">
        <f t="shared" si="25"/>
        <v>2460</v>
      </c>
      <c r="I291" s="93">
        <f t="shared" si="26"/>
        <v>246</v>
      </c>
    </row>
    <row r="292" ht="18" spans="1:9">
      <c r="A292" s="65"/>
      <c r="B292" s="65"/>
      <c r="C292" s="92"/>
      <c r="D292" s="93">
        <f t="shared" si="21"/>
        <v>195</v>
      </c>
      <c r="E292" s="93">
        <f t="shared" si="24"/>
        <v>145</v>
      </c>
      <c r="F292" s="93" t="str">
        <f t="shared" si="22"/>
        <v>头盔</v>
      </c>
      <c r="G292" s="93" t="str">
        <f t="shared" si="23"/>
        <v>蓝</v>
      </c>
      <c r="H292" s="93">
        <f t="shared" si="25"/>
        <v>2952</v>
      </c>
      <c r="I292" s="93">
        <f t="shared" si="26"/>
        <v>295</v>
      </c>
    </row>
    <row r="293" ht="18" spans="1:9">
      <c r="A293" s="65"/>
      <c r="B293" s="65"/>
      <c r="C293" s="92"/>
      <c r="D293" s="93">
        <f t="shared" si="21"/>
        <v>196</v>
      </c>
      <c r="E293" s="93">
        <f t="shared" si="24"/>
        <v>145</v>
      </c>
      <c r="F293" s="93" t="str">
        <f t="shared" si="22"/>
        <v>头盔</v>
      </c>
      <c r="G293" s="93" t="str">
        <f t="shared" si="23"/>
        <v>紫</v>
      </c>
      <c r="H293" s="93">
        <f t="shared" si="25"/>
        <v>3542</v>
      </c>
      <c r="I293" s="93">
        <f t="shared" si="26"/>
        <v>354</v>
      </c>
    </row>
    <row r="294" ht="18" spans="1:9">
      <c r="A294" s="65"/>
      <c r="B294" s="65"/>
      <c r="C294" s="92"/>
      <c r="D294" s="93">
        <f t="shared" si="21"/>
        <v>197</v>
      </c>
      <c r="E294" s="93">
        <f t="shared" si="24"/>
        <v>145</v>
      </c>
      <c r="F294" s="93" t="str">
        <f t="shared" si="22"/>
        <v>头盔</v>
      </c>
      <c r="G294" s="93" t="str">
        <f t="shared" si="23"/>
        <v>橙</v>
      </c>
      <c r="H294" s="93">
        <f t="shared" si="25"/>
        <v>4264</v>
      </c>
      <c r="I294" s="93">
        <f t="shared" si="26"/>
        <v>426</v>
      </c>
    </row>
    <row r="295" ht="18" spans="1:9">
      <c r="A295" s="65"/>
      <c r="B295" s="65"/>
      <c r="C295" s="92"/>
      <c r="D295" s="93">
        <f t="shared" si="21"/>
        <v>198</v>
      </c>
      <c r="E295" s="93">
        <f t="shared" si="24"/>
        <v>145</v>
      </c>
      <c r="F295" s="93" t="str">
        <f t="shared" si="22"/>
        <v>头盔</v>
      </c>
      <c r="G295" s="93" t="str">
        <f t="shared" si="23"/>
        <v>红</v>
      </c>
      <c r="H295" s="93">
        <f t="shared" si="25"/>
        <v>5248</v>
      </c>
      <c r="I295" s="93">
        <f t="shared" si="26"/>
        <v>524</v>
      </c>
    </row>
    <row r="296" ht="18" spans="1:9">
      <c r="A296" s="65"/>
      <c r="B296" s="65"/>
      <c r="C296" s="92"/>
      <c r="D296" s="93">
        <f t="shared" si="21"/>
        <v>199</v>
      </c>
      <c r="E296" s="93">
        <f t="shared" si="24"/>
        <v>145</v>
      </c>
      <c r="F296" s="93" t="str">
        <f t="shared" si="22"/>
        <v>头盔</v>
      </c>
      <c r="G296" s="93" t="str">
        <f t="shared" si="23"/>
        <v>粉</v>
      </c>
      <c r="H296" s="93">
        <f t="shared" si="25"/>
        <v>6560</v>
      </c>
      <c r="I296" s="93">
        <f t="shared" si="26"/>
        <v>656</v>
      </c>
    </row>
    <row r="297" ht="18" spans="1:9">
      <c r="A297" s="65"/>
      <c r="B297" s="65"/>
      <c r="C297" s="92"/>
      <c r="D297" s="93">
        <f t="shared" si="21"/>
        <v>200</v>
      </c>
      <c r="E297" s="93">
        <f t="shared" si="24"/>
        <v>145</v>
      </c>
      <c r="F297" s="93" t="str">
        <f t="shared" si="22"/>
        <v>头盔</v>
      </c>
      <c r="G297" s="93" t="str">
        <f t="shared" si="23"/>
        <v>彩</v>
      </c>
      <c r="H297" s="93">
        <f t="shared" si="25"/>
        <v>8200</v>
      </c>
      <c r="I297" s="93">
        <f t="shared" si="26"/>
        <v>820</v>
      </c>
    </row>
    <row r="298" ht="18" spans="1:9">
      <c r="A298" s="65"/>
      <c r="B298" s="65"/>
      <c r="C298" s="92"/>
      <c r="D298" s="93">
        <f t="shared" si="21"/>
        <v>201</v>
      </c>
      <c r="E298" s="93">
        <f t="shared" si="24"/>
        <v>150</v>
      </c>
      <c r="F298" s="93" t="str">
        <f t="shared" si="22"/>
        <v>头盔</v>
      </c>
      <c r="G298" s="93" t="str">
        <f t="shared" si="23"/>
        <v>白</v>
      </c>
      <c r="H298" s="93">
        <f t="shared" si="25"/>
        <v>2105</v>
      </c>
      <c r="I298" s="93">
        <f t="shared" si="26"/>
        <v>210</v>
      </c>
    </row>
    <row r="299" ht="18" spans="1:9">
      <c r="A299" s="65"/>
      <c r="B299" s="65"/>
      <c r="C299" s="92"/>
      <c r="D299" s="93">
        <f t="shared" si="21"/>
        <v>202</v>
      </c>
      <c r="E299" s="93">
        <f t="shared" si="24"/>
        <v>150</v>
      </c>
      <c r="F299" s="93" t="str">
        <f t="shared" si="22"/>
        <v>头盔</v>
      </c>
      <c r="G299" s="93" t="str">
        <f t="shared" si="23"/>
        <v>绿</v>
      </c>
      <c r="H299" s="93">
        <f t="shared" si="25"/>
        <v>2631</v>
      </c>
      <c r="I299" s="93">
        <f t="shared" si="26"/>
        <v>263</v>
      </c>
    </row>
    <row r="300" ht="18" spans="1:9">
      <c r="A300" s="65"/>
      <c r="B300" s="65"/>
      <c r="C300" s="92"/>
      <c r="D300" s="93">
        <f t="shared" si="21"/>
        <v>203</v>
      </c>
      <c r="E300" s="93">
        <f t="shared" si="24"/>
        <v>150</v>
      </c>
      <c r="F300" s="93" t="str">
        <f t="shared" si="22"/>
        <v>头盔</v>
      </c>
      <c r="G300" s="93" t="str">
        <f t="shared" si="23"/>
        <v>蓝</v>
      </c>
      <c r="H300" s="93">
        <f t="shared" si="25"/>
        <v>3157</v>
      </c>
      <c r="I300" s="93">
        <f t="shared" si="26"/>
        <v>315</v>
      </c>
    </row>
    <row r="301" ht="18" spans="1:9">
      <c r="A301" s="65"/>
      <c r="B301" s="65"/>
      <c r="C301" s="92"/>
      <c r="D301" s="93">
        <f t="shared" si="21"/>
        <v>204</v>
      </c>
      <c r="E301" s="93">
        <f t="shared" si="24"/>
        <v>150</v>
      </c>
      <c r="F301" s="93" t="str">
        <f t="shared" si="22"/>
        <v>头盔</v>
      </c>
      <c r="G301" s="93" t="str">
        <f t="shared" si="23"/>
        <v>紫</v>
      </c>
      <c r="H301" s="93">
        <f t="shared" si="25"/>
        <v>3789</v>
      </c>
      <c r="I301" s="93">
        <f t="shared" si="26"/>
        <v>378</v>
      </c>
    </row>
    <row r="302" ht="18" spans="1:9">
      <c r="A302" s="65"/>
      <c r="B302" s="65"/>
      <c r="C302" s="92"/>
      <c r="D302" s="93">
        <f t="shared" si="21"/>
        <v>205</v>
      </c>
      <c r="E302" s="93">
        <f t="shared" si="24"/>
        <v>150</v>
      </c>
      <c r="F302" s="93" t="str">
        <f t="shared" si="22"/>
        <v>头盔</v>
      </c>
      <c r="G302" s="93" t="str">
        <f t="shared" si="23"/>
        <v>橙</v>
      </c>
      <c r="H302" s="93">
        <f t="shared" si="25"/>
        <v>4560</v>
      </c>
      <c r="I302" s="93">
        <f t="shared" si="26"/>
        <v>456</v>
      </c>
    </row>
    <row r="303" ht="18" spans="1:9">
      <c r="A303" s="65"/>
      <c r="B303" s="65"/>
      <c r="C303" s="92"/>
      <c r="D303" s="93">
        <f t="shared" si="21"/>
        <v>206</v>
      </c>
      <c r="E303" s="93">
        <f t="shared" si="24"/>
        <v>150</v>
      </c>
      <c r="F303" s="93" t="str">
        <f t="shared" si="22"/>
        <v>头盔</v>
      </c>
      <c r="G303" s="93" t="str">
        <f t="shared" si="23"/>
        <v>红</v>
      </c>
      <c r="H303" s="93">
        <f t="shared" si="25"/>
        <v>5613</v>
      </c>
      <c r="I303" s="93">
        <f t="shared" si="26"/>
        <v>561</v>
      </c>
    </row>
    <row r="304" ht="18" spans="1:9">
      <c r="A304" s="65"/>
      <c r="B304" s="65"/>
      <c r="C304" s="92"/>
      <c r="D304" s="93">
        <f t="shared" si="21"/>
        <v>207</v>
      </c>
      <c r="E304" s="93">
        <f t="shared" si="24"/>
        <v>150</v>
      </c>
      <c r="F304" s="93" t="str">
        <f t="shared" si="22"/>
        <v>头盔</v>
      </c>
      <c r="G304" s="93" t="str">
        <f t="shared" si="23"/>
        <v>粉</v>
      </c>
      <c r="H304" s="93">
        <f t="shared" si="25"/>
        <v>7016</v>
      </c>
      <c r="I304" s="93">
        <f t="shared" si="26"/>
        <v>701</v>
      </c>
    </row>
    <row r="305" ht="18" spans="1:10">
      <c r="A305" s="65"/>
      <c r="B305" s="65"/>
      <c r="C305" s="92"/>
      <c r="D305" s="93">
        <f t="shared" si="21"/>
        <v>208</v>
      </c>
      <c r="E305" s="93">
        <f t="shared" si="24"/>
        <v>150</v>
      </c>
      <c r="F305" s="93" t="str">
        <f t="shared" si="22"/>
        <v>头盔</v>
      </c>
      <c r="G305" s="93" t="str">
        <f t="shared" si="23"/>
        <v>彩</v>
      </c>
      <c r="H305" s="93">
        <f t="shared" si="25"/>
        <v>8770</v>
      </c>
      <c r="I305" s="93">
        <f t="shared" si="26"/>
        <v>877</v>
      </c>
    </row>
    <row r="306" ht="18" spans="1:10">
      <c r="A306" s="65"/>
      <c r="B306" s="65"/>
      <c r="C306" s="92"/>
      <c r="D306" s="143">
        <f t="shared" si="21"/>
        <v>209</v>
      </c>
      <c r="E306" s="93">
        <f t="shared" si="24"/>
        <v>155</v>
      </c>
      <c r="F306" s="143" t="str">
        <f t="shared" si="22"/>
        <v>头盔</v>
      </c>
      <c r="G306" s="143" t="str">
        <f t="shared" si="23"/>
        <v>白</v>
      </c>
      <c r="H306" s="144">
        <f t="shared" si="25"/>
        <v>2262</v>
      </c>
      <c r="I306" s="143">
        <f t="shared" si="26"/>
        <v>226</v>
      </c>
      <c r="J306" s="65"/>
    </row>
    <row r="307" ht="18" spans="1:10">
      <c r="A307" s="65"/>
      <c r="B307" s="65"/>
      <c r="C307" s="92"/>
      <c r="D307" s="143">
        <f t="shared" si="21"/>
        <v>210</v>
      </c>
      <c r="E307" s="93">
        <f t="shared" si="24"/>
        <v>155</v>
      </c>
      <c r="F307" s="143" t="str">
        <f t="shared" si="22"/>
        <v>头盔</v>
      </c>
      <c r="G307" s="143" t="str">
        <f t="shared" si="23"/>
        <v>绿</v>
      </c>
      <c r="H307" s="144">
        <f t="shared" si="25"/>
        <v>2828</v>
      </c>
      <c r="I307" s="143">
        <f t="shared" si="26"/>
        <v>282</v>
      </c>
      <c r="J307" s="65"/>
    </row>
    <row r="308" ht="18" spans="1:10">
      <c r="A308" s="65"/>
      <c r="B308" s="65"/>
      <c r="C308" s="92"/>
      <c r="D308" s="143">
        <f t="shared" si="21"/>
        <v>211</v>
      </c>
      <c r="E308" s="93">
        <f t="shared" si="24"/>
        <v>155</v>
      </c>
      <c r="F308" s="143" t="str">
        <f t="shared" si="22"/>
        <v>头盔</v>
      </c>
      <c r="G308" s="143" t="str">
        <f t="shared" si="23"/>
        <v>蓝</v>
      </c>
      <c r="H308" s="144">
        <f t="shared" si="25"/>
        <v>3393</v>
      </c>
      <c r="I308" s="143">
        <f t="shared" si="26"/>
        <v>339</v>
      </c>
      <c r="J308" s="65"/>
    </row>
    <row r="309" ht="18" spans="1:10">
      <c r="A309" s="65"/>
      <c r="B309" s="65"/>
      <c r="C309" s="92"/>
      <c r="D309" s="143">
        <f t="shared" si="21"/>
        <v>212</v>
      </c>
      <c r="E309" s="93">
        <f t="shared" si="24"/>
        <v>155</v>
      </c>
      <c r="F309" s="143" t="str">
        <f t="shared" si="22"/>
        <v>头盔</v>
      </c>
      <c r="G309" s="143" t="str">
        <f t="shared" si="23"/>
        <v>紫</v>
      </c>
      <c r="H309" s="144">
        <f t="shared" si="25"/>
        <v>4072</v>
      </c>
      <c r="I309" s="143">
        <f t="shared" si="26"/>
        <v>407</v>
      </c>
      <c r="J309" s="65"/>
    </row>
    <row r="310" ht="17.25" spans="1:10">
      <c r="D310" s="143">
        <f t="shared" si="21"/>
        <v>213</v>
      </c>
      <c r="E310" s="93">
        <f t="shared" si="24"/>
        <v>155</v>
      </c>
      <c r="F310" s="143" t="str">
        <f t="shared" si="22"/>
        <v>头盔</v>
      </c>
      <c r="G310" s="143" t="str">
        <f t="shared" si="23"/>
        <v>橙</v>
      </c>
      <c r="H310" s="144">
        <f t="shared" si="25"/>
        <v>4902</v>
      </c>
      <c r="I310" s="143">
        <f t="shared" si="26"/>
        <v>490</v>
      </c>
    </row>
    <row r="311" ht="17.25" spans="1:10">
      <c r="D311" s="143">
        <f t="shared" si="21"/>
        <v>214</v>
      </c>
      <c r="E311" s="93">
        <f t="shared" si="24"/>
        <v>155</v>
      </c>
      <c r="F311" s="143" t="str">
        <f t="shared" si="22"/>
        <v>头盔</v>
      </c>
      <c r="G311" s="143" t="str">
        <f t="shared" si="23"/>
        <v>红</v>
      </c>
      <c r="H311" s="144">
        <f t="shared" si="25"/>
        <v>6033</v>
      </c>
      <c r="I311" s="143">
        <f t="shared" si="26"/>
        <v>603</v>
      </c>
    </row>
    <row r="312" ht="17.25" spans="1:10">
      <c r="D312" s="143">
        <f t="shared" si="21"/>
        <v>215</v>
      </c>
      <c r="E312" s="93">
        <f t="shared" si="24"/>
        <v>155</v>
      </c>
      <c r="F312" s="143" t="str">
        <f t="shared" si="22"/>
        <v>头盔</v>
      </c>
      <c r="G312" s="143" t="str">
        <f t="shared" si="23"/>
        <v>粉</v>
      </c>
      <c r="H312" s="144">
        <f t="shared" si="25"/>
        <v>7541</v>
      </c>
      <c r="I312" s="143">
        <f t="shared" si="26"/>
        <v>754</v>
      </c>
    </row>
    <row r="313" ht="17.25" spans="1:10">
      <c r="D313" s="143">
        <f t="shared" si="21"/>
        <v>216</v>
      </c>
      <c r="E313" s="93">
        <f t="shared" si="24"/>
        <v>155</v>
      </c>
      <c r="F313" s="143" t="str">
        <f t="shared" si="22"/>
        <v>头盔</v>
      </c>
      <c r="G313" s="143" t="str">
        <f t="shared" si="23"/>
        <v>彩</v>
      </c>
      <c r="H313" s="144">
        <f t="shared" si="25"/>
        <v>9427</v>
      </c>
      <c r="I313" s="143">
        <f t="shared" si="26"/>
        <v>942</v>
      </c>
    </row>
    <row r="314" ht="17.25" spans="1:10">
      <c r="D314" s="143">
        <f t="shared" si="21"/>
        <v>217</v>
      </c>
      <c r="E314" s="93">
        <f t="shared" si="24"/>
        <v>160</v>
      </c>
      <c r="F314" s="143" t="str">
        <f t="shared" si="22"/>
        <v>头盔</v>
      </c>
      <c r="G314" s="143" t="str">
        <f t="shared" si="23"/>
        <v>白</v>
      </c>
      <c r="H314" s="144">
        <f t="shared" si="25"/>
        <v>2420</v>
      </c>
      <c r="I314" s="143">
        <f t="shared" si="26"/>
        <v>242</v>
      </c>
    </row>
    <row r="315" ht="17.25" spans="1:10">
      <c r="D315" s="143">
        <f t="shared" si="21"/>
        <v>218</v>
      </c>
      <c r="E315" s="93">
        <f t="shared" si="24"/>
        <v>160</v>
      </c>
      <c r="F315" s="143" t="str">
        <f t="shared" si="22"/>
        <v>头盔</v>
      </c>
      <c r="G315" s="143" t="str">
        <f t="shared" si="23"/>
        <v>绿</v>
      </c>
      <c r="H315" s="144">
        <f t="shared" si="25"/>
        <v>3025</v>
      </c>
      <c r="I315" s="143">
        <f t="shared" si="26"/>
        <v>302</v>
      </c>
    </row>
    <row r="316" ht="17.25" spans="1:10">
      <c r="D316" s="143">
        <f t="shared" si="21"/>
        <v>219</v>
      </c>
      <c r="E316" s="93">
        <f t="shared" si="24"/>
        <v>160</v>
      </c>
      <c r="F316" s="143" t="str">
        <f t="shared" si="22"/>
        <v>头盔</v>
      </c>
      <c r="G316" s="143" t="str">
        <f t="shared" si="23"/>
        <v>蓝</v>
      </c>
      <c r="H316" s="144">
        <f t="shared" si="25"/>
        <v>3630</v>
      </c>
      <c r="I316" s="143">
        <f t="shared" si="26"/>
        <v>363</v>
      </c>
    </row>
    <row r="317" ht="17.25" spans="1:10">
      <c r="D317" s="143">
        <f t="shared" si="21"/>
        <v>220</v>
      </c>
      <c r="E317" s="93">
        <f t="shared" si="24"/>
        <v>160</v>
      </c>
      <c r="F317" s="143" t="str">
        <f t="shared" si="22"/>
        <v>头盔</v>
      </c>
      <c r="G317" s="143" t="str">
        <f t="shared" si="23"/>
        <v>紫</v>
      </c>
      <c r="H317" s="144">
        <f t="shared" si="25"/>
        <v>4356</v>
      </c>
      <c r="I317" s="143">
        <f t="shared" si="26"/>
        <v>435</v>
      </c>
    </row>
    <row r="318" ht="17.25" spans="1:10">
      <c r="D318" s="143">
        <f t="shared" si="21"/>
        <v>221</v>
      </c>
      <c r="E318" s="93">
        <f t="shared" si="24"/>
        <v>160</v>
      </c>
      <c r="F318" s="143" t="str">
        <f t="shared" si="22"/>
        <v>头盔</v>
      </c>
      <c r="G318" s="143" t="str">
        <f t="shared" si="23"/>
        <v>橙</v>
      </c>
      <c r="H318" s="144">
        <f t="shared" si="25"/>
        <v>5243</v>
      </c>
      <c r="I318" s="143">
        <f t="shared" si="26"/>
        <v>524</v>
      </c>
    </row>
    <row r="319" ht="17.25" spans="1:10">
      <c r="D319" s="143">
        <f t="shared" si="21"/>
        <v>222</v>
      </c>
      <c r="E319" s="93">
        <f t="shared" si="24"/>
        <v>160</v>
      </c>
      <c r="F319" s="143" t="str">
        <f t="shared" si="22"/>
        <v>头盔</v>
      </c>
      <c r="G319" s="143" t="str">
        <f t="shared" si="23"/>
        <v>红</v>
      </c>
      <c r="H319" s="144">
        <f t="shared" si="25"/>
        <v>6453</v>
      </c>
      <c r="I319" s="143">
        <f t="shared" si="26"/>
        <v>645</v>
      </c>
    </row>
    <row r="320" ht="17.25" spans="1:10">
      <c r="D320" s="143">
        <f t="shared" si="21"/>
        <v>223</v>
      </c>
      <c r="E320" s="93">
        <f t="shared" si="24"/>
        <v>160</v>
      </c>
      <c r="F320" s="143" t="str">
        <f t="shared" si="22"/>
        <v>头盔</v>
      </c>
      <c r="G320" s="143" t="str">
        <f t="shared" si="23"/>
        <v>粉</v>
      </c>
      <c r="H320" s="144">
        <f t="shared" si="25"/>
        <v>8066</v>
      </c>
      <c r="I320" s="143">
        <f t="shared" si="26"/>
        <v>806</v>
      </c>
    </row>
    <row r="321" ht="17.25" spans="4:9">
      <c r="D321" s="143">
        <f t="shared" si="21"/>
        <v>224</v>
      </c>
      <c r="E321" s="93">
        <f t="shared" si="24"/>
        <v>160</v>
      </c>
      <c r="F321" s="143" t="str">
        <f t="shared" si="22"/>
        <v>头盔</v>
      </c>
      <c r="G321" s="143" t="str">
        <f t="shared" si="23"/>
        <v>彩</v>
      </c>
      <c r="H321" s="144">
        <f t="shared" si="25"/>
        <v>10083</v>
      </c>
      <c r="I321" s="143">
        <f t="shared" si="26"/>
        <v>1008</v>
      </c>
    </row>
    <row r="322" ht="17.25" spans="4:9">
      <c r="D322" s="143">
        <f t="shared" si="21"/>
        <v>225</v>
      </c>
      <c r="E322" s="93">
        <f t="shared" si="24"/>
        <v>165</v>
      </c>
      <c r="F322" s="143" t="str">
        <f t="shared" si="22"/>
        <v>头盔</v>
      </c>
      <c r="G322" s="143" t="str">
        <f t="shared" si="23"/>
        <v>白</v>
      </c>
      <c r="H322" s="144">
        <f t="shared" si="25"/>
        <v>2601</v>
      </c>
      <c r="I322" s="143">
        <f t="shared" si="26"/>
        <v>260</v>
      </c>
    </row>
    <row r="323" ht="17.25" spans="4:9">
      <c r="D323" s="143">
        <f t="shared" si="21"/>
        <v>226</v>
      </c>
      <c r="E323" s="93">
        <f t="shared" si="24"/>
        <v>165</v>
      </c>
      <c r="F323" s="143" t="str">
        <f t="shared" si="22"/>
        <v>头盔</v>
      </c>
      <c r="G323" s="143" t="str">
        <f t="shared" si="23"/>
        <v>绿</v>
      </c>
      <c r="H323" s="144">
        <f t="shared" si="25"/>
        <v>3251</v>
      </c>
      <c r="I323" s="143">
        <f t="shared" si="26"/>
        <v>325</v>
      </c>
    </row>
    <row r="324" ht="17.25" spans="4:9">
      <c r="D324" s="143">
        <f t="shared" si="21"/>
        <v>227</v>
      </c>
      <c r="E324" s="93">
        <f t="shared" si="24"/>
        <v>165</v>
      </c>
      <c r="F324" s="143" t="str">
        <f t="shared" si="22"/>
        <v>头盔</v>
      </c>
      <c r="G324" s="143" t="str">
        <f t="shared" si="23"/>
        <v>蓝</v>
      </c>
      <c r="H324" s="144">
        <f t="shared" si="25"/>
        <v>3902</v>
      </c>
      <c r="I324" s="143">
        <f t="shared" si="26"/>
        <v>390</v>
      </c>
    </row>
    <row r="325" ht="17.25" spans="4:9">
      <c r="D325" s="143">
        <f t="shared" si="21"/>
        <v>228</v>
      </c>
      <c r="E325" s="93">
        <f t="shared" si="24"/>
        <v>165</v>
      </c>
      <c r="F325" s="143" t="str">
        <f t="shared" si="22"/>
        <v>头盔</v>
      </c>
      <c r="G325" s="143" t="str">
        <f t="shared" si="23"/>
        <v>紫</v>
      </c>
      <c r="H325" s="144">
        <f t="shared" si="25"/>
        <v>4682</v>
      </c>
      <c r="I325" s="143">
        <f t="shared" si="26"/>
        <v>468</v>
      </c>
    </row>
    <row r="326" ht="17.25" spans="4:9">
      <c r="D326" s="143">
        <f t="shared" si="21"/>
        <v>229</v>
      </c>
      <c r="E326" s="93">
        <f t="shared" si="24"/>
        <v>165</v>
      </c>
      <c r="F326" s="143" t="str">
        <f t="shared" si="22"/>
        <v>头盔</v>
      </c>
      <c r="G326" s="143" t="str">
        <f t="shared" si="23"/>
        <v>橙</v>
      </c>
      <c r="H326" s="144">
        <f t="shared" si="25"/>
        <v>5636</v>
      </c>
      <c r="I326" s="143">
        <f t="shared" si="26"/>
        <v>563</v>
      </c>
    </row>
    <row r="327" ht="17.25" spans="4:9">
      <c r="D327" s="143">
        <f t="shared" si="21"/>
        <v>230</v>
      </c>
      <c r="E327" s="93">
        <f t="shared" si="24"/>
        <v>165</v>
      </c>
      <c r="F327" s="143" t="str">
        <f t="shared" si="22"/>
        <v>头盔</v>
      </c>
      <c r="G327" s="143" t="str">
        <f t="shared" si="23"/>
        <v>红</v>
      </c>
      <c r="H327" s="144">
        <f t="shared" si="25"/>
        <v>6937</v>
      </c>
      <c r="I327" s="143">
        <f t="shared" si="26"/>
        <v>693</v>
      </c>
    </row>
    <row r="328" ht="17.25" spans="4:9">
      <c r="D328" s="143">
        <f t="shared" si="21"/>
        <v>231</v>
      </c>
      <c r="E328" s="93">
        <f t="shared" si="24"/>
        <v>165</v>
      </c>
      <c r="F328" s="143" t="str">
        <f t="shared" si="22"/>
        <v>头盔</v>
      </c>
      <c r="G328" s="143" t="str">
        <f t="shared" si="23"/>
        <v>粉</v>
      </c>
      <c r="H328" s="144">
        <f t="shared" si="25"/>
        <v>8671</v>
      </c>
      <c r="I328" s="143">
        <f t="shared" si="26"/>
        <v>867</v>
      </c>
    </row>
    <row r="329" ht="17.25" spans="4:9">
      <c r="D329" s="143">
        <f t="shared" ref="D329:D392" si="27">D328+1</f>
        <v>232</v>
      </c>
      <c r="E329" s="93">
        <f t="shared" si="24"/>
        <v>165</v>
      </c>
      <c r="F329" s="143" t="str">
        <f t="shared" si="22"/>
        <v>头盔</v>
      </c>
      <c r="G329" s="143" t="str">
        <f t="shared" si="23"/>
        <v>彩</v>
      </c>
      <c r="H329" s="144">
        <f t="shared" si="25"/>
        <v>10839</v>
      </c>
      <c r="I329" s="143">
        <f t="shared" si="26"/>
        <v>1083</v>
      </c>
    </row>
    <row r="330" ht="17.25" spans="4:9">
      <c r="D330" s="143">
        <f t="shared" si="27"/>
        <v>233</v>
      </c>
      <c r="E330" s="93">
        <f t="shared" si="24"/>
        <v>170</v>
      </c>
      <c r="F330" s="143" t="str">
        <f t="shared" ref="F330:F393" si="28">F322</f>
        <v>头盔</v>
      </c>
      <c r="G330" s="143" t="str">
        <f t="shared" ref="G330:G393" si="29">G322</f>
        <v>白</v>
      </c>
      <c r="H330" s="144">
        <f t="shared" si="25"/>
        <v>2783</v>
      </c>
      <c r="I330" s="143">
        <f t="shared" si="26"/>
        <v>278</v>
      </c>
    </row>
    <row r="331" ht="17.25" spans="4:9">
      <c r="D331" s="143">
        <f t="shared" si="27"/>
        <v>234</v>
      </c>
      <c r="E331" s="93">
        <f t="shared" si="24"/>
        <v>170</v>
      </c>
      <c r="F331" s="143" t="str">
        <f t="shared" si="28"/>
        <v>头盔</v>
      </c>
      <c r="G331" s="143" t="str">
        <f t="shared" si="29"/>
        <v>绿</v>
      </c>
      <c r="H331" s="144">
        <f t="shared" si="25"/>
        <v>3478</v>
      </c>
      <c r="I331" s="143">
        <f t="shared" si="26"/>
        <v>347</v>
      </c>
    </row>
    <row r="332" ht="17.25" spans="4:9">
      <c r="D332" s="143">
        <f t="shared" si="27"/>
        <v>235</v>
      </c>
      <c r="E332" s="93">
        <f t="shared" si="24"/>
        <v>170</v>
      </c>
      <c r="F332" s="143" t="str">
        <f t="shared" si="28"/>
        <v>头盔</v>
      </c>
      <c r="G332" s="143" t="str">
        <f t="shared" si="29"/>
        <v>蓝</v>
      </c>
      <c r="H332" s="144">
        <f t="shared" si="25"/>
        <v>4174</v>
      </c>
      <c r="I332" s="143">
        <f t="shared" si="26"/>
        <v>417</v>
      </c>
    </row>
    <row r="333" ht="17.25" spans="4:9">
      <c r="D333" s="143">
        <f t="shared" si="27"/>
        <v>236</v>
      </c>
      <c r="E333" s="93">
        <f t="shared" si="24"/>
        <v>170</v>
      </c>
      <c r="F333" s="143" t="str">
        <f t="shared" si="28"/>
        <v>头盔</v>
      </c>
      <c r="G333" s="143" t="str">
        <f t="shared" si="29"/>
        <v>紫</v>
      </c>
      <c r="H333" s="144">
        <f t="shared" si="25"/>
        <v>5009</v>
      </c>
      <c r="I333" s="143">
        <f t="shared" si="26"/>
        <v>500</v>
      </c>
    </row>
    <row r="334" ht="17.25" spans="4:9">
      <c r="D334" s="143">
        <f t="shared" si="27"/>
        <v>237</v>
      </c>
      <c r="E334" s="93">
        <f t="shared" si="24"/>
        <v>170</v>
      </c>
      <c r="F334" s="143" t="str">
        <f t="shared" si="28"/>
        <v>头盔</v>
      </c>
      <c r="G334" s="143" t="str">
        <f t="shared" si="29"/>
        <v>橙</v>
      </c>
      <c r="H334" s="144">
        <f t="shared" si="25"/>
        <v>6029</v>
      </c>
      <c r="I334" s="143">
        <f t="shared" si="26"/>
        <v>602</v>
      </c>
    </row>
    <row r="335" ht="17.25" spans="4:9">
      <c r="D335" s="143">
        <f t="shared" si="27"/>
        <v>238</v>
      </c>
      <c r="E335" s="93">
        <f t="shared" si="24"/>
        <v>170</v>
      </c>
      <c r="F335" s="143" t="str">
        <f t="shared" si="28"/>
        <v>头盔</v>
      </c>
      <c r="G335" s="143" t="str">
        <f t="shared" si="29"/>
        <v>红</v>
      </c>
      <c r="H335" s="144">
        <f t="shared" si="25"/>
        <v>7421</v>
      </c>
      <c r="I335" s="143">
        <f t="shared" si="26"/>
        <v>742</v>
      </c>
    </row>
    <row r="336" ht="17.25" spans="4:9">
      <c r="D336" s="143">
        <f t="shared" si="27"/>
        <v>239</v>
      </c>
      <c r="E336" s="93">
        <f t="shared" si="24"/>
        <v>170</v>
      </c>
      <c r="F336" s="143" t="str">
        <f t="shared" si="28"/>
        <v>头盔</v>
      </c>
      <c r="G336" s="143" t="str">
        <f t="shared" si="29"/>
        <v>粉</v>
      </c>
      <c r="H336" s="144">
        <f t="shared" si="25"/>
        <v>9276</v>
      </c>
      <c r="I336" s="143">
        <f t="shared" si="26"/>
        <v>927</v>
      </c>
    </row>
    <row r="337" ht="17.25" spans="4:9">
      <c r="D337" s="143">
        <f t="shared" si="27"/>
        <v>240</v>
      </c>
      <c r="E337" s="93">
        <f t="shared" si="24"/>
        <v>170</v>
      </c>
      <c r="F337" s="143" t="str">
        <f t="shared" si="28"/>
        <v>头盔</v>
      </c>
      <c r="G337" s="143" t="str">
        <f t="shared" si="29"/>
        <v>彩</v>
      </c>
      <c r="H337" s="144">
        <f t="shared" si="25"/>
        <v>11595</v>
      </c>
      <c r="I337" s="143">
        <f t="shared" si="26"/>
        <v>1159</v>
      </c>
    </row>
    <row r="338" ht="17.25" spans="4:9">
      <c r="D338" s="143">
        <f t="shared" si="27"/>
        <v>241</v>
      </c>
      <c r="E338" s="93">
        <f t="shared" ref="E338:E401" si="30">E330+5</f>
        <v>175</v>
      </c>
      <c r="F338" s="143" t="str">
        <f t="shared" si="28"/>
        <v>头盔</v>
      </c>
      <c r="G338" s="143" t="str">
        <f t="shared" si="29"/>
        <v>白</v>
      </c>
      <c r="H338" s="144">
        <f t="shared" si="25"/>
        <v>2991</v>
      </c>
      <c r="I338" s="143">
        <f t="shared" si="26"/>
        <v>299</v>
      </c>
    </row>
    <row r="339" ht="17.25" spans="4:9">
      <c r="D339" s="143">
        <f t="shared" si="27"/>
        <v>242</v>
      </c>
      <c r="E339" s="93">
        <f t="shared" si="30"/>
        <v>175</v>
      </c>
      <c r="F339" s="143" t="str">
        <f t="shared" si="28"/>
        <v>头盔</v>
      </c>
      <c r="G339" s="143" t="str">
        <f t="shared" si="29"/>
        <v>绿</v>
      </c>
      <c r="H339" s="144">
        <f t="shared" si="25"/>
        <v>3739</v>
      </c>
      <c r="I339" s="143">
        <f t="shared" si="26"/>
        <v>373</v>
      </c>
    </row>
    <row r="340" ht="17.25" spans="4:9">
      <c r="D340" s="143">
        <f t="shared" si="27"/>
        <v>243</v>
      </c>
      <c r="E340" s="93">
        <f t="shared" si="30"/>
        <v>175</v>
      </c>
      <c r="F340" s="143" t="str">
        <f t="shared" si="28"/>
        <v>头盔</v>
      </c>
      <c r="G340" s="143" t="str">
        <f t="shared" si="29"/>
        <v>蓝</v>
      </c>
      <c r="H340" s="144">
        <f t="shared" si="25"/>
        <v>4487</v>
      </c>
      <c r="I340" s="143">
        <f t="shared" si="26"/>
        <v>448</v>
      </c>
    </row>
    <row r="341" ht="17.25" spans="4:9">
      <c r="D341" s="143">
        <f t="shared" si="27"/>
        <v>244</v>
      </c>
      <c r="E341" s="93">
        <f t="shared" si="30"/>
        <v>175</v>
      </c>
      <c r="F341" s="143" t="str">
        <f t="shared" si="28"/>
        <v>头盔</v>
      </c>
      <c r="G341" s="143" t="str">
        <f t="shared" si="29"/>
        <v>紫</v>
      </c>
      <c r="H341" s="144">
        <f t="shared" ref="H341:H404" si="31">INT(VLOOKUP($E341,$D$15:$G$61,MATCH(H$84,$D$14:$G$14,0),0)*VLOOKUP($G341,$D$66:$F$73,2,0)/6*_xlfn.XLOOKUP($F341,$E$76:$E$81,$F$76:$F$81))</f>
        <v>5384</v>
      </c>
      <c r="I341" s="143">
        <f t="shared" si="26"/>
        <v>538</v>
      </c>
    </row>
    <row r="342" ht="17.25" spans="4:9">
      <c r="D342" s="143">
        <f t="shared" si="27"/>
        <v>245</v>
      </c>
      <c r="E342" s="93">
        <f t="shared" si="30"/>
        <v>175</v>
      </c>
      <c r="F342" s="143" t="str">
        <f t="shared" si="28"/>
        <v>头盔</v>
      </c>
      <c r="G342" s="143" t="str">
        <f t="shared" si="29"/>
        <v>橙</v>
      </c>
      <c r="H342" s="144">
        <f t="shared" si="31"/>
        <v>6481</v>
      </c>
      <c r="I342" s="143">
        <f t="shared" si="26"/>
        <v>648</v>
      </c>
    </row>
    <row r="343" ht="17.25" spans="4:9">
      <c r="D343" s="143">
        <f t="shared" si="27"/>
        <v>246</v>
      </c>
      <c r="E343" s="93">
        <f t="shared" si="30"/>
        <v>175</v>
      </c>
      <c r="F343" s="143" t="str">
        <f t="shared" si="28"/>
        <v>头盔</v>
      </c>
      <c r="G343" s="143" t="str">
        <f t="shared" si="29"/>
        <v>红</v>
      </c>
      <c r="H343" s="144">
        <f t="shared" si="31"/>
        <v>7977</v>
      </c>
      <c r="I343" s="143">
        <f t="shared" si="26"/>
        <v>797</v>
      </c>
    </row>
    <row r="344" ht="17.25" spans="4:9">
      <c r="D344" s="143">
        <f t="shared" si="27"/>
        <v>247</v>
      </c>
      <c r="E344" s="93">
        <f t="shared" si="30"/>
        <v>175</v>
      </c>
      <c r="F344" s="143" t="str">
        <f t="shared" si="28"/>
        <v>头盔</v>
      </c>
      <c r="G344" s="143" t="str">
        <f t="shared" si="29"/>
        <v>粉</v>
      </c>
      <c r="H344" s="144">
        <f t="shared" si="31"/>
        <v>9971</v>
      </c>
      <c r="I344" s="143">
        <f t="shared" si="26"/>
        <v>997</v>
      </c>
    </row>
    <row r="345" ht="17.25" spans="4:9">
      <c r="D345" s="143">
        <f t="shared" si="27"/>
        <v>248</v>
      </c>
      <c r="E345" s="93">
        <f t="shared" si="30"/>
        <v>175</v>
      </c>
      <c r="F345" s="143" t="str">
        <f t="shared" si="28"/>
        <v>头盔</v>
      </c>
      <c r="G345" s="143" t="str">
        <f t="shared" si="29"/>
        <v>彩</v>
      </c>
      <c r="H345" s="144">
        <f t="shared" si="31"/>
        <v>12464</v>
      </c>
      <c r="I345" s="143">
        <f t="shared" si="26"/>
        <v>1246</v>
      </c>
    </row>
    <row r="346" ht="17.25" spans="4:9">
      <c r="D346" s="143">
        <f t="shared" si="27"/>
        <v>249</v>
      </c>
      <c r="E346" s="93">
        <f t="shared" si="30"/>
        <v>180</v>
      </c>
      <c r="F346" s="143" t="str">
        <f t="shared" si="28"/>
        <v>头盔</v>
      </c>
      <c r="G346" s="143" t="str">
        <f t="shared" si="29"/>
        <v>白</v>
      </c>
      <c r="H346" s="144">
        <f t="shared" si="31"/>
        <v>3200</v>
      </c>
      <c r="I346" s="143">
        <f t="shared" si="26"/>
        <v>320</v>
      </c>
    </row>
    <row r="347" ht="17.25" spans="4:9">
      <c r="D347" s="143">
        <f t="shared" si="27"/>
        <v>250</v>
      </c>
      <c r="E347" s="93">
        <f t="shared" si="30"/>
        <v>180</v>
      </c>
      <c r="F347" s="143" t="str">
        <f t="shared" si="28"/>
        <v>头盔</v>
      </c>
      <c r="G347" s="143" t="str">
        <f t="shared" si="29"/>
        <v>绿</v>
      </c>
      <c r="H347" s="144">
        <f t="shared" si="31"/>
        <v>4000</v>
      </c>
      <c r="I347" s="143">
        <f t="shared" ref="I347:I410" si="32">INT(VLOOKUP($E347,$D$15:$G$61,MATCH(I$84,$D$14:$G$14,0),0)*VLOOKUP($G347,$D$66:$F$73,2,0)/6*_xlfn.XLOOKUP($F347,$E$76:$E$81,$F$76:$F$81))</f>
        <v>400</v>
      </c>
    </row>
    <row r="348" ht="17.25" spans="4:9">
      <c r="D348" s="143">
        <f t="shared" si="27"/>
        <v>251</v>
      </c>
      <c r="E348" s="93">
        <f t="shared" si="30"/>
        <v>180</v>
      </c>
      <c r="F348" s="143" t="str">
        <f t="shared" si="28"/>
        <v>头盔</v>
      </c>
      <c r="G348" s="143" t="str">
        <f t="shared" si="29"/>
        <v>蓝</v>
      </c>
      <c r="H348" s="144">
        <f t="shared" si="31"/>
        <v>4800</v>
      </c>
      <c r="I348" s="143">
        <f t="shared" si="32"/>
        <v>480</v>
      </c>
    </row>
    <row r="349" ht="17.25" spans="4:9">
      <c r="D349" s="143">
        <f t="shared" si="27"/>
        <v>252</v>
      </c>
      <c r="E349" s="93">
        <f t="shared" si="30"/>
        <v>180</v>
      </c>
      <c r="F349" s="143" t="str">
        <f t="shared" si="28"/>
        <v>头盔</v>
      </c>
      <c r="G349" s="143" t="str">
        <f t="shared" si="29"/>
        <v>紫</v>
      </c>
      <c r="H349" s="144">
        <f t="shared" si="31"/>
        <v>5760</v>
      </c>
      <c r="I349" s="143">
        <f t="shared" si="32"/>
        <v>576</v>
      </c>
    </row>
    <row r="350" ht="17.25" spans="4:9">
      <c r="D350" s="143">
        <f t="shared" si="27"/>
        <v>253</v>
      </c>
      <c r="E350" s="93">
        <f t="shared" si="30"/>
        <v>180</v>
      </c>
      <c r="F350" s="143" t="str">
        <f t="shared" si="28"/>
        <v>头盔</v>
      </c>
      <c r="G350" s="143" t="str">
        <f t="shared" si="29"/>
        <v>橙</v>
      </c>
      <c r="H350" s="144">
        <f t="shared" si="31"/>
        <v>6933</v>
      </c>
      <c r="I350" s="143">
        <f t="shared" si="32"/>
        <v>693</v>
      </c>
    </row>
    <row r="351" ht="17.25" spans="4:9">
      <c r="D351" s="143">
        <f t="shared" si="27"/>
        <v>254</v>
      </c>
      <c r="E351" s="93">
        <f t="shared" si="30"/>
        <v>180</v>
      </c>
      <c r="F351" s="143" t="str">
        <f t="shared" si="28"/>
        <v>头盔</v>
      </c>
      <c r="G351" s="143" t="str">
        <f t="shared" si="29"/>
        <v>红</v>
      </c>
      <c r="H351" s="144">
        <f t="shared" si="31"/>
        <v>8533</v>
      </c>
      <c r="I351" s="143">
        <f t="shared" si="32"/>
        <v>853</v>
      </c>
    </row>
    <row r="352" ht="17.25" spans="4:9">
      <c r="D352" s="143">
        <f t="shared" si="27"/>
        <v>255</v>
      </c>
      <c r="E352" s="93">
        <f t="shared" si="30"/>
        <v>180</v>
      </c>
      <c r="F352" s="143" t="str">
        <f t="shared" si="28"/>
        <v>头盔</v>
      </c>
      <c r="G352" s="143" t="str">
        <f t="shared" si="29"/>
        <v>粉</v>
      </c>
      <c r="H352" s="144">
        <f t="shared" si="31"/>
        <v>10666</v>
      </c>
      <c r="I352" s="143">
        <f t="shared" si="32"/>
        <v>1066</v>
      </c>
    </row>
    <row r="353" ht="17.25" spans="4:9">
      <c r="D353" s="143">
        <f t="shared" si="27"/>
        <v>256</v>
      </c>
      <c r="E353" s="93">
        <f t="shared" si="30"/>
        <v>180</v>
      </c>
      <c r="F353" s="143" t="str">
        <f t="shared" si="28"/>
        <v>头盔</v>
      </c>
      <c r="G353" s="143" t="str">
        <f t="shared" si="29"/>
        <v>彩</v>
      </c>
      <c r="H353" s="144">
        <f t="shared" si="31"/>
        <v>13333</v>
      </c>
      <c r="I353" s="143">
        <f t="shared" si="32"/>
        <v>1333</v>
      </c>
    </row>
    <row r="354" ht="17.25" spans="4:9">
      <c r="D354" s="143">
        <f t="shared" si="27"/>
        <v>257</v>
      </c>
      <c r="E354" s="93">
        <f t="shared" si="30"/>
        <v>185</v>
      </c>
      <c r="F354" s="143" t="str">
        <f t="shared" si="28"/>
        <v>头盔</v>
      </c>
      <c r="G354" s="143" t="str">
        <f t="shared" si="29"/>
        <v>白</v>
      </c>
      <c r="H354" s="144">
        <f t="shared" si="31"/>
        <v>3440</v>
      </c>
      <c r="I354" s="143">
        <f t="shared" si="32"/>
        <v>344</v>
      </c>
    </row>
    <row r="355" ht="17.25" spans="4:9">
      <c r="D355" s="143">
        <f t="shared" si="27"/>
        <v>258</v>
      </c>
      <c r="E355" s="93">
        <f t="shared" si="30"/>
        <v>185</v>
      </c>
      <c r="F355" s="143" t="str">
        <f t="shared" si="28"/>
        <v>头盔</v>
      </c>
      <c r="G355" s="143" t="str">
        <f t="shared" si="29"/>
        <v>绿</v>
      </c>
      <c r="H355" s="144">
        <f t="shared" si="31"/>
        <v>4300</v>
      </c>
      <c r="I355" s="143">
        <f t="shared" si="32"/>
        <v>430</v>
      </c>
    </row>
    <row r="356" ht="17.25" spans="4:9">
      <c r="D356" s="143">
        <f t="shared" si="27"/>
        <v>259</v>
      </c>
      <c r="E356" s="93">
        <f t="shared" si="30"/>
        <v>185</v>
      </c>
      <c r="F356" s="143" t="str">
        <f t="shared" si="28"/>
        <v>头盔</v>
      </c>
      <c r="G356" s="143" t="str">
        <f t="shared" si="29"/>
        <v>蓝</v>
      </c>
      <c r="H356" s="144">
        <f t="shared" si="31"/>
        <v>5160</v>
      </c>
      <c r="I356" s="143">
        <f t="shared" si="32"/>
        <v>516</v>
      </c>
    </row>
    <row r="357" ht="17.25" spans="4:9">
      <c r="D357" s="143">
        <f t="shared" si="27"/>
        <v>260</v>
      </c>
      <c r="E357" s="93">
        <f t="shared" si="30"/>
        <v>185</v>
      </c>
      <c r="F357" s="143" t="str">
        <f t="shared" si="28"/>
        <v>头盔</v>
      </c>
      <c r="G357" s="143" t="str">
        <f t="shared" si="29"/>
        <v>紫</v>
      </c>
      <c r="H357" s="144">
        <f t="shared" si="31"/>
        <v>6192</v>
      </c>
      <c r="I357" s="143">
        <f t="shared" si="32"/>
        <v>619</v>
      </c>
    </row>
    <row r="358" ht="17.25" spans="4:9">
      <c r="D358" s="143">
        <f t="shared" si="27"/>
        <v>261</v>
      </c>
      <c r="E358" s="93">
        <f t="shared" si="30"/>
        <v>185</v>
      </c>
      <c r="F358" s="143" t="str">
        <f t="shared" si="28"/>
        <v>头盔</v>
      </c>
      <c r="G358" s="143" t="str">
        <f t="shared" si="29"/>
        <v>橙</v>
      </c>
      <c r="H358" s="144">
        <f t="shared" si="31"/>
        <v>7453</v>
      </c>
      <c r="I358" s="143">
        <f t="shared" si="32"/>
        <v>745</v>
      </c>
    </row>
    <row r="359" ht="17.25" spans="4:9">
      <c r="D359" s="143">
        <f t="shared" si="27"/>
        <v>262</v>
      </c>
      <c r="E359" s="93">
        <f t="shared" si="30"/>
        <v>185</v>
      </c>
      <c r="F359" s="143" t="str">
        <f t="shared" si="28"/>
        <v>头盔</v>
      </c>
      <c r="G359" s="143" t="str">
        <f t="shared" si="29"/>
        <v>红</v>
      </c>
      <c r="H359" s="144">
        <f t="shared" si="31"/>
        <v>9173</v>
      </c>
      <c r="I359" s="143">
        <f t="shared" si="32"/>
        <v>917</v>
      </c>
    </row>
    <row r="360" ht="17.25" spans="4:9">
      <c r="D360" s="143">
        <f t="shared" si="27"/>
        <v>263</v>
      </c>
      <c r="E360" s="93">
        <f t="shared" si="30"/>
        <v>185</v>
      </c>
      <c r="F360" s="143" t="str">
        <f t="shared" si="28"/>
        <v>头盔</v>
      </c>
      <c r="G360" s="143" t="str">
        <f t="shared" si="29"/>
        <v>粉</v>
      </c>
      <c r="H360" s="144">
        <f t="shared" si="31"/>
        <v>11466</v>
      </c>
      <c r="I360" s="143">
        <f t="shared" si="32"/>
        <v>1146</v>
      </c>
    </row>
    <row r="361" ht="17.25" spans="4:9">
      <c r="D361" s="143">
        <f t="shared" si="27"/>
        <v>264</v>
      </c>
      <c r="E361" s="93">
        <f t="shared" si="30"/>
        <v>185</v>
      </c>
      <c r="F361" s="143" t="str">
        <f t="shared" si="28"/>
        <v>头盔</v>
      </c>
      <c r="G361" s="143" t="str">
        <f t="shared" si="29"/>
        <v>彩</v>
      </c>
      <c r="H361" s="144">
        <f t="shared" si="31"/>
        <v>14333</v>
      </c>
      <c r="I361" s="143">
        <f t="shared" si="32"/>
        <v>1433</v>
      </c>
    </row>
    <row r="362" ht="17.25" spans="4:9">
      <c r="D362" s="143">
        <f t="shared" si="27"/>
        <v>265</v>
      </c>
      <c r="E362" s="93">
        <f t="shared" si="30"/>
        <v>190</v>
      </c>
      <c r="F362" s="143" t="str">
        <f t="shared" si="28"/>
        <v>头盔</v>
      </c>
      <c r="G362" s="143" t="str">
        <f t="shared" si="29"/>
        <v>白</v>
      </c>
      <c r="H362" s="144">
        <f t="shared" si="31"/>
        <v>3680</v>
      </c>
      <c r="I362" s="143">
        <f t="shared" si="32"/>
        <v>368</v>
      </c>
    </row>
    <row r="363" ht="17.25" spans="4:9">
      <c r="D363" s="143">
        <f t="shared" si="27"/>
        <v>266</v>
      </c>
      <c r="E363" s="93">
        <f t="shared" si="30"/>
        <v>190</v>
      </c>
      <c r="F363" s="143" t="str">
        <f t="shared" si="28"/>
        <v>头盔</v>
      </c>
      <c r="G363" s="143" t="str">
        <f t="shared" si="29"/>
        <v>绿</v>
      </c>
      <c r="H363" s="144">
        <f t="shared" si="31"/>
        <v>4600</v>
      </c>
      <c r="I363" s="143">
        <f t="shared" si="32"/>
        <v>460</v>
      </c>
    </row>
    <row r="364" ht="17.25" spans="4:9">
      <c r="D364" s="143">
        <f t="shared" si="27"/>
        <v>267</v>
      </c>
      <c r="E364" s="93">
        <f t="shared" si="30"/>
        <v>190</v>
      </c>
      <c r="F364" s="143" t="str">
        <f t="shared" si="28"/>
        <v>头盔</v>
      </c>
      <c r="G364" s="143" t="str">
        <f t="shared" si="29"/>
        <v>蓝</v>
      </c>
      <c r="H364" s="144">
        <f t="shared" si="31"/>
        <v>5520</v>
      </c>
      <c r="I364" s="143">
        <f t="shared" si="32"/>
        <v>552</v>
      </c>
    </row>
    <row r="365" ht="17.25" spans="4:9">
      <c r="D365" s="143">
        <f t="shared" si="27"/>
        <v>268</v>
      </c>
      <c r="E365" s="93">
        <f t="shared" si="30"/>
        <v>190</v>
      </c>
      <c r="F365" s="143" t="str">
        <f t="shared" si="28"/>
        <v>头盔</v>
      </c>
      <c r="G365" s="143" t="str">
        <f t="shared" si="29"/>
        <v>紫</v>
      </c>
      <c r="H365" s="144">
        <f t="shared" si="31"/>
        <v>6624</v>
      </c>
      <c r="I365" s="143">
        <f t="shared" si="32"/>
        <v>662</v>
      </c>
    </row>
    <row r="366" ht="17.25" spans="4:9">
      <c r="D366" s="143">
        <f t="shared" si="27"/>
        <v>269</v>
      </c>
      <c r="E366" s="93">
        <f t="shared" si="30"/>
        <v>190</v>
      </c>
      <c r="F366" s="143" t="str">
        <f t="shared" si="28"/>
        <v>头盔</v>
      </c>
      <c r="G366" s="143" t="str">
        <f t="shared" si="29"/>
        <v>橙</v>
      </c>
      <c r="H366" s="144">
        <f t="shared" si="31"/>
        <v>7973</v>
      </c>
      <c r="I366" s="143">
        <f t="shared" si="32"/>
        <v>797</v>
      </c>
    </row>
    <row r="367" ht="17.25" spans="4:9">
      <c r="D367" s="143">
        <f t="shared" si="27"/>
        <v>270</v>
      </c>
      <c r="E367" s="93">
        <f t="shared" si="30"/>
        <v>190</v>
      </c>
      <c r="F367" s="143" t="str">
        <f t="shared" si="28"/>
        <v>头盔</v>
      </c>
      <c r="G367" s="143" t="str">
        <f t="shared" si="29"/>
        <v>红</v>
      </c>
      <c r="H367" s="144">
        <f t="shared" si="31"/>
        <v>9813</v>
      </c>
      <c r="I367" s="143">
        <f t="shared" si="32"/>
        <v>981</v>
      </c>
    </row>
    <row r="368" ht="17.25" spans="4:9">
      <c r="D368" s="143">
        <f t="shared" si="27"/>
        <v>271</v>
      </c>
      <c r="E368" s="93">
        <f t="shared" si="30"/>
        <v>190</v>
      </c>
      <c r="F368" s="143" t="str">
        <f t="shared" si="28"/>
        <v>头盔</v>
      </c>
      <c r="G368" s="143" t="str">
        <f t="shared" si="29"/>
        <v>粉</v>
      </c>
      <c r="H368" s="144">
        <f t="shared" si="31"/>
        <v>12266</v>
      </c>
      <c r="I368" s="143">
        <f t="shared" si="32"/>
        <v>1226</v>
      </c>
    </row>
    <row r="369" ht="17.25" spans="4:9">
      <c r="D369" s="143">
        <f t="shared" si="27"/>
        <v>272</v>
      </c>
      <c r="E369" s="93">
        <f t="shared" si="30"/>
        <v>190</v>
      </c>
      <c r="F369" s="143" t="str">
        <f t="shared" si="28"/>
        <v>头盔</v>
      </c>
      <c r="G369" s="143" t="str">
        <f t="shared" si="29"/>
        <v>彩</v>
      </c>
      <c r="H369" s="144">
        <f t="shared" si="31"/>
        <v>15333</v>
      </c>
      <c r="I369" s="143">
        <f t="shared" si="32"/>
        <v>1533</v>
      </c>
    </row>
    <row r="370" ht="17.25" spans="4:9">
      <c r="D370" s="143">
        <f t="shared" si="27"/>
        <v>273</v>
      </c>
      <c r="E370" s="93">
        <f t="shared" si="30"/>
        <v>195</v>
      </c>
      <c r="F370" s="143" t="str">
        <f t="shared" si="28"/>
        <v>头盔</v>
      </c>
      <c r="G370" s="143" t="str">
        <f t="shared" si="29"/>
        <v>白</v>
      </c>
      <c r="H370" s="144">
        <f t="shared" si="31"/>
        <v>3956</v>
      </c>
      <c r="I370" s="143">
        <f t="shared" si="32"/>
        <v>395</v>
      </c>
    </row>
    <row r="371" ht="17.25" spans="4:9">
      <c r="D371" s="143">
        <f t="shared" si="27"/>
        <v>274</v>
      </c>
      <c r="E371" s="93">
        <f t="shared" si="30"/>
        <v>195</v>
      </c>
      <c r="F371" s="143" t="str">
        <f t="shared" si="28"/>
        <v>头盔</v>
      </c>
      <c r="G371" s="143" t="str">
        <f t="shared" si="29"/>
        <v>绿</v>
      </c>
      <c r="H371" s="144">
        <f t="shared" si="31"/>
        <v>4945</v>
      </c>
      <c r="I371" s="143">
        <f t="shared" si="32"/>
        <v>494</v>
      </c>
    </row>
    <row r="372" ht="17.25" spans="4:9">
      <c r="D372" s="143">
        <f t="shared" si="27"/>
        <v>275</v>
      </c>
      <c r="E372" s="93">
        <f t="shared" si="30"/>
        <v>195</v>
      </c>
      <c r="F372" s="143" t="str">
        <f t="shared" si="28"/>
        <v>头盔</v>
      </c>
      <c r="G372" s="143" t="str">
        <f t="shared" si="29"/>
        <v>蓝</v>
      </c>
      <c r="H372" s="144">
        <f t="shared" si="31"/>
        <v>5934</v>
      </c>
      <c r="I372" s="143">
        <f t="shared" si="32"/>
        <v>593</v>
      </c>
    </row>
    <row r="373" ht="17.25" spans="4:9">
      <c r="D373" s="143">
        <f t="shared" si="27"/>
        <v>276</v>
      </c>
      <c r="E373" s="93">
        <f t="shared" si="30"/>
        <v>195</v>
      </c>
      <c r="F373" s="143" t="str">
        <f t="shared" si="28"/>
        <v>头盔</v>
      </c>
      <c r="G373" s="143" t="str">
        <f t="shared" si="29"/>
        <v>紫</v>
      </c>
      <c r="H373" s="144">
        <f t="shared" si="31"/>
        <v>7120</v>
      </c>
      <c r="I373" s="143">
        <f t="shared" si="32"/>
        <v>712</v>
      </c>
    </row>
    <row r="374" ht="17.25" spans="4:9">
      <c r="D374" s="143">
        <f t="shared" si="27"/>
        <v>277</v>
      </c>
      <c r="E374" s="93">
        <f t="shared" si="30"/>
        <v>195</v>
      </c>
      <c r="F374" s="143" t="str">
        <f t="shared" si="28"/>
        <v>头盔</v>
      </c>
      <c r="G374" s="143" t="str">
        <f t="shared" si="29"/>
        <v>橙</v>
      </c>
      <c r="H374" s="144">
        <f t="shared" si="31"/>
        <v>8571</v>
      </c>
      <c r="I374" s="143">
        <f t="shared" si="32"/>
        <v>857</v>
      </c>
    </row>
    <row r="375" ht="17.25" spans="4:9">
      <c r="D375" s="143">
        <f t="shared" si="27"/>
        <v>278</v>
      </c>
      <c r="E375" s="93">
        <f t="shared" si="30"/>
        <v>195</v>
      </c>
      <c r="F375" s="143" t="str">
        <f t="shared" si="28"/>
        <v>头盔</v>
      </c>
      <c r="G375" s="143" t="str">
        <f t="shared" si="29"/>
        <v>红</v>
      </c>
      <c r="H375" s="144">
        <f t="shared" si="31"/>
        <v>10549</v>
      </c>
      <c r="I375" s="143">
        <f t="shared" si="32"/>
        <v>1054</v>
      </c>
    </row>
    <row r="376" ht="17.25" spans="4:9">
      <c r="D376" s="143">
        <f t="shared" si="27"/>
        <v>279</v>
      </c>
      <c r="E376" s="93">
        <f t="shared" si="30"/>
        <v>195</v>
      </c>
      <c r="F376" s="143" t="str">
        <f t="shared" si="28"/>
        <v>头盔</v>
      </c>
      <c r="G376" s="143" t="str">
        <f t="shared" si="29"/>
        <v>粉</v>
      </c>
      <c r="H376" s="144">
        <f t="shared" si="31"/>
        <v>13186</v>
      </c>
      <c r="I376" s="143">
        <f t="shared" si="32"/>
        <v>1318</v>
      </c>
    </row>
    <row r="377" ht="17.25" spans="4:9">
      <c r="D377" s="143">
        <f t="shared" si="27"/>
        <v>280</v>
      </c>
      <c r="E377" s="93">
        <f t="shared" si="30"/>
        <v>195</v>
      </c>
      <c r="F377" s="143" t="str">
        <f t="shared" si="28"/>
        <v>头盔</v>
      </c>
      <c r="G377" s="143" t="str">
        <f t="shared" si="29"/>
        <v>彩</v>
      </c>
      <c r="H377" s="144">
        <f t="shared" si="31"/>
        <v>16483</v>
      </c>
      <c r="I377" s="143">
        <f t="shared" si="32"/>
        <v>1648</v>
      </c>
    </row>
    <row r="378" ht="17.25" spans="4:9">
      <c r="D378" s="143">
        <f t="shared" si="27"/>
        <v>281</v>
      </c>
      <c r="E378" s="93">
        <f t="shared" si="30"/>
        <v>200</v>
      </c>
      <c r="F378" s="143" t="str">
        <f t="shared" si="28"/>
        <v>头盔</v>
      </c>
      <c r="G378" s="143" t="str">
        <f t="shared" si="29"/>
        <v>白</v>
      </c>
      <c r="H378" s="144">
        <f t="shared" si="31"/>
        <v>4232</v>
      </c>
      <c r="I378" s="143">
        <f t="shared" si="32"/>
        <v>423</v>
      </c>
    </row>
    <row r="379" ht="17.25" spans="4:9">
      <c r="D379" s="143">
        <f t="shared" si="27"/>
        <v>282</v>
      </c>
      <c r="E379" s="93">
        <f t="shared" si="30"/>
        <v>200</v>
      </c>
      <c r="F379" s="143" t="str">
        <f t="shared" si="28"/>
        <v>头盔</v>
      </c>
      <c r="G379" s="143" t="str">
        <f t="shared" si="29"/>
        <v>绿</v>
      </c>
      <c r="H379" s="144">
        <f t="shared" si="31"/>
        <v>5290</v>
      </c>
      <c r="I379" s="143">
        <f t="shared" si="32"/>
        <v>529</v>
      </c>
    </row>
    <row r="380" ht="17.25" spans="4:9">
      <c r="D380" s="143">
        <f t="shared" si="27"/>
        <v>283</v>
      </c>
      <c r="E380" s="93">
        <f t="shared" si="30"/>
        <v>200</v>
      </c>
      <c r="F380" s="143" t="str">
        <f t="shared" si="28"/>
        <v>头盔</v>
      </c>
      <c r="G380" s="143" t="str">
        <f t="shared" si="29"/>
        <v>蓝</v>
      </c>
      <c r="H380" s="144">
        <f t="shared" si="31"/>
        <v>6348</v>
      </c>
      <c r="I380" s="143">
        <f t="shared" si="32"/>
        <v>634</v>
      </c>
    </row>
    <row r="381" ht="17.25" spans="4:9">
      <c r="D381" s="143">
        <f t="shared" si="27"/>
        <v>284</v>
      </c>
      <c r="E381" s="93">
        <f t="shared" si="30"/>
        <v>200</v>
      </c>
      <c r="F381" s="143" t="str">
        <f t="shared" si="28"/>
        <v>头盔</v>
      </c>
      <c r="G381" s="143" t="str">
        <f t="shared" si="29"/>
        <v>紫</v>
      </c>
      <c r="H381" s="144">
        <f t="shared" si="31"/>
        <v>7617</v>
      </c>
      <c r="I381" s="143">
        <f t="shared" si="32"/>
        <v>761</v>
      </c>
    </row>
    <row r="382" ht="17.25" spans="4:9">
      <c r="D382" s="143">
        <f t="shared" si="27"/>
        <v>285</v>
      </c>
      <c r="E382" s="93">
        <f t="shared" si="30"/>
        <v>200</v>
      </c>
      <c r="F382" s="143" t="str">
        <f t="shared" si="28"/>
        <v>头盔</v>
      </c>
      <c r="G382" s="143" t="str">
        <f t="shared" si="29"/>
        <v>橙</v>
      </c>
      <c r="H382" s="144">
        <f t="shared" si="31"/>
        <v>9169</v>
      </c>
      <c r="I382" s="143">
        <f t="shared" si="32"/>
        <v>916</v>
      </c>
    </row>
    <row r="383" ht="17.25" spans="4:9">
      <c r="D383" s="143">
        <f t="shared" si="27"/>
        <v>286</v>
      </c>
      <c r="E383" s="93">
        <f t="shared" si="30"/>
        <v>200</v>
      </c>
      <c r="F383" s="143" t="str">
        <f t="shared" si="28"/>
        <v>头盔</v>
      </c>
      <c r="G383" s="143" t="str">
        <f t="shared" si="29"/>
        <v>红</v>
      </c>
      <c r="H383" s="144">
        <f t="shared" si="31"/>
        <v>11285</v>
      </c>
      <c r="I383" s="143">
        <f t="shared" si="32"/>
        <v>1128</v>
      </c>
    </row>
    <row r="384" ht="17.25" spans="4:9">
      <c r="D384" s="143">
        <f t="shared" si="27"/>
        <v>287</v>
      </c>
      <c r="E384" s="93">
        <f t="shared" si="30"/>
        <v>200</v>
      </c>
      <c r="F384" s="143" t="str">
        <f t="shared" si="28"/>
        <v>头盔</v>
      </c>
      <c r="G384" s="143" t="str">
        <f t="shared" si="29"/>
        <v>粉</v>
      </c>
      <c r="H384" s="144">
        <f t="shared" si="31"/>
        <v>14106</v>
      </c>
      <c r="I384" s="143">
        <f t="shared" si="32"/>
        <v>1410</v>
      </c>
    </row>
    <row r="385" ht="17.25" spans="4:9">
      <c r="D385" s="143">
        <f t="shared" si="27"/>
        <v>288</v>
      </c>
      <c r="E385" s="93">
        <f t="shared" si="30"/>
        <v>200</v>
      </c>
      <c r="F385" s="143" t="str">
        <f t="shared" si="28"/>
        <v>头盔</v>
      </c>
      <c r="G385" s="143" t="str">
        <f t="shared" si="29"/>
        <v>彩</v>
      </c>
      <c r="H385" s="144">
        <f t="shared" si="31"/>
        <v>17633</v>
      </c>
      <c r="I385" s="143">
        <f t="shared" si="32"/>
        <v>1763</v>
      </c>
    </row>
    <row r="386" ht="17.25" spans="4:9">
      <c r="D386" s="143">
        <f t="shared" si="27"/>
        <v>289</v>
      </c>
      <c r="E386" s="93">
        <f t="shared" si="30"/>
        <v>205</v>
      </c>
      <c r="F386" s="143" t="str">
        <f t="shared" si="28"/>
        <v>头盔</v>
      </c>
      <c r="G386" s="143" t="str">
        <f t="shared" si="29"/>
        <v>白</v>
      </c>
      <c r="H386" s="144">
        <f t="shared" si="31"/>
        <v>4549</v>
      </c>
      <c r="I386" s="143">
        <f t="shared" si="32"/>
        <v>454</v>
      </c>
    </row>
    <row r="387" ht="17.25" spans="4:9">
      <c r="D387" s="143">
        <f t="shared" si="27"/>
        <v>290</v>
      </c>
      <c r="E387" s="93">
        <f t="shared" si="30"/>
        <v>205</v>
      </c>
      <c r="F387" s="143" t="str">
        <f t="shared" si="28"/>
        <v>头盔</v>
      </c>
      <c r="G387" s="143" t="str">
        <f t="shared" si="29"/>
        <v>绿</v>
      </c>
      <c r="H387" s="144">
        <f t="shared" si="31"/>
        <v>5686</v>
      </c>
      <c r="I387" s="143">
        <f t="shared" si="32"/>
        <v>568</v>
      </c>
    </row>
    <row r="388" ht="17.25" spans="4:9">
      <c r="D388" s="143">
        <f t="shared" si="27"/>
        <v>291</v>
      </c>
      <c r="E388" s="93">
        <f t="shared" si="30"/>
        <v>205</v>
      </c>
      <c r="F388" s="143" t="str">
        <f t="shared" si="28"/>
        <v>头盔</v>
      </c>
      <c r="G388" s="143" t="str">
        <f t="shared" si="29"/>
        <v>蓝</v>
      </c>
      <c r="H388" s="144">
        <f t="shared" si="31"/>
        <v>6823</v>
      </c>
      <c r="I388" s="143">
        <f t="shared" si="32"/>
        <v>682</v>
      </c>
    </row>
    <row r="389" ht="17.25" spans="4:9">
      <c r="D389" s="143">
        <f t="shared" si="27"/>
        <v>292</v>
      </c>
      <c r="E389" s="93">
        <f t="shared" si="30"/>
        <v>205</v>
      </c>
      <c r="F389" s="143" t="str">
        <f t="shared" si="28"/>
        <v>头盔</v>
      </c>
      <c r="G389" s="143" t="str">
        <f t="shared" si="29"/>
        <v>紫</v>
      </c>
      <c r="H389" s="144">
        <f t="shared" si="31"/>
        <v>8188</v>
      </c>
      <c r="I389" s="143">
        <f t="shared" si="32"/>
        <v>818</v>
      </c>
    </row>
    <row r="390" ht="17.25" spans="4:9">
      <c r="D390" s="143">
        <f t="shared" si="27"/>
        <v>293</v>
      </c>
      <c r="E390" s="93">
        <f t="shared" si="30"/>
        <v>205</v>
      </c>
      <c r="F390" s="143" t="str">
        <f t="shared" si="28"/>
        <v>头盔</v>
      </c>
      <c r="G390" s="143" t="str">
        <f t="shared" si="29"/>
        <v>橙</v>
      </c>
      <c r="H390" s="144">
        <f t="shared" si="31"/>
        <v>9856</v>
      </c>
      <c r="I390" s="143">
        <f t="shared" si="32"/>
        <v>985</v>
      </c>
    </row>
    <row r="391" ht="17.25" spans="4:9">
      <c r="D391" s="143">
        <f t="shared" si="27"/>
        <v>294</v>
      </c>
      <c r="E391" s="93">
        <f t="shared" si="30"/>
        <v>205</v>
      </c>
      <c r="F391" s="143" t="str">
        <f t="shared" si="28"/>
        <v>头盔</v>
      </c>
      <c r="G391" s="143" t="str">
        <f t="shared" si="29"/>
        <v>红</v>
      </c>
      <c r="H391" s="144">
        <f t="shared" si="31"/>
        <v>12130</v>
      </c>
      <c r="I391" s="143">
        <f t="shared" si="32"/>
        <v>1213</v>
      </c>
    </row>
    <row r="392" ht="17.25" spans="4:9">
      <c r="D392" s="143">
        <f t="shared" si="27"/>
        <v>295</v>
      </c>
      <c r="E392" s="93">
        <f t="shared" si="30"/>
        <v>205</v>
      </c>
      <c r="F392" s="143" t="str">
        <f t="shared" si="28"/>
        <v>头盔</v>
      </c>
      <c r="G392" s="143" t="str">
        <f t="shared" si="29"/>
        <v>粉</v>
      </c>
      <c r="H392" s="144">
        <f t="shared" si="31"/>
        <v>15163</v>
      </c>
      <c r="I392" s="143">
        <f t="shared" si="32"/>
        <v>1516</v>
      </c>
    </row>
    <row r="393" ht="17.25" spans="4:9">
      <c r="D393" s="143">
        <f t="shared" ref="D393:D456" si="33">D392+1</f>
        <v>296</v>
      </c>
      <c r="E393" s="93">
        <f t="shared" si="30"/>
        <v>205</v>
      </c>
      <c r="F393" s="143" t="str">
        <f t="shared" si="28"/>
        <v>头盔</v>
      </c>
      <c r="G393" s="143" t="str">
        <f t="shared" si="29"/>
        <v>彩</v>
      </c>
      <c r="H393" s="144">
        <f t="shared" si="31"/>
        <v>18954</v>
      </c>
      <c r="I393" s="143">
        <f t="shared" si="32"/>
        <v>1895</v>
      </c>
    </row>
    <row r="394" ht="17.25" spans="4:9">
      <c r="D394" s="143">
        <f t="shared" si="33"/>
        <v>297</v>
      </c>
      <c r="E394" s="93">
        <f t="shared" si="30"/>
        <v>210</v>
      </c>
      <c r="F394" s="143" t="str">
        <f t="shared" ref="F394:F457" si="34">F386</f>
        <v>头盔</v>
      </c>
      <c r="G394" s="143" t="str">
        <f t="shared" ref="G394:G457" si="35">G386</f>
        <v>白</v>
      </c>
      <c r="H394" s="144">
        <f t="shared" si="31"/>
        <v>4866</v>
      </c>
      <c r="I394" s="143">
        <f t="shared" si="32"/>
        <v>486</v>
      </c>
    </row>
    <row r="395" ht="17.25" spans="4:9">
      <c r="D395" s="143">
        <f t="shared" si="33"/>
        <v>298</v>
      </c>
      <c r="E395" s="93">
        <f t="shared" si="30"/>
        <v>210</v>
      </c>
      <c r="F395" s="143" t="str">
        <f t="shared" si="34"/>
        <v>头盔</v>
      </c>
      <c r="G395" s="143" t="str">
        <f t="shared" si="35"/>
        <v>绿</v>
      </c>
      <c r="H395" s="144">
        <f t="shared" si="31"/>
        <v>6082</v>
      </c>
      <c r="I395" s="143">
        <f t="shared" si="32"/>
        <v>608</v>
      </c>
    </row>
    <row r="396" ht="17.25" spans="4:9">
      <c r="D396" s="143">
        <f t="shared" si="33"/>
        <v>299</v>
      </c>
      <c r="E396" s="93">
        <f t="shared" si="30"/>
        <v>210</v>
      </c>
      <c r="F396" s="143" t="str">
        <f t="shared" si="34"/>
        <v>头盔</v>
      </c>
      <c r="G396" s="143" t="str">
        <f t="shared" si="35"/>
        <v>蓝</v>
      </c>
      <c r="H396" s="144">
        <f t="shared" si="31"/>
        <v>7299</v>
      </c>
      <c r="I396" s="143">
        <f t="shared" si="32"/>
        <v>729</v>
      </c>
    </row>
    <row r="397" ht="17.25" spans="4:9">
      <c r="D397" s="143">
        <f t="shared" si="33"/>
        <v>300</v>
      </c>
      <c r="E397" s="93">
        <f t="shared" si="30"/>
        <v>210</v>
      </c>
      <c r="F397" s="143" t="str">
        <f t="shared" si="34"/>
        <v>头盔</v>
      </c>
      <c r="G397" s="143" t="str">
        <f t="shared" si="35"/>
        <v>紫</v>
      </c>
      <c r="H397" s="144">
        <f t="shared" si="31"/>
        <v>8758</v>
      </c>
      <c r="I397" s="143">
        <f t="shared" si="32"/>
        <v>875</v>
      </c>
    </row>
    <row r="398" ht="17.25" spans="4:9">
      <c r="D398" s="143">
        <f t="shared" si="33"/>
        <v>301</v>
      </c>
      <c r="E398" s="93">
        <f t="shared" si="30"/>
        <v>210</v>
      </c>
      <c r="F398" s="143" t="str">
        <f t="shared" si="34"/>
        <v>头盔</v>
      </c>
      <c r="G398" s="143" t="str">
        <f t="shared" si="35"/>
        <v>橙</v>
      </c>
      <c r="H398" s="144">
        <f t="shared" si="31"/>
        <v>10543</v>
      </c>
      <c r="I398" s="143">
        <f t="shared" si="32"/>
        <v>1054</v>
      </c>
    </row>
    <row r="399" ht="17.25" spans="4:9">
      <c r="D399" s="143">
        <f t="shared" si="33"/>
        <v>302</v>
      </c>
      <c r="E399" s="93">
        <f t="shared" si="30"/>
        <v>210</v>
      </c>
      <c r="F399" s="143" t="str">
        <f t="shared" si="34"/>
        <v>头盔</v>
      </c>
      <c r="G399" s="143" t="str">
        <f t="shared" si="35"/>
        <v>红</v>
      </c>
      <c r="H399" s="144">
        <f t="shared" si="31"/>
        <v>12976</v>
      </c>
      <c r="I399" s="143">
        <f t="shared" si="32"/>
        <v>1297</v>
      </c>
    </row>
    <row r="400" ht="17.25" spans="4:9">
      <c r="D400" s="143">
        <f t="shared" si="33"/>
        <v>303</v>
      </c>
      <c r="E400" s="93">
        <f t="shared" si="30"/>
        <v>210</v>
      </c>
      <c r="F400" s="143" t="str">
        <f t="shared" si="34"/>
        <v>头盔</v>
      </c>
      <c r="G400" s="143" t="str">
        <f t="shared" si="35"/>
        <v>粉</v>
      </c>
      <c r="H400" s="144">
        <f t="shared" si="31"/>
        <v>16220</v>
      </c>
      <c r="I400" s="143">
        <f t="shared" si="32"/>
        <v>1622</v>
      </c>
    </row>
    <row r="401" ht="17.25" spans="4:9">
      <c r="D401" s="143">
        <f t="shared" si="33"/>
        <v>304</v>
      </c>
      <c r="E401" s="93">
        <f t="shared" si="30"/>
        <v>210</v>
      </c>
      <c r="F401" s="143" t="str">
        <f t="shared" si="34"/>
        <v>头盔</v>
      </c>
      <c r="G401" s="143" t="str">
        <f t="shared" si="35"/>
        <v>彩</v>
      </c>
      <c r="H401" s="144">
        <f t="shared" si="31"/>
        <v>20275</v>
      </c>
      <c r="I401" s="143">
        <f t="shared" si="32"/>
        <v>2027</v>
      </c>
    </row>
    <row r="402" ht="17.25" spans="4:9">
      <c r="D402" s="143">
        <f t="shared" si="33"/>
        <v>305</v>
      </c>
      <c r="E402" s="93">
        <f t="shared" ref="E402:E465" si="36">E394+5</f>
        <v>215</v>
      </c>
      <c r="F402" s="143" t="str">
        <f t="shared" si="34"/>
        <v>头盔</v>
      </c>
      <c r="G402" s="143" t="str">
        <f t="shared" si="35"/>
        <v>白</v>
      </c>
      <c r="H402" s="144">
        <f t="shared" si="31"/>
        <v>5230</v>
      </c>
      <c r="I402" s="143">
        <f t="shared" si="32"/>
        <v>523</v>
      </c>
    </row>
    <row r="403" ht="17.25" spans="4:9">
      <c r="D403" s="143">
        <f t="shared" si="33"/>
        <v>306</v>
      </c>
      <c r="E403" s="93">
        <f t="shared" si="36"/>
        <v>215</v>
      </c>
      <c r="F403" s="143" t="str">
        <f t="shared" si="34"/>
        <v>头盔</v>
      </c>
      <c r="G403" s="143" t="str">
        <f t="shared" si="35"/>
        <v>绿</v>
      </c>
      <c r="H403" s="144">
        <f t="shared" si="31"/>
        <v>6538</v>
      </c>
      <c r="I403" s="143">
        <f t="shared" si="32"/>
        <v>653</v>
      </c>
    </row>
    <row r="404" ht="17.25" spans="4:9">
      <c r="D404" s="143">
        <f t="shared" si="33"/>
        <v>307</v>
      </c>
      <c r="E404" s="93">
        <f t="shared" si="36"/>
        <v>215</v>
      </c>
      <c r="F404" s="143" t="str">
        <f t="shared" si="34"/>
        <v>头盔</v>
      </c>
      <c r="G404" s="143" t="str">
        <f t="shared" si="35"/>
        <v>蓝</v>
      </c>
      <c r="H404" s="144">
        <f t="shared" si="31"/>
        <v>7845</v>
      </c>
      <c r="I404" s="143">
        <f t="shared" si="32"/>
        <v>784</v>
      </c>
    </row>
    <row r="405" ht="17.25" spans="4:9">
      <c r="D405" s="143">
        <f t="shared" si="33"/>
        <v>308</v>
      </c>
      <c r="E405" s="93">
        <f t="shared" si="36"/>
        <v>215</v>
      </c>
      <c r="F405" s="143" t="str">
        <f t="shared" si="34"/>
        <v>头盔</v>
      </c>
      <c r="G405" s="143" t="str">
        <f t="shared" si="35"/>
        <v>紫</v>
      </c>
      <c r="H405" s="144">
        <f t="shared" ref="H405:H465" si="37">INT(VLOOKUP($E405,$D$15:$G$61,MATCH(H$84,$D$14:$G$14,0),0)*VLOOKUP($G405,$D$66:$F$73,2,0)/6*_xlfn.XLOOKUP($F405,$E$76:$E$81,$F$76:$F$81))</f>
        <v>9414</v>
      </c>
      <c r="I405" s="143">
        <f t="shared" si="32"/>
        <v>941</v>
      </c>
    </row>
    <row r="406" ht="17.25" spans="4:9">
      <c r="D406" s="143">
        <f t="shared" si="33"/>
        <v>309</v>
      </c>
      <c r="E406" s="93">
        <f t="shared" si="36"/>
        <v>215</v>
      </c>
      <c r="F406" s="143" t="str">
        <f t="shared" si="34"/>
        <v>头盔</v>
      </c>
      <c r="G406" s="143" t="str">
        <f t="shared" si="35"/>
        <v>橙</v>
      </c>
      <c r="H406" s="144">
        <f t="shared" si="37"/>
        <v>11332</v>
      </c>
      <c r="I406" s="143">
        <f t="shared" si="32"/>
        <v>1133</v>
      </c>
    </row>
    <row r="407" ht="17.25" spans="4:9">
      <c r="D407" s="143">
        <f t="shared" si="33"/>
        <v>310</v>
      </c>
      <c r="E407" s="93">
        <f t="shared" si="36"/>
        <v>215</v>
      </c>
      <c r="F407" s="143" t="str">
        <f t="shared" si="34"/>
        <v>头盔</v>
      </c>
      <c r="G407" s="143" t="str">
        <f t="shared" si="35"/>
        <v>红</v>
      </c>
      <c r="H407" s="144">
        <f t="shared" si="37"/>
        <v>13948</v>
      </c>
      <c r="I407" s="143">
        <f t="shared" si="32"/>
        <v>1394</v>
      </c>
    </row>
    <row r="408" ht="17.25" spans="4:9">
      <c r="D408" s="143">
        <f t="shared" si="33"/>
        <v>311</v>
      </c>
      <c r="E408" s="93">
        <f t="shared" si="36"/>
        <v>215</v>
      </c>
      <c r="F408" s="143" t="str">
        <f t="shared" si="34"/>
        <v>头盔</v>
      </c>
      <c r="G408" s="143" t="str">
        <f t="shared" si="35"/>
        <v>粉</v>
      </c>
      <c r="H408" s="144">
        <f t="shared" si="37"/>
        <v>17435</v>
      </c>
      <c r="I408" s="143">
        <f t="shared" si="32"/>
        <v>1743</v>
      </c>
    </row>
    <row r="409" ht="17.25" spans="4:9">
      <c r="D409" s="143">
        <f t="shared" si="33"/>
        <v>312</v>
      </c>
      <c r="E409" s="93">
        <f t="shared" si="36"/>
        <v>215</v>
      </c>
      <c r="F409" s="143" t="str">
        <f t="shared" si="34"/>
        <v>头盔</v>
      </c>
      <c r="G409" s="143" t="str">
        <f t="shared" si="35"/>
        <v>彩</v>
      </c>
      <c r="H409" s="144">
        <f t="shared" si="37"/>
        <v>21793</v>
      </c>
      <c r="I409" s="143">
        <f t="shared" si="32"/>
        <v>2179</v>
      </c>
    </row>
    <row r="410" ht="17.25" spans="4:9">
      <c r="D410" s="143">
        <f t="shared" si="33"/>
        <v>313</v>
      </c>
      <c r="E410" s="93">
        <f t="shared" si="36"/>
        <v>220</v>
      </c>
      <c r="F410" s="143" t="str">
        <f t="shared" si="34"/>
        <v>头盔</v>
      </c>
      <c r="G410" s="143" t="str">
        <f t="shared" si="35"/>
        <v>白</v>
      </c>
      <c r="H410" s="144">
        <f t="shared" si="37"/>
        <v>5595</v>
      </c>
      <c r="I410" s="143">
        <f t="shared" si="32"/>
        <v>559</v>
      </c>
    </row>
    <row r="411" ht="17.25" spans="4:9">
      <c r="D411" s="143">
        <f t="shared" si="33"/>
        <v>314</v>
      </c>
      <c r="E411" s="93">
        <f t="shared" si="36"/>
        <v>220</v>
      </c>
      <c r="F411" s="143" t="str">
        <f t="shared" si="34"/>
        <v>头盔</v>
      </c>
      <c r="G411" s="143" t="str">
        <f t="shared" si="35"/>
        <v>绿</v>
      </c>
      <c r="H411" s="144">
        <f t="shared" si="37"/>
        <v>6993</v>
      </c>
      <c r="I411" s="143">
        <f t="shared" ref="I411:I465" si="38">INT(VLOOKUP($E411,$D$15:$G$61,MATCH(I$84,$D$14:$G$14,0),0)*VLOOKUP($G411,$D$66:$F$73,2,0)/6*_xlfn.XLOOKUP($F411,$E$76:$E$81,$F$76:$F$81))</f>
        <v>699</v>
      </c>
    </row>
    <row r="412" ht="17.25" spans="4:9">
      <c r="D412" s="143">
        <f t="shared" si="33"/>
        <v>315</v>
      </c>
      <c r="E412" s="93">
        <f t="shared" si="36"/>
        <v>220</v>
      </c>
      <c r="F412" s="143" t="str">
        <f t="shared" si="34"/>
        <v>头盔</v>
      </c>
      <c r="G412" s="143" t="str">
        <f t="shared" si="35"/>
        <v>蓝</v>
      </c>
      <c r="H412" s="144">
        <f t="shared" si="37"/>
        <v>8392</v>
      </c>
      <c r="I412" s="143">
        <f t="shared" si="38"/>
        <v>839</v>
      </c>
    </row>
    <row r="413" ht="17.25" spans="4:9">
      <c r="D413" s="143">
        <f t="shared" si="33"/>
        <v>316</v>
      </c>
      <c r="E413" s="93">
        <f t="shared" si="36"/>
        <v>220</v>
      </c>
      <c r="F413" s="143" t="str">
        <f t="shared" si="34"/>
        <v>头盔</v>
      </c>
      <c r="G413" s="143" t="str">
        <f t="shared" si="35"/>
        <v>紫</v>
      </c>
      <c r="H413" s="144">
        <f t="shared" si="37"/>
        <v>10071</v>
      </c>
      <c r="I413" s="143">
        <f t="shared" si="38"/>
        <v>1007</v>
      </c>
    </row>
    <row r="414" ht="17.25" spans="4:9">
      <c r="D414" s="143">
        <f t="shared" si="33"/>
        <v>317</v>
      </c>
      <c r="E414" s="93">
        <f t="shared" si="36"/>
        <v>220</v>
      </c>
      <c r="F414" s="143" t="str">
        <f t="shared" si="34"/>
        <v>头盔</v>
      </c>
      <c r="G414" s="143" t="str">
        <f t="shared" si="35"/>
        <v>橙</v>
      </c>
      <c r="H414" s="144">
        <f t="shared" si="37"/>
        <v>12122</v>
      </c>
      <c r="I414" s="143">
        <f t="shared" si="38"/>
        <v>1212</v>
      </c>
    </row>
    <row r="415" ht="17.25" spans="4:9">
      <c r="D415" s="143">
        <f t="shared" si="33"/>
        <v>318</v>
      </c>
      <c r="E415" s="93">
        <f t="shared" si="36"/>
        <v>220</v>
      </c>
      <c r="F415" s="143" t="str">
        <f t="shared" si="34"/>
        <v>头盔</v>
      </c>
      <c r="G415" s="143" t="str">
        <f t="shared" si="35"/>
        <v>红</v>
      </c>
      <c r="H415" s="144">
        <f t="shared" si="37"/>
        <v>14920</v>
      </c>
      <c r="I415" s="143">
        <f t="shared" si="38"/>
        <v>1492</v>
      </c>
    </row>
    <row r="416" ht="17.25" spans="4:9">
      <c r="D416" s="143">
        <f t="shared" si="33"/>
        <v>319</v>
      </c>
      <c r="E416" s="93">
        <f t="shared" si="36"/>
        <v>220</v>
      </c>
      <c r="F416" s="143" t="str">
        <f t="shared" si="34"/>
        <v>头盔</v>
      </c>
      <c r="G416" s="143" t="str">
        <f t="shared" si="35"/>
        <v>粉</v>
      </c>
      <c r="H416" s="144">
        <f t="shared" si="37"/>
        <v>18650</v>
      </c>
      <c r="I416" s="143">
        <f t="shared" si="38"/>
        <v>1865</v>
      </c>
    </row>
    <row r="417" ht="17.25" spans="4:9">
      <c r="D417" s="143">
        <f t="shared" si="33"/>
        <v>320</v>
      </c>
      <c r="E417" s="93">
        <f t="shared" si="36"/>
        <v>220</v>
      </c>
      <c r="F417" s="143" t="str">
        <f t="shared" si="34"/>
        <v>头盔</v>
      </c>
      <c r="G417" s="143" t="str">
        <f t="shared" si="35"/>
        <v>彩</v>
      </c>
      <c r="H417" s="144">
        <f t="shared" si="37"/>
        <v>23312</v>
      </c>
      <c r="I417" s="143">
        <f t="shared" si="38"/>
        <v>2331</v>
      </c>
    </row>
    <row r="418" ht="17.25" spans="4:9">
      <c r="D418" s="143">
        <f t="shared" si="33"/>
        <v>321</v>
      </c>
      <c r="E418" s="93">
        <f t="shared" si="36"/>
        <v>225</v>
      </c>
      <c r="F418" s="143" t="str">
        <f t="shared" si="34"/>
        <v>头盔</v>
      </c>
      <c r="G418" s="143" t="str">
        <f t="shared" si="35"/>
        <v>白</v>
      </c>
      <c r="H418" s="144">
        <f t="shared" si="37"/>
        <v>6014</v>
      </c>
      <c r="I418" s="143">
        <f t="shared" si="38"/>
        <v>601</v>
      </c>
    </row>
    <row r="419" ht="17.25" spans="4:9">
      <c r="D419" s="143">
        <f t="shared" si="33"/>
        <v>322</v>
      </c>
      <c r="E419" s="93">
        <f t="shared" si="36"/>
        <v>225</v>
      </c>
      <c r="F419" s="143" t="str">
        <f t="shared" si="34"/>
        <v>头盔</v>
      </c>
      <c r="G419" s="143" t="str">
        <f t="shared" si="35"/>
        <v>绿</v>
      </c>
      <c r="H419" s="144">
        <f t="shared" si="37"/>
        <v>7518</v>
      </c>
      <c r="I419" s="143">
        <f t="shared" si="38"/>
        <v>751</v>
      </c>
    </row>
    <row r="420" ht="17.25" spans="4:9">
      <c r="D420" s="143">
        <f t="shared" si="33"/>
        <v>323</v>
      </c>
      <c r="E420" s="93">
        <f t="shared" si="36"/>
        <v>225</v>
      </c>
      <c r="F420" s="143" t="str">
        <f t="shared" si="34"/>
        <v>头盔</v>
      </c>
      <c r="G420" s="143" t="str">
        <f t="shared" si="35"/>
        <v>蓝</v>
      </c>
      <c r="H420" s="144">
        <f t="shared" si="37"/>
        <v>9021</v>
      </c>
      <c r="I420" s="143">
        <f t="shared" si="38"/>
        <v>902</v>
      </c>
    </row>
    <row r="421" ht="17.25" spans="4:9">
      <c r="D421" s="143">
        <f t="shared" si="33"/>
        <v>324</v>
      </c>
      <c r="E421" s="93">
        <f t="shared" si="36"/>
        <v>225</v>
      </c>
      <c r="F421" s="143" t="str">
        <f t="shared" si="34"/>
        <v>头盔</v>
      </c>
      <c r="G421" s="143" t="str">
        <f t="shared" si="35"/>
        <v>紫</v>
      </c>
      <c r="H421" s="144">
        <f t="shared" si="37"/>
        <v>10826</v>
      </c>
      <c r="I421" s="143">
        <f t="shared" si="38"/>
        <v>1082</v>
      </c>
    </row>
    <row r="422" ht="17.25" spans="4:9">
      <c r="D422" s="143">
        <f t="shared" si="33"/>
        <v>325</v>
      </c>
      <c r="E422" s="93">
        <f t="shared" si="36"/>
        <v>225</v>
      </c>
      <c r="F422" s="143" t="str">
        <f t="shared" si="34"/>
        <v>头盔</v>
      </c>
      <c r="G422" s="143" t="str">
        <f t="shared" si="35"/>
        <v>橙</v>
      </c>
      <c r="H422" s="144">
        <f t="shared" si="37"/>
        <v>13031</v>
      </c>
      <c r="I422" s="143">
        <f t="shared" si="38"/>
        <v>1303</v>
      </c>
    </row>
    <row r="423" ht="17.25" spans="4:9">
      <c r="D423" s="143">
        <f t="shared" si="33"/>
        <v>326</v>
      </c>
      <c r="E423" s="93">
        <f t="shared" si="36"/>
        <v>225</v>
      </c>
      <c r="F423" s="143" t="str">
        <f t="shared" si="34"/>
        <v>头盔</v>
      </c>
      <c r="G423" s="143" t="str">
        <f t="shared" si="35"/>
        <v>红</v>
      </c>
      <c r="H423" s="144">
        <f t="shared" si="37"/>
        <v>16038</v>
      </c>
      <c r="I423" s="143">
        <f t="shared" si="38"/>
        <v>1603</v>
      </c>
    </row>
    <row r="424" ht="17.25" spans="4:9">
      <c r="D424" s="143">
        <f t="shared" si="33"/>
        <v>327</v>
      </c>
      <c r="E424" s="93">
        <f t="shared" si="36"/>
        <v>225</v>
      </c>
      <c r="F424" s="143" t="str">
        <f t="shared" si="34"/>
        <v>头盔</v>
      </c>
      <c r="G424" s="143" t="str">
        <f t="shared" si="35"/>
        <v>粉</v>
      </c>
      <c r="H424" s="144">
        <f t="shared" si="37"/>
        <v>20048</v>
      </c>
      <c r="I424" s="143">
        <f t="shared" si="38"/>
        <v>2004</v>
      </c>
    </row>
    <row r="425" ht="17.25" spans="4:9">
      <c r="D425" s="143">
        <f t="shared" si="33"/>
        <v>328</v>
      </c>
      <c r="E425" s="93">
        <f t="shared" si="36"/>
        <v>225</v>
      </c>
      <c r="F425" s="143" t="str">
        <f t="shared" si="34"/>
        <v>头盔</v>
      </c>
      <c r="G425" s="143" t="str">
        <f t="shared" si="35"/>
        <v>彩</v>
      </c>
      <c r="H425" s="144">
        <f t="shared" si="37"/>
        <v>25060</v>
      </c>
      <c r="I425" s="143">
        <f t="shared" si="38"/>
        <v>2506</v>
      </c>
    </row>
    <row r="426" ht="17.25" spans="4:9">
      <c r="D426" s="143">
        <f t="shared" si="33"/>
        <v>329</v>
      </c>
      <c r="E426" s="93">
        <f t="shared" si="36"/>
        <v>230</v>
      </c>
      <c r="F426" s="143" t="str">
        <f t="shared" si="34"/>
        <v>头盔</v>
      </c>
      <c r="G426" s="143" t="str">
        <f t="shared" si="35"/>
        <v>白</v>
      </c>
      <c r="H426" s="144">
        <f t="shared" si="37"/>
        <v>6434</v>
      </c>
      <c r="I426" s="143">
        <f t="shared" si="38"/>
        <v>643</v>
      </c>
    </row>
    <row r="427" ht="17.25" spans="4:9">
      <c r="D427" s="143">
        <f t="shared" si="33"/>
        <v>330</v>
      </c>
      <c r="E427" s="93">
        <f t="shared" si="36"/>
        <v>230</v>
      </c>
      <c r="F427" s="143" t="str">
        <f t="shared" si="34"/>
        <v>头盔</v>
      </c>
      <c r="G427" s="143" t="str">
        <f t="shared" si="35"/>
        <v>绿</v>
      </c>
      <c r="H427" s="144">
        <f t="shared" si="37"/>
        <v>8042</v>
      </c>
      <c r="I427" s="143">
        <f t="shared" si="38"/>
        <v>804</v>
      </c>
    </row>
    <row r="428" ht="17.25" spans="4:9">
      <c r="D428" s="143">
        <f t="shared" si="33"/>
        <v>331</v>
      </c>
      <c r="E428" s="93">
        <f t="shared" si="36"/>
        <v>230</v>
      </c>
      <c r="F428" s="143" t="str">
        <f t="shared" si="34"/>
        <v>头盔</v>
      </c>
      <c r="G428" s="143" t="str">
        <f t="shared" si="35"/>
        <v>蓝</v>
      </c>
      <c r="H428" s="144">
        <f t="shared" si="37"/>
        <v>9651</v>
      </c>
      <c r="I428" s="143">
        <f t="shared" si="38"/>
        <v>965</v>
      </c>
    </row>
    <row r="429" ht="17.25" spans="4:9">
      <c r="D429" s="143">
        <f t="shared" si="33"/>
        <v>332</v>
      </c>
      <c r="E429" s="93">
        <f t="shared" si="36"/>
        <v>230</v>
      </c>
      <c r="F429" s="143" t="str">
        <f t="shared" si="34"/>
        <v>头盔</v>
      </c>
      <c r="G429" s="143" t="str">
        <f t="shared" si="35"/>
        <v>紫</v>
      </c>
      <c r="H429" s="144">
        <f t="shared" si="37"/>
        <v>11581</v>
      </c>
      <c r="I429" s="143">
        <f t="shared" si="38"/>
        <v>1158</v>
      </c>
    </row>
    <row r="430" ht="17.25" spans="4:9">
      <c r="D430" s="143">
        <f t="shared" si="33"/>
        <v>333</v>
      </c>
      <c r="E430" s="93">
        <f t="shared" si="36"/>
        <v>230</v>
      </c>
      <c r="F430" s="143" t="str">
        <f t="shared" si="34"/>
        <v>头盔</v>
      </c>
      <c r="G430" s="143" t="str">
        <f t="shared" si="35"/>
        <v>橙</v>
      </c>
      <c r="H430" s="144">
        <f t="shared" si="37"/>
        <v>13940</v>
      </c>
      <c r="I430" s="143">
        <f t="shared" si="38"/>
        <v>1394</v>
      </c>
    </row>
    <row r="431" ht="17.25" spans="4:9">
      <c r="D431" s="143">
        <f t="shared" si="33"/>
        <v>334</v>
      </c>
      <c r="E431" s="93">
        <f t="shared" si="36"/>
        <v>230</v>
      </c>
      <c r="F431" s="143" t="str">
        <f t="shared" si="34"/>
        <v>头盔</v>
      </c>
      <c r="G431" s="143" t="str">
        <f t="shared" si="35"/>
        <v>红</v>
      </c>
      <c r="H431" s="144">
        <f t="shared" si="37"/>
        <v>17157</v>
      </c>
      <c r="I431" s="143">
        <f t="shared" si="38"/>
        <v>1715</v>
      </c>
    </row>
    <row r="432" ht="17.25" spans="4:9">
      <c r="D432" s="143">
        <f t="shared" si="33"/>
        <v>335</v>
      </c>
      <c r="E432" s="93">
        <f t="shared" si="36"/>
        <v>230</v>
      </c>
      <c r="F432" s="143" t="str">
        <f t="shared" si="34"/>
        <v>头盔</v>
      </c>
      <c r="G432" s="143" t="str">
        <f t="shared" si="35"/>
        <v>粉</v>
      </c>
      <c r="H432" s="144">
        <f t="shared" si="37"/>
        <v>21446</v>
      </c>
      <c r="I432" s="143">
        <f t="shared" si="38"/>
        <v>2144</v>
      </c>
    </row>
    <row r="433" ht="17.25" spans="4:9">
      <c r="D433" s="143">
        <f t="shared" si="33"/>
        <v>336</v>
      </c>
      <c r="E433" s="93">
        <f t="shared" si="36"/>
        <v>230</v>
      </c>
      <c r="F433" s="143" t="str">
        <f t="shared" si="34"/>
        <v>头盔</v>
      </c>
      <c r="G433" s="143" t="str">
        <f t="shared" si="35"/>
        <v>彩</v>
      </c>
      <c r="H433" s="144">
        <f t="shared" si="37"/>
        <v>26808</v>
      </c>
      <c r="I433" s="143">
        <f t="shared" si="38"/>
        <v>2680</v>
      </c>
    </row>
    <row r="434" ht="17.25" spans="4:9">
      <c r="D434" s="143">
        <f t="shared" si="33"/>
        <v>337</v>
      </c>
      <c r="E434" s="93">
        <f t="shared" si="36"/>
        <v>235</v>
      </c>
      <c r="F434" s="143" t="str">
        <f t="shared" si="34"/>
        <v>头盔</v>
      </c>
      <c r="G434" s="143" t="str">
        <f t="shared" si="35"/>
        <v>白</v>
      </c>
      <c r="H434" s="144">
        <f t="shared" si="37"/>
        <v>6916</v>
      </c>
      <c r="I434" s="143">
        <f t="shared" si="38"/>
        <v>691</v>
      </c>
    </row>
    <row r="435" ht="17.25" spans="4:9">
      <c r="D435" s="143">
        <f t="shared" si="33"/>
        <v>338</v>
      </c>
      <c r="E435" s="93">
        <f t="shared" si="36"/>
        <v>235</v>
      </c>
      <c r="F435" s="143" t="str">
        <f t="shared" si="34"/>
        <v>头盔</v>
      </c>
      <c r="G435" s="143" t="str">
        <f t="shared" si="35"/>
        <v>绿</v>
      </c>
      <c r="H435" s="144">
        <f t="shared" si="37"/>
        <v>8645</v>
      </c>
      <c r="I435" s="143">
        <f t="shared" si="38"/>
        <v>864</v>
      </c>
    </row>
    <row r="436" ht="17.25" spans="4:9">
      <c r="D436" s="143">
        <f t="shared" si="33"/>
        <v>339</v>
      </c>
      <c r="E436" s="93">
        <f t="shared" si="36"/>
        <v>235</v>
      </c>
      <c r="F436" s="143" t="str">
        <f t="shared" si="34"/>
        <v>头盔</v>
      </c>
      <c r="G436" s="143" t="str">
        <f t="shared" si="35"/>
        <v>蓝</v>
      </c>
      <c r="H436" s="144">
        <f t="shared" si="37"/>
        <v>10374</v>
      </c>
      <c r="I436" s="143">
        <f t="shared" si="38"/>
        <v>1037</v>
      </c>
    </row>
    <row r="437" ht="17.25" spans="4:9">
      <c r="D437" s="143">
        <f t="shared" si="33"/>
        <v>340</v>
      </c>
      <c r="E437" s="93">
        <f t="shared" si="36"/>
        <v>235</v>
      </c>
      <c r="F437" s="143" t="str">
        <f t="shared" si="34"/>
        <v>头盔</v>
      </c>
      <c r="G437" s="143" t="str">
        <f t="shared" si="35"/>
        <v>紫</v>
      </c>
      <c r="H437" s="144">
        <f t="shared" si="37"/>
        <v>12449</v>
      </c>
      <c r="I437" s="143">
        <f t="shared" si="38"/>
        <v>1244</v>
      </c>
    </row>
    <row r="438" ht="17.25" spans="4:9">
      <c r="D438" s="143">
        <f t="shared" si="33"/>
        <v>341</v>
      </c>
      <c r="E438" s="93">
        <f t="shared" si="36"/>
        <v>235</v>
      </c>
      <c r="F438" s="143" t="str">
        <f t="shared" si="34"/>
        <v>头盔</v>
      </c>
      <c r="G438" s="143" t="str">
        <f t="shared" si="35"/>
        <v>橙</v>
      </c>
      <c r="H438" s="144">
        <f t="shared" si="37"/>
        <v>14985</v>
      </c>
      <c r="I438" s="143">
        <f t="shared" si="38"/>
        <v>1498</v>
      </c>
    </row>
    <row r="439" ht="17.25" spans="4:9">
      <c r="D439" s="143">
        <f t="shared" si="33"/>
        <v>342</v>
      </c>
      <c r="E439" s="93">
        <f t="shared" si="36"/>
        <v>235</v>
      </c>
      <c r="F439" s="143" t="str">
        <f t="shared" si="34"/>
        <v>头盔</v>
      </c>
      <c r="G439" s="143" t="str">
        <f t="shared" si="35"/>
        <v>红</v>
      </c>
      <c r="H439" s="144">
        <f t="shared" si="37"/>
        <v>18444</v>
      </c>
      <c r="I439" s="143">
        <f t="shared" si="38"/>
        <v>1844</v>
      </c>
    </row>
    <row r="440" ht="17.25" spans="4:9">
      <c r="D440" s="143">
        <f t="shared" si="33"/>
        <v>343</v>
      </c>
      <c r="E440" s="93">
        <f t="shared" si="36"/>
        <v>235</v>
      </c>
      <c r="F440" s="143" t="str">
        <f t="shared" si="34"/>
        <v>头盔</v>
      </c>
      <c r="G440" s="143" t="str">
        <f t="shared" si="35"/>
        <v>粉</v>
      </c>
      <c r="H440" s="144">
        <f t="shared" si="37"/>
        <v>23055</v>
      </c>
      <c r="I440" s="143">
        <f t="shared" si="38"/>
        <v>2305</v>
      </c>
    </row>
    <row r="441" ht="17.25" spans="4:9">
      <c r="D441" s="143">
        <f t="shared" si="33"/>
        <v>344</v>
      </c>
      <c r="E441" s="93">
        <f t="shared" si="36"/>
        <v>235</v>
      </c>
      <c r="F441" s="143" t="str">
        <f t="shared" si="34"/>
        <v>头盔</v>
      </c>
      <c r="G441" s="143" t="str">
        <f t="shared" si="35"/>
        <v>彩</v>
      </c>
      <c r="H441" s="144">
        <f t="shared" si="37"/>
        <v>28818</v>
      </c>
      <c r="I441" s="143">
        <f t="shared" si="38"/>
        <v>2881</v>
      </c>
    </row>
    <row r="442" ht="17.25" spans="4:9">
      <c r="D442" s="143">
        <f t="shared" si="33"/>
        <v>345</v>
      </c>
      <c r="E442" s="93">
        <f t="shared" si="36"/>
        <v>240</v>
      </c>
      <c r="F442" s="143" t="str">
        <f t="shared" si="34"/>
        <v>头盔</v>
      </c>
      <c r="G442" s="143" t="str">
        <f t="shared" si="35"/>
        <v>白</v>
      </c>
      <c r="H442" s="144">
        <f t="shared" si="37"/>
        <v>7399</v>
      </c>
      <c r="I442" s="143">
        <f t="shared" si="38"/>
        <v>739</v>
      </c>
    </row>
    <row r="443" ht="17.25" spans="4:9">
      <c r="D443" s="143">
        <f t="shared" si="33"/>
        <v>346</v>
      </c>
      <c r="E443" s="93">
        <f t="shared" si="36"/>
        <v>240</v>
      </c>
      <c r="F443" s="143" t="str">
        <f t="shared" si="34"/>
        <v>头盔</v>
      </c>
      <c r="G443" s="143" t="str">
        <f t="shared" si="35"/>
        <v>绿</v>
      </c>
      <c r="H443" s="144">
        <f t="shared" si="37"/>
        <v>9248</v>
      </c>
      <c r="I443" s="143">
        <f t="shared" si="38"/>
        <v>924</v>
      </c>
    </row>
    <row r="444" ht="17.25" spans="4:9">
      <c r="D444" s="143">
        <f t="shared" si="33"/>
        <v>347</v>
      </c>
      <c r="E444" s="93">
        <f t="shared" si="36"/>
        <v>240</v>
      </c>
      <c r="F444" s="143" t="str">
        <f t="shared" si="34"/>
        <v>头盔</v>
      </c>
      <c r="G444" s="143" t="str">
        <f t="shared" si="35"/>
        <v>蓝</v>
      </c>
      <c r="H444" s="144">
        <f t="shared" si="37"/>
        <v>11098</v>
      </c>
      <c r="I444" s="143">
        <f t="shared" si="38"/>
        <v>1109</v>
      </c>
    </row>
    <row r="445" ht="17.25" spans="4:9">
      <c r="D445" s="143">
        <f t="shared" si="33"/>
        <v>348</v>
      </c>
      <c r="E445" s="93">
        <f t="shared" si="36"/>
        <v>240</v>
      </c>
      <c r="F445" s="143" t="str">
        <f t="shared" si="34"/>
        <v>头盔</v>
      </c>
      <c r="G445" s="143" t="str">
        <f t="shared" si="35"/>
        <v>紫</v>
      </c>
      <c r="H445" s="144">
        <f t="shared" si="37"/>
        <v>13318</v>
      </c>
      <c r="I445" s="143">
        <f t="shared" si="38"/>
        <v>1331</v>
      </c>
    </row>
    <row r="446" ht="17.25" spans="4:9">
      <c r="D446" s="143">
        <f t="shared" si="33"/>
        <v>349</v>
      </c>
      <c r="E446" s="93">
        <f t="shared" si="36"/>
        <v>240</v>
      </c>
      <c r="F446" s="143" t="str">
        <f t="shared" si="34"/>
        <v>头盔</v>
      </c>
      <c r="G446" s="143" t="str">
        <f t="shared" si="35"/>
        <v>橙</v>
      </c>
      <c r="H446" s="144">
        <f t="shared" si="37"/>
        <v>16031</v>
      </c>
      <c r="I446" s="143">
        <f t="shared" si="38"/>
        <v>1603</v>
      </c>
    </row>
    <row r="447" ht="17.25" spans="4:9">
      <c r="D447" s="143">
        <f t="shared" si="33"/>
        <v>350</v>
      </c>
      <c r="E447" s="93">
        <f t="shared" si="36"/>
        <v>240</v>
      </c>
      <c r="F447" s="143" t="str">
        <f t="shared" si="34"/>
        <v>头盔</v>
      </c>
      <c r="G447" s="143" t="str">
        <f t="shared" si="35"/>
        <v>红</v>
      </c>
      <c r="H447" s="144">
        <f t="shared" si="37"/>
        <v>19730</v>
      </c>
      <c r="I447" s="143">
        <f t="shared" si="38"/>
        <v>1973</v>
      </c>
    </row>
    <row r="448" ht="17.25" spans="4:9">
      <c r="D448" s="143">
        <f t="shared" si="33"/>
        <v>351</v>
      </c>
      <c r="E448" s="93">
        <f t="shared" si="36"/>
        <v>240</v>
      </c>
      <c r="F448" s="143" t="str">
        <f t="shared" si="34"/>
        <v>头盔</v>
      </c>
      <c r="G448" s="143" t="str">
        <f t="shared" si="35"/>
        <v>粉</v>
      </c>
      <c r="H448" s="144">
        <f t="shared" si="37"/>
        <v>24663</v>
      </c>
      <c r="I448" s="143">
        <f t="shared" si="38"/>
        <v>2466</v>
      </c>
    </row>
    <row r="449" ht="17.25" spans="4:9">
      <c r="D449" s="143">
        <f t="shared" si="33"/>
        <v>352</v>
      </c>
      <c r="E449" s="93">
        <f t="shared" si="36"/>
        <v>240</v>
      </c>
      <c r="F449" s="143" t="str">
        <f t="shared" si="34"/>
        <v>头盔</v>
      </c>
      <c r="G449" s="143" t="str">
        <f t="shared" si="35"/>
        <v>彩</v>
      </c>
      <c r="H449" s="144">
        <f t="shared" si="37"/>
        <v>30829</v>
      </c>
      <c r="I449" s="143">
        <f t="shared" si="38"/>
        <v>3082</v>
      </c>
    </row>
    <row r="450" ht="17.25" spans="4:9">
      <c r="D450" s="143">
        <f t="shared" si="33"/>
        <v>353</v>
      </c>
      <c r="E450" s="93">
        <f t="shared" si="36"/>
        <v>245</v>
      </c>
      <c r="F450" s="143" t="str">
        <f t="shared" si="34"/>
        <v>头盔</v>
      </c>
      <c r="G450" s="143" t="str">
        <f t="shared" si="35"/>
        <v>白</v>
      </c>
      <c r="H450" s="144">
        <f t="shared" si="37"/>
        <v>7953</v>
      </c>
      <c r="I450" s="143">
        <f t="shared" si="38"/>
        <v>795</v>
      </c>
    </row>
    <row r="451" ht="17.25" spans="4:9">
      <c r="D451" s="143">
        <f t="shared" si="33"/>
        <v>354</v>
      </c>
      <c r="E451" s="93">
        <f t="shared" si="36"/>
        <v>245</v>
      </c>
      <c r="F451" s="143" t="str">
        <f t="shared" si="34"/>
        <v>头盔</v>
      </c>
      <c r="G451" s="143" t="str">
        <f t="shared" si="35"/>
        <v>绿</v>
      </c>
      <c r="H451" s="144">
        <f t="shared" si="37"/>
        <v>9941</v>
      </c>
      <c r="I451" s="143">
        <f t="shared" si="38"/>
        <v>994</v>
      </c>
    </row>
    <row r="452" ht="17.25" spans="4:9">
      <c r="D452" s="143">
        <f t="shared" si="33"/>
        <v>355</v>
      </c>
      <c r="E452" s="93">
        <f t="shared" si="36"/>
        <v>245</v>
      </c>
      <c r="F452" s="143" t="str">
        <f t="shared" si="34"/>
        <v>头盔</v>
      </c>
      <c r="G452" s="143" t="str">
        <f t="shared" si="35"/>
        <v>蓝</v>
      </c>
      <c r="H452" s="144">
        <f t="shared" si="37"/>
        <v>11930</v>
      </c>
      <c r="I452" s="143">
        <f t="shared" si="38"/>
        <v>1193</v>
      </c>
    </row>
    <row r="453" ht="17.25" spans="4:9">
      <c r="D453" s="143">
        <f t="shared" si="33"/>
        <v>356</v>
      </c>
      <c r="E453" s="93">
        <f t="shared" si="36"/>
        <v>245</v>
      </c>
      <c r="F453" s="143" t="str">
        <f t="shared" si="34"/>
        <v>头盔</v>
      </c>
      <c r="G453" s="143" t="str">
        <f t="shared" si="35"/>
        <v>紫</v>
      </c>
      <c r="H453" s="144">
        <f t="shared" si="37"/>
        <v>14316</v>
      </c>
      <c r="I453" s="143">
        <f t="shared" si="38"/>
        <v>1431</v>
      </c>
    </row>
    <row r="454" ht="17.25" spans="4:9">
      <c r="D454" s="143">
        <f t="shared" si="33"/>
        <v>357</v>
      </c>
      <c r="E454" s="93">
        <f t="shared" si="36"/>
        <v>245</v>
      </c>
      <c r="F454" s="143" t="str">
        <f t="shared" si="34"/>
        <v>头盔</v>
      </c>
      <c r="G454" s="143" t="str">
        <f t="shared" si="35"/>
        <v>橙</v>
      </c>
      <c r="H454" s="144">
        <f t="shared" si="37"/>
        <v>17232</v>
      </c>
      <c r="I454" s="143">
        <f t="shared" si="38"/>
        <v>1723</v>
      </c>
    </row>
    <row r="455" ht="17.25" spans="4:9">
      <c r="D455" s="143">
        <f t="shared" si="33"/>
        <v>358</v>
      </c>
      <c r="E455" s="93">
        <f t="shared" si="36"/>
        <v>245</v>
      </c>
      <c r="F455" s="143" t="str">
        <f t="shared" si="34"/>
        <v>头盔</v>
      </c>
      <c r="G455" s="143" t="str">
        <f t="shared" si="35"/>
        <v>红</v>
      </c>
      <c r="H455" s="144">
        <f t="shared" si="37"/>
        <v>21209</v>
      </c>
      <c r="I455" s="143">
        <f t="shared" si="38"/>
        <v>2120</v>
      </c>
    </row>
    <row r="456" ht="17.25" spans="4:9">
      <c r="D456" s="143">
        <f t="shared" si="33"/>
        <v>359</v>
      </c>
      <c r="E456" s="93">
        <f t="shared" si="36"/>
        <v>245</v>
      </c>
      <c r="F456" s="143" t="str">
        <f t="shared" si="34"/>
        <v>头盔</v>
      </c>
      <c r="G456" s="143" t="str">
        <f t="shared" si="35"/>
        <v>粉</v>
      </c>
      <c r="H456" s="144">
        <f t="shared" si="37"/>
        <v>26511</v>
      </c>
      <c r="I456" s="143">
        <f t="shared" si="38"/>
        <v>2651</v>
      </c>
    </row>
    <row r="457" ht="17.25" spans="4:9">
      <c r="D457" s="143">
        <f t="shared" ref="D457:D465" si="39">D456+1</f>
        <v>360</v>
      </c>
      <c r="E457" s="93">
        <f t="shared" si="36"/>
        <v>245</v>
      </c>
      <c r="F457" s="143" t="str">
        <f t="shared" si="34"/>
        <v>头盔</v>
      </c>
      <c r="G457" s="143" t="str">
        <f t="shared" si="35"/>
        <v>彩</v>
      </c>
      <c r="H457" s="144">
        <f t="shared" si="37"/>
        <v>33139</v>
      </c>
      <c r="I457" s="143">
        <f t="shared" si="38"/>
        <v>3313</v>
      </c>
    </row>
    <row r="458" ht="17.25" spans="4:9">
      <c r="D458" s="143">
        <f t="shared" si="39"/>
        <v>361</v>
      </c>
      <c r="E458" s="93">
        <f t="shared" si="36"/>
        <v>250</v>
      </c>
      <c r="F458" s="143" t="str">
        <f t="shared" ref="F458:F465" si="40">F450</f>
        <v>头盔</v>
      </c>
      <c r="G458" s="143" t="str">
        <f t="shared" ref="G458:G465" si="41">G450</f>
        <v>白</v>
      </c>
      <c r="H458" s="144">
        <f t="shared" si="37"/>
        <v>8508</v>
      </c>
      <c r="I458" s="143">
        <f t="shared" si="38"/>
        <v>850</v>
      </c>
    </row>
    <row r="459" ht="17.25" spans="4:9">
      <c r="D459" s="143">
        <f t="shared" si="39"/>
        <v>362</v>
      </c>
      <c r="E459" s="93">
        <f t="shared" si="36"/>
        <v>250</v>
      </c>
      <c r="F459" s="143" t="str">
        <f t="shared" si="40"/>
        <v>头盔</v>
      </c>
      <c r="G459" s="143" t="str">
        <f t="shared" si="41"/>
        <v>绿</v>
      </c>
      <c r="H459" s="144">
        <f t="shared" si="37"/>
        <v>10635</v>
      </c>
      <c r="I459" s="143">
        <f t="shared" si="38"/>
        <v>1063</v>
      </c>
    </row>
    <row r="460" ht="17.25" spans="4:9">
      <c r="D460" s="143">
        <f t="shared" si="39"/>
        <v>363</v>
      </c>
      <c r="E460" s="93">
        <f t="shared" si="36"/>
        <v>250</v>
      </c>
      <c r="F460" s="143" t="str">
        <f t="shared" si="40"/>
        <v>头盔</v>
      </c>
      <c r="G460" s="143" t="str">
        <f t="shared" si="41"/>
        <v>蓝</v>
      </c>
      <c r="H460" s="144">
        <f t="shared" si="37"/>
        <v>12762</v>
      </c>
      <c r="I460" s="143">
        <f t="shared" si="38"/>
        <v>1276</v>
      </c>
    </row>
    <row r="461" ht="17.25" spans="4:9">
      <c r="D461" s="143">
        <f t="shared" si="39"/>
        <v>364</v>
      </c>
      <c r="E461" s="93">
        <f t="shared" si="36"/>
        <v>250</v>
      </c>
      <c r="F461" s="143" t="str">
        <f t="shared" si="40"/>
        <v>头盔</v>
      </c>
      <c r="G461" s="143" t="str">
        <f t="shared" si="41"/>
        <v>紫</v>
      </c>
      <c r="H461" s="144">
        <f t="shared" si="37"/>
        <v>15314</v>
      </c>
      <c r="I461" s="143">
        <f t="shared" si="38"/>
        <v>1531</v>
      </c>
    </row>
    <row r="462" ht="17.25" spans="4:9">
      <c r="D462" s="143">
        <f t="shared" si="39"/>
        <v>365</v>
      </c>
      <c r="E462" s="93">
        <f t="shared" si="36"/>
        <v>250</v>
      </c>
      <c r="F462" s="143" t="str">
        <f t="shared" si="40"/>
        <v>头盔</v>
      </c>
      <c r="G462" s="143" t="str">
        <f t="shared" si="41"/>
        <v>橙</v>
      </c>
      <c r="H462" s="144">
        <f t="shared" si="37"/>
        <v>18434</v>
      </c>
      <c r="I462" s="143">
        <f t="shared" si="38"/>
        <v>1843</v>
      </c>
    </row>
    <row r="463" ht="17.25" spans="4:9">
      <c r="D463" s="143">
        <f t="shared" si="39"/>
        <v>366</v>
      </c>
      <c r="E463" s="93">
        <f t="shared" si="36"/>
        <v>250</v>
      </c>
      <c r="F463" s="143" t="str">
        <f t="shared" si="40"/>
        <v>头盔</v>
      </c>
      <c r="G463" s="143" t="str">
        <f t="shared" si="41"/>
        <v>红</v>
      </c>
      <c r="H463" s="144">
        <f t="shared" si="37"/>
        <v>22688</v>
      </c>
      <c r="I463" s="143">
        <f t="shared" si="38"/>
        <v>2268</v>
      </c>
    </row>
    <row r="464" ht="17.25" spans="4:9">
      <c r="D464" s="143">
        <f t="shared" si="39"/>
        <v>367</v>
      </c>
      <c r="E464" s="93">
        <f t="shared" si="36"/>
        <v>250</v>
      </c>
      <c r="F464" s="143" t="str">
        <f t="shared" si="40"/>
        <v>头盔</v>
      </c>
      <c r="G464" s="143" t="str">
        <f t="shared" si="41"/>
        <v>粉</v>
      </c>
      <c r="H464" s="144">
        <f t="shared" si="37"/>
        <v>28360</v>
      </c>
      <c r="I464" s="143">
        <f t="shared" si="38"/>
        <v>2836</v>
      </c>
    </row>
    <row r="465" ht="17.25" spans="1:26">
      <c r="D465" s="143">
        <f t="shared" si="39"/>
        <v>368</v>
      </c>
      <c r="E465" s="93">
        <f t="shared" si="36"/>
        <v>250</v>
      </c>
      <c r="F465" s="143" t="str">
        <f t="shared" si="40"/>
        <v>头盔</v>
      </c>
      <c r="G465" s="143" t="str">
        <f t="shared" si="41"/>
        <v>彩</v>
      </c>
      <c r="H465" s="144">
        <f t="shared" si="37"/>
        <v>35450</v>
      </c>
      <c r="I465" s="143">
        <f t="shared" si="38"/>
        <v>3545</v>
      </c>
    </row>
    <row r="466" ht="17.25" spans="1:26">
      <c r="D466" s="143"/>
      <c r="E466" s="93"/>
      <c r="F466" s="143"/>
      <c r="G466" s="143"/>
      <c r="H466" s="144"/>
      <c r="I466" s="143"/>
    </row>
    <row r="471" ht="18" spans="1:26">
      <c r="A471" s="90" t="s">
        <v>26</v>
      </c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</row>
    <row r="473" ht="18" spans="1:26">
      <c r="D473" s="129" t="s">
        <v>76</v>
      </c>
    </row>
    <row r="474" ht="18" spans="1:26">
      <c r="D474" s="145" t="s">
        <v>77</v>
      </c>
      <c r="J474" s="74">
        <f>30/13530</f>
        <v>0.00221729490022173</v>
      </c>
    </row>
    <row r="475" ht="17.25" spans="1:26">
      <c r="D475" s="146">
        <v>1000</v>
      </c>
      <c r="J475" s="147">
        <f>LOG(1+J474,1.06)</f>
        <v>0.0380106715718856</v>
      </c>
      <c r="U475" s="74" t="s">
        <v>78</v>
      </c>
    </row>
    <row r="476" spans="1:26">
      <c r="W476" s="74">
        <f>AC609/AB609</f>
        <v>0.547130434782609</v>
      </c>
    </row>
    <row r="477" spans="1:26">
      <c r="B477" s="98"/>
      <c r="C477" s="99" t="s">
        <v>79</v>
      </c>
      <c r="T477" s="98"/>
      <c r="U477" s="99" t="s">
        <v>80</v>
      </c>
    </row>
    <row r="478" ht="18" spans="1:26">
      <c r="D478" s="129" t="s">
        <v>81</v>
      </c>
      <c r="J478" s="129" t="s">
        <v>82</v>
      </c>
      <c r="U478" s="129" t="s">
        <v>83</v>
      </c>
      <c r="Z478" s="129" t="s">
        <v>84</v>
      </c>
    </row>
    <row r="479" ht="17.25" spans="1:26">
      <c r="D479" s="148" t="s">
        <v>85</v>
      </c>
      <c r="J479" s="148" t="s">
        <v>86</v>
      </c>
      <c r="S479" s="45"/>
      <c r="U479" s="148" t="s">
        <v>87</v>
      </c>
      <c r="Z479" s="148" t="s">
        <v>88</v>
      </c>
    </row>
    <row r="480" ht="17.25" spans="1:26">
      <c r="D480" s="137" t="s">
        <v>89</v>
      </c>
      <c r="E480" s="137" t="s">
        <v>90</v>
      </c>
      <c r="F480" s="137" t="s">
        <v>91</v>
      </c>
      <c r="J480" s="137" t="s">
        <v>60</v>
      </c>
      <c r="K480" s="137" t="s">
        <v>61</v>
      </c>
      <c r="L480" s="137" t="s">
        <v>92</v>
      </c>
      <c r="N480" s="149" t="s">
        <v>89</v>
      </c>
      <c r="O480" s="149" t="s">
        <v>75</v>
      </c>
      <c r="P480" s="149" t="s">
        <v>93</v>
      </c>
      <c r="S480" s="45"/>
    </row>
    <row r="481" ht="17.25" spans="4:31">
      <c r="D481" s="93">
        <v>1</v>
      </c>
      <c r="E481" s="93">
        <v>9</v>
      </c>
      <c r="F481" s="93">
        <v>3</v>
      </c>
      <c r="J481" s="93">
        <v>1</v>
      </c>
      <c r="K481" s="93" t="s">
        <v>64</v>
      </c>
      <c r="L481" s="150" t="s">
        <v>94</v>
      </c>
      <c r="N481" s="93">
        <v>1</v>
      </c>
      <c r="O481" s="93">
        <v>10</v>
      </c>
      <c r="P481" s="93">
        <v>200</v>
      </c>
      <c r="S481" s="45"/>
      <c r="U481" s="137" t="s">
        <v>89</v>
      </c>
      <c r="V481" s="137" t="s">
        <v>90</v>
      </c>
      <c r="W481" s="137" t="s">
        <v>91</v>
      </c>
      <c r="Z481" s="137" t="s">
        <v>89</v>
      </c>
      <c r="AA481" s="137" t="s">
        <v>90</v>
      </c>
      <c r="AB481" s="137" t="s">
        <v>95</v>
      </c>
      <c r="AC481" s="137" t="s">
        <v>91</v>
      </c>
      <c r="AE481" s="137" t="s">
        <v>96</v>
      </c>
    </row>
    <row r="482" ht="17.25" spans="4:31">
      <c r="D482" s="93">
        <v>2</v>
      </c>
      <c r="E482" s="93">
        <v>19</v>
      </c>
      <c r="F482" s="93">
        <v>4</v>
      </c>
      <c r="J482" s="93">
        <v>2</v>
      </c>
      <c r="K482" s="93" t="s">
        <v>65</v>
      </c>
      <c r="L482" s="150" t="s">
        <v>97</v>
      </c>
      <c r="N482" s="93">
        <v>2</v>
      </c>
      <c r="O482" s="93">
        <v>20</v>
      </c>
      <c r="P482" s="93">
        <v>400</v>
      </c>
      <c r="S482" s="93"/>
      <c r="U482" s="93">
        <v>1</v>
      </c>
      <c r="V482" s="151">
        <v>1</v>
      </c>
      <c r="W482" s="152">
        <v>5</v>
      </c>
      <c r="Z482" s="93">
        <v>1</v>
      </c>
      <c r="AA482" s="151">
        <v>1</v>
      </c>
      <c r="AB482" s="151">
        <v>600</v>
      </c>
      <c r="AC482" s="151">
        <v>0</v>
      </c>
      <c r="AE482" s="93">
        <v>2</v>
      </c>
    </row>
    <row r="483" ht="17.25" spans="4:31">
      <c r="D483" s="93">
        <v>3</v>
      </c>
      <c r="E483" s="93">
        <v>34</v>
      </c>
      <c r="F483" s="93">
        <v>5</v>
      </c>
      <c r="J483" s="93">
        <v>3</v>
      </c>
      <c r="K483" s="93" t="s">
        <v>66</v>
      </c>
      <c r="L483" s="150" t="s">
        <v>98</v>
      </c>
      <c r="N483" s="93">
        <v>3</v>
      </c>
      <c r="O483" s="93">
        <v>30</v>
      </c>
      <c r="P483" s="93">
        <v>600</v>
      </c>
      <c r="S483" s="93"/>
      <c r="U483" s="93">
        <v>2</v>
      </c>
      <c r="V483" s="153">
        <v>15</v>
      </c>
      <c r="W483" s="154">
        <v>3</v>
      </c>
      <c r="Z483" s="93">
        <v>2</v>
      </c>
      <c r="AA483" s="151">
        <v>4</v>
      </c>
      <c r="AB483" s="151">
        <v>600</v>
      </c>
      <c r="AC483" s="151">
        <v>0</v>
      </c>
    </row>
    <row r="484" ht="17.25" spans="4:31">
      <c r="D484" s="93">
        <v>4</v>
      </c>
      <c r="E484" s="93">
        <v>39</v>
      </c>
      <c r="F484" s="93">
        <v>6</v>
      </c>
      <c r="J484" s="93">
        <v>4</v>
      </c>
      <c r="K484" s="93" t="s">
        <v>67</v>
      </c>
      <c r="L484" s="150" t="s">
        <v>99</v>
      </c>
      <c r="N484" s="93">
        <v>4</v>
      </c>
      <c r="O484" s="93">
        <v>40</v>
      </c>
      <c r="P484" s="93">
        <v>800</v>
      </c>
      <c r="S484" s="93"/>
      <c r="U484" s="93">
        <v>3</v>
      </c>
      <c r="V484" s="153">
        <v>29</v>
      </c>
      <c r="W484" s="154">
        <v>2</v>
      </c>
      <c r="Z484" s="93">
        <v>3</v>
      </c>
      <c r="AA484" s="151">
        <v>8</v>
      </c>
      <c r="AB484" s="151">
        <v>600</v>
      </c>
      <c r="AC484" s="151">
        <v>0</v>
      </c>
    </row>
    <row r="485" ht="17.25" spans="4:31">
      <c r="D485" s="93">
        <v>5</v>
      </c>
      <c r="E485" s="93">
        <v>47</v>
      </c>
      <c r="F485" s="93">
        <v>7</v>
      </c>
      <c r="J485" s="93">
        <v>5</v>
      </c>
      <c r="K485" s="93" t="s">
        <v>68</v>
      </c>
      <c r="L485" s="150" t="s">
        <v>100</v>
      </c>
      <c r="N485" s="93">
        <v>5</v>
      </c>
      <c r="O485" s="93">
        <v>50</v>
      </c>
      <c r="P485" s="93">
        <v>1000</v>
      </c>
      <c r="S485" s="93"/>
      <c r="U485" s="93">
        <v>4</v>
      </c>
      <c r="V485" s="153">
        <v>40</v>
      </c>
      <c r="W485" s="154">
        <v>3</v>
      </c>
      <c r="Z485" s="93">
        <v>4</v>
      </c>
      <c r="AA485" s="151">
        <v>12</v>
      </c>
      <c r="AB485" s="151">
        <v>600</v>
      </c>
      <c r="AC485" s="151">
        <v>0</v>
      </c>
    </row>
    <row r="486" ht="17.25" spans="4:31">
      <c r="D486" s="93">
        <v>6</v>
      </c>
      <c r="E486" s="93">
        <v>50</v>
      </c>
      <c r="F486" s="93">
        <v>8</v>
      </c>
      <c r="J486" s="93">
        <v>6</v>
      </c>
      <c r="K486" s="93" t="s">
        <v>69</v>
      </c>
      <c r="L486" s="150" t="s">
        <v>101</v>
      </c>
      <c r="N486" s="93">
        <v>6</v>
      </c>
      <c r="O486" s="93">
        <v>60</v>
      </c>
      <c r="P486" s="93">
        <v>1200</v>
      </c>
      <c r="S486" s="93"/>
      <c r="U486" s="93">
        <v>5</v>
      </c>
      <c r="V486" s="151">
        <v>41</v>
      </c>
      <c r="W486" s="152">
        <v>4</v>
      </c>
      <c r="Z486" s="93">
        <v>5</v>
      </c>
      <c r="AA486" s="151">
        <v>16</v>
      </c>
      <c r="AB486" s="151">
        <v>600</v>
      </c>
      <c r="AC486" s="151">
        <v>0</v>
      </c>
    </row>
    <row r="487" ht="17.25" spans="4:31">
      <c r="D487" s="93">
        <v>7</v>
      </c>
      <c r="E487" s="93">
        <v>69</v>
      </c>
      <c r="F487" s="93">
        <v>10</v>
      </c>
      <c r="N487" s="93">
        <v>7</v>
      </c>
      <c r="O487" s="93">
        <v>70</v>
      </c>
      <c r="P487" s="93">
        <v>1400</v>
      </c>
      <c r="S487" s="45"/>
      <c r="T487" s="45"/>
      <c r="U487" s="93">
        <v>6</v>
      </c>
      <c r="V487" s="151">
        <v>42</v>
      </c>
      <c r="W487" s="152">
        <v>3</v>
      </c>
      <c r="Z487" s="93">
        <v>6</v>
      </c>
      <c r="AA487" s="151">
        <v>22</v>
      </c>
      <c r="AB487" s="151">
        <v>600</v>
      </c>
      <c r="AC487" s="151">
        <v>0</v>
      </c>
    </row>
    <row r="488" ht="17.25" spans="4:31">
      <c r="D488" s="93">
        <v>8</v>
      </c>
      <c r="E488" s="93">
        <v>79</v>
      </c>
      <c r="F488" s="93">
        <v>12</v>
      </c>
      <c r="N488" s="93">
        <v>8</v>
      </c>
      <c r="O488" s="93">
        <v>80</v>
      </c>
      <c r="P488" s="93">
        <v>1600</v>
      </c>
      <c r="S488" s="45"/>
      <c r="T488" s="45"/>
      <c r="U488" s="93">
        <v>7</v>
      </c>
      <c r="V488" s="151">
        <v>43</v>
      </c>
      <c r="W488" s="152">
        <v>5</v>
      </c>
      <c r="Z488" s="93">
        <v>7</v>
      </c>
      <c r="AA488" s="151">
        <v>28</v>
      </c>
      <c r="AB488" s="151">
        <v>600</v>
      </c>
      <c r="AC488" s="151">
        <v>0</v>
      </c>
    </row>
    <row r="489" ht="17.25" spans="4:31">
      <c r="D489" s="93">
        <v>9</v>
      </c>
      <c r="E489" s="93">
        <v>89</v>
      </c>
      <c r="F489" s="93">
        <v>16</v>
      </c>
      <c r="N489" s="93">
        <v>9</v>
      </c>
      <c r="O489" s="93">
        <v>90</v>
      </c>
      <c r="P489" s="93">
        <v>1800</v>
      </c>
      <c r="S489" s="45"/>
      <c r="T489" s="45"/>
      <c r="U489" s="93">
        <v>8</v>
      </c>
      <c r="V489" s="151">
        <v>44</v>
      </c>
      <c r="W489" s="152">
        <v>3</v>
      </c>
      <c r="Z489" s="93">
        <v>8</v>
      </c>
      <c r="AA489" s="151">
        <v>33</v>
      </c>
      <c r="AB489" s="151">
        <v>600</v>
      </c>
      <c r="AC489" s="151">
        <v>0</v>
      </c>
    </row>
    <row r="490" ht="17.25" spans="4:31">
      <c r="D490" s="93">
        <v>10</v>
      </c>
      <c r="E490" s="93">
        <v>94</v>
      </c>
      <c r="F490" s="93">
        <v>20</v>
      </c>
      <c r="N490" s="93">
        <v>10</v>
      </c>
      <c r="O490" s="93">
        <v>100</v>
      </c>
      <c r="P490" s="93">
        <v>2000</v>
      </c>
      <c r="S490" s="45"/>
      <c r="T490" s="45"/>
      <c r="U490" s="93">
        <v>9</v>
      </c>
      <c r="V490" s="151">
        <v>45</v>
      </c>
      <c r="W490" s="152">
        <v>4</v>
      </c>
      <c r="Z490" s="93">
        <v>9</v>
      </c>
      <c r="AA490" s="151">
        <v>37</v>
      </c>
      <c r="AB490" s="151">
        <v>600</v>
      </c>
      <c r="AC490" s="151">
        <v>0</v>
      </c>
    </row>
    <row r="491" ht="17.25" spans="4:31">
      <c r="D491" s="93">
        <v>11</v>
      </c>
      <c r="E491" s="93">
        <v>100</v>
      </c>
      <c r="F491" s="93">
        <v>24</v>
      </c>
      <c r="N491" s="93">
        <v>11</v>
      </c>
      <c r="O491" s="93">
        <v>110</v>
      </c>
      <c r="P491" s="93">
        <v>2200</v>
      </c>
      <c r="S491" s="45"/>
      <c r="T491" s="45"/>
      <c r="U491" s="93">
        <v>10</v>
      </c>
      <c r="V491" s="151">
        <v>46</v>
      </c>
      <c r="W491" s="152">
        <v>3</v>
      </c>
      <c r="Z491" s="93">
        <v>10</v>
      </c>
      <c r="AA491" s="151">
        <v>41</v>
      </c>
      <c r="AB491" s="151">
        <v>600</v>
      </c>
      <c r="AC491" s="151">
        <v>0</v>
      </c>
    </row>
    <row r="492" ht="17.25" spans="4:31">
      <c r="D492" s="93">
        <v>12</v>
      </c>
      <c r="E492" s="93">
        <v>107</v>
      </c>
      <c r="F492" s="93">
        <v>28</v>
      </c>
      <c r="N492" s="93">
        <v>12</v>
      </c>
      <c r="O492" s="93">
        <v>120</v>
      </c>
      <c r="P492" s="93">
        <v>2400</v>
      </c>
      <c r="S492" s="45"/>
      <c r="T492" s="45"/>
      <c r="U492" s="93">
        <v>11</v>
      </c>
      <c r="V492" s="151">
        <v>47</v>
      </c>
      <c r="W492" s="152">
        <v>4</v>
      </c>
      <c r="Z492" s="93">
        <v>11</v>
      </c>
      <c r="AA492" s="151">
        <v>43</v>
      </c>
      <c r="AB492" s="151">
        <v>600</v>
      </c>
      <c r="AC492" s="151">
        <v>0</v>
      </c>
    </row>
    <row r="493" ht="17.25" spans="4:31">
      <c r="D493" s="93">
        <v>13</v>
      </c>
      <c r="E493" s="93">
        <v>115</v>
      </c>
      <c r="F493" s="93">
        <v>32</v>
      </c>
      <c r="N493" s="93">
        <v>13</v>
      </c>
      <c r="O493" s="93">
        <v>130</v>
      </c>
      <c r="P493" s="93">
        <v>2600</v>
      </c>
      <c r="S493" s="45"/>
      <c r="T493" s="45"/>
      <c r="U493" s="93">
        <v>12</v>
      </c>
      <c r="V493" s="151">
        <v>48</v>
      </c>
      <c r="W493" s="152">
        <v>3</v>
      </c>
      <c r="Z493" s="93">
        <v>12</v>
      </c>
      <c r="AA493" s="151">
        <v>45</v>
      </c>
      <c r="AB493" s="151">
        <v>600</v>
      </c>
      <c r="AC493" s="151">
        <v>0</v>
      </c>
    </row>
    <row r="494" ht="17.25" spans="4:31">
      <c r="D494" s="93">
        <v>14</v>
      </c>
      <c r="E494" s="93">
        <v>125</v>
      </c>
      <c r="F494" s="93">
        <v>36</v>
      </c>
      <c r="N494" s="93">
        <v>14</v>
      </c>
      <c r="O494" s="93">
        <v>140</v>
      </c>
      <c r="P494" s="93">
        <v>2800</v>
      </c>
      <c r="S494" s="45"/>
      <c r="T494" s="45"/>
      <c r="U494" s="93">
        <v>13</v>
      </c>
      <c r="V494" s="151">
        <v>49</v>
      </c>
      <c r="W494" s="152">
        <v>4</v>
      </c>
      <c r="Z494" s="93">
        <v>13</v>
      </c>
      <c r="AA494" s="151">
        <v>47</v>
      </c>
      <c r="AB494" s="151">
        <v>600</v>
      </c>
      <c r="AC494" s="151">
        <v>0</v>
      </c>
    </row>
    <row r="495" ht="17.25" spans="4:31">
      <c r="D495" s="93">
        <v>15</v>
      </c>
      <c r="E495" s="93">
        <v>135</v>
      </c>
      <c r="F495" s="93">
        <v>40</v>
      </c>
      <c r="N495" s="93">
        <v>15</v>
      </c>
      <c r="O495" s="93">
        <v>150</v>
      </c>
      <c r="P495" s="93">
        <v>3000</v>
      </c>
      <c r="S495" s="45"/>
      <c r="T495" s="45"/>
      <c r="U495" s="93">
        <v>14</v>
      </c>
      <c r="V495" s="151">
        <v>50</v>
      </c>
      <c r="W495" s="152">
        <v>3</v>
      </c>
      <c r="Z495" s="93">
        <v>14</v>
      </c>
      <c r="AA495" s="151">
        <v>49</v>
      </c>
      <c r="AB495" s="151">
        <v>600</v>
      </c>
      <c r="AC495" s="151">
        <v>0</v>
      </c>
    </row>
    <row r="496" ht="17.25" spans="4:31">
      <c r="D496" s="93">
        <v>16</v>
      </c>
      <c r="E496" s="93">
        <v>145</v>
      </c>
      <c r="F496" s="93">
        <v>45</v>
      </c>
      <c r="N496" s="93">
        <v>16</v>
      </c>
      <c r="O496" s="93">
        <v>160</v>
      </c>
      <c r="P496" s="93">
        <v>3200</v>
      </c>
      <c r="S496" s="45"/>
      <c r="T496" s="45"/>
      <c r="U496" s="93">
        <v>15</v>
      </c>
      <c r="V496" s="151">
        <v>52</v>
      </c>
      <c r="W496" s="152">
        <v>4</v>
      </c>
      <c r="Z496" s="93">
        <v>15</v>
      </c>
      <c r="AA496" s="151">
        <v>51</v>
      </c>
      <c r="AB496" s="151">
        <v>600</v>
      </c>
      <c r="AC496" s="151">
        <v>0</v>
      </c>
    </row>
    <row r="497" ht="17.25" spans="4:29">
      <c r="D497" s="93">
        <v>17</v>
      </c>
      <c r="E497" s="93">
        <v>155</v>
      </c>
      <c r="F497" s="93">
        <v>50</v>
      </c>
      <c r="N497" s="93">
        <v>17</v>
      </c>
      <c r="O497" s="93">
        <v>170</v>
      </c>
      <c r="P497" s="93">
        <v>3400</v>
      </c>
      <c r="S497" s="45"/>
      <c r="T497" s="45"/>
      <c r="U497" s="93">
        <v>16</v>
      </c>
      <c r="V497" s="151">
        <v>53</v>
      </c>
      <c r="W497" s="152">
        <v>3</v>
      </c>
      <c r="Z497" s="93">
        <v>16</v>
      </c>
      <c r="AA497" s="151">
        <v>53</v>
      </c>
      <c r="AB497" s="151">
        <v>600</v>
      </c>
      <c r="AC497" s="151">
        <v>0</v>
      </c>
    </row>
    <row r="498" ht="17.25" spans="4:29">
      <c r="D498" s="93">
        <v>18</v>
      </c>
      <c r="E498" s="93">
        <v>165</v>
      </c>
      <c r="F498" s="93">
        <v>55</v>
      </c>
      <c r="N498" s="93">
        <v>18</v>
      </c>
      <c r="O498" s="93">
        <v>180</v>
      </c>
      <c r="P498" s="93">
        <v>3600</v>
      </c>
      <c r="S498" s="45"/>
      <c r="T498" s="45"/>
      <c r="U498" s="93">
        <v>17</v>
      </c>
      <c r="V498" s="153">
        <v>85</v>
      </c>
      <c r="W498" s="154">
        <v>4</v>
      </c>
      <c r="Z498" s="93">
        <v>17</v>
      </c>
      <c r="AA498" s="151">
        <v>55</v>
      </c>
      <c r="AB498" s="151">
        <v>600</v>
      </c>
      <c r="AC498" s="151">
        <v>0</v>
      </c>
    </row>
    <row r="499" ht="17.25" spans="4:29">
      <c r="D499" s="93">
        <v>19</v>
      </c>
      <c r="E499" s="93">
        <v>175</v>
      </c>
      <c r="F499" s="93">
        <v>60</v>
      </c>
      <c r="N499" s="93">
        <v>19</v>
      </c>
      <c r="O499" s="93">
        <v>190</v>
      </c>
      <c r="P499" s="93">
        <v>3800</v>
      </c>
      <c r="S499" s="45"/>
      <c r="T499" s="45"/>
      <c r="U499" s="93">
        <v>18</v>
      </c>
      <c r="V499" s="153">
        <v>89</v>
      </c>
      <c r="W499" s="154">
        <v>5</v>
      </c>
      <c r="Z499" s="93">
        <v>18</v>
      </c>
      <c r="AA499" s="151">
        <v>57</v>
      </c>
      <c r="AB499" s="151">
        <v>600</v>
      </c>
      <c r="AC499" s="151">
        <v>0</v>
      </c>
    </row>
    <row r="500" ht="17.25" spans="4:29">
      <c r="D500" s="93">
        <v>20</v>
      </c>
      <c r="E500" s="93">
        <v>185</v>
      </c>
      <c r="F500" s="93">
        <v>65</v>
      </c>
      <c r="N500" s="93">
        <v>20</v>
      </c>
      <c r="O500" s="93">
        <v>200</v>
      </c>
      <c r="P500" s="93">
        <v>4000</v>
      </c>
      <c r="S500" s="45"/>
      <c r="T500" s="45"/>
      <c r="U500" s="93">
        <v>19</v>
      </c>
      <c r="V500" s="153">
        <v>300</v>
      </c>
      <c r="W500" s="154">
        <v>8</v>
      </c>
      <c r="Z500" s="93">
        <v>19</v>
      </c>
      <c r="AA500" s="151">
        <v>59</v>
      </c>
      <c r="AB500" s="151">
        <v>600</v>
      </c>
      <c r="AC500" s="151">
        <v>0</v>
      </c>
    </row>
    <row r="501" ht="17.25" spans="4:29">
      <c r="D501" s="93">
        <v>21</v>
      </c>
      <c r="E501" s="93">
        <v>195</v>
      </c>
      <c r="F501" s="93">
        <v>70</v>
      </c>
      <c r="N501" s="93">
        <v>21</v>
      </c>
      <c r="O501" s="93">
        <v>210</v>
      </c>
      <c r="P501" s="93">
        <v>4200</v>
      </c>
      <c r="S501" s="45"/>
      <c r="T501" s="45"/>
      <c r="U501" s="45"/>
      <c r="V501" s="45"/>
      <c r="W501" s="45"/>
      <c r="X501" s="45"/>
      <c r="Z501" s="93">
        <v>20</v>
      </c>
      <c r="AA501" s="151">
        <v>61</v>
      </c>
      <c r="AB501" s="151">
        <v>600</v>
      </c>
      <c r="AC501" s="151">
        <v>0</v>
      </c>
    </row>
    <row r="502" ht="17.25" spans="4:29">
      <c r="D502" s="93">
        <v>22</v>
      </c>
      <c r="E502" s="93">
        <v>205</v>
      </c>
      <c r="F502" s="93">
        <v>75</v>
      </c>
      <c r="N502" s="93">
        <v>22</v>
      </c>
      <c r="O502" s="93">
        <v>220</v>
      </c>
      <c r="P502" s="93">
        <v>4400</v>
      </c>
      <c r="S502" s="45"/>
      <c r="T502" s="45"/>
      <c r="U502" s="45"/>
      <c r="V502" s="45"/>
      <c r="W502" s="45"/>
      <c r="Z502" s="93">
        <v>21</v>
      </c>
      <c r="AA502" s="151">
        <v>63</v>
      </c>
      <c r="AB502" s="151">
        <v>600</v>
      </c>
      <c r="AC502" s="151">
        <v>0</v>
      </c>
    </row>
    <row r="503" ht="17.25" spans="4:29">
      <c r="D503" s="93">
        <v>23</v>
      </c>
      <c r="E503" s="93">
        <v>215</v>
      </c>
      <c r="F503" s="93">
        <v>80</v>
      </c>
      <c r="N503" s="93">
        <v>23</v>
      </c>
      <c r="O503" s="93">
        <v>230</v>
      </c>
      <c r="P503" s="93">
        <v>4600</v>
      </c>
      <c r="S503" s="45"/>
      <c r="T503" s="45"/>
      <c r="U503" s="45"/>
      <c r="V503" s="45"/>
      <c r="W503" s="45"/>
      <c r="Z503" s="93">
        <v>22</v>
      </c>
      <c r="AA503" s="151">
        <v>65</v>
      </c>
      <c r="AB503" s="151">
        <v>600</v>
      </c>
      <c r="AC503" s="151">
        <v>0</v>
      </c>
    </row>
    <row r="504" ht="17.25" spans="4:29">
      <c r="D504" s="93">
        <v>24</v>
      </c>
      <c r="E504" s="93">
        <v>225</v>
      </c>
      <c r="F504" s="93">
        <v>85</v>
      </c>
      <c r="N504" s="93">
        <v>24</v>
      </c>
      <c r="O504" s="93">
        <v>240</v>
      </c>
      <c r="P504" s="93">
        <v>4800</v>
      </c>
      <c r="S504" s="45"/>
      <c r="T504" s="45"/>
      <c r="U504" s="137" t="s">
        <v>60</v>
      </c>
      <c r="V504" s="137" t="s">
        <v>61</v>
      </c>
      <c r="W504" s="137" t="s">
        <v>102</v>
      </c>
      <c r="Z504" s="93">
        <v>23</v>
      </c>
      <c r="AA504" s="151">
        <v>67</v>
      </c>
      <c r="AB504" s="151">
        <v>600</v>
      </c>
      <c r="AC504" s="151">
        <v>0</v>
      </c>
    </row>
    <row r="505" ht="17.25" spans="4:29">
      <c r="D505" s="93">
        <v>25</v>
      </c>
      <c r="E505" s="93">
        <v>235</v>
      </c>
      <c r="F505" s="93">
        <v>90</v>
      </c>
      <c r="N505" s="93">
        <v>25</v>
      </c>
      <c r="O505" s="93">
        <v>250</v>
      </c>
      <c r="P505" s="93">
        <v>5000</v>
      </c>
      <c r="S505" s="45"/>
      <c r="T505" s="45"/>
      <c r="U505" s="93">
        <v>1</v>
      </c>
      <c r="V505" s="93" t="s">
        <v>64</v>
      </c>
      <c r="W505" s="93">
        <v>50003</v>
      </c>
      <c r="Z505" s="93">
        <v>24</v>
      </c>
      <c r="AA505" s="151">
        <v>69</v>
      </c>
      <c r="AB505" s="151">
        <v>600</v>
      </c>
      <c r="AC505" s="151">
        <v>0</v>
      </c>
    </row>
    <row r="506" ht="17.25" spans="4:29">
      <c r="D506" s="93">
        <v>26</v>
      </c>
      <c r="E506" s="93">
        <v>245</v>
      </c>
      <c r="F506" s="93">
        <v>95</v>
      </c>
      <c r="N506" s="93">
        <v>26</v>
      </c>
      <c r="O506" s="93">
        <v>260</v>
      </c>
      <c r="P506" s="93">
        <v>5200</v>
      </c>
      <c r="S506" s="45"/>
      <c r="T506" s="45"/>
      <c r="U506" s="93">
        <v>2</v>
      </c>
      <c r="V506" s="93" t="s">
        <v>65</v>
      </c>
      <c r="W506" s="93">
        <v>50004</v>
      </c>
      <c r="Z506" s="93">
        <v>25</v>
      </c>
      <c r="AA506" s="151">
        <v>71</v>
      </c>
      <c r="AB506" s="151">
        <v>600</v>
      </c>
      <c r="AC506" s="151">
        <v>0</v>
      </c>
    </row>
    <row r="507" ht="17.25" spans="4:29">
      <c r="D507" s="93">
        <v>27</v>
      </c>
      <c r="E507" s="93">
        <v>255</v>
      </c>
      <c r="F507" s="93">
        <v>100</v>
      </c>
      <c r="N507" s="93">
        <v>27</v>
      </c>
      <c r="O507" s="93">
        <v>270</v>
      </c>
      <c r="P507" s="93">
        <v>5400</v>
      </c>
      <c r="S507" s="45"/>
      <c r="T507" s="45"/>
      <c r="U507" s="93">
        <v>3</v>
      </c>
      <c r="V507" s="93" t="s">
        <v>66</v>
      </c>
      <c r="W507" s="93">
        <v>50005</v>
      </c>
      <c r="Z507" s="93">
        <v>26</v>
      </c>
      <c r="AA507" s="151">
        <v>73</v>
      </c>
      <c r="AB507" s="151">
        <v>600</v>
      </c>
      <c r="AC507" s="151">
        <v>0</v>
      </c>
    </row>
    <row r="508" ht="17.25" spans="4:29">
      <c r="D508" s="93">
        <v>28</v>
      </c>
      <c r="E508" s="93">
        <v>265</v>
      </c>
      <c r="F508" s="93">
        <v>105</v>
      </c>
      <c r="N508" s="93">
        <v>28</v>
      </c>
      <c r="O508" s="93">
        <v>280</v>
      </c>
      <c r="P508" s="93">
        <v>5600</v>
      </c>
      <c r="S508" s="45"/>
      <c r="T508" s="45"/>
      <c r="U508" s="93">
        <v>4</v>
      </c>
      <c r="V508" s="93" t="s">
        <v>67</v>
      </c>
      <c r="W508" s="93">
        <v>50006</v>
      </c>
      <c r="Z508" s="93">
        <v>27</v>
      </c>
      <c r="AA508" s="151">
        <v>75</v>
      </c>
      <c r="AB508" s="151">
        <v>600</v>
      </c>
      <c r="AC508" s="151">
        <v>0</v>
      </c>
    </row>
    <row r="509" ht="17.25" spans="4:29">
      <c r="D509" s="93">
        <v>29</v>
      </c>
      <c r="E509" s="93">
        <v>275</v>
      </c>
      <c r="F509" s="93">
        <v>110</v>
      </c>
      <c r="N509" s="93">
        <v>29</v>
      </c>
      <c r="O509" s="93">
        <v>290</v>
      </c>
      <c r="P509" s="93">
        <v>5800</v>
      </c>
      <c r="S509" s="45"/>
      <c r="T509" s="45"/>
      <c r="U509" s="93">
        <v>5</v>
      </c>
      <c r="V509" s="93" t="s">
        <v>68</v>
      </c>
      <c r="W509" s="93">
        <v>50007</v>
      </c>
      <c r="Z509" s="93">
        <v>28</v>
      </c>
      <c r="AA509" s="151">
        <v>77</v>
      </c>
      <c r="AB509" s="151">
        <v>600</v>
      </c>
      <c r="AC509" s="151">
        <v>0</v>
      </c>
    </row>
    <row r="510" ht="17.25" spans="4:29">
      <c r="D510" s="93">
        <v>30</v>
      </c>
      <c r="E510" s="93">
        <v>285</v>
      </c>
      <c r="F510" s="93">
        <v>115</v>
      </c>
      <c r="N510" s="93">
        <v>30</v>
      </c>
      <c r="O510" s="93">
        <v>300</v>
      </c>
      <c r="P510" s="93">
        <v>6000</v>
      </c>
      <c r="S510" s="45"/>
      <c r="T510" s="45"/>
      <c r="U510" s="93">
        <v>6</v>
      </c>
      <c r="V510" s="93" t="s">
        <v>69</v>
      </c>
      <c r="W510" s="93">
        <v>50008</v>
      </c>
      <c r="Z510" s="93">
        <v>29</v>
      </c>
      <c r="AA510" s="151">
        <v>79</v>
      </c>
      <c r="AB510" s="151">
        <v>600</v>
      </c>
      <c r="AC510" s="151">
        <v>0</v>
      </c>
    </row>
    <row r="511" ht="17.25" spans="4:29">
      <c r="D511" s="93">
        <v>31</v>
      </c>
      <c r="E511" s="93">
        <v>295</v>
      </c>
      <c r="F511" s="93">
        <v>120</v>
      </c>
      <c r="P511" s="60"/>
      <c r="Q511" s="60"/>
      <c r="R511" s="45"/>
      <c r="S511" s="45"/>
      <c r="T511" s="45"/>
      <c r="U511" s="45"/>
      <c r="V511" s="45"/>
      <c r="W511" s="45"/>
      <c r="Z511" s="93">
        <v>30</v>
      </c>
      <c r="AA511" s="151">
        <v>81</v>
      </c>
      <c r="AB511" s="151">
        <v>600</v>
      </c>
      <c r="AC511" s="151">
        <v>0</v>
      </c>
    </row>
    <row r="512" ht="17.25" spans="4:29">
      <c r="D512" s="93">
        <v>32</v>
      </c>
      <c r="E512" s="93">
        <v>300</v>
      </c>
      <c r="F512" s="93">
        <v>125</v>
      </c>
      <c r="P512" s="60"/>
      <c r="Q512" s="60"/>
      <c r="R512" s="45"/>
      <c r="S512" s="45"/>
      <c r="T512" s="45"/>
      <c r="U512" s="45"/>
      <c r="V512" s="45"/>
      <c r="W512" s="45"/>
      <c r="Z512" s="93">
        <v>31</v>
      </c>
      <c r="AA512" s="151">
        <v>83</v>
      </c>
      <c r="AB512" s="151">
        <v>600</v>
      </c>
      <c r="AC512" s="151">
        <v>0</v>
      </c>
    </row>
    <row r="513" ht="17.25" spans="4:32">
      <c r="P513" s="60"/>
      <c r="Q513" s="60"/>
      <c r="R513" s="45"/>
      <c r="S513" s="45"/>
      <c r="Z513" s="93">
        <v>32</v>
      </c>
      <c r="AA513" s="151">
        <v>85</v>
      </c>
      <c r="AB513" s="151">
        <v>600</v>
      </c>
      <c r="AC513" s="151">
        <v>0</v>
      </c>
    </row>
    <row r="514" ht="17.25" spans="4:32">
      <c r="V514" s="60"/>
      <c r="W514" s="60"/>
      <c r="Z514" s="93">
        <v>33</v>
      </c>
      <c r="AA514" s="151">
        <v>86</v>
      </c>
      <c r="AB514" s="151">
        <v>800</v>
      </c>
      <c r="AC514" s="151">
        <v>0</v>
      </c>
    </row>
    <row r="515" ht="17.25" spans="4:32">
      <c r="V515" s="60"/>
      <c r="W515" s="60"/>
      <c r="Z515" s="93">
        <v>34</v>
      </c>
      <c r="AA515" s="151">
        <v>87</v>
      </c>
      <c r="AB515" s="151">
        <v>600</v>
      </c>
      <c r="AC515" s="151">
        <v>0</v>
      </c>
    </row>
    <row r="516" ht="17.25" spans="4:32">
      <c r="V516" s="60"/>
      <c r="W516" s="60"/>
      <c r="Z516" s="93">
        <v>35</v>
      </c>
      <c r="AA516" s="151">
        <v>300</v>
      </c>
      <c r="AB516" s="151">
        <v>800</v>
      </c>
      <c r="AC516" s="151">
        <v>800</v>
      </c>
    </row>
    <row r="517" spans="4:32">
      <c r="V517" s="60"/>
      <c r="W517" s="60"/>
    </row>
    <row r="518" spans="4:32">
      <c r="H518" s="74" t="s">
        <v>103</v>
      </c>
      <c r="M518" s="74" t="s">
        <v>104</v>
      </c>
      <c r="V518" s="60"/>
      <c r="W518" s="60"/>
    </row>
    <row r="519" ht="18" spans="4:32">
      <c r="D519" s="48" t="s">
        <v>25</v>
      </c>
      <c r="E519" s="48" t="s">
        <v>105</v>
      </c>
      <c r="F519" s="48" t="s">
        <v>106</v>
      </c>
      <c r="G519" s="155" t="s">
        <v>91</v>
      </c>
      <c r="H519" s="48" t="s">
        <v>45</v>
      </c>
      <c r="I519" s="48" t="s">
        <v>44</v>
      </c>
      <c r="J519" s="48" t="s">
        <v>46</v>
      </c>
      <c r="K519" s="48" t="s">
        <v>107</v>
      </c>
      <c r="L519" s="48" t="s">
        <v>108</v>
      </c>
      <c r="M519" s="48" t="s">
        <v>109</v>
      </c>
      <c r="U519" s="48" t="s">
        <v>25</v>
      </c>
      <c r="V519" s="48" t="s">
        <v>110</v>
      </c>
      <c r="W519" s="48" t="s">
        <v>111</v>
      </c>
      <c r="X519" s="155" t="s">
        <v>112</v>
      </c>
      <c r="Y519" s="48" t="s">
        <v>113</v>
      </c>
      <c r="Z519" s="48" t="s">
        <v>114</v>
      </c>
      <c r="AA519" s="155" t="s">
        <v>115</v>
      </c>
      <c r="AB519" s="48" t="s">
        <v>116</v>
      </c>
      <c r="AC519" s="48" t="s">
        <v>117</v>
      </c>
      <c r="AD519" s="48" t="s">
        <v>118</v>
      </c>
      <c r="AE519" s="48" t="s">
        <v>110</v>
      </c>
      <c r="AF519" s="48" t="s">
        <v>119</v>
      </c>
    </row>
    <row r="520" ht="17.25" spans="4:32">
      <c r="D520" s="151">
        <v>1</v>
      </c>
      <c r="E520" s="156" t="str">
        <f>IFERROR((INT(_xlfn.XLOOKUP(D520,养成规划!$G$6:$G$38,养成规划!$J$6:$J$38)/6)-I520)/I520,"")</f>
        <v/>
      </c>
      <c r="F520" s="157" t="str">
        <f t="shared" ref="F520:F530" si="42">IF(E520="","",I520-E520)</f>
        <v/>
      </c>
      <c r="G520" s="157">
        <f t="shared" ref="G520:G583" si="43">_xlfn.XLOOKUP(_xlfn.MINIFS($E$481:$E$512,$E$481:$E$512,"&gt;="&amp;D520),$E$481:$E$512,$F$481:$F$512,0,0,1)</f>
        <v>3</v>
      </c>
      <c r="H520" s="151">
        <f t="shared" ref="H520:H583" si="44">I520*10</f>
        <v>30</v>
      </c>
      <c r="I520" s="158">
        <f>G520</f>
        <v>3</v>
      </c>
      <c r="J520" s="156"/>
      <c r="K520" s="157">
        <f t="shared" ref="K520:K583" si="45">AA520*0.05+Y520*3</f>
        <v>45</v>
      </c>
      <c r="L520" s="157"/>
      <c r="M520" s="157"/>
      <c r="U520" s="151">
        <v>1</v>
      </c>
      <c r="V520" s="157">
        <f ca="1">OFFSET(养成规划!$D$5,IFERROR(MATCH(U520,养成规划!$G$6:$G$38,1)+1,1),0)</f>
        <v>1</v>
      </c>
      <c r="W520" s="152">
        <f ca="1">((V520-_xlfn.MAXIFS($V$519:V519,$V$519:V519,"&lt;"&amp;V520))*$D$475+VLOOKUP(V520,装备产出!$D$186:$F$485,3,0))/COUNTIF($V$520:$V$819,V520)/6</f>
        <v>32.962962962963</v>
      </c>
      <c r="X520" s="157">
        <f t="shared" ref="X520:X583" si="46">_xlfn.XLOOKUP(_xlfn.MINIFS($V$482:$V$500,$V$482:$V$500,"&gt;="&amp;U520),$V$482:$V$500,$W$482:$W$500,0,0,1)</f>
        <v>5</v>
      </c>
      <c r="Y520" s="151">
        <f>X520</f>
        <v>5</v>
      </c>
      <c r="Z520" s="156">
        <f ca="1">(SUM($W$520:W520)-SUM($Y$520:Y520))/SUM($W$520:W520)</f>
        <v>0.848314606741573</v>
      </c>
      <c r="AA520" s="151">
        <f t="shared" ref="AA520:AA583" si="47">_xlfn.XLOOKUP(U520,$AA$482:$AA$516,$AB$482:$AB$516,0,0,1)+_xlfn.XLOOKUP(_xlfn.MINIFS($AA$482:$AA$516,$AA$482:$AA$516,"&gt;="&amp;U520),$AA$482:$AA$516,$AC$482:$AC$516,0,0,1)</f>
        <v>600</v>
      </c>
      <c r="AB520" s="153">
        <f>AA520</f>
        <v>600</v>
      </c>
      <c r="AC520" s="153">
        <f>SUM(Y$520:Y520)</f>
        <v>5</v>
      </c>
      <c r="AD520" s="153">
        <f>INT(SUM(AB$520:AB520))</f>
        <v>600</v>
      </c>
      <c r="AE520" s="153">
        <f ca="1">INT(AC520*6/($D$475+AVERAGE(OFFSET(装备产出!$F$186,0,0,W520))))+1</f>
        <v>1</v>
      </c>
      <c r="AF520" s="154">
        <f t="shared" ref="AF520:AF583" si="48">AD520/AC520</f>
        <v>120</v>
      </c>
    </row>
    <row r="521" ht="17.25" spans="4:32">
      <c r="D521" s="151">
        <v>2</v>
      </c>
      <c r="E521" s="156" t="str">
        <f>IFERROR((INT(_xlfn.XLOOKUP(D521,养成规划!$G$6:$G$38,养成规划!$J$6:$J$38)/6)-I521)/I521,"")</f>
        <v/>
      </c>
      <c r="F521" s="157" t="str">
        <f t="shared" si="42"/>
        <v/>
      </c>
      <c r="G521" s="157">
        <f t="shared" si="43"/>
        <v>3</v>
      </c>
      <c r="H521" s="151">
        <f t="shared" si="44"/>
        <v>60</v>
      </c>
      <c r="I521" s="158">
        <f t="shared" ref="I521:I584" si="49">G521+I520</f>
        <v>6</v>
      </c>
      <c r="J521" s="159">
        <f ca="1" t="shared" ref="J521:J584" si="50">LOG(G521/(I520+OFFSET($L$14,MIN(INT(D521/10)+1,25),0))+1,1.07)/6</f>
        <v>0.0399772825014433</v>
      </c>
      <c r="K521" s="157">
        <f t="shared" si="45"/>
        <v>24</v>
      </c>
      <c r="L521" s="160">
        <f ca="1" t="shared" ref="L521:L584" si="51">K521/J521</f>
        <v>600.340956120105</v>
      </c>
      <c r="M521" s="157">
        <f t="shared" ref="M521:M584" si="52">K521/G521</f>
        <v>8</v>
      </c>
      <c r="U521" s="151">
        <v>2</v>
      </c>
      <c r="V521" s="157">
        <f ca="1">OFFSET(养成规划!$D$5,IFERROR(MATCH(U521,养成规划!$G$6:$G$38,1)+1,1),0)</f>
        <v>1</v>
      </c>
      <c r="W521" s="152">
        <f ca="1">((V521-_xlfn.MAXIFS($V$519:V520,$V$519:V520,"&lt;"&amp;V521))*$D$475+VLOOKUP(V521,装备产出!$D$186:$F$485,3,0))/COUNTIF($V$520:$V$819,V521)/6</f>
        <v>32.962962962963</v>
      </c>
      <c r="X521" s="157">
        <f t="shared" si="46"/>
        <v>3</v>
      </c>
      <c r="Y521" s="151">
        <f t="shared" ref="Y521:Y584" si="53">Y520+X521</f>
        <v>8</v>
      </c>
      <c r="Z521" s="156">
        <f ca="1">(SUM($W$520:W521)-SUM($Y$520:Y521))/SUM($W$520:W521)</f>
        <v>0.802808988764045</v>
      </c>
      <c r="AA521" s="151">
        <f t="shared" si="47"/>
        <v>0</v>
      </c>
      <c r="AB521" s="153">
        <f t="shared" ref="AB521:AB584" si="54">AB520+AA521</f>
        <v>600</v>
      </c>
      <c r="AC521" s="153">
        <f>SUM(Y$520:Y521)</f>
        <v>13</v>
      </c>
      <c r="AD521" s="153">
        <f>INT(SUM(AB$520:AB521))</f>
        <v>1200</v>
      </c>
      <c r="AE521" s="153">
        <f ca="1">INT(AC521*6/($D$475+AVERAGE(OFFSET(装备产出!$F$186,0,0,W521))))+1</f>
        <v>1</v>
      </c>
      <c r="AF521" s="154">
        <f t="shared" si="48"/>
        <v>92.3076923076923</v>
      </c>
    </row>
    <row r="522" ht="17.25" spans="4:32">
      <c r="D522" s="151">
        <v>3</v>
      </c>
      <c r="E522" s="156" t="str">
        <f>IFERROR((INT(_xlfn.XLOOKUP(D522,养成规划!$G$6:$G$38,养成规划!$J$6:$J$38)/6)-I522)/I522,"")</f>
        <v/>
      </c>
      <c r="F522" s="157" t="str">
        <f t="shared" si="42"/>
        <v/>
      </c>
      <c r="G522" s="157">
        <f t="shared" si="43"/>
        <v>3</v>
      </c>
      <c r="H522" s="151">
        <f t="shared" si="44"/>
        <v>90</v>
      </c>
      <c r="I522" s="158">
        <f t="shared" si="49"/>
        <v>9</v>
      </c>
      <c r="J522" s="159">
        <f ca="1" t="shared" si="50"/>
        <v>0.0393388443738352</v>
      </c>
      <c r="K522" s="157">
        <f t="shared" si="45"/>
        <v>33</v>
      </c>
      <c r="L522" s="160">
        <f ca="1" t="shared" si="51"/>
        <v>838.865516393989</v>
      </c>
      <c r="M522" s="157">
        <f t="shared" si="52"/>
        <v>11</v>
      </c>
      <c r="U522" s="151">
        <v>3</v>
      </c>
      <c r="V522" s="157">
        <f ca="1">OFFSET(养成规划!$D$5,IFERROR(MATCH(U522,养成规划!$G$6:$G$38,1)+1,1),0)</f>
        <v>1</v>
      </c>
      <c r="W522" s="152">
        <f ca="1">((V522-_xlfn.MAXIFS($V$519:V521,$V$519:V521,"&lt;"&amp;V522))*$D$475+VLOOKUP(V522,装备产出!$D$186:$F$485,3,0))/COUNTIF($V$520:$V$819,V522)/6</f>
        <v>32.962962962963</v>
      </c>
      <c r="X522" s="157">
        <f t="shared" si="46"/>
        <v>3</v>
      </c>
      <c r="Y522" s="151">
        <f t="shared" si="53"/>
        <v>11</v>
      </c>
      <c r="Z522" s="156">
        <f ca="1">(SUM($W$520:W522)-SUM($Y$520:Y522))/SUM($W$520:W522)</f>
        <v>0.757303370786517</v>
      </c>
      <c r="AA522" s="151">
        <f t="shared" si="47"/>
        <v>0</v>
      </c>
      <c r="AB522" s="153">
        <f t="shared" si="54"/>
        <v>600</v>
      </c>
      <c r="AC522" s="153">
        <f>SUM(Y$520:Y522)</f>
        <v>24</v>
      </c>
      <c r="AD522" s="153">
        <f>INT(SUM(AB$520:AB522))</f>
        <v>1800</v>
      </c>
      <c r="AE522" s="153">
        <f ca="1">INT(AC522*6/($D$475+AVERAGE(OFFSET(装备产出!$F$186,0,0,W522))))+1</f>
        <v>1</v>
      </c>
      <c r="AF522" s="154">
        <f t="shared" si="48"/>
        <v>75</v>
      </c>
    </row>
    <row r="523" ht="17.25" spans="4:32">
      <c r="D523" s="151">
        <v>4</v>
      </c>
      <c r="E523" s="156" t="str">
        <f>IFERROR((INT(_xlfn.XLOOKUP(D523,养成规划!$G$6:$G$38,养成规划!$J$6:$J$38)/6)-I523)/I523,"")</f>
        <v/>
      </c>
      <c r="F523" s="157" t="str">
        <f t="shared" si="42"/>
        <v/>
      </c>
      <c r="G523" s="157">
        <f t="shared" si="43"/>
        <v>3</v>
      </c>
      <c r="H523" s="151">
        <f t="shared" si="44"/>
        <v>120</v>
      </c>
      <c r="I523" s="158">
        <f t="shared" si="49"/>
        <v>12</v>
      </c>
      <c r="J523" s="159">
        <f ca="1" t="shared" si="50"/>
        <v>0.0387204778652373</v>
      </c>
      <c r="K523" s="157">
        <f t="shared" si="45"/>
        <v>72</v>
      </c>
      <c r="L523" s="160">
        <f ca="1" t="shared" si="51"/>
        <v>1859.48118333117</v>
      </c>
      <c r="M523" s="157">
        <f t="shared" si="52"/>
        <v>24</v>
      </c>
      <c r="U523" s="151">
        <v>4</v>
      </c>
      <c r="V523" s="157">
        <f ca="1">OFFSET(养成规划!$D$5,IFERROR(MATCH(U523,养成规划!$G$6:$G$38,1)+1,1),0)</f>
        <v>1</v>
      </c>
      <c r="W523" s="152">
        <f ca="1">((V523-_xlfn.MAXIFS($V$519:V522,$V$519:V522,"&lt;"&amp;V523))*$D$475+VLOOKUP(V523,装备产出!$D$186:$F$485,3,0))/COUNTIF($V$520:$V$819,V523)/6</f>
        <v>32.962962962963</v>
      </c>
      <c r="X523" s="157">
        <f t="shared" si="46"/>
        <v>3</v>
      </c>
      <c r="Y523" s="151">
        <f t="shared" si="53"/>
        <v>14</v>
      </c>
      <c r="Z523" s="156">
        <f ca="1">(SUM($W$520:W523)-SUM($Y$520:Y523))/SUM($W$520:W523)</f>
        <v>0.711797752808989</v>
      </c>
      <c r="AA523" s="151">
        <f t="shared" si="47"/>
        <v>600</v>
      </c>
      <c r="AB523" s="153">
        <f t="shared" si="54"/>
        <v>1200</v>
      </c>
      <c r="AC523" s="153">
        <f>SUM(Y$520:Y523)</f>
        <v>38</v>
      </c>
      <c r="AD523" s="153">
        <f>INT(SUM(AB$520:AB523))</f>
        <v>3000</v>
      </c>
      <c r="AE523" s="153">
        <f ca="1">INT(AC523*6/($D$475+AVERAGE(OFFSET(装备产出!$F$186,0,0,W523))))+1</f>
        <v>1</v>
      </c>
      <c r="AF523" s="154">
        <f t="shared" si="48"/>
        <v>78.9473684210526</v>
      </c>
    </row>
    <row r="524" ht="17.25" spans="4:32">
      <c r="D524" s="151">
        <v>5</v>
      </c>
      <c r="E524" s="156" t="str">
        <f>IFERROR((INT(_xlfn.XLOOKUP(D524,养成规划!$G$6:$G$38,养成规划!$J$6:$J$38)/6)-I524)/I524,"")</f>
        <v/>
      </c>
      <c r="F524" s="157" t="str">
        <f t="shared" si="42"/>
        <v/>
      </c>
      <c r="G524" s="157">
        <f t="shared" si="43"/>
        <v>3</v>
      </c>
      <c r="H524" s="151">
        <f t="shared" si="44"/>
        <v>150</v>
      </c>
      <c r="I524" s="158">
        <f t="shared" si="49"/>
        <v>15</v>
      </c>
      <c r="J524" s="159">
        <f ca="1" t="shared" si="50"/>
        <v>0.0381212510694327</v>
      </c>
      <c r="K524" s="157">
        <f t="shared" si="45"/>
        <v>51</v>
      </c>
      <c r="L524" s="160">
        <f ca="1" t="shared" si="51"/>
        <v>1337.8364709781</v>
      </c>
      <c r="M524" s="157">
        <f t="shared" si="52"/>
        <v>17</v>
      </c>
      <c r="U524" s="151">
        <v>5</v>
      </c>
      <c r="V524" s="157">
        <f ca="1">OFFSET(养成规划!$D$5,IFERROR(MATCH(U524,养成规划!$G$6:$G$38,1)+1,1),0)</f>
        <v>1</v>
      </c>
      <c r="W524" s="152">
        <f ca="1">((V524-_xlfn.MAXIFS($V$519:V523,$V$519:V523,"&lt;"&amp;V524))*$D$475+VLOOKUP(V524,装备产出!$D$186:$F$485,3,0))/COUNTIF($V$520:$V$819,V524)/6</f>
        <v>32.962962962963</v>
      </c>
      <c r="X524" s="157">
        <f t="shared" si="46"/>
        <v>3</v>
      </c>
      <c r="Y524" s="151">
        <f t="shared" si="53"/>
        <v>17</v>
      </c>
      <c r="Z524" s="156">
        <f ca="1">(SUM($W$520:W524)-SUM($Y$520:Y524))/SUM($W$520:W524)</f>
        <v>0.666292134831461</v>
      </c>
      <c r="AA524" s="151">
        <f t="shared" si="47"/>
        <v>0</v>
      </c>
      <c r="AB524" s="153">
        <f t="shared" si="54"/>
        <v>1200</v>
      </c>
      <c r="AC524" s="153">
        <f>SUM(Y$520:Y524)</f>
        <v>55</v>
      </c>
      <c r="AD524" s="153">
        <f>INT(SUM(AB$520:AB524))</f>
        <v>4200</v>
      </c>
      <c r="AE524" s="153">
        <f ca="1">INT(AC524*6/($D$475+AVERAGE(OFFSET(装备产出!$F$186,0,0,W524))))+1</f>
        <v>1</v>
      </c>
      <c r="AF524" s="154">
        <f t="shared" si="48"/>
        <v>76.3636363636364</v>
      </c>
    </row>
    <row r="525" ht="17.25" spans="4:32">
      <c r="D525" s="151">
        <v>6</v>
      </c>
      <c r="E525" s="156" t="str">
        <f>IFERROR((INT(_xlfn.XLOOKUP(D525,养成规划!$G$6:$G$38,养成规划!$J$6:$J$38)/6)-I525)/I525,"")</f>
        <v/>
      </c>
      <c r="F525" s="157" t="str">
        <f t="shared" si="42"/>
        <v/>
      </c>
      <c r="G525" s="157">
        <f t="shared" si="43"/>
        <v>3</v>
      </c>
      <c r="H525" s="151">
        <f t="shared" si="44"/>
        <v>180</v>
      </c>
      <c r="I525" s="158">
        <f t="shared" si="49"/>
        <v>18</v>
      </c>
      <c r="J525" s="159">
        <f ca="1" t="shared" si="50"/>
        <v>0.0375402888921055</v>
      </c>
      <c r="K525" s="157">
        <f t="shared" si="45"/>
        <v>60</v>
      </c>
      <c r="L525" s="160">
        <f ca="1" t="shared" si="51"/>
        <v>1598.28285212311</v>
      </c>
      <c r="M525" s="157">
        <f t="shared" si="52"/>
        <v>20</v>
      </c>
      <c r="U525" s="151">
        <v>6</v>
      </c>
      <c r="V525" s="157">
        <f ca="1">OFFSET(养成规划!$D$5,IFERROR(MATCH(U525,养成规划!$G$6:$G$38,1)+1,1),0)</f>
        <v>1</v>
      </c>
      <c r="W525" s="152">
        <f ca="1">((V525-_xlfn.MAXIFS($V$519:V524,$V$519:V524,"&lt;"&amp;V525))*$D$475+VLOOKUP(V525,装备产出!$D$186:$F$485,3,0))/COUNTIF($V$520:$V$819,V525)/6</f>
        <v>32.962962962963</v>
      </c>
      <c r="X525" s="157">
        <f t="shared" si="46"/>
        <v>3</v>
      </c>
      <c r="Y525" s="151">
        <f t="shared" si="53"/>
        <v>20</v>
      </c>
      <c r="Z525" s="156">
        <f ca="1">(SUM($W$520:W525)-SUM($Y$520:Y525))/SUM($W$520:W525)</f>
        <v>0.620786516853933</v>
      </c>
      <c r="AA525" s="151">
        <f t="shared" si="47"/>
        <v>0</v>
      </c>
      <c r="AB525" s="153">
        <f t="shared" si="54"/>
        <v>1200</v>
      </c>
      <c r="AC525" s="153">
        <f>SUM(Y$520:Y525)</f>
        <v>75</v>
      </c>
      <c r="AD525" s="153">
        <f>INT(SUM(AB$520:AB525))</f>
        <v>5400</v>
      </c>
      <c r="AE525" s="153">
        <f ca="1">INT(AC525*6/($D$475+AVERAGE(OFFSET(装备产出!$F$186,0,0,W525))))+1</f>
        <v>1</v>
      </c>
      <c r="AF525" s="154">
        <f t="shared" si="48"/>
        <v>72</v>
      </c>
    </row>
    <row r="526" ht="17.25" spans="4:32">
      <c r="D526" s="151">
        <v>7</v>
      </c>
      <c r="E526" s="156" t="str">
        <f>IFERROR((INT(_xlfn.XLOOKUP(D526,养成规划!$G$6:$G$38,养成规划!$J$6:$J$38)/6)-I526)/I526,"")</f>
        <v/>
      </c>
      <c r="F526" s="157" t="str">
        <f t="shared" si="42"/>
        <v/>
      </c>
      <c r="G526" s="157">
        <f t="shared" si="43"/>
        <v>3</v>
      </c>
      <c r="H526" s="151">
        <f t="shared" si="44"/>
        <v>210</v>
      </c>
      <c r="I526" s="158">
        <f t="shared" si="49"/>
        <v>21</v>
      </c>
      <c r="J526" s="159">
        <f ca="1" t="shared" si="50"/>
        <v>0.0369767687864685</v>
      </c>
      <c r="K526" s="157">
        <f t="shared" si="45"/>
        <v>69</v>
      </c>
      <c r="L526" s="160">
        <f ca="1" t="shared" si="51"/>
        <v>1866.03649438537</v>
      </c>
      <c r="M526" s="157">
        <f t="shared" si="52"/>
        <v>23</v>
      </c>
      <c r="U526" s="151">
        <v>7</v>
      </c>
      <c r="V526" s="157">
        <f ca="1">OFFSET(养成规划!$D$5,IFERROR(MATCH(U526,养成规划!$G$6:$G$38,1)+1,1),0)</f>
        <v>1</v>
      </c>
      <c r="W526" s="152">
        <f ca="1">((V526-_xlfn.MAXIFS($V$519:V525,$V$519:V525,"&lt;"&amp;V526))*$D$475+VLOOKUP(V526,装备产出!$D$186:$F$485,3,0))/COUNTIF($V$520:$V$819,V526)/6</f>
        <v>32.962962962963</v>
      </c>
      <c r="X526" s="157">
        <f t="shared" si="46"/>
        <v>3</v>
      </c>
      <c r="Y526" s="151">
        <f t="shared" si="53"/>
        <v>23</v>
      </c>
      <c r="Z526" s="156">
        <f ca="1">(SUM($W$520:W526)-SUM($Y$520:Y526))/SUM($W$520:W526)</f>
        <v>0.575280898876404</v>
      </c>
      <c r="AA526" s="151">
        <f t="shared" si="47"/>
        <v>0</v>
      </c>
      <c r="AB526" s="153">
        <f t="shared" si="54"/>
        <v>1200</v>
      </c>
      <c r="AC526" s="153">
        <f>SUM(Y$520:Y526)</f>
        <v>98</v>
      </c>
      <c r="AD526" s="153">
        <f>INT(SUM(AB$520:AB526))</f>
        <v>6600</v>
      </c>
      <c r="AE526" s="153">
        <f ca="1">INT(AC526*6/($D$475+AVERAGE(OFFSET(装备产出!$F$186,0,0,W526))))+1</f>
        <v>1</v>
      </c>
      <c r="AF526" s="154">
        <f t="shared" si="48"/>
        <v>67.3469387755102</v>
      </c>
    </row>
    <row r="527" ht="17.25" spans="4:32">
      <c r="D527" s="151">
        <v>8</v>
      </c>
      <c r="E527" s="156" t="str">
        <f>IFERROR((INT(_xlfn.XLOOKUP(D527,养成规划!$G$6:$G$38,养成规划!$J$6:$J$38)/6)-I527)/I527,"")</f>
        <v/>
      </c>
      <c r="F527" s="157" t="str">
        <f t="shared" si="42"/>
        <v/>
      </c>
      <c r="G527" s="157">
        <f t="shared" si="43"/>
        <v>3</v>
      </c>
      <c r="H527" s="151">
        <f t="shared" si="44"/>
        <v>240</v>
      </c>
      <c r="I527" s="158">
        <f t="shared" si="49"/>
        <v>24</v>
      </c>
      <c r="J527" s="159">
        <f ca="1" t="shared" si="50"/>
        <v>0.0364299168673176</v>
      </c>
      <c r="K527" s="157">
        <f t="shared" si="45"/>
        <v>108</v>
      </c>
      <c r="L527" s="160">
        <f ca="1" t="shared" si="51"/>
        <v>2964.59638909827</v>
      </c>
      <c r="M527" s="157">
        <f t="shared" si="52"/>
        <v>36</v>
      </c>
      <c r="U527" s="151">
        <v>8</v>
      </c>
      <c r="V527" s="157">
        <f ca="1">OFFSET(养成规划!$D$5,IFERROR(MATCH(U527,养成规划!$G$6:$G$38,1)+1,1),0)</f>
        <v>1</v>
      </c>
      <c r="W527" s="152">
        <f ca="1">((V527-_xlfn.MAXIFS($V$519:V526,$V$519:V526,"&lt;"&amp;V527))*$D$475+VLOOKUP(V527,装备产出!$D$186:$F$485,3,0))/COUNTIF($V$520:$V$819,V527)/6</f>
        <v>32.962962962963</v>
      </c>
      <c r="X527" s="157">
        <f t="shared" si="46"/>
        <v>3</v>
      </c>
      <c r="Y527" s="151">
        <f t="shared" si="53"/>
        <v>26</v>
      </c>
      <c r="Z527" s="156">
        <f ca="1">(SUM($W$520:W527)-SUM($Y$520:Y527))/SUM($W$520:W527)</f>
        <v>0.529775280898876</v>
      </c>
      <c r="AA527" s="151">
        <f t="shared" si="47"/>
        <v>600</v>
      </c>
      <c r="AB527" s="153">
        <f t="shared" si="54"/>
        <v>1800</v>
      </c>
      <c r="AC527" s="153">
        <f>SUM(Y$520:Y527)</f>
        <v>124</v>
      </c>
      <c r="AD527" s="153">
        <f>INT(SUM(AB$520:AB527))</f>
        <v>8400</v>
      </c>
      <c r="AE527" s="153">
        <f ca="1">INT(AC527*6/($D$475+AVERAGE(OFFSET(装备产出!$F$186,0,0,W527))))+1</f>
        <v>1</v>
      </c>
      <c r="AF527" s="154">
        <f t="shared" si="48"/>
        <v>67.741935483871</v>
      </c>
    </row>
    <row r="528" ht="17.25" spans="4:32">
      <c r="D528" s="151">
        <v>9</v>
      </c>
      <c r="E528" s="161" t="str">
        <f>IFERROR((INT(_xlfn.XLOOKUP(D528,养成规划!$G$6:$G$38,养成规划!$J$6:$J$38)/6)),"")</f>
        <v/>
      </c>
      <c r="F528" s="157" t="str">
        <f t="shared" si="42"/>
        <v/>
      </c>
      <c r="G528" s="157">
        <f t="shared" si="43"/>
        <v>3</v>
      </c>
      <c r="H528" s="151">
        <f t="shared" si="44"/>
        <v>270</v>
      </c>
      <c r="I528" s="158">
        <f t="shared" si="49"/>
        <v>27</v>
      </c>
      <c r="J528" s="159">
        <f ca="1" t="shared" si="50"/>
        <v>0.0358990043649107</v>
      </c>
      <c r="K528" s="157">
        <f t="shared" si="45"/>
        <v>87</v>
      </c>
      <c r="L528" s="160">
        <f ca="1" t="shared" si="51"/>
        <v>2423.46554003703</v>
      </c>
      <c r="M528" s="157">
        <f t="shared" si="52"/>
        <v>29</v>
      </c>
      <c r="U528" s="151">
        <v>9</v>
      </c>
      <c r="V528" s="157">
        <f ca="1">OFFSET(养成规划!$D$5,IFERROR(MATCH(U528,养成规划!$G$6:$G$38,1)+1,1),0)</f>
        <v>1</v>
      </c>
      <c r="W528" s="152">
        <f ca="1">((V528-_xlfn.MAXIFS($V$519:V527,$V$519:V527,"&lt;"&amp;V528))*$D$475+VLOOKUP(V528,装备产出!$D$186:$F$485,3,0))/COUNTIF($V$520:$V$819,V528)/6</f>
        <v>32.962962962963</v>
      </c>
      <c r="X528" s="157">
        <f t="shared" si="46"/>
        <v>3</v>
      </c>
      <c r="Y528" s="151">
        <f t="shared" si="53"/>
        <v>29</v>
      </c>
      <c r="Z528" s="156">
        <f ca="1">(SUM($W$520:W528)-SUM($Y$520:Y528))/SUM($W$520:W528)</f>
        <v>0.484269662921348</v>
      </c>
      <c r="AA528" s="151">
        <f t="shared" si="47"/>
        <v>0</v>
      </c>
      <c r="AB528" s="153">
        <f t="shared" si="54"/>
        <v>1800</v>
      </c>
      <c r="AC528" s="153">
        <f>SUM(Y$520:Y528)</f>
        <v>153</v>
      </c>
      <c r="AD528" s="153">
        <f>INT(SUM(AB$520:AB528))</f>
        <v>10200</v>
      </c>
      <c r="AE528" s="153">
        <f ca="1">INT(AC528*6/($D$475+AVERAGE(OFFSET(装备产出!$F$186,0,0,W528))))+1</f>
        <v>1</v>
      </c>
      <c r="AF528" s="154">
        <f t="shared" si="48"/>
        <v>66.6666666666667</v>
      </c>
    </row>
    <row r="529" ht="17.25" spans="4:32">
      <c r="D529" s="151">
        <v>10</v>
      </c>
      <c r="E529" s="161">
        <f>IFERROR((INT(_xlfn.XLOOKUP(D529,养成规划!$G$6:$G$38,养成规划!$J$6:$J$38)/6)),"")</f>
        <v>30</v>
      </c>
      <c r="F529" s="157">
        <f t="shared" si="42"/>
        <v>1</v>
      </c>
      <c r="G529" s="157">
        <f t="shared" si="43"/>
        <v>4</v>
      </c>
      <c r="H529" s="151">
        <f t="shared" si="44"/>
        <v>310</v>
      </c>
      <c r="I529" s="158">
        <f t="shared" si="49"/>
        <v>31</v>
      </c>
      <c r="J529" s="159">
        <f ca="1" t="shared" si="50"/>
        <v>0.0400390136503427</v>
      </c>
      <c r="K529" s="157">
        <f t="shared" si="45"/>
        <v>96</v>
      </c>
      <c r="L529" s="160">
        <f ca="1" t="shared" si="51"/>
        <v>2397.66146185218</v>
      </c>
      <c r="M529" s="157">
        <f t="shared" si="52"/>
        <v>24</v>
      </c>
      <c r="U529" s="151">
        <v>10</v>
      </c>
      <c r="V529" s="157">
        <f ca="1">OFFSET(养成规划!$D$5,IFERROR(MATCH(U529,养成规划!$G$6:$G$38,1)+1,1),0)</f>
        <v>2</v>
      </c>
      <c r="W529" s="152">
        <f ca="1">((V529-_xlfn.MAXIFS($V$519:V528,$V$519:V528,"&lt;"&amp;V529))*$D$475+VLOOKUP(V529,装备产出!$D$186:$F$485,3,0))/COUNTIF($V$520:$V$819,V529)/6</f>
        <v>45</v>
      </c>
      <c r="X529" s="157">
        <f t="shared" si="46"/>
        <v>3</v>
      </c>
      <c r="Y529" s="151">
        <f t="shared" si="53"/>
        <v>32</v>
      </c>
      <c r="Z529" s="156">
        <f ca="1">(SUM($W$520:W529)-SUM($Y$520:Y529))/SUM($W$520:W529)</f>
        <v>0.458536585365854</v>
      </c>
      <c r="AA529" s="151">
        <f t="shared" si="47"/>
        <v>0</v>
      </c>
      <c r="AB529" s="153">
        <f t="shared" si="54"/>
        <v>1800</v>
      </c>
      <c r="AC529" s="153">
        <f>SUM(Y$520:Y529)</f>
        <v>185</v>
      </c>
      <c r="AD529" s="153">
        <f>INT(SUM(AB$520:AB529))</f>
        <v>12000</v>
      </c>
      <c r="AE529" s="153">
        <f ca="1">INT(AC529*6/($D$475+AVERAGE(OFFSET(装备产出!$F$186,0,0,W529))))+1</f>
        <v>1</v>
      </c>
      <c r="AF529" s="154">
        <f t="shared" si="48"/>
        <v>64.8648648648649</v>
      </c>
    </row>
    <row r="530" ht="17.25" spans="4:32">
      <c r="D530" s="151">
        <v>11</v>
      </c>
      <c r="E530" s="161" t="str">
        <f>IFERROR((INT(_xlfn.XLOOKUP(D530,养成规划!$G$6:$G$38,养成规划!$J$6:$J$38)/6)),"")</f>
        <v/>
      </c>
      <c r="F530" s="157" t="str">
        <f t="shared" si="42"/>
        <v/>
      </c>
      <c r="G530" s="157">
        <f t="shared" si="43"/>
        <v>4</v>
      </c>
      <c r="H530" s="151">
        <f t="shared" si="44"/>
        <v>350</v>
      </c>
      <c r="I530" s="158">
        <f t="shared" si="49"/>
        <v>35</v>
      </c>
      <c r="J530" s="159">
        <f ca="1" t="shared" si="50"/>
        <v>0.0393986180552334</v>
      </c>
      <c r="K530" s="157">
        <f t="shared" si="45"/>
        <v>105</v>
      </c>
      <c r="L530" s="160">
        <f ca="1" t="shared" si="51"/>
        <v>2665.0680958606</v>
      </c>
      <c r="M530" s="157">
        <f t="shared" si="52"/>
        <v>26.25</v>
      </c>
      <c r="U530" s="151">
        <v>11</v>
      </c>
      <c r="V530" s="157">
        <f ca="1">OFFSET(养成规划!$D$5,IFERROR(MATCH(U530,养成规划!$G$6:$G$38,1)+1,1),0)</f>
        <v>2</v>
      </c>
      <c r="W530" s="152">
        <f ca="1">((V530-_xlfn.MAXIFS($V$519:V529,$V$519:V529,"&lt;"&amp;V530))*$D$475+VLOOKUP(V530,装备产出!$D$186:$F$485,3,0))/COUNTIF($V$520:$V$819,V530)/6</f>
        <v>45</v>
      </c>
      <c r="X530" s="157">
        <f t="shared" si="46"/>
        <v>3</v>
      </c>
      <c r="Y530" s="151">
        <f t="shared" si="53"/>
        <v>35</v>
      </c>
      <c r="Z530" s="156">
        <f ca="1">(SUM($W$520:W530)-SUM($Y$520:Y530))/SUM($W$520:W530)</f>
        <v>0.431034482758621</v>
      </c>
      <c r="AA530" s="151">
        <f t="shared" si="47"/>
        <v>0</v>
      </c>
      <c r="AB530" s="153">
        <f t="shared" si="54"/>
        <v>1800</v>
      </c>
      <c r="AC530" s="153">
        <f>SUM(Y$520:Y530)</f>
        <v>220</v>
      </c>
      <c r="AD530" s="153">
        <f>INT(SUM(AB$520:AB530))</f>
        <v>13800</v>
      </c>
      <c r="AE530" s="153">
        <f ca="1">INT(AC530*6/($D$475+AVERAGE(OFFSET(装备产出!$F$186,0,0,W530))))+1</f>
        <v>1</v>
      </c>
      <c r="AF530" s="154">
        <f t="shared" si="48"/>
        <v>62.7272727272727</v>
      </c>
    </row>
    <row r="531" ht="17.25" spans="4:32">
      <c r="D531" s="151">
        <v>12</v>
      </c>
      <c r="E531" s="161" t="str">
        <f>IFERROR((INT(_xlfn.XLOOKUP(D531,养成规划!$G$6:$G$38,养成规划!$J$6:$J$38)/6)),"")</f>
        <v/>
      </c>
      <c r="F531" s="156" t="str">
        <f t="shared" ref="F531:F594" si="55">IF(E531="","",(I531-E531)/E531)</f>
        <v/>
      </c>
      <c r="G531" s="157">
        <f t="shared" si="43"/>
        <v>4</v>
      </c>
      <c r="H531" s="151">
        <f t="shared" si="44"/>
        <v>390</v>
      </c>
      <c r="I531" s="158">
        <f t="shared" si="49"/>
        <v>39</v>
      </c>
      <c r="J531" s="159">
        <f ca="1" t="shared" si="50"/>
        <v>0.0387783857316676</v>
      </c>
      <c r="K531" s="157">
        <f t="shared" si="45"/>
        <v>144</v>
      </c>
      <c r="L531" s="160">
        <f ca="1" t="shared" si="51"/>
        <v>3713.40883028055</v>
      </c>
      <c r="M531" s="157">
        <f t="shared" si="52"/>
        <v>36</v>
      </c>
      <c r="U531" s="151">
        <v>12</v>
      </c>
      <c r="V531" s="157">
        <f ca="1">OFFSET(养成规划!$D$5,IFERROR(MATCH(U531,养成规划!$G$6:$G$38,1)+1,1),0)</f>
        <v>2</v>
      </c>
      <c r="W531" s="152">
        <f ca="1">((V531-_xlfn.MAXIFS($V$519:V530,$V$519:V530,"&lt;"&amp;V531))*$D$475+VLOOKUP(V531,装备产出!$D$186:$F$485,3,0))/COUNTIF($V$520:$V$819,V531)/6</f>
        <v>45</v>
      </c>
      <c r="X531" s="157">
        <f t="shared" si="46"/>
        <v>3</v>
      </c>
      <c r="Y531" s="151">
        <f t="shared" si="53"/>
        <v>38</v>
      </c>
      <c r="Z531" s="156">
        <f ca="1">(SUM($W$520:W531)-SUM($Y$520:Y531))/SUM($W$520:W531)</f>
        <v>0.402316602316602</v>
      </c>
      <c r="AA531" s="151">
        <f t="shared" si="47"/>
        <v>600</v>
      </c>
      <c r="AB531" s="153">
        <f t="shared" si="54"/>
        <v>2400</v>
      </c>
      <c r="AC531" s="153">
        <f>SUM(Y$520:Y531)</f>
        <v>258</v>
      </c>
      <c r="AD531" s="153">
        <f>INT(SUM(AB$520:AB531))</f>
        <v>16200</v>
      </c>
      <c r="AE531" s="153">
        <f ca="1">INT(AC531*6/($D$475+AVERAGE(OFFSET(装备产出!$F$186,0,0,W531))))+1</f>
        <v>2</v>
      </c>
      <c r="AF531" s="154">
        <f t="shared" si="48"/>
        <v>62.7906976744186</v>
      </c>
    </row>
    <row r="532" ht="17.25" spans="4:32">
      <c r="D532" s="151">
        <v>13</v>
      </c>
      <c r="E532" s="161" t="str">
        <f>IFERROR((INT(_xlfn.XLOOKUP(D532,养成规划!$G$6:$G$38,养成规划!$J$6:$J$38)/6)),"")</f>
        <v/>
      </c>
      <c r="F532" s="156" t="str">
        <f t="shared" si="55"/>
        <v/>
      </c>
      <c r="G532" s="157">
        <f t="shared" si="43"/>
        <v>4</v>
      </c>
      <c r="H532" s="151">
        <f t="shared" si="44"/>
        <v>430</v>
      </c>
      <c r="I532" s="158">
        <f t="shared" si="49"/>
        <v>43</v>
      </c>
      <c r="J532" s="159">
        <f ca="1" t="shared" si="50"/>
        <v>0.0381773791395502</v>
      </c>
      <c r="K532" s="157">
        <f t="shared" si="45"/>
        <v>123</v>
      </c>
      <c r="L532" s="160">
        <f ca="1" t="shared" si="51"/>
        <v>3221.80314029407</v>
      </c>
      <c r="M532" s="157">
        <f t="shared" si="52"/>
        <v>30.75</v>
      </c>
      <c r="U532" s="151">
        <v>13</v>
      </c>
      <c r="V532" s="157">
        <f ca="1">OFFSET(养成规划!$D$5,IFERROR(MATCH(U532,养成规划!$G$6:$G$38,1)+1,1),0)</f>
        <v>2</v>
      </c>
      <c r="W532" s="152">
        <f ca="1">((V532-_xlfn.MAXIFS($V$519:V531,$V$519:V531,"&lt;"&amp;V532))*$D$475+VLOOKUP(V532,装备产出!$D$186:$F$485,3,0))/COUNTIF($V$520:$V$819,V532)/6</f>
        <v>45</v>
      </c>
      <c r="X532" s="157">
        <f t="shared" si="46"/>
        <v>3</v>
      </c>
      <c r="Y532" s="151">
        <f t="shared" si="53"/>
        <v>41</v>
      </c>
      <c r="Z532" s="156">
        <f ca="1">(SUM($W$520:W532)-SUM($Y$520:Y532))/SUM($W$520:W532)</f>
        <v>0.372727272727273</v>
      </c>
      <c r="AA532" s="151">
        <f t="shared" si="47"/>
        <v>0</v>
      </c>
      <c r="AB532" s="153">
        <f t="shared" si="54"/>
        <v>2400</v>
      </c>
      <c r="AC532" s="153">
        <f>SUM(Y$520:Y532)</f>
        <v>299</v>
      </c>
      <c r="AD532" s="153">
        <f>INT(SUM(AB$520:AB532))</f>
        <v>18600</v>
      </c>
      <c r="AE532" s="153">
        <f ca="1">INT(AC532*6/($D$475+AVERAGE(OFFSET(装备产出!$F$186,0,0,W532))))+1</f>
        <v>2</v>
      </c>
      <c r="AF532" s="154">
        <f t="shared" si="48"/>
        <v>62.2073578595318</v>
      </c>
    </row>
    <row r="533" ht="17.25" spans="4:32">
      <c r="D533" s="151">
        <v>14</v>
      </c>
      <c r="E533" s="161" t="str">
        <f>IFERROR((INT(_xlfn.XLOOKUP(D533,养成规划!$G$6:$G$38,养成规划!$J$6:$J$38)/6)),"")</f>
        <v/>
      </c>
      <c r="F533" s="156" t="str">
        <f t="shared" si="55"/>
        <v/>
      </c>
      <c r="G533" s="157">
        <f t="shared" si="43"/>
        <v>4</v>
      </c>
      <c r="H533" s="151">
        <f t="shared" si="44"/>
        <v>470</v>
      </c>
      <c r="I533" s="158">
        <f t="shared" si="49"/>
        <v>47</v>
      </c>
      <c r="J533" s="159">
        <f ca="1" t="shared" si="50"/>
        <v>0.0375947179770306</v>
      </c>
      <c r="K533" s="157">
        <f t="shared" si="45"/>
        <v>132</v>
      </c>
      <c r="L533" s="160">
        <f ca="1" t="shared" si="51"/>
        <v>3511.13153929359</v>
      </c>
      <c r="M533" s="157">
        <f t="shared" si="52"/>
        <v>33</v>
      </c>
      <c r="U533" s="151">
        <v>14</v>
      </c>
      <c r="V533" s="157">
        <f ca="1">OFFSET(养成规划!$D$5,IFERROR(MATCH(U533,养成规划!$G$6:$G$38,1)+1,1),0)</f>
        <v>2</v>
      </c>
      <c r="W533" s="152">
        <f ca="1">((V533-_xlfn.MAXIFS($V$519:V532,$V$519:V532,"&lt;"&amp;V533))*$D$475+VLOOKUP(V533,装备产出!$D$186:$F$485,3,0))/COUNTIF($V$520:$V$819,V533)/6</f>
        <v>45</v>
      </c>
      <c r="X533" s="157">
        <f t="shared" si="46"/>
        <v>3</v>
      </c>
      <c r="Y533" s="151">
        <f t="shared" si="53"/>
        <v>44</v>
      </c>
      <c r="Z533" s="156">
        <f ca="1">(SUM($W$520:W533)-SUM($Y$520:Y533))/SUM($W$520:W533)</f>
        <v>0.342492012779553</v>
      </c>
      <c r="AA533" s="151">
        <f t="shared" si="47"/>
        <v>0</v>
      </c>
      <c r="AB533" s="153">
        <f t="shared" si="54"/>
        <v>2400</v>
      </c>
      <c r="AC533" s="153">
        <f>SUM(Y$520:Y533)</f>
        <v>343</v>
      </c>
      <c r="AD533" s="153">
        <f>INT(SUM(AB$520:AB533))</f>
        <v>21000</v>
      </c>
      <c r="AE533" s="153">
        <f ca="1">INT(AC533*6/($D$475+AVERAGE(OFFSET(装备产出!$F$186,0,0,W533))))+1</f>
        <v>2</v>
      </c>
      <c r="AF533" s="154">
        <f t="shared" si="48"/>
        <v>61.2244897959184</v>
      </c>
    </row>
    <row r="534" ht="17.25" spans="4:32">
      <c r="D534" s="151">
        <v>15</v>
      </c>
      <c r="E534" s="161" t="str">
        <f>IFERROR((INT(_xlfn.XLOOKUP(D534,养成规划!$G$6:$G$38,养成规划!$J$6:$J$38)/6)),"")</f>
        <v/>
      </c>
      <c r="F534" s="156" t="str">
        <f t="shared" si="55"/>
        <v/>
      </c>
      <c r="G534" s="157">
        <f t="shared" si="43"/>
        <v>4</v>
      </c>
      <c r="H534" s="151">
        <f t="shared" si="44"/>
        <v>510</v>
      </c>
      <c r="I534" s="158">
        <f t="shared" si="49"/>
        <v>51</v>
      </c>
      <c r="J534" s="159">
        <f ca="1" t="shared" si="50"/>
        <v>0.0370295748779869</v>
      </c>
      <c r="K534" s="157">
        <f t="shared" si="45"/>
        <v>141</v>
      </c>
      <c r="L534" s="160">
        <f ca="1" t="shared" si="51"/>
        <v>3807.76718243721</v>
      </c>
      <c r="M534" s="157">
        <f t="shared" si="52"/>
        <v>35.25</v>
      </c>
      <c r="U534" s="151">
        <v>15</v>
      </c>
      <c r="V534" s="157">
        <f ca="1">OFFSET(养成规划!$D$5,IFERROR(MATCH(U534,养成规划!$G$6:$G$38,1)+1,1),0)</f>
        <v>2</v>
      </c>
      <c r="W534" s="152">
        <f ca="1">((V534-_xlfn.MAXIFS($V$519:V533,$V$519:V533,"&lt;"&amp;V534))*$D$475+VLOOKUP(V534,装备产出!$D$186:$F$485,3,0))/COUNTIF($V$520:$V$819,V534)/6</f>
        <v>45</v>
      </c>
      <c r="X534" s="157">
        <f t="shared" si="46"/>
        <v>3</v>
      </c>
      <c r="Y534" s="151">
        <f t="shared" si="53"/>
        <v>47</v>
      </c>
      <c r="Z534" s="156">
        <f ca="1">(SUM($W$520:W534)-SUM($Y$520:Y534))/SUM($W$520:W534)</f>
        <v>0.311764705882353</v>
      </c>
      <c r="AA534" s="151">
        <f t="shared" si="47"/>
        <v>0</v>
      </c>
      <c r="AB534" s="153">
        <f t="shared" si="54"/>
        <v>2400</v>
      </c>
      <c r="AC534" s="153">
        <f>SUM(Y$520:Y534)</f>
        <v>390</v>
      </c>
      <c r="AD534" s="153">
        <f>INT(SUM(AB$520:AB534))</f>
        <v>23400</v>
      </c>
      <c r="AE534" s="153">
        <f ca="1">INT(AC534*6/($D$475+AVERAGE(OFFSET(装备产出!$F$186,0,0,W534))))+1</f>
        <v>2</v>
      </c>
      <c r="AF534" s="154">
        <f t="shared" si="48"/>
        <v>60</v>
      </c>
    </row>
    <row r="535" ht="17.25" spans="4:32">
      <c r="D535" s="151">
        <v>16</v>
      </c>
      <c r="E535" s="161">
        <f>IFERROR((INT(_xlfn.XLOOKUP(D535,养成规划!$G$6:$G$38,养成规划!$J$6:$J$38)/6)),"")</f>
        <v>54</v>
      </c>
      <c r="F535" s="156">
        <f t="shared" si="55"/>
        <v>0.0185185185185185</v>
      </c>
      <c r="G535" s="157">
        <f t="shared" si="43"/>
        <v>4</v>
      </c>
      <c r="H535" s="151">
        <f t="shared" si="44"/>
        <v>550</v>
      </c>
      <c r="I535" s="158">
        <f t="shared" si="49"/>
        <v>55</v>
      </c>
      <c r="J535" s="159">
        <f ca="1" t="shared" si="50"/>
        <v>0.0364811714918669</v>
      </c>
      <c r="K535" s="157">
        <f t="shared" si="45"/>
        <v>177</v>
      </c>
      <c r="L535" s="160">
        <f ca="1" t="shared" si="51"/>
        <v>4851.81787650269</v>
      </c>
      <c r="M535" s="157">
        <f t="shared" si="52"/>
        <v>44.25</v>
      </c>
      <c r="U535" s="151">
        <v>16</v>
      </c>
      <c r="V535" s="157">
        <f ca="1">OFFSET(养成规划!$D$5,IFERROR(MATCH(U535,养成规划!$G$6:$G$38,1)+1,1),0)</f>
        <v>3</v>
      </c>
      <c r="W535" s="152">
        <f ca="1">((V535-_xlfn.MAXIFS($V$519:V534,$V$519:V534,"&lt;"&amp;V535))*$D$475+VLOOKUP(V535,装备产出!$D$186:$F$485,3,0))/COUNTIF($V$520:$V$819,V535)/6</f>
        <v>64.1666666666667</v>
      </c>
      <c r="X535" s="157">
        <f t="shared" si="46"/>
        <v>2</v>
      </c>
      <c r="Y535" s="151">
        <f t="shared" si="53"/>
        <v>49</v>
      </c>
      <c r="Z535" s="156">
        <f ca="1">(SUM($W$520:W535)-SUM($Y$520:Y535))/SUM($W$520:W535)</f>
        <v>0.304095112285337</v>
      </c>
      <c r="AA535" s="151">
        <f t="shared" si="47"/>
        <v>600</v>
      </c>
      <c r="AB535" s="153">
        <f t="shared" si="54"/>
        <v>3000</v>
      </c>
      <c r="AC535" s="153">
        <f>SUM(Y$520:Y535)</f>
        <v>439</v>
      </c>
      <c r="AD535" s="153">
        <f>INT(SUM(AB$520:AB535))</f>
        <v>26400</v>
      </c>
      <c r="AE535" s="153">
        <f ca="1">INT(AC535*6/($D$475+AVERAGE(OFFSET(装备产出!$F$186,0,0,W535))))+1</f>
        <v>2</v>
      </c>
      <c r="AF535" s="154">
        <f t="shared" si="48"/>
        <v>60.1366742596811</v>
      </c>
    </row>
    <row r="536" ht="17.25" spans="4:32">
      <c r="D536" s="151">
        <v>17</v>
      </c>
      <c r="E536" s="161" t="str">
        <f>IFERROR((INT(_xlfn.XLOOKUP(D536,养成规划!$G$6:$G$38,养成规划!$J$6:$J$38)/6)),"")</f>
        <v/>
      </c>
      <c r="F536" s="156" t="str">
        <f t="shared" si="55"/>
        <v/>
      </c>
      <c r="G536" s="157">
        <f t="shared" si="43"/>
        <v>4</v>
      </c>
      <c r="H536" s="151">
        <f t="shared" si="44"/>
        <v>590</v>
      </c>
      <c r="I536" s="158">
        <f t="shared" si="49"/>
        <v>59</v>
      </c>
      <c r="J536" s="159">
        <f ca="1" t="shared" si="50"/>
        <v>0.0359487749068177</v>
      </c>
      <c r="K536" s="157">
        <f t="shared" si="45"/>
        <v>153</v>
      </c>
      <c r="L536" s="160">
        <f ca="1" t="shared" si="51"/>
        <v>4256.05602406728</v>
      </c>
      <c r="M536" s="157">
        <f t="shared" si="52"/>
        <v>38.25</v>
      </c>
      <c r="U536" s="151">
        <v>17</v>
      </c>
      <c r="V536" s="157">
        <f ca="1">OFFSET(养成规划!$D$5,IFERROR(MATCH(U536,养成规划!$G$6:$G$38,1)+1,1),0)</f>
        <v>3</v>
      </c>
      <c r="W536" s="152">
        <f ca="1">((V536-_xlfn.MAXIFS($V$519:V535,$V$519:V535,"&lt;"&amp;V536))*$D$475+VLOOKUP(V536,装备产出!$D$186:$F$485,3,0))/COUNTIF($V$520:$V$819,V536)/6</f>
        <v>64.1666666666667</v>
      </c>
      <c r="X536" s="157">
        <f t="shared" si="46"/>
        <v>2</v>
      </c>
      <c r="Y536" s="151">
        <f t="shared" si="53"/>
        <v>51</v>
      </c>
      <c r="Z536" s="156">
        <f ca="1">(SUM($W$520:W536)-SUM($Y$520:Y536))/SUM($W$520:W536)</f>
        <v>0.294964028776978</v>
      </c>
      <c r="AA536" s="151">
        <f t="shared" si="47"/>
        <v>0</v>
      </c>
      <c r="AB536" s="153">
        <f t="shared" si="54"/>
        <v>3000</v>
      </c>
      <c r="AC536" s="153">
        <f>SUM(Y$520:Y536)</f>
        <v>490</v>
      </c>
      <c r="AD536" s="153">
        <f>INT(SUM(AB$520:AB536))</f>
        <v>29400</v>
      </c>
      <c r="AE536" s="153">
        <f ca="1">INT(AC536*6/($D$475+AVERAGE(OFFSET(装备产出!$F$186,0,0,W536))))+1</f>
        <v>3</v>
      </c>
      <c r="AF536" s="154">
        <f t="shared" si="48"/>
        <v>60</v>
      </c>
    </row>
    <row r="537" ht="17.25" spans="4:32">
      <c r="D537" s="151">
        <v>18</v>
      </c>
      <c r="E537" s="161" t="str">
        <f>IFERROR((INT(_xlfn.XLOOKUP(D537,养成规划!$G$6:$G$38,养成规划!$J$6:$J$38)/6)),"")</f>
        <v/>
      </c>
      <c r="F537" s="156" t="str">
        <f t="shared" si="55"/>
        <v/>
      </c>
      <c r="G537" s="157">
        <f t="shared" si="43"/>
        <v>4</v>
      </c>
      <c r="H537" s="151">
        <f t="shared" si="44"/>
        <v>630</v>
      </c>
      <c r="I537" s="158">
        <f t="shared" si="49"/>
        <v>63</v>
      </c>
      <c r="J537" s="159">
        <f ca="1" t="shared" si="50"/>
        <v>0.0354316943815413</v>
      </c>
      <c r="K537" s="157">
        <f t="shared" si="45"/>
        <v>159</v>
      </c>
      <c r="L537" s="160">
        <f ca="1" t="shared" si="51"/>
        <v>4487.50766158204</v>
      </c>
      <c r="M537" s="157">
        <f t="shared" si="52"/>
        <v>39.75</v>
      </c>
      <c r="U537" s="151">
        <v>18</v>
      </c>
      <c r="V537" s="157">
        <f ca="1">OFFSET(养成规划!$D$5,IFERROR(MATCH(U537,养成规划!$G$6:$G$38,1)+1,1),0)</f>
        <v>3</v>
      </c>
      <c r="W537" s="152">
        <f ca="1">((V537-_xlfn.MAXIFS($V$519:V536,$V$519:V536,"&lt;"&amp;V537))*$D$475+VLOOKUP(V537,装备产出!$D$186:$F$485,3,0))/COUNTIF($V$520:$V$819,V537)/6</f>
        <v>64.1666666666667</v>
      </c>
      <c r="X537" s="157">
        <f t="shared" si="46"/>
        <v>2</v>
      </c>
      <c r="Y537" s="151">
        <f t="shared" si="53"/>
        <v>53</v>
      </c>
      <c r="Z537" s="156">
        <f ca="1">(SUM($W$520:W537)-SUM($Y$520:Y537))/SUM($W$520:W537)</f>
        <v>0.284742041712404</v>
      </c>
      <c r="AA537" s="151">
        <f t="shared" si="47"/>
        <v>0</v>
      </c>
      <c r="AB537" s="153">
        <f t="shared" si="54"/>
        <v>3000</v>
      </c>
      <c r="AC537" s="153">
        <f>SUM(Y$520:Y537)</f>
        <v>543</v>
      </c>
      <c r="AD537" s="153">
        <f>INT(SUM(AB$520:AB537))</f>
        <v>32400</v>
      </c>
      <c r="AE537" s="153">
        <f ca="1">INT(AC537*6/($D$475+AVERAGE(OFFSET(装备产出!$F$186,0,0,W537))))+1</f>
        <v>3</v>
      </c>
      <c r="AF537" s="154">
        <f t="shared" si="48"/>
        <v>59.6685082872928</v>
      </c>
    </row>
    <row r="538" ht="17.25" spans="4:32">
      <c r="D538" s="151">
        <v>19</v>
      </c>
      <c r="E538" s="161" t="str">
        <f>IFERROR((INT(_xlfn.XLOOKUP(D538,养成规划!$G$6:$G$38,养成规划!$J$6:$J$38)/6)),"")</f>
        <v/>
      </c>
      <c r="F538" s="156" t="str">
        <f t="shared" si="55"/>
        <v/>
      </c>
      <c r="G538" s="157">
        <f t="shared" si="43"/>
        <v>4</v>
      </c>
      <c r="H538" s="151">
        <f t="shared" si="44"/>
        <v>670</v>
      </c>
      <c r="I538" s="158">
        <f t="shared" si="49"/>
        <v>67</v>
      </c>
      <c r="J538" s="159">
        <f ca="1" t="shared" si="50"/>
        <v>0.0349292783552207</v>
      </c>
      <c r="K538" s="157">
        <f t="shared" si="45"/>
        <v>165</v>
      </c>
      <c r="L538" s="160">
        <f ca="1" t="shared" si="51"/>
        <v>4723.83077377086</v>
      </c>
      <c r="M538" s="157">
        <f t="shared" si="52"/>
        <v>41.25</v>
      </c>
      <c r="U538" s="151">
        <v>19</v>
      </c>
      <c r="V538" s="157">
        <f ca="1">OFFSET(养成规划!$D$5,IFERROR(MATCH(U538,养成规划!$G$6:$G$38,1)+1,1),0)</f>
        <v>3</v>
      </c>
      <c r="W538" s="152">
        <f ca="1">((V538-_xlfn.MAXIFS($V$519:V537,$V$519:V537,"&lt;"&amp;V538))*$D$475+VLOOKUP(V538,装备产出!$D$186:$F$485,3,0))/COUNTIF($V$520:$V$819,V538)/6</f>
        <v>64.1666666666667</v>
      </c>
      <c r="X538" s="157">
        <f t="shared" si="46"/>
        <v>2</v>
      </c>
      <c r="Y538" s="151">
        <f t="shared" si="53"/>
        <v>55</v>
      </c>
      <c r="Z538" s="156">
        <f ca="1">(SUM($W$520:W538)-SUM($Y$520:Y538))/SUM($W$520:W538)</f>
        <v>0.273684210526316</v>
      </c>
      <c r="AA538" s="151">
        <f t="shared" si="47"/>
        <v>0</v>
      </c>
      <c r="AB538" s="153">
        <f t="shared" si="54"/>
        <v>3000</v>
      </c>
      <c r="AC538" s="153">
        <f>SUM(Y$520:Y538)</f>
        <v>598</v>
      </c>
      <c r="AD538" s="153">
        <f>INT(SUM(AB$520:AB538))</f>
        <v>35400</v>
      </c>
      <c r="AE538" s="153">
        <f ca="1">INT(AC538*6/($D$475+AVERAGE(OFFSET(装备产出!$F$186,0,0,W538))))+1</f>
        <v>3</v>
      </c>
      <c r="AF538" s="154">
        <f t="shared" si="48"/>
        <v>59.1973244147157</v>
      </c>
    </row>
    <row r="539" ht="17.25" spans="4:32">
      <c r="D539" s="151">
        <v>20</v>
      </c>
      <c r="E539" s="161">
        <f>IFERROR((INT(_xlfn.XLOOKUP(D539,养成规划!$G$6:$G$38,养成规划!$J$6:$J$38)/6)),"")</f>
        <v>70</v>
      </c>
      <c r="F539" s="156">
        <f t="shared" si="55"/>
        <v>0.0285714285714286</v>
      </c>
      <c r="G539" s="157">
        <f t="shared" si="43"/>
        <v>5</v>
      </c>
      <c r="H539" s="151">
        <f t="shared" si="44"/>
        <v>720</v>
      </c>
      <c r="I539" s="158">
        <f t="shared" si="49"/>
        <v>72</v>
      </c>
      <c r="J539" s="159">
        <f ca="1" t="shared" si="50"/>
        <v>0.0313008796257402</v>
      </c>
      <c r="K539" s="157">
        <f t="shared" si="45"/>
        <v>171</v>
      </c>
      <c r="L539" s="160">
        <f ca="1" t="shared" si="51"/>
        <v>5463.1052559743</v>
      </c>
      <c r="M539" s="157">
        <f t="shared" si="52"/>
        <v>34.2</v>
      </c>
      <c r="U539" s="151">
        <v>20</v>
      </c>
      <c r="V539" s="157">
        <f ca="1">OFFSET(养成规划!$D$5,IFERROR(MATCH(U539,养成规划!$G$6:$G$38,1)+1,1),0)</f>
        <v>4</v>
      </c>
      <c r="W539" s="152">
        <f ca="1">((V539-_xlfn.MAXIFS($V$519:V538,$V$519:V538,"&lt;"&amp;V539))*$D$475+VLOOKUP(V539,装备产出!$D$186:$F$485,3,0))/COUNTIF($V$520:$V$819,V539)/6</f>
        <v>62.5</v>
      </c>
      <c r="X539" s="157">
        <f t="shared" si="46"/>
        <v>2</v>
      </c>
      <c r="Y539" s="151">
        <f t="shared" si="53"/>
        <v>57</v>
      </c>
      <c r="Z539" s="156">
        <f ca="1">(SUM($W$520:W539)-SUM($Y$520:Y539))/SUM($W$520:W539)</f>
        <v>0.260583254938852</v>
      </c>
      <c r="AA539" s="151">
        <f t="shared" si="47"/>
        <v>0</v>
      </c>
      <c r="AB539" s="153">
        <f t="shared" si="54"/>
        <v>3000</v>
      </c>
      <c r="AC539" s="153">
        <f>SUM(Y$520:Y539)</f>
        <v>655</v>
      </c>
      <c r="AD539" s="153">
        <f>INT(SUM(AB$520:AB539))</f>
        <v>38400</v>
      </c>
      <c r="AE539" s="153">
        <f ca="1">INT(AC539*6/($D$475+AVERAGE(OFFSET(装备产出!$F$186,0,0,W539))))+1</f>
        <v>3</v>
      </c>
      <c r="AF539" s="154">
        <f t="shared" si="48"/>
        <v>58.6259541984733</v>
      </c>
    </row>
    <row r="540" ht="17.25" spans="4:32">
      <c r="D540" s="151">
        <v>21</v>
      </c>
      <c r="E540" s="161" t="str">
        <f>IFERROR((INT(_xlfn.XLOOKUP(D540,养成规划!$G$6:$G$38,养成规划!$J$6:$J$38)/6)),"")</f>
        <v/>
      </c>
      <c r="F540" s="156" t="str">
        <f t="shared" si="55"/>
        <v/>
      </c>
      <c r="G540" s="157">
        <f t="shared" si="43"/>
        <v>5</v>
      </c>
      <c r="H540" s="151">
        <f t="shared" si="44"/>
        <v>770</v>
      </c>
      <c r="I540" s="158">
        <f t="shared" si="49"/>
        <v>77</v>
      </c>
      <c r="J540" s="159">
        <f ca="1" t="shared" si="50"/>
        <v>0.0309081355084624</v>
      </c>
      <c r="K540" s="157">
        <f t="shared" si="45"/>
        <v>177</v>
      </c>
      <c r="L540" s="160">
        <f ca="1" t="shared" si="51"/>
        <v>5726.64759902903</v>
      </c>
      <c r="M540" s="157">
        <f t="shared" si="52"/>
        <v>35.4</v>
      </c>
      <c r="U540" s="151">
        <v>21</v>
      </c>
      <c r="V540" s="157">
        <f ca="1">OFFSET(养成规划!$D$5,IFERROR(MATCH(U540,养成规划!$G$6:$G$38,1)+1,1),0)</f>
        <v>4</v>
      </c>
      <c r="W540" s="152">
        <f ca="1">((V540-_xlfn.MAXIFS($V$519:V539,$V$519:V539,"&lt;"&amp;V540))*$D$475+VLOOKUP(V540,装备产出!$D$186:$F$485,3,0))/COUNTIF($V$520:$V$819,V540)/6</f>
        <v>62.5</v>
      </c>
      <c r="X540" s="157">
        <f t="shared" si="46"/>
        <v>2</v>
      </c>
      <c r="Y540" s="151">
        <f t="shared" si="53"/>
        <v>59</v>
      </c>
      <c r="Z540" s="156">
        <f ca="1">(SUM($W$520:W540)-SUM($Y$520:Y540))/SUM($W$520:W540)</f>
        <v>0.247100175746924</v>
      </c>
      <c r="AA540" s="151">
        <f t="shared" si="47"/>
        <v>0</v>
      </c>
      <c r="AB540" s="153">
        <f t="shared" si="54"/>
        <v>3000</v>
      </c>
      <c r="AC540" s="153">
        <f>SUM(Y$520:Y540)</f>
        <v>714</v>
      </c>
      <c r="AD540" s="153">
        <f>INT(SUM(AB$520:AB540))</f>
        <v>41400</v>
      </c>
      <c r="AE540" s="153">
        <f ca="1">INT(AC540*6/($D$475+AVERAGE(OFFSET(装备产出!$F$186,0,0,W540))))+1</f>
        <v>4</v>
      </c>
      <c r="AF540" s="154">
        <f t="shared" si="48"/>
        <v>57.9831932773109</v>
      </c>
    </row>
    <row r="541" ht="17.25" spans="4:32">
      <c r="D541" s="151">
        <v>22</v>
      </c>
      <c r="E541" s="161" t="str">
        <f>IFERROR((INT(_xlfn.XLOOKUP(D541,养成规划!$G$6:$G$38,养成规划!$J$6:$J$38)/6)),"")</f>
        <v/>
      </c>
      <c r="F541" s="156" t="str">
        <f t="shared" si="55"/>
        <v/>
      </c>
      <c r="G541" s="157">
        <f t="shared" si="43"/>
        <v>5</v>
      </c>
      <c r="H541" s="151">
        <f t="shared" si="44"/>
        <v>820</v>
      </c>
      <c r="I541" s="158">
        <f t="shared" si="49"/>
        <v>82</v>
      </c>
      <c r="J541" s="159">
        <f ca="1" t="shared" si="50"/>
        <v>0.0305251252049452</v>
      </c>
      <c r="K541" s="157">
        <f t="shared" si="45"/>
        <v>213</v>
      </c>
      <c r="L541" s="160">
        <f ca="1" t="shared" si="51"/>
        <v>6977.858356679</v>
      </c>
      <c r="M541" s="157">
        <f t="shared" si="52"/>
        <v>42.6</v>
      </c>
      <c r="U541" s="151">
        <v>22</v>
      </c>
      <c r="V541" s="157">
        <f ca="1">OFFSET(养成规划!$D$5,IFERROR(MATCH(U541,养成规划!$G$6:$G$38,1)+1,1),0)</f>
        <v>4</v>
      </c>
      <c r="W541" s="152">
        <f ca="1">((V541-_xlfn.MAXIFS($V$519:V540,$V$519:V540,"&lt;"&amp;V541))*$D$475+VLOOKUP(V541,装备产出!$D$186:$F$485,3,0))/COUNTIF($V$520:$V$819,V541)/6</f>
        <v>62.5</v>
      </c>
      <c r="X541" s="157">
        <f t="shared" si="46"/>
        <v>2</v>
      </c>
      <c r="Y541" s="151">
        <f t="shared" si="53"/>
        <v>61</v>
      </c>
      <c r="Z541" s="156">
        <f ca="1">(SUM($W$520:W541)-SUM($Y$520:Y541))/SUM($W$520:W541)</f>
        <v>0.233305853256389</v>
      </c>
      <c r="AA541" s="151">
        <f t="shared" si="47"/>
        <v>600</v>
      </c>
      <c r="AB541" s="153">
        <f t="shared" si="54"/>
        <v>3600</v>
      </c>
      <c r="AC541" s="153">
        <f>SUM(Y$520:Y541)</f>
        <v>775</v>
      </c>
      <c r="AD541" s="153">
        <f>INT(SUM(AB$520:AB541))</f>
        <v>45000</v>
      </c>
      <c r="AE541" s="153">
        <f ca="1">INT(AC541*6/($D$475+AVERAGE(OFFSET(装备产出!$F$186,0,0,W541))))+1</f>
        <v>4</v>
      </c>
      <c r="AF541" s="154">
        <f t="shared" si="48"/>
        <v>58.0645161290323</v>
      </c>
    </row>
    <row r="542" ht="17.25" spans="4:32">
      <c r="D542" s="151">
        <v>23</v>
      </c>
      <c r="E542" s="161" t="str">
        <f>IFERROR((INT(_xlfn.XLOOKUP(D542,养成规划!$G$6:$G$38,养成规划!$J$6:$J$38)/6)),"")</f>
        <v/>
      </c>
      <c r="F542" s="156" t="str">
        <f t="shared" si="55"/>
        <v/>
      </c>
      <c r="G542" s="157">
        <f t="shared" si="43"/>
        <v>5</v>
      </c>
      <c r="H542" s="151">
        <f t="shared" si="44"/>
        <v>870</v>
      </c>
      <c r="I542" s="158">
        <f t="shared" si="49"/>
        <v>87</v>
      </c>
      <c r="J542" s="159">
        <f ca="1" t="shared" si="50"/>
        <v>0.0301514912742188</v>
      </c>
      <c r="K542" s="157">
        <f t="shared" si="45"/>
        <v>189</v>
      </c>
      <c r="L542" s="160">
        <f ca="1" t="shared" si="51"/>
        <v>6268.3466725112</v>
      </c>
      <c r="M542" s="157">
        <f t="shared" si="52"/>
        <v>37.8</v>
      </c>
      <c r="U542" s="151">
        <v>23</v>
      </c>
      <c r="V542" s="157">
        <f ca="1">OFFSET(养成规划!$D$5,IFERROR(MATCH(U542,养成规划!$G$6:$G$38,1)+1,1),0)</f>
        <v>4</v>
      </c>
      <c r="W542" s="152">
        <f ca="1">((V542-_xlfn.MAXIFS($V$519:V541,$V$519:V541,"&lt;"&amp;V542))*$D$475+VLOOKUP(V542,装备产出!$D$186:$F$485,3,0))/COUNTIF($V$520:$V$819,V542)/6</f>
        <v>62.5</v>
      </c>
      <c r="X542" s="157">
        <f t="shared" si="46"/>
        <v>2</v>
      </c>
      <c r="Y542" s="151">
        <f t="shared" si="53"/>
        <v>63</v>
      </c>
      <c r="Z542" s="156">
        <f ca="1">(SUM($W$520:W542)-SUM($Y$520:Y542))/SUM($W$520:W542)</f>
        <v>0.219254658385093</v>
      </c>
      <c r="AA542" s="151">
        <f t="shared" si="47"/>
        <v>0</v>
      </c>
      <c r="AB542" s="153">
        <f t="shared" si="54"/>
        <v>3600</v>
      </c>
      <c r="AC542" s="153">
        <f>SUM(Y$520:Y542)</f>
        <v>838</v>
      </c>
      <c r="AD542" s="153">
        <f>INT(SUM(AB$520:AB542))</f>
        <v>48600</v>
      </c>
      <c r="AE542" s="153">
        <f ca="1">INT(AC542*6/($D$475+AVERAGE(OFFSET(装备产出!$F$186,0,0,W542))))+1</f>
        <v>4</v>
      </c>
      <c r="AF542" s="154">
        <f t="shared" si="48"/>
        <v>57.9952267303103</v>
      </c>
    </row>
    <row r="543" ht="17.25" spans="4:32">
      <c r="D543" s="151">
        <v>24</v>
      </c>
      <c r="E543" s="161">
        <f>IFERROR((INT(_xlfn.XLOOKUP(D543,养成规划!$G$6:$G$38,养成规划!$J$6:$J$38)/6)),"")</f>
        <v>90</v>
      </c>
      <c r="F543" s="156">
        <f t="shared" si="55"/>
        <v>0.0222222222222222</v>
      </c>
      <c r="G543" s="157">
        <f t="shared" si="43"/>
        <v>5</v>
      </c>
      <c r="H543" s="151">
        <f t="shared" si="44"/>
        <v>920</v>
      </c>
      <c r="I543" s="158">
        <f t="shared" si="49"/>
        <v>92</v>
      </c>
      <c r="J543" s="159">
        <f ca="1" t="shared" si="50"/>
        <v>0.0297868935649535</v>
      </c>
      <c r="K543" s="157">
        <f t="shared" si="45"/>
        <v>195</v>
      </c>
      <c r="L543" s="160">
        <f ca="1" t="shared" si="51"/>
        <v>6546.5034000535</v>
      </c>
      <c r="M543" s="157">
        <f t="shared" si="52"/>
        <v>39</v>
      </c>
      <c r="U543" s="151">
        <v>24</v>
      </c>
      <c r="V543" s="157">
        <f ca="1">OFFSET(养成规划!$D$5,IFERROR(MATCH(U543,养成规划!$G$6:$G$38,1)+1,1),0)</f>
        <v>5</v>
      </c>
      <c r="W543" s="152">
        <f ca="1">((V543-_xlfn.MAXIFS($V$519:V542,$V$519:V542,"&lt;"&amp;V543))*$D$475+VLOOKUP(V543,装备产出!$D$186:$F$485,3,0))/COUNTIF($V$520:$V$819,V543)/6</f>
        <v>81.1111111111111</v>
      </c>
      <c r="X543" s="157">
        <f t="shared" si="46"/>
        <v>2</v>
      </c>
      <c r="Y543" s="151">
        <f t="shared" si="53"/>
        <v>65</v>
      </c>
      <c r="Z543" s="156">
        <f ca="1">(SUM($W$520:W543)-SUM($Y$520:Y543))/SUM($W$520:W543)</f>
        <v>0.217805582290664</v>
      </c>
      <c r="AA543" s="151">
        <f t="shared" si="47"/>
        <v>0</v>
      </c>
      <c r="AB543" s="153">
        <f t="shared" si="54"/>
        <v>3600</v>
      </c>
      <c r="AC543" s="153">
        <f>SUM(Y$520:Y543)</f>
        <v>903</v>
      </c>
      <c r="AD543" s="153">
        <f>INT(SUM(AB$520:AB543))</f>
        <v>52200</v>
      </c>
      <c r="AE543" s="153">
        <f ca="1">INT(AC543*6/($D$475+AVERAGE(OFFSET(装备产出!$F$186,0,0,W543))))+1</f>
        <v>4</v>
      </c>
      <c r="AF543" s="154">
        <f t="shared" si="48"/>
        <v>57.8073089700997</v>
      </c>
    </row>
    <row r="544" ht="17.25" spans="4:32">
      <c r="D544" s="151">
        <v>25</v>
      </c>
      <c r="E544" s="161" t="str">
        <f>IFERROR((INT(_xlfn.XLOOKUP(D544,养成规划!$G$6:$G$38,养成规划!$J$6:$J$38)/6)),"")</f>
        <v/>
      </c>
      <c r="F544" s="156" t="str">
        <f t="shared" si="55"/>
        <v/>
      </c>
      <c r="G544" s="157">
        <f t="shared" si="43"/>
        <v>5</v>
      </c>
      <c r="H544" s="151">
        <f t="shared" si="44"/>
        <v>970</v>
      </c>
      <c r="I544" s="158">
        <f t="shared" si="49"/>
        <v>97</v>
      </c>
      <c r="J544" s="159">
        <f ca="1" t="shared" si="50"/>
        <v>0.0294310081825487</v>
      </c>
      <c r="K544" s="157">
        <f t="shared" si="45"/>
        <v>201</v>
      </c>
      <c r="L544" s="160">
        <f ca="1" t="shared" si="51"/>
        <v>6829.53158632139</v>
      </c>
      <c r="M544" s="157">
        <f t="shared" si="52"/>
        <v>40.2</v>
      </c>
      <c r="U544" s="151">
        <v>25</v>
      </c>
      <c r="V544" s="157">
        <f ca="1">OFFSET(养成规划!$D$5,IFERROR(MATCH(U544,养成规划!$G$6:$G$38,1)+1,1),0)</f>
        <v>5</v>
      </c>
      <c r="W544" s="152">
        <f ca="1">((V544-_xlfn.MAXIFS($V$519:V543,$V$519:V543,"&lt;"&amp;V544))*$D$475+VLOOKUP(V544,装备产出!$D$186:$F$485,3,0))/COUNTIF($V$520:$V$819,V544)/6</f>
        <v>81.1111111111111</v>
      </c>
      <c r="X544" s="157">
        <f t="shared" si="46"/>
        <v>2</v>
      </c>
      <c r="Y544" s="151">
        <f t="shared" si="53"/>
        <v>67</v>
      </c>
      <c r="Z544" s="156">
        <f ca="1">(SUM($W$520:W544)-SUM($Y$520:Y544))/SUM($W$520:W544)</f>
        <v>0.214928057553957</v>
      </c>
      <c r="AA544" s="151">
        <f t="shared" si="47"/>
        <v>0</v>
      </c>
      <c r="AB544" s="153">
        <f t="shared" si="54"/>
        <v>3600</v>
      </c>
      <c r="AC544" s="153">
        <f>SUM(Y$520:Y544)</f>
        <v>970</v>
      </c>
      <c r="AD544" s="153">
        <f>INT(SUM(AB$520:AB544))</f>
        <v>55800</v>
      </c>
      <c r="AE544" s="153">
        <f ca="1">INT(AC544*6/($D$475+AVERAGE(OFFSET(装备产出!$F$186,0,0,W544))))+1</f>
        <v>5</v>
      </c>
      <c r="AF544" s="154">
        <f t="shared" si="48"/>
        <v>57.5257731958763</v>
      </c>
    </row>
    <row r="545" ht="17.25" spans="4:32">
      <c r="D545" s="151">
        <v>26</v>
      </c>
      <c r="E545" s="161" t="str">
        <f>IFERROR((INT(_xlfn.XLOOKUP(D545,养成规划!$G$6:$G$38,养成规划!$J$6:$J$38)/6)),"")</f>
        <v/>
      </c>
      <c r="F545" s="156" t="str">
        <f t="shared" si="55"/>
        <v/>
      </c>
      <c r="G545" s="157">
        <f t="shared" si="43"/>
        <v>5</v>
      </c>
      <c r="H545" s="151">
        <f t="shared" si="44"/>
        <v>1020</v>
      </c>
      <c r="I545" s="158">
        <f t="shared" si="49"/>
        <v>102</v>
      </c>
      <c r="J545" s="159">
        <f ca="1" t="shared" si="50"/>
        <v>0.0290835265293995</v>
      </c>
      <c r="K545" s="157">
        <f t="shared" si="45"/>
        <v>207</v>
      </c>
      <c r="L545" s="160">
        <f ca="1" t="shared" si="51"/>
        <v>7117.43123003847</v>
      </c>
      <c r="M545" s="157">
        <f t="shared" si="52"/>
        <v>41.4</v>
      </c>
      <c r="U545" s="151">
        <v>26</v>
      </c>
      <c r="V545" s="157">
        <f ca="1">OFFSET(养成规划!$D$5,IFERROR(MATCH(U545,养成规划!$G$6:$G$38,1)+1,1),0)</f>
        <v>5</v>
      </c>
      <c r="W545" s="152">
        <f ca="1">((V545-_xlfn.MAXIFS($V$519:V544,$V$519:V544,"&lt;"&amp;V545))*$D$475+VLOOKUP(V545,装备产出!$D$186:$F$485,3,0))/COUNTIF($V$520:$V$819,V545)/6</f>
        <v>81.1111111111111</v>
      </c>
      <c r="X545" s="157">
        <f t="shared" si="46"/>
        <v>2</v>
      </c>
      <c r="Y545" s="151">
        <f t="shared" si="53"/>
        <v>69</v>
      </c>
      <c r="Z545" s="156">
        <f ca="1">(SUM($W$520:W545)-SUM($Y$520:Y545))/SUM($W$520:W545)</f>
        <v>0.210886075949367</v>
      </c>
      <c r="AA545" s="151">
        <f t="shared" si="47"/>
        <v>0</v>
      </c>
      <c r="AB545" s="153">
        <f t="shared" si="54"/>
        <v>3600</v>
      </c>
      <c r="AC545" s="153">
        <f>SUM(Y$520:Y545)</f>
        <v>1039</v>
      </c>
      <c r="AD545" s="153">
        <f>INT(SUM(AB$520:AB545))</f>
        <v>59400</v>
      </c>
      <c r="AE545" s="153">
        <f ca="1">INT(AC545*6/($D$475+AVERAGE(OFFSET(装备产出!$F$186,0,0,W545))))+1</f>
        <v>5</v>
      </c>
      <c r="AF545" s="154">
        <f t="shared" si="48"/>
        <v>57.1703561116458</v>
      </c>
    </row>
    <row r="546" ht="17.25" spans="4:32">
      <c r="D546" s="151">
        <v>27</v>
      </c>
      <c r="E546" s="161">
        <f>IFERROR((INT(_xlfn.XLOOKUP(D546,养成规划!$G$6:$G$38,养成规划!$J$6:$J$38)/6)),"")</f>
        <v>105</v>
      </c>
      <c r="F546" s="156">
        <f t="shared" si="55"/>
        <v>0.019047619047619</v>
      </c>
      <c r="G546" s="157">
        <f t="shared" si="43"/>
        <v>5</v>
      </c>
      <c r="H546" s="151">
        <f t="shared" si="44"/>
        <v>1070</v>
      </c>
      <c r="I546" s="158">
        <f t="shared" si="49"/>
        <v>107</v>
      </c>
      <c r="J546" s="159">
        <f ca="1" t="shared" si="50"/>
        <v>0.0287441544123598</v>
      </c>
      <c r="K546" s="157">
        <f t="shared" si="45"/>
        <v>213</v>
      </c>
      <c r="L546" s="160">
        <f ca="1" t="shared" si="51"/>
        <v>7410.20232998789</v>
      </c>
      <c r="M546" s="157">
        <f t="shared" si="52"/>
        <v>42.6</v>
      </c>
      <c r="U546" s="151">
        <v>27</v>
      </c>
      <c r="V546" s="157">
        <f ca="1">OFFSET(养成规划!$D$5,IFERROR(MATCH(U546,养成规划!$G$6:$G$38,1)+1,1),0)</f>
        <v>6</v>
      </c>
      <c r="W546" s="152">
        <f ca="1">((V546-_xlfn.MAXIFS($V$519:V545,$V$519:V545,"&lt;"&amp;V546))*$D$475+VLOOKUP(V546,装备产出!$D$186:$F$485,3,0))/COUNTIF($V$520:$V$819,V546)/6</f>
        <v>81.1111111111111</v>
      </c>
      <c r="X546" s="157">
        <f t="shared" si="46"/>
        <v>2</v>
      </c>
      <c r="Y546" s="151">
        <f t="shared" si="53"/>
        <v>71</v>
      </c>
      <c r="Z546" s="156">
        <f ca="1">(SUM($W$520:W546)-SUM($Y$520:Y546))/SUM($W$520:W546)</f>
        <v>0.205882352941176</v>
      </c>
      <c r="AA546" s="151">
        <f t="shared" si="47"/>
        <v>0</v>
      </c>
      <c r="AB546" s="153">
        <f t="shared" si="54"/>
        <v>3600</v>
      </c>
      <c r="AC546" s="153">
        <f>SUM(Y$520:Y546)</f>
        <v>1110</v>
      </c>
      <c r="AD546" s="153">
        <f>INT(SUM(AB$520:AB546))</f>
        <v>63000</v>
      </c>
      <c r="AE546" s="153">
        <f ca="1">INT(AC546*6/($D$475+AVERAGE(OFFSET(装备产出!$F$186,0,0,W546))))+1</f>
        <v>5</v>
      </c>
      <c r="AF546" s="154">
        <f t="shared" si="48"/>
        <v>56.7567567567568</v>
      </c>
    </row>
    <row r="547" ht="17.25" spans="4:32">
      <c r="D547" s="151">
        <v>28</v>
      </c>
      <c r="E547" s="161" t="str">
        <f>IFERROR((INT(_xlfn.XLOOKUP(D547,养成规划!$G$6:$G$38,养成规划!$J$6:$J$38)/6)),"")</f>
        <v/>
      </c>
      <c r="F547" s="156" t="str">
        <f t="shared" si="55"/>
        <v/>
      </c>
      <c r="G547" s="157">
        <f t="shared" si="43"/>
        <v>5</v>
      </c>
      <c r="H547" s="151">
        <f t="shared" si="44"/>
        <v>1120</v>
      </c>
      <c r="I547" s="158">
        <f t="shared" si="49"/>
        <v>112</v>
      </c>
      <c r="J547" s="159">
        <f ca="1" t="shared" si="50"/>
        <v>0.0284126112119785</v>
      </c>
      <c r="K547" s="157">
        <f t="shared" si="45"/>
        <v>249</v>
      </c>
      <c r="L547" s="160">
        <f ca="1" t="shared" si="51"/>
        <v>8763.71404733909</v>
      </c>
      <c r="M547" s="157">
        <f t="shared" si="52"/>
        <v>49.8</v>
      </c>
      <c r="U547" s="151">
        <v>28</v>
      </c>
      <c r="V547" s="157">
        <f ca="1">OFFSET(养成规划!$D$5,IFERROR(MATCH(U547,养成规划!$G$6:$G$38,1)+1,1),0)</f>
        <v>6</v>
      </c>
      <c r="W547" s="152">
        <f ca="1">((V547-_xlfn.MAXIFS($V$519:V546,$V$519:V546,"&lt;"&amp;V547))*$D$475+VLOOKUP(V547,装备产出!$D$186:$F$485,3,0))/COUNTIF($V$520:$V$819,V547)/6</f>
        <v>81.1111111111111</v>
      </c>
      <c r="X547" s="157">
        <f t="shared" si="46"/>
        <v>2</v>
      </c>
      <c r="Y547" s="151">
        <f t="shared" si="53"/>
        <v>73</v>
      </c>
      <c r="Z547" s="156">
        <f ca="1">(SUM($W$520:W547)-SUM($Y$520:Y547))/SUM($W$520:W547)</f>
        <v>0.20007513148009</v>
      </c>
      <c r="AA547" s="151">
        <f t="shared" si="47"/>
        <v>600</v>
      </c>
      <c r="AB547" s="153">
        <f t="shared" si="54"/>
        <v>4200</v>
      </c>
      <c r="AC547" s="153">
        <f>SUM(Y$520:Y547)</f>
        <v>1183</v>
      </c>
      <c r="AD547" s="153">
        <f>INT(SUM(AB$520:AB547))</f>
        <v>67200</v>
      </c>
      <c r="AE547" s="153">
        <f ca="1">INT(AC547*6/($D$475+AVERAGE(OFFSET(装备产出!$F$186,0,0,W547))))+1</f>
        <v>6</v>
      </c>
      <c r="AF547" s="154">
        <f t="shared" si="48"/>
        <v>56.8047337278106</v>
      </c>
    </row>
    <row r="548" ht="17.25" spans="4:32">
      <c r="D548" s="151">
        <v>29</v>
      </c>
      <c r="E548" s="161" t="str">
        <f>IFERROR((INT(_xlfn.XLOOKUP(D548,养成规划!$G$6:$G$38,养成规划!$J$6:$J$38)/6)),"")</f>
        <v/>
      </c>
      <c r="F548" s="156" t="str">
        <f t="shared" si="55"/>
        <v/>
      </c>
      <c r="G548" s="157">
        <f t="shared" si="43"/>
        <v>5</v>
      </c>
      <c r="H548" s="151">
        <f t="shared" si="44"/>
        <v>1170</v>
      </c>
      <c r="I548" s="158">
        <f t="shared" si="49"/>
        <v>117</v>
      </c>
      <c r="J548" s="159">
        <f ca="1" t="shared" si="50"/>
        <v>0.0280886291085778</v>
      </c>
      <c r="K548" s="157">
        <f t="shared" si="45"/>
        <v>225</v>
      </c>
      <c r="L548" s="160">
        <f ca="1" t="shared" si="51"/>
        <v>8010.35889399418</v>
      </c>
      <c r="M548" s="157">
        <f t="shared" si="52"/>
        <v>45</v>
      </c>
      <c r="U548" s="151">
        <v>29</v>
      </c>
      <c r="V548" s="157">
        <f ca="1">OFFSET(养成规划!$D$5,IFERROR(MATCH(U548,养成规划!$G$6:$G$38,1)+1,1),0)</f>
        <v>6</v>
      </c>
      <c r="W548" s="152">
        <f ca="1">((V548-_xlfn.MAXIFS($V$519:V547,$V$519:V547,"&lt;"&amp;V548))*$D$475+VLOOKUP(V548,装备产出!$D$186:$F$485,3,0))/COUNTIF($V$520:$V$819,V548)/6</f>
        <v>81.1111111111111</v>
      </c>
      <c r="X548" s="157">
        <f t="shared" si="46"/>
        <v>2</v>
      </c>
      <c r="Y548" s="151">
        <f t="shared" si="53"/>
        <v>75</v>
      </c>
      <c r="Z548" s="156">
        <f ca="1">(SUM($W$520:W548)-SUM($Y$520:Y548))/SUM($W$520:W548)</f>
        <v>0.193589743589743</v>
      </c>
      <c r="AA548" s="151">
        <f t="shared" si="47"/>
        <v>0</v>
      </c>
      <c r="AB548" s="153">
        <f t="shared" si="54"/>
        <v>4200</v>
      </c>
      <c r="AC548" s="153">
        <f>SUM(Y$520:Y548)</f>
        <v>1258</v>
      </c>
      <c r="AD548" s="153">
        <f>INT(SUM(AB$520:AB548))</f>
        <v>71400</v>
      </c>
      <c r="AE548" s="153">
        <f ca="1">INT(AC548*6/($D$475+AVERAGE(OFFSET(装备产出!$F$186,0,0,W548))))+1</f>
        <v>6</v>
      </c>
      <c r="AF548" s="154">
        <f t="shared" si="48"/>
        <v>56.7567567567568</v>
      </c>
    </row>
    <row r="549" ht="17.25" spans="4:32">
      <c r="D549" s="151">
        <v>30</v>
      </c>
      <c r="E549" s="161">
        <f>IFERROR((INT(_xlfn.XLOOKUP(D549,养成规划!$G$6:$G$38,养成规划!$J$6:$J$38)/6)),"")</f>
        <v>126</v>
      </c>
      <c r="F549" s="156">
        <f t="shared" si="55"/>
        <v>-0.0317460317460317</v>
      </c>
      <c r="G549" s="157">
        <f t="shared" si="43"/>
        <v>5</v>
      </c>
      <c r="H549" s="151">
        <f t="shared" si="44"/>
        <v>1220</v>
      </c>
      <c r="I549" s="158">
        <f t="shared" si="49"/>
        <v>122</v>
      </c>
      <c r="J549" s="159">
        <f ca="1" t="shared" si="50"/>
        <v>0.0216845245570293</v>
      </c>
      <c r="K549" s="157">
        <f t="shared" si="45"/>
        <v>234</v>
      </c>
      <c r="L549" s="160">
        <f ca="1" t="shared" si="51"/>
        <v>10791.1058591389</v>
      </c>
      <c r="M549" s="157">
        <f t="shared" si="52"/>
        <v>46.8</v>
      </c>
      <c r="U549" s="151">
        <v>30</v>
      </c>
      <c r="V549" s="157">
        <f ca="1">OFFSET(养成规划!$D$5,IFERROR(MATCH(U549,养成规划!$G$6:$G$38,1)+1,1),0)</f>
        <v>7</v>
      </c>
      <c r="W549" s="152">
        <f ca="1">((V549-_xlfn.MAXIFS($V$519:V548,$V$519:V548,"&lt;"&amp;V549))*$D$475+VLOOKUP(V549,装备产出!$D$186:$F$485,3,0))/COUNTIF($V$520:$V$819,V549)/6</f>
        <v>118.333333333333</v>
      </c>
      <c r="X549" s="157">
        <f t="shared" si="46"/>
        <v>3</v>
      </c>
      <c r="Y549" s="151">
        <f t="shared" si="53"/>
        <v>78</v>
      </c>
      <c r="Z549" s="156">
        <f ca="1">(SUM($W$520:W549)-SUM($Y$520:Y549))/SUM($W$520:W549)</f>
        <v>0.203972194637537</v>
      </c>
      <c r="AA549" s="151">
        <f t="shared" si="47"/>
        <v>0</v>
      </c>
      <c r="AB549" s="153">
        <f t="shared" si="54"/>
        <v>4200</v>
      </c>
      <c r="AC549" s="153">
        <f>SUM(Y$520:Y549)</f>
        <v>1336</v>
      </c>
      <c r="AD549" s="153">
        <f>INT(SUM(AB$520:AB549))</f>
        <v>75600</v>
      </c>
      <c r="AE549" s="153">
        <f ca="1">INT(AC549*6/($D$475+AVERAGE(OFFSET(装备产出!$F$186,0,0,W549))))+1</f>
        <v>6</v>
      </c>
      <c r="AF549" s="154">
        <f t="shared" si="48"/>
        <v>56.5868263473054</v>
      </c>
    </row>
    <row r="550" ht="17.25" spans="4:32">
      <c r="D550" s="151">
        <v>31</v>
      </c>
      <c r="E550" s="161" t="str">
        <f>IFERROR((INT(_xlfn.XLOOKUP(D550,养成规划!$G$6:$G$38,养成规划!$J$6:$J$38)/6)),"")</f>
        <v/>
      </c>
      <c r="F550" s="156" t="str">
        <f t="shared" si="55"/>
        <v/>
      </c>
      <c r="G550" s="157">
        <f t="shared" si="43"/>
        <v>5</v>
      </c>
      <c r="H550" s="151">
        <f t="shared" si="44"/>
        <v>1270</v>
      </c>
      <c r="I550" s="158">
        <f t="shared" si="49"/>
        <v>127</v>
      </c>
      <c r="J550" s="159">
        <f ca="1" t="shared" si="50"/>
        <v>0.021495302908157</v>
      </c>
      <c r="K550" s="157">
        <f t="shared" si="45"/>
        <v>243</v>
      </c>
      <c r="L550" s="160">
        <f ca="1" t="shared" si="51"/>
        <v>11304.7953331138</v>
      </c>
      <c r="M550" s="157">
        <f t="shared" si="52"/>
        <v>48.6</v>
      </c>
      <c r="U550" s="151">
        <v>31</v>
      </c>
      <c r="V550" s="157">
        <f ca="1">OFFSET(养成规划!$D$5,IFERROR(MATCH(U550,养成规划!$G$6:$G$38,1)+1,1),0)</f>
        <v>7</v>
      </c>
      <c r="W550" s="152">
        <f ca="1">((V550-_xlfn.MAXIFS($V$519:V549,$V$519:V549,"&lt;"&amp;V550))*$D$475+VLOOKUP(V550,装备产出!$D$186:$F$485,3,0))/COUNTIF($V$520:$V$819,V550)/6</f>
        <v>118.333333333333</v>
      </c>
      <c r="X550" s="157">
        <f t="shared" si="46"/>
        <v>3</v>
      </c>
      <c r="Y550" s="151">
        <f t="shared" si="53"/>
        <v>81</v>
      </c>
      <c r="Z550" s="156">
        <f ca="1">(SUM($W$520:W550)-SUM($Y$520:Y550))/SUM($W$520:W550)</f>
        <v>0.211317254174397</v>
      </c>
      <c r="AA550" s="151">
        <f t="shared" si="47"/>
        <v>0</v>
      </c>
      <c r="AB550" s="153">
        <f t="shared" si="54"/>
        <v>4200</v>
      </c>
      <c r="AC550" s="153">
        <f>SUM(Y$520:Y550)</f>
        <v>1417</v>
      </c>
      <c r="AD550" s="153">
        <f>INT(SUM(AB$520:AB550))</f>
        <v>79800</v>
      </c>
      <c r="AE550" s="153">
        <f ca="1">INT(AC550*6/($D$475+AVERAGE(OFFSET(装备产出!$F$186,0,0,W550))))+1</f>
        <v>7</v>
      </c>
      <c r="AF550" s="154">
        <f t="shared" si="48"/>
        <v>56.3161609033169</v>
      </c>
    </row>
    <row r="551" ht="17.25" spans="4:32">
      <c r="D551" s="151">
        <v>32</v>
      </c>
      <c r="E551" s="161">
        <f>IFERROR((INT(_xlfn.XLOOKUP(D551,养成规划!$G$6:$G$38,养成规划!$J$6:$J$38)/6)),"")</f>
        <v>140</v>
      </c>
      <c r="F551" s="156">
        <f t="shared" si="55"/>
        <v>-0.0571428571428571</v>
      </c>
      <c r="G551" s="157">
        <f t="shared" si="43"/>
        <v>5</v>
      </c>
      <c r="H551" s="151">
        <f t="shared" si="44"/>
        <v>1320</v>
      </c>
      <c r="I551" s="158">
        <f t="shared" si="49"/>
        <v>132</v>
      </c>
      <c r="J551" s="159">
        <f ca="1" t="shared" si="50"/>
        <v>0.0213093550520172</v>
      </c>
      <c r="K551" s="157">
        <f t="shared" si="45"/>
        <v>252</v>
      </c>
      <c r="L551" s="160">
        <f ca="1" t="shared" si="51"/>
        <v>11825.7919765687</v>
      </c>
      <c r="M551" s="157">
        <f t="shared" si="52"/>
        <v>50.4</v>
      </c>
      <c r="U551" s="151">
        <v>32</v>
      </c>
      <c r="V551" s="157">
        <f ca="1">OFFSET(养成规划!$D$5,IFERROR(MATCH(U551,养成规划!$G$6:$G$38,1)+1,1),0)</f>
        <v>8</v>
      </c>
      <c r="W551" s="152">
        <f ca="1">((V551-_xlfn.MAXIFS($V$519:V550,$V$519:V550,"&lt;"&amp;V551))*$D$475+VLOOKUP(V551,装备产出!$D$186:$F$485,3,0))/COUNTIF($V$520:$V$819,V551)/6</f>
        <v>118.333333333333</v>
      </c>
      <c r="X551" s="157">
        <f t="shared" si="46"/>
        <v>3</v>
      </c>
      <c r="Y551" s="151">
        <f t="shared" si="53"/>
        <v>84</v>
      </c>
      <c r="Z551" s="156">
        <f ca="1">(SUM($W$520:W551)-SUM($Y$520:Y551))/SUM($W$520:W551)</f>
        <v>0.216187989556135</v>
      </c>
      <c r="AA551" s="151">
        <f t="shared" si="47"/>
        <v>0</v>
      </c>
      <c r="AB551" s="153">
        <f t="shared" si="54"/>
        <v>4200</v>
      </c>
      <c r="AC551" s="153">
        <f>SUM(Y$520:Y551)</f>
        <v>1501</v>
      </c>
      <c r="AD551" s="153">
        <f>INT(SUM(AB$520:AB551))</f>
        <v>84000</v>
      </c>
      <c r="AE551" s="153">
        <f ca="1">INT(AC551*6/($D$475+AVERAGE(OFFSET(装备产出!$F$186,0,0,W551))))+1</f>
        <v>7</v>
      </c>
      <c r="AF551" s="154">
        <f t="shared" si="48"/>
        <v>55.962691538974</v>
      </c>
    </row>
    <row r="552" ht="17.25" spans="4:32">
      <c r="D552" s="151">
        <v>33</v>
      </c>
      <c r="E552" s="161" t="str">
        <f>IFERROR((INT(_xlfn.XLOOKUP(D552,养成规划!$G$6:$G$38,养成规划!$J$6:$J$38)/6)),"")</f>
        <v/>
      </c>
      <c r="F552" s="156" t="str">
        <f t="shared" si="55"/>
        <v/>
      </c>
      <c r="G552" s="157">
        <f t="shared" si="43"/>
        <v>5</v>
      </c>
      <c r="H552" s="151">
        <f t="shared" si="44"/>
        <v>1370</v>
      </c>
      <c r="I552" s="158">
        <f t="shared" si="49"/>
        <v>137</v>
      </c>
      <c r="J552" s="159">
        <f ca="1" t="shared" si="50"/>
        <v>0.0211265967551436</v>
      </c>
      <c r="K552" s="157">
        <f t="shared" si="45"/>
        <v>291</v>
      </c>
      <c r="L552" s="160">
        <f ca="1" t="shared" si="51"/>
        <v>13774.1067987749</v>
      </c>
      <c r="M552" s="157">
        <f t="shared" si="52"/>
        <v>58.2</v>
      </c>
      <c r="U552" s="151">
        <v>33</v>
      </c>
      <c r="V552" s="157">
        <f ca="1">OFFSET(养成规划!$D$5,IFERROR(MATCH(U552,养成规划!$G$6:$G$38,1)+1,1),0)</f>
        <v>8</v>
      </c>
      <c r="W552" s="152">
        <f ca="1">((V552-_xlfn.MAXIFS($V$519:V551,$V$519:V551,"&lt;"&amp;V552))*$D$475+VLOOKUP(V552,装备产出!$D$186:$F$485,3,0))/COUNTIF($V$520:$V$819,V552)/6</f>
        <v>118.333333333333</v>
      </c>
      <c r="X552" s="157">
        <f t="shared" si="46"/>
        <v>3</v>
      </c>
      <c r="Y552" s="151">
        <f t="shared" si="53"/>
        <v>87</v>
      </c>
      <c r="Z552" s="156">
        <f ca="1">(SUM($W$520:W552)-SUM($Y$520:Y552))/SUM($W$520:W552)</f>
        <v>0.219016393442623</v>
      </c>
      <c r="AA552" s="151">
        <f t="shared" si="47"/>
        <v>600</v>
      </c>
      <c r="AB552" s="153">
        <f t="shared" si="54"/>
        <v>4800</v>
      </c>
      <c r="AC552" s="153">
        <f>SUM(Y$520:Y552)</f>
        <v>1588</v>
      </c>
      <c r="AD552" s="153">
        <f>INT(SUM(AB$520:AB552))</f>
        <v>88800</v>
      </c>
      <c r="AE552" s="153">
        <f ca="1">INT(AC552*6/($D$475+AVERAGE(OFFSET(装备产出!$F$186,0,0,W552))))+1</f>
        <v>8</v>
      </c>
      <c r="AF552" s="154">
        <f t="shared" si="48"/>
        <v>55.919395465995</v>
      </c>
    </row>
    <row r="553" ht="17.25" spans="4:32">
      <c r="D553" s="151">
        <v>34</v>
      </c>
      <c r="E553" s="161">
        <f>IFERROR((INT(_xlfn.XLOOKUP(D553,养成规划!$G$6:$G$38,养成规划!$J$6:$J$38)/6)),"")</f>
        <v>154</v>
      </c>
      <c r="F553" s="156">
        <f t="shared" si="55"/>
        <v>-0.0779220779220779</v>
      </c>
      <c r="G553" s="157">
        <f t="shared" si="43"/>
        <v>5</v>
      </c>
      <c r="H553" s="151">
        <f t="shared" si="44"/>
        <v>1420</v>
      </c>
      <c r="I553" s="158">
        <f t="shared" si="49"/>
        <v>142</v>
      </c>
      <c r="J553" s="159">
        <f ca="1" t="shared" si="50"/>
        <v>0.0209469466492419</v>
      </c>
      <c r="K553" s="157">
        <f t="shared" si="45"/>
        <v>270</v>
      </c>
      <c r="L553" s="160">
        <f ca="1" t="shared" si="51"/>
        <v>12889.7067683023</v>
      </c>
      <c r="M553" s="157">
        <f t="shared" si="52"/>
        <v>54</v>
      </c>
      <c r="U553" s="151">
        <v>34</v>
      </c>
      <c r="V553" s="157">
        <f ca="1">OFFSET(养成规划!$D$5,IFERROR(MATCH(U553,养成规划!$G$6:$G$38,1)+1,1),0)</f>
        <v>9</v>
      </c>
      <c r="W553" s="152">
        <f ca="1">((V553-_xlfn.MAXIFS($V$519:V552,$V$519:V552,"&lt;"&amp;V553))*$D$475+VLOOKUP(V553,装备产出!$D$186:$F$485,3,0))/COUNTIF($V$520:$V$819,V553)/6</f>
        <v>115</v>
      </c>
      <c r="X553" s="157">
        <f t="shared" si="46"/>
        <v>3</v>
      </c>
      <c r="Y553" s="151">
        <f t="shared" si="53"/>
        <v>90</v>
      </c>
      <c r="Z553" s="156">
        <f ca="1">(SUM($W$520:W553)-SUM($Y$520:Y553))/SUM($W$520:W553)</f>
        <v>0.218929402637703</v>
      </c>
      <c r="AA553" s="151">
        <f t="shared" si="47"/>
        <v>0</v>
      </c>
      <c r="AB553" s="153">
        <f t="shared" si="54"/>
        <v>4800</v>
      </c>
      <c r="AC553" s="153">
        <f>SUM(Y$520:Y553)</f>
        <v>1678</v>
      </c>
      <c r="AD553" s="153">
        <f>INT(SUM(AB$520:AB553))</f>
        <v>93600</v>
      </c>
      <c r="AE553" s="153">
        <f ca="1">INT(AC553*6/($D$475+AVERAGE(OFFSET(装备产出!$F$186,0,0,W553))))+1</f>
        <v>8</v>
      </c>
      <c r="AF553" s="154">
        <f t="shared" si="48"/>
        <v>55.7806912991657</v>
      </c>
    </row>
    <row r="554" ht="17.25" spans="4:32">
      <c r="D554" s="151">
        <v>35</v>
      </c>
      <c r="E554" s="161" t="str">
        <f>IFERROR((INT(_xlfn.XLOOKUP(D554,养成规划!$G$6:$G$38,养成规划!$J$6:$J$38)/6)),"")</f>
        <v/>
      </c>
      <c r="F554" s="156" t="str">
        <f t="shared" si="55"/>
        <v/>
      </c>
      <c r="G554" s="157">
        <f t="shared" si="43"/>
        <v>6</v>
      </c>
      <c r="H554" s="151">
        <f t="shared" si="44"/>
        <v>1480</v>
      </c>
      <c r="I554" s="158">
        <f t="shared" si="49"/>
        <v>148</v>
      </c>
      <c r="J554" s="159">
        <f ca="1" t="shared" si="50"/>
        <v>0.024903458090965</v>
      </c>
      <c r="K554" s="157">
        <f t="shared" si="45"/>
        <v>279</v>
      </c>
      <c r="L554" s="160">
        <f ca="1" t="shared" si="51"/>
        <v>11203.2633773549</v>
      </c>
      <c r="M554" s="157">
        <f t="shared" si="52"/>
        <v>46.5</v>
      </c>
      <c r="U554" s="151">
        <v>35</v>
      </c>
      <c r="V554" s="157">
        <f ca="1">OFFSET(养成规划!$D$5,IFERROR(MATCH(U554,养成规划!$G$6:$G$38,1)+1,1),0)</f>
        <v>9</v>
      </c>
      <c r="W554" s="152">
        <f ca="1">((V554-_xlfn.MAXIFS($V$519:V553,$V$519:V553,"&lt;"&amp;V554))*$D$475+VLOOKUP(V554,装备产出!$D$186:$F$485,3,0))/COUNTIF($V$520:$V$819,V554)/6</f>
        <v>115</v>
      </c>
      <c r="X554" s="157">
        <f t="shared" si="46"/>
        <v>3</v>
      </c>
      <c r="Y554" s="151">
        <f t="shared" si="53"/>
        <v>93</v>
      </c>
      <c r="Z554" s="156">
        <f ca="1">(SUM($W$520:W554)-SUM($Y$520:Y554))/SUM($W$520:W554)</f>
        <v>0.217525773195876</v>
      </c>
      <c r="AA554" s="151">
        <f t="shared" si="47"/>
        <v>0</v>
      </c>
      <c r="AB554" s="153">
        <f t="shared" si="54"/>
        <v>4800</v>
      </c>
      <c r="AC554" s="153">
        <f>SUM(Y$520:Y554)</f>
        <v>1771</v>
      </c>
      <c r="AD554" s="153">
        <f>INT(SUM(AB$520:AB554))</f>
        <v>98400</v>
      </c>
      <c r="AE554" s="153">
        <f ca="1">INT(AC554*6/($D$475+AVERAGE(OFFSET(装备产出!$F$186,0,0,W554))))+1</f>
        <v>8</v>
      </c>
      <c r="AF554" s="154">
        <f t="shared" si="48"/>
        <v>55.561829474873</v>
      </c>
    </row>
    <row r="555" ht="17.25" spans="4:32">
      <c r="D555" s="151">
        <v>36</v>
      </c>
      <c r="E555" s="161">
        <f>IFERROR((INT(_xlfn.XLOOKUP(D555,养成规划!$G$6:$G$38,养成规划!$J$6:$J$38)/6)),"")</f>
        <v>168</v>
      </c>
      <c r="F555" s="156">
        <f t="shared" si="55"/>
        <v>-0.0833333333333333</v>
      </c>
      <c r="G555" s="157">
        <f t="shared" si="43"/>
        <v>6</v>
      </c>
      <c r="H555" s="151">
        <f t="shared" si="44"/>
        <v>1540</v>
      </c>
      <c r="I555" s="158">
        <f t="shared" si="49"/>
        <v>154</v>
      </c>
      <c r="J555" s="159">
        <f ca="1" t="shared" si="50"/>
        <v>0.0246542116260587</v>
      </c>
      <c r="K555" s="157">
        <f t="shared" si="45"/>
        <v>288</v>
      </c>
      <c r="L555" s="160">
        <f ca="1" t="shared" si="51"/>
        <v>11681.5741005319</v>
      </c>
      <c r="M555" s="157">
        <f t="shared" si="52"/>
        <v>48</v>
      </c>
      <c r="U555" s="151">
        <v>36</v>
      </c>
      <c r="V555" s="157">
        <f ca="1">OFFSET(养成规划!$D$5,IFERROR(MATCH(U555,养成规划!$G$6:$G$38,1)+1,1),0)</f>
        <v>10</v>
      </c>
      <c r="W555" s="152">
        <f ca="1">((V555-_xlfn.MAXIFS($V$519:V554,$V$519:V554,"&lt;"&amp;V555))*$D$475+VLOOKUP(V555,装备产出!$D$186:$F$485,3,0))/COUNTIF($V$520:$V$819,V555)/6</f>
        <v>115</v>
      </c>
      <c r="X555" s="157">
        <f t="shared" si="46"/>
        <v>3</v>
      </c>
      <c r="Y555" s="151">
        <f t="shared" si="53"/>
        <v>96</v>
      </c>
      <c r="Z555" s="156">
        <f ca="1">(SUM($W$520:W555)-SUM($Y$520:Y555))/SUM($W$520:W555)</f>
        <v>0.21499649614576</v>
      </c>
      <c r="AA555" s="151">
        <f t="shared" si="47"/>
        <v>0</v>
      </c>
      <c r="AB555" s="153">
        <f t="shared" si="54"/>
        <v>4800</v>
      </c>
      <c r="AC555" s="153">
        <f>SUM(Y$520:Y555)</f>
        <v>1867</v>
      </c>
      <c r="AD555" s="153">
        <f>INT(SUM(AB$520:AB555))</f>
        <v>103200</v>
      </c>
      <c r="AE555" s="153">
        <f ca="1">INT(AC555*6/($D$475+AVERAGE(OFFSET(装备产出!$F$186,0,0,W555))))+1</f>
        <v>9</v>
      </c>
      <c r="AF555" s="154">
        <f t="shared" si="48"/>
        <v>55.2758435993573</v>
      </c>
    </row>
    <row r="556" ht="17.25" spans="4:32">
      <c r="D556" s="151">
        <v>37</v>
      </c>
      <c r="E556" s="161" t="str">
        <f>IFERROR((INT(_xlfn.XLOOKUP(D556,养成规划!$G$6:$G$38,养成规划!$J$6:$J$38)/6)),"")</f>
        <v/>
      </c>
      <c r="F556" s="156" t="str">
        <f t="shared" si="55"/>
        <v/>
      </c>
      <c r="G556" s="157">
        <f t="shared" si="43"/>
        <v>6</v>
      </c>
      <c r="H556" s="151">
        <f t="shared" si="44"/>
        <v>1600</v>
      </c>
      <c r="I556" s="158">
        <f t="shared" si="49"/>
        <v>160</v>
      </c>
      <c r="J556" s="159">
        <f ca="1" t="shared" si="50"/>
        <v>0.0244099049328159</v>
      </c>
      <c r="K556" s="157">
        <f t="shared" si="45"/>
        <v>327</v>
      </c>
      <c r="L556" s="160">
        <f ca="1" t="shared" si="51"/>
        <v>13396.201292058</v>
      </c>
      <c r="M556" s="157">
        <f t="shared" si="52"/>
        <v>54.5</v>
      </c>
      <c r="U556" s="151">
        <v>37</v>
      </c>
      <c r="V556" s="157">
        <f ca="1">OFFSET(养成规划!$D$5,IFERROR(MATCH(U556,养成规划!$G$6:$G$38,1)+1,1),0)</f>
        <v>10</v>
      </c>
      <c r="W556" s="152">
        <f ca="1">((V556-_xlfn.MAXIFS($V$519:V555,$V$519:V555,"&lt;"&amp;V556))*$D$475+VLOOKUP(V556,装备产出!$D$186:$F$485,3,0))/COUNTIF($V$520:$V$819,V556)/6</f>
        <v>115</v>
      </c>
      <c r="X556" s="157">
        <f t="shared" si="46"/>
        <v>3</v>
      </c>
      <c r="Y556" s="151">
        <f t="shared" si="53"/>
        <v>99</v>
      </c>
      <c r="Z556" s="156">
        <f ca="1">(SUM($W$520:W556)-SUM($Y$520:Y556))/SUM($W$520:W556)</f>
        <v>0.211497326203208</v>
      </c>
      <c r="AA556" s="151">
        <f t="shared" si="47"/>
        <v>600</v>
      </c>
      <c r="AB556" s="153">
        <f t="shared" si="54"/>
        <v>5400</v>
      </c>
      <c r="AC556" s="153">
        <f>SUM(Y$520:Y556)</f>
        <v>1966</v>
      </c>
      <c r="AD556" s="153">
        <f>INT(SUM(AB$520:AB556))</f>
        <v>108600</v>
      </c>
      <c r="AE556" s="153">
        <f ca="1">INT(AC556*6/($D$475+AVERAGE(OFFSET(装备产出!$F$186,0,0,W556))))+1</f>
        <v>9</v>
      </c>
      <c r="AF556" s="154">
        <f t="shared" si="48"/>
        <v>55.2390640895219</v>
      </c>
    </row>
    <row r="557" ht="17.25" spans="4:32">
      <c r="D557" s="151">
        <v>38</v>
      </c>
      <c r="E557" s="161">
        <f>IFERROR((INT(_xlfn.XLOOKUP(D557,养成规划!$G$6:$G$38,养成规划!$J$6:$J$38)/6)),"")</f>
        <v>182</v>
      </c>
      <c r="F557" s="156">
        <f t="shared" si="55"/>
        <v>-0.0879120879120879</v>
      </c>
      <c r="G557" s="157">
        <f t="shared" si="43"/>
        <v>6</v>
      </c>
      <c r="H557" s="151">
        <f t="shared" si="44"/>
        <v>1660</v>
      </c>
      <c r="I557" s="158">
        <f t="shared" si="49"/>
        <v>166</v>
      </c>
      <c r="J557" s="159">
        <f ca="1" t="shared" si="50"/>
        <v>0.0241703926003022</v>
      </c>
      <c r="K557" s="157">
        <f t="shared" si="45"/>
        <v>306</v>
      </c>
      <c r="L557" s="160">
        <f ca="1" t="shared" si="51"/>
        <v>12660.1170721643</v>
      </c>
      <c r="M557" s="157">
        <f t="shared" si="52"/>
        <v>51</v>
      </c>
      <c r="U557" s="151">
        <v>38</v>
      </c>
      <c r="V557" s="157">
        <f ca="1">OFFSET(养成规划!$D$5,IFERROR(MATCH(U557,养成规划!$G$6:$G$38,1)+1,1),0)</f>
        <v>11</v>
      </c>
      <c r="W557" s="152">
        <f ca="1">((V557-_xlfn.MAXIFS($V$519:V556,$V$519:V556,"&lt;"&amp;V557))*$D$475+VLOOKUP(V557,装备产出!$D$186:$F$485,3,0))/COUNTIF($V$520:$V$819,V557)/6</f>
        <v>115</v>
      </c>
      <c r="X557" s="157">
        <f t="shared" si="46"/>
        <v>3</v>
      </c>
      <c r="Y557" s="151">
        <f t="shared" si="53"/>
        <v>102</v>
      </c>
      <c r="Z557" s="156">
        <f ca="1">(SUM($W$520:W557)-SUM($Y$520:Y557))/SUM($W$520:W557)</f>
        <v>0.207156549520767</v>
      </c>
      <c r="AA557" s="151">
        <f t="shared" si="47"/>
        <v>0</v>
      </c>
      <c r="AB557" s="153">
        <f t="shared" si="54"/>
        <v>5400</v>
      </c>
      <c r="AC557" s="153">
        <f>SUM(Y$520:Y557)</f>
        <v>2068</v>
      </c>
      <c r="AD557" s="153">
        <f>INT(SUM(AB$520:AB557))</f>
        <v>114000</v>
      </c>
      <c r="AE557" s="153">
        <f ca="1">INT(AC557*6/($D$475+AVERAGE(OFFSET(装备产出!$F$186,0,0,W557))))+1</f>
        <v>10</v>
      </c>
      <c r="AF557" s="154">
        <f t="shared" si="48"/>
        <v>55.1257253384913</v>
      </c>
    </row>
    <row r="558" ht="17.25" spans="4:32">
      <c r="D558" s="151">
        <v>39</v>
      </c>
      <c r="E558" s="161" t="str">
        <f>IFERROR((INT(_xlfn.XLOOKUP(D558,养成规划!$G$6:$G$38,养成规划!$J$6:$J$38)/6)),"")</f>
        <v/>
      </c>
      <c r="F558" s="156" t="str">
        <f t="shared" si="55"/>
        <v/>
      </c>
      <c r="G558" s="157">
        <f t="shared" si="43"/>
        <v>6</v>
      </c>
      <c r="H558" s="151">
        <f t="shared" si="44"/>
        <v>1720</v>
      </c>
      <c r="I558" s="158">
        <f t="shared" si="49"/>
        <v>172</v>
      </c>
      <c r="J558" s="159">
        <f ca="1" t="shared" si="50"/>
        <v>0.0239355348694087</v>
      </c>
      <c r="K558" s="157">
        <f t="shared" si="45"/>
        <v>315</v>
      </c>
      <c r="L558" s="160">
        <f ca="1" t="shared" si="51"/>
        <v>13160.3493182261</v>
      </c>
      <c r="M558" s="157">
        <f t="shared" si="52"/>
        <v>52.5</v>
      </c>
      <c r="U558" s="151">
        <v>39</v>
      </c>
      <c r="V558" s="157">
        <f ca="1">OFFSET(养成规划!$D$5,IFERROR(MATCH(U558,养成规划!$G$6:$G$38,1)+1,1),0)</f>
        <v>11</v>
      </c>
      <c r="W558" s="152">
        <f ca="1">((V558-_xlfn.MAXIFS($V$519:V557,$V$519:V557,"&lt;"&amp;V558))*$D$475+VLOOKUP(V558,装备产出!$D$186:$F$485,3,0))/COUNTIF($V$520:$V$819,V558)/6</f>
        <v>115</v>
      </c>
      <c r="X558" s="157">
        <f t="shared" si="46"/>
        <v>3</v>
      </c>
      <c r="Y558" s="151">
        <f t="shared" si="53"/>
        <v>105</v>
      </c>
      <c r="Z558" s="156">
        <f ca="1">(SUM($W$520:W558)-SUM($Y$520:Y558))/SUM($W$520:W558)</f>
        <v>0.202080783353733</v>
      </c>
      <c r="AA558" s="151">
        <f t="shared" si="47"/>
        <v>0</v>
      </c>
      <c r="AB558" s="153">
        <f t="shared" si="54"/>
        <v>5400</v>
      </c>
      <c r="AC558" s="153">
        <f>SUM(Y$520:Y558)</f>
        <v>2173</v>
      </c>
      <c r="AD558" s="153">
        <f>INT(SUM(AB$520:AB558))</f>
        <v>119400</v>
      </c>
      <c r="AE558" s="153">
        <f ca="1">INT(AC558*6/($D$475+AVERAGE(OFFSET(装备产出!$F$186,0,0,W558))))+1</f>
        <v>10</v>
      </c>
      <c r="AF558" s="154">
        <f t="shared" si="48"/>
        <v>54.9470777726645</v>
      </c>
    </row>
    <row r="559" ht="17.25" spans="4:32">
      <c r="D559" s="151">
        <v>40</v>
      </c>
      <c r="E559" s="161">
        <f>IFERROR((INT(_xlfn.XLOOKUP(D559,养成规划!$G$6:$G$38,养成规划!$J$6:$J$38)/6)),"")</f>
        <v>198</v>
      </c>
      <c r="F559" s="156">
        <f t="shared" si="55"/>
        <v>-0.095959595959596</v>
      </c>
      <c r="G559" s="157">
        <f t="shared" si="43"/>
        <v>7</v>
      </c>
      <c r="H559" s="151">
        <f t="shared" si="44"/>
        <v>1790</v>
      </c>
      <c r="I559" s="158">
        <f t="shared" si="49"/>
        <v>179</v>
      </c>
      <c r="J559" s="159">
        <f ca="1" t="shared" si="50"/>
        <v>0.0213119887957913</v>
      </c>
      <c r="K559" s="157">
        <f t="shared" si="45"/>
        <v>324</v>
      </c>
      <c r="L559" s="160">
        <f ca="1" t="shared" si="51"/>
        <v>15202.7106951175</v>
      </c>
      <c r="M559" s="157">
        <f t="shared" si="52"/>
        <v>46.2857142857143</v>
      </c>
      <c r="U559" s="151">
        <v>40</v>
      </c>
      <c r="V559" s="157">
        <f ca="1">OFFSET(养成规划!$D$5,IFERROR(MATCH(U559,养成规划!$G$6:$G$38,1)+1,1),0)</f>
        <v>12</v>
      </c>
      <c r="W559" s="152">
        <f ca="1">((V559-_xlfn.MAXIFS($V$519:V558,$V$519:V558,"&lt;"&amp;V559))*$D$475+VLOOKUP(V559,装备产出!$D$186:$F$485,3,0))/COUNTIF($V$520:$V$819,V559)/6</f>
        <v>115</v>
      </c>
      <c r="X559" s="157">
        <f t="shared" si="46"/>
        <v>3</v>
      </c>
      <c r="Y559" s="151">
        <f t="shared" si="53"/>
        <v>108</v>
      </c>
      <c r="Z559" s="156">
        <f ca="1">(SUM($W$520:W559)-SUM($Y$520:Y559))/SUM($W$520:W559)</f>
        <v>0.196359365825014</v>
      </c>
      <c r="AA559" s="151">
        <f t="shared" si="47"/>
        <v>0</v>
      </c>
      <c r="AB559" s="153">
        <f t="shared" si="54"/>
        <v>5400</v>
      </c>
      <c r="AC559" s="153">
        <f>SUM(Y$520:Y559)</f>
        <v>2281</v>
      </c>
      <c r="AD559" s="153">
        <f>INT(SUM(AB$520:AB559))</f>
        <v>124800</v>
      </c>
      <c r="AE559" s="153">
        <f ca="1">INT(AC559*6/($D$475+AVERAGE(OFFSET(装备产出!$F$186,0,0,W559))))+1</f>
        <v>11</v>
      </c>
      <c r="AF559" s="154">
        <f t="shared" si="48"/>
        <v>54.7128452433143</v>
      </c>
    </row>
    <row r="560" ht="17.25" spans="4:32">
      <c r="D560" s="151">
        <v>41</v>
      </c>
      <c r="E560" s="161" t="str">
        <f>IFERROR((INT(_xlfn.XLOOKUP(D560,养成规划!$G$6:$G$38,养成规划!$J$6:$J$38)/6)),"")</f>
        <v/>
      </c>
      <c r="F560" s="156" t="str">
        <f t="shared" si="55"/>
        <v/>
      </c>
      <c r="G560" s="157">
        <f t="shared" si="43"/>
        <v>7</v>
      </c>
      <c r="H560" s="151">
        <f t="shared" si="44"/>
        <v>1860</v>
      </c>
      <c r="I560" s="158">
        <f t="shared" si="49"/>
        <v>186</v>
      </c>
      <c r="J560" s="159">
        <f ca="1" t="shared" si="50"/>
        <v>0.0211291855133594</v>
      </c>
      <c r="K560" s="157">
        <f t="shared" si="45"/>
        <v>366</v>
      </c>
      <c r="L560" s="160">
        <f ca="1" t="shared" si="51"/>
        <v>17322.0117627624</v>
      </c>
      <c r="M560" s="157">
        <f t="shared" si="52"/>
        <v>52.2857142857143</v>
      </c>
      <c r="U560" s="151">
        <v>41</v>
      </c>
      <c r="V560" s="157">
        <f ca="1">OFFSET(养成规划!$D$5,IFERROR(MATCH(U560,养成规划!$G$6:$G$38,1)+1,1),0)</f>
        <v>12</v>
      </c>
      <c r="W560" s="152">
        <f ca="1">((V560-_xlfn.MAXIFS($V$519:V559,$V$519:V559,"&lt;"&amp;V560))*$D$475+VLOOKUP(V560,装备产出!$D$186:$F$485,3,0))/COUNTIF($V$520:$V$819,V560)/6</f>
        <v>115</v>
      </c>
      <c r="X560" s="157">
        <f t="shared" si="46"/>
        <v>4</v>
      </c>
      <c r="Y560" s="151">
        <f t="shared" si="53"/>
        <v>112</v>
      </c>
      <c r="Z560" s="156">
        <f ca="1">(SUM($W$520:W560)-SUM($Y$520:Y560))/SUM($W$520:W560)</f>
        <v>0.189729119638826</v>
      </c>
      <c r="AA560" s="151">
        <f t="shared" si="47"/>
        <v>600</v>
      </c>
      <c r="AB560" s="153">
        <f t="shared" si="54"/>
        <v>6000</v>
      </c>
      <c r="AC560" s="153">
        <f>SUM(Y$520:Y560)</f>
        <v>2393</v>
      </c>
      <c r="AD560" s="153">
        <f>INT(SUM(AB$520:AB560))</f>
        <v>130800</v>
      </c>
      <c r="AE560" s="153">
        <f ca="1">INT(AC560*6/($D$475+AVERAGE(OFFSET(装备产出!$F$186,0,0,W560))))+1</f>
        <v>11</v>
      </c>
      <c r="AF560" s="154">
        <f t="shared" si="48"/>
        <v>54.6594233180109</v>
      </c>
    </row>
    <row r="561" ht="17.25" spans="4:32">
      <c r="D561" s="151">
        <v>42</v>
      </c>
      <c r="E561" s="161">
        <f>IFERROR((INT(_xlfn.XLOOKUP(D561,养成规划!$G$6:$G$38,养成规划!$J$6:$J$38)/6)),"")</f>
        <v>214</v>
      </c>
      <c r="F561" s="156">
        <f t="shared" si="55"/>
        <v>-0.0981308411214953</v>
      </c>
      <c r="G561" s="157">
        <f t="shared" si="43"/>
        <v>7</v>
      </c>
      <c r="H561" s="151">
        <f t="shared" si="44"/>
        <v>1930</v>
      </c>
      <c r="I561" s="158">
        <f t="shared" si="49"/>
        <v>193</v>
      </c>
      <c r="J561" s="159">
        <f ca="1" t="shared" si="50"/>
        <v>0.0209494915647003</v>
      </c>
      <c r="K561" s="157">
        <f t="shared" si="45"/>
        <v>345</v>
      </c>
      <c r="L561" s="160">
        <f ca="1" t="shared" si="51"/>
        <v>16468.1800956602</v>
      </c>
      <c r="M561" s="157">
        <f t="shared" si="52"/>
        <v>49.2857142857143</v>
      </c>
      <c r="U561" s="151">
        <v>42</v>
      </c>
      <c r="V561" s="157">
        <f ca="1">OFFSET(养成规划!$D$5,IFERROR(MATCH(U561,养成规划!$G$6:$G$38,1)+1,1),0)</f>
        <v>13</v>
      </c>
      <c r="W561" s="152">
        <f ca="1">((V561-_xlfn.MAXIFS($V$519:V560,$V$519:V560,"&lt;"&amp;V561))*$D$475+VLOOKUP(V561,装备产出!$D$186:$F$485,3,0))/COUNTIF($V$520:$V$819,V561)/6</f>
        <v>115</v>
      </c>
      <c r="X561" s="157">
        <f t="shared" si="46"/>
        <v>3</v>
      </c>
      <c r="Y561" s="151">
        <f t="shared" si="53"/>
        <v>115</v>
      </c>
      <c r="Z561" s="156">
        <f ca="1">(SUM($W$520:W561)-SUM($Y$520:Y561))/SUM($W$520:W561)</f>
        <v>0.18261814231396</v>
      </c>
      <c r="AA561" s="151">
        <f t="shared" si="47"/>
        <v>0</v>
      </c>
      <c r="AB561" s="153">
        <f t="shared" si="54"/>
        <v>6000</v>
      </c>
      <c r="AC561" s="153">
        <f>SUM(Y$520:Y561)</f>
        <v>2508</v>
      </c>
      <c r="AD561" s="153">
        <f>INT(SUM(AB$520:AB561))</f>
        <v>136800</v>
      </c>
      <c r="AE561" s="153">
        <f ca="1">INT(AC561*6/($D$475+AVERAGE(OFFSET(装备产出!$F$186,0,0,W561))))+1</f>
        <v>12</v>
      </c>
      <c r="AF561" s="154">
        <f t="shared" si="48"/>
        <v>54.5454545454545</v>
      </c>
    </row>
    <row r="562" ht="17.25" spans="4:32">
      <c r="D562" s="151">
        <v>43</v>
      </c>
      <c r="E562" s="161" t="str">
        <f>IFERROR((INT(_xlfn.XLOOKUP(D562,养成规划!$G$6:$G$38,养成规划!$J$6:$J$38)/6)),"")</f>
        <v/>
      </c>
      <c r="F562" s="156" t="str">
        <f t="shared" si="55"/>
        <v/>
      </c>
      <c r="G562" s="157">
        <f t="shared" si="43"/>
        <v>7</v>
      </c>
      <c r="H562" s="151">
        <f t="shared" si="44"/>
        <v>2000</v>
      </c>
      <c r="I562" s="158">
        <f t="shared" si="49"/>
        <v>200</v>
      </c>
      <c r="J562" s="159">
        <f ca="1" t="shared" si="50"/>
        <v>0.0207728282875128</v>
      </c>
      <c r="K562" s="157">
        <f t="shared" si="45"/>
        <v>390</v>
      </c>
      <c r="L562" s="160">
        <f ca="1" t="shared" si="51"/>
        <v>18774.5257700147</v>
      </c>
      <c r="M562" s="157">
        <f t="shared" si="52"/>
        <v>55.7142857142857</v>
      </c>
      <c r="U562" s="151">
        <v>43</v>
      </c>
      <c r="V562" s="157">
        <f ca="1">OFFSET(养成规划!$D$5,IFERROR(MATCH(U562,养成规划!$G$6:$G$38,1)+1,1),0)</f>
        <v>13</v>
      </c>
      <c r="W562" s="152">
        <f ca="1">((V562-_xlfn.MAXIFS($V$519:V561,$V$519:V561,"&lt;"&amp;V562))*$D$475+VLOOKUP(V562,装备产出!$D$186:$F$485,3,0))/COUNTIF($V$520:$V$819,V562)/6</f>
        <v>115</v>
      </c>
      <c r="X562" s="157">
        <f t="shared" si="46"/>
        <v>5</v>
      </c>
      <c r="Y562" s="151">
        <f t="shared" si="53"/>
        <v>120</v>
      </c>
      <c r="Z562" s="156">
        <f ca="1">(SUM($W$520:W562)-SUM($Y$520:Y562))/SUM($W$520:W562)</f>
        <v>0.174450261780105</v>
      </c>
      <c r="AA562" s="151">
        <f t="shared" si="47"/>
        <v>600</v>
      </c>
      <c r="AB562" s="153">
        <f t="shared" si="54"/>
        <v>6600</v>
      </c>
      <c r="AC562" s="153">
        <f>SUM(Y$520:Y562)</f>
        <v>2628</v>
      </c>
      <c r="AD562" s="153">
        <f>INT(SUM(AB$520:AB562))</f>
        <v>143400</v>
      </c>
      <c r="AE562" s="153">
        <f ca="1">INT(AC562*6/($D$475+AVERAGE(OFFSET(装备产出!$F$186,0,0,W562))))+1</f>
        <v>12</v>
      </c>
      <c r="AF562" s="154">
        <f t="shared" si="48"/>
        <v>54.5662100456621</v>
      </c>
    </row>
    <row r="563" ht="17.25" spans="4:32">
      <c r="D563" s="151">
        <v>44</v>
      </c>
      <c r="E563" s="161">
        <f>IFERROR((INT(_xlfn.XLOOKUP(D563,养成规划!$G$6:$G$38,养成规划!$J$6:$J$38)/6)),"")</f>
        <v>230</v>
      </c>
      <c r="F563" s="156">
        <f t="shared" si="55"/>
        <v>-0.1</v>
      </c>
      <c r="G563" s="157">
        <f t="shared" si="43"/>
        <v>7</v>
      </c>
      <c r="H563" s="151">
        <f t="shared" si="44"/>
        <v>2070</v>
      </c>
      <c r="I563" s="158">
        <f t="shared" si="49"/>
        <v>207</v>
      </c>
      <c r="J563" s="159">
        <f ca="1" t="shared" si="50"/>
        <v>0.0205991196507328</v>
      </c>
      <c r="K563" s="157">
        <f t="shared" si="45"/>
        <v>369</v>
      </c>
      <c r="L563" s="160">
        <f ca="1" t="shared" si="51"/>
        <v>17913.3868950013</v>
      </c>
      <c r="M563" s="157">
        <f t="shared" si="52"/>
        <v>52.7142857142857</v>
      </c>
      <c r="U563" s="151">
        <v>44</v>
      </c>
      <c r="V563" s="157">
        <f ca="1">OFFSET(养成规划!$D$5,IFERROR(MATCH(U563,养成规划!$G$6:$G$38,1)+1,1),0)</f>
        <v>14</v>
      </c>
      <c r="W563" s="152">
        <f ca="1">((V563-_xlfn.MAXIFS($V$519:V562,$V$519:V562,"&lt;"&amp;V563))*$D$475+VLOOKUP(V563,装备产出!$D$186:$F$485,3,0))/COUNTIF($V$520:$V$819,V563)/6</f>
        <v>230</v>
      </c>
      <c r="X563" s="157">
        <f t="shared" si="46"/>
        <v>3</v>
      </c>
      <c r="Y563" s="151">
        <f t="shared" si="53"/>
        <v>123</v>
      </c>
      <c r="Z563" s="156">
        <f ca="1">(SUM($W$520:W563)-SUM($Y$520:Y563))/SUM($W$520:W563)</f>
        <v>0.19404296875</v>
      </c>
      <c r="AA563" s="151">
        <f t="shared" si="47"/>
        <v>0</v>
      </c>
      <c r="AB563" s="153">
        <f t="shared" si="54"/>
        <v>6600</v>
      </c>
      <c r="AC563" s="153">
        <f>SUM(Y$520:Y563)</f>
        <v>2751</v>
      </c>
      <c r="AD563" s="153">
        <f>INT(SUM(AB$520:AB563))</f>
        <v>150000</v>
      </c>
      <c r="AE563" s="153">
        <f ca="1">INT(AC563*6/($D$475+AVERAGE(OFFSET(装备产出!$F$186,0,0,W563))))+1</f>
        <v>13</v>
      </c>
      <c r="AF563" s="154">
        <f t="shared" si="48"/>
        <v>54.525627044711</v>
      </c>
    </row>
    <row r="564" ht="17.25" spans="4:32">
      <c r="D564" s="151">
        <v>45</v>
      </c>
      <c r="E564" s="161">
        <f>IFERROR((INT(_xlfn.XLOOKUP(D564,养成规划!$G$6:$G$38,养成规划!$J$6:$J$38)/6)),"")</f>
        <v>238</v>
      </c>
      <c r="F564" s="156">
        <f t="shared" si="55"/>
        <v>-0.100840336134454</v>
      </c>
      <c r="G564" s="157">
        <f t="shared" si="43"/>
        <v>7</v>
      </c>
      <c r="H564" s="151">
        <f t="shared" si="44"/>
        <v>2140</v>
      </c>
      <c r="I564" s="158">
        <f t="shared" si="49"/>
        <v>214</v>
      </c>
      <c r="J564" s="159">
        <f ca="1" t="shared" si="50"/>
        <v>0.0204282921454285</v>
      </c>
      <c r="K564" s="157">
        <f t="shared" si="45"/>
        <v>411</v>
      </c>
      <c r="L564" s="160">
        <f ca="1" t="shared" si="51"/>
        <v>20119.1561719454</v>
      </c>
      <c r="M564" s="157">
        <f t="shared" si="52"/>
        <v>58.7142857142857</v>
      </c>
      <c r="U564" s="151">
        <v>45</v>
      </c>
      <c r="V564" s="157">
        <f ca="1">OFFSET(养成规划!$D$5,IFERROR(MATCH(U564,养成规划!$G$6:$G$38,1)+1,1),0)</f>
        <v>15</v>
      </c>
      <c r="W564" s="152">
        <f ca="1">((V564-_xlfn.MAXIFS($V$519:V563,$V$519:V563,"&lt;"&amp;V564))*$D$475+VLOOKUP(V564,装备产出!$D$186:$F$485,3,0))/COUNTIF($V$520:$V$819,V564)/6</f>
        <v>230</v>
      </c>
      <c r="X564" s="157">
        <f t="shared" si="46"/>
        <v>4</v>
      </c>
      <c r="Y564" s="151">
        <f t="shared" si="53"/>
        <v>127</v>
      </c>
      <c r="Z564" s="156">
        <f ca="1">(SUM($W$520:W564)-SUM($Y$520:Y564))/SUM($W$520:W564)</f>
        <v>0.210064043915828</v>
      </c>
      <c r="AA564" s="151">
        <f t="shared" si="47"/>
        <v>600</v>
      </c>
      <c r="AB564" s="153">
        <f t="shared" si="54"/>
        <v>7200</v>
      </c>
      <c r="AC564" s="153">
        <f>SUM(Y$520:Y564)</f>
        <v>2878</v>
      </c>
      <c r="AD564" s="153">
        <f>INT(SUM(AB$520:AB564))</f>
        <v>157200</v>
      </c>
      <c r="AE564" s="153">
        <f ca="1">INT(AC564*6/($D$475+AVERAGE(OFFSET(装备产出!$F$186,0,0,W564))))+1</f>
        <v>13</v>
      </c>
      <c r="AF564" s="154">
        <f t="shared" si="48"/>
        <v>54.6212647671994</v>
      </c>
    </row>
    <row r="565" ht="17.25" spans="4:32">
      <c r="D565" s="151">
        <v>46</v>
      </c>
      <c r="E565" s="161">
        <f>IFERROR((INT(_xlfn.XLOOKUP(D565,养成规划!$G$6:$G$38,养成规划!$J$6:$J$38)/6)),"")</f>
        <v>246</v>
      </c>
      <c r="F565" s="156">
        <f t="shared" si="55"/>
        <v>-0.101626016260163</v>
      </c>
      <c r="G565" s="157">
        <f t="shared" si="43"/>
        <v>7</v>
      </c>
      <c r="H565" s="151">
        <f t="shared" si="44"/>
        <v>2210</v>
      </c>
      <c r="I565" s="158">
        <f t="shared" si="49"/>
        <v>221</v>
      </c>
      <c r="J565" s="159">
        <f ca="1" t="shared" si="50"/>
        <v>0.0202602746810794</v>
      </c>
      <c r="K565" s="157">
        <f t="shared" si="45"/>
        <v>390</v>
      </c>
      <c r="L565" s="160">
        <f ca="1" t="shared" si="51"/>
        <v>19249.4922274776</v>
      </c>
      <c r="M565" s="157">
        <f t="shared" si="52"/>
        <v>55.7142857142857</v>
      </c>
      <c r="U565" s="151">
        <v>46</v>
      </c>
      <c r="V565" s="157">
        <f ca="1">OFFSET(养成规划!$D$5,IFERROR(MATCH(U565,养成规划!$G$6:$G$38,1)+1,1),0)</f>
        <v>16</v>
      </c>
      <c r="W565" s="152">
        <f ca="1">((V565-_xlfn.MAXIFS($V$519:V564,$V$519:V564,"&lt;"&amp;V565))*$D$475+VLOOKUP(V565,装备产出!$D$186:$F$485,3,0))/COUNTIF($V$520:$V$819,V565)/6</f>
        <v>230</v>
      </c>
      <c r="X565" s="157">
        <f t="shared" si="46"/>
        <v>3</v>
      </c>
      <c r="Y565" s="151">
        <f t="shared" si="53"/>
        <v>130</v>
      </c>
      <c r="Z565" s="156">
        <f ca="1">(SUM($W$520:W565)-SUM($Y$520:Y565))/SUM($W$520:W565)</f>
        <v>0.223407917383821</v>
      </c>
      <c r="AA565" s="151">
        <f t="shared" si="47"/>
        <v>0</v>
      </c>
      <c r="AB565" s="153">
        <f t="shared" si="54"/>
        <v>7200</v>
      </c>
      <c r="AC565" s="153">
        <f>SUM(Y$520:Y565)</f>
        <v>3008</v>
      </c>
      <c r="AD565" s="153">
        <f>INT(SUM(AB$520:AB565))</f>
        <v>164400</v>
      </c>
      <c r="AE565" s="153">
        <f ca="1">INT(AC565*6/($D$475+AVERAGE(OFFSET(装备产出!$F$186,0,0,W565))))+1</f>
        <v>14</v>
      </c>
      <c r="AF565" s="154">
        <f t="shared" si="48"/>
        <v>54.6542553191489</v>
      </c>
    </row>
    <row r="566" ht="17.25" spans="4:32">
      <c r="D566" s="151">
        <v>47</v>
      </c>
      <c r="E566" s="161">
        <f>IFERROR((INT(_xlfn.XLOOKUP(D566,养成规划!$G$6:$G$38,养成规划!$J$6:$J$38)/6)),"")</f>
        <v>254</v>
      </c>
      <c r="F566" s="156">
        <f t="shared" si="55"/>
        <v>-0.102362204724409</v>
      </c>
      <c r="G566" s="157">
        <f t="shared" si="43"/>
        <v>7</v>
      </c>
      <c r="H566" s="151">
        <f t="shared" si="44"/>
        <v>2280</v>
      </c>
      <c r="I566" s="158">
        <f t="shared" si="49"/>
        <v>228</v>
      </c>
      <c r="J566" s="159">
        <f ca="1" t="shared" si="50"/>
        <v>0.0200949984869298</v>
      </c>
      <c r="K566" s="157">
        <f t="shared" si="45"/>
        <v>432</v>
      </c>
      <c r="L566" s="160">
        <f ca="1" t="shared" si="51"/>
        <v>21497.8866647331</v>
      </c>
      <c r="M566" s="157">
        <f t="shared" si="52"/>
        <v>61.7142857142857</v>
      </c>
      <c r="U566" s="151">
        <v>47</v>
      </c>
      <c r="V566" s="157">
        <f ca="1">OFFSET(养成规划!$D$5,IFERROR(MATCH(U566,养成规划!$G$6:$G$38,1)+1,1),0)</f>
        <v>20</v>
      </c>
      <c r="W566" s="152">
        <f ca="1">((V566-_xlfn.MAXIFS($V$519:V565,$V$519:V565,"&lt;"&amp;V566))*$D$475+VLOOKUP(V566,装备产出!$D$186:$F$485,3,0))/COUNTIF($V$520:$V$819,V566)/6</f>
        <v>180.833333333333</v>
      </c>
      <c r="X566" s="157">
        <f t="shared" si="46"/>
        <v>4</v>
      </c>
      <c r="Y566" s="151">
        <f t="shared" si="53"/>
        <v>134</v>
      </c>
      <c r="Z566" s="156">
        <f ca="1">(SUM($W$520:W566)-SUM($Y$520:Y566))/SUM($W$520:W566)</f>
        <v>0.224994861253854</v>
      </c>
      <c r="AA566" s="151">
        <f t="shared" si="47"/>
        <v>600</v>
      </c>
      <c r="AB566" s="153">
        <f t="shared" si="54"/>
        <v>7800</v>
      </c>
      <c r="AC566" s="153">
        <f>SUM(Y$520:Y566)</f>
        <v>3142</v>
      </c>
      <c r="AD566" s="153">
        <f>INT(SUM(AB$520:AB566))</f>
        <v>172200</v>
      </c>
      <c r="AE566" s="153">
        <f ca="1">INT(AC566*6/($D$475+AVERAGE(OFFSET(装备产出!$F$186,0,0,W566))))+1</f>
        <v>15</v>
      </c>
      <c r="AF566" s="154">
        <f t="shared" si="48"/>
        <v>54.8058561425843</v>
      </c>
    </row>
    <row r="567" ht="17.25" spans="4:32">
      <c r="D567" s="151">
        <v>48</v>
      </c>
      <c r="E567" s="161" t="str">
        <f>IFERROR((INT(_xlfn.XLOOKUP(D567,养成规划!$G$6:$G$38,养成规划!$J$6:$J$38)/6)),"")</f>
        <v/>
      </c>
      <c r="F567" s="156" t="str">
        <f t="shared" si="55"/>
        <v/>
      </c>
      <c r="G567" s="157">
        <f t="shared" si="43"/>
        <v>8</v>
      </c>
      <c r="H567" s="151">
        <f t="shared" si="44"/>
        <v>2360</v>
      </c>
      <c r="I567" s="158">
        <f t="shared" si="49"/>
        <v>236</v>
      </c>
      <c r="J567" s="159">
        <f ca="1" t="shared" si="50"/>
        <v>0.0227667617106821</v>
      </c>
      <c r="K567" s="157">
        <f t="shared" si="45"/>
        <v>411</v>
      </c>
      <c r="L567" s="160">
        <f ca="1" t="shared" si="51"/>
        <v>18052.6332740225</v>
      </c>
      <c r="M567" s="157">
        <f t="shared" si="52"/>
        <v>51.375</v>
      </c>
      <c r="U567" s="151">
        <v>48</v>
      </c>
      <c r="V567" s="157">
        <f ca="1">OFFSET(养成规划!$D$5,IFERROR(MATCH(U567,养成规划!$G$6:$G$38,1)+1,1),0)</f>
        <v>20</v>
      </c>
      <c r="W567" s="152">
        <f ca="1">((V567-_xlfn.MAXIFS($V$519:V566,$V$519:V566,"&lt;"&amp;V567))*$D$475+VLOOKUP(V567,装备产出!$D$186:$F$485,3,0))/COUNTIF($V$520:$V$819,V567)/6</f>
        <v>180.833333333333</v>
      </c>
      <c r="X567" s="157">
        <f t="shared" si="46"/>
        <v>3</v>
      </c>
      <c r="Y567" s="151">
        <f t="shared" si="53"/>
        <v>137</v>
      </c>
      <c r="Z567" s="156">
        <f ca="1">(SUM($W$520:W567)-SUM($Y$520:Y567))/SUM($W$520:W567)</f>
        <v>0.225737898465171</v>
      </c>
      <c r="AA567" s="151">
        <f t="shared" si="47"/>
        <v>0</v>
      </c>
      <c r="AB567" s="153">
        <f t="shared" si="54"/>
        <v>7800</v>
      </c>
      <c r="AC567" s="153">
        <f>SUM(Y$520:Y567)</f>
        <v>3279</v>
      </c>
      <c r="AD567" s="153">
        <f>INT(SUM(AB$520:AB567))</f>
        <v>180000</v>
      </c>
      <c r="AE567" s="153">
        <f ca="1">INT(AC567*6/($D$475+AVERAGE(OFFSET(装备产出!$F$186,0,0,W567))))+1</f>
        <v>15</v>
      </c>
      <c r="AF567" s="154">
        <f t="shared" si="48"/>
        <v>54.8947849954254</v>
      </c>
    </row>
    <row r="568" ht="17.25" spans="4:32">
      <c r="D568" s="151">
        <v>49</v>
      </c>
      <c r="E568" s="161" t="str">
        <f>IFERROR((INT(_xlfn.XLOOKUP(D568,养成规划!$G$6:$G$38,养成规划!$J$6:$J$38)/6)),"")</f>
        <v/>
      </c>
      <c r="F568" s="156" t="str">
        <f t="shared" si="55"/>
        <v/>
      </c>
      <c r="G568" s="157">
        <f t="shared" si="43"/>
        <v>8</v>
      </c>
      <c r="H568" s="151">
        <f t="shared" si="44"/>
        <v>2440</v>
      </c>
      <c r="I568" s="158">
        <f t="shared" si="49"/>
        <v>244</v>
      </c>
      <c r="J568" s="159">
        <f ca="1" t="shared" si="50"/>
        <v>0.0225582719543606</v>
      </c>
      <c r="K568" s="157">
        <f t="shared" si="45"/>
        <v>453</v>
      </c>
      <c r="L568" s="160">
        <f ca="1" t="shared" si="51"/>
        <v>20081.3254187422</v>
      </c>
      <c r="M568" s="157">
        <f t="shared" si="52"/>
        <v>56.625</v>
      </c>
      <c r="U568" s="151">
        <v>49</v>
      </c>
      <c r="V568" s="157">
        <f ca="1">OFFSET(养成规划!$D$5,IFERROR(MATCH(U568,养成规划!$G$6:$G$38,1)+1,1),0)</f>
        <v>20</v>
      </c>
      <c r="W568" s="152">
        <f ca="1">((V568-_xlfn.MAXIFS($V$519:V567,$V$519:V567,"&lt;"&amp;V568))*$D$475+VLOOKUP(V568,装备产出!$D$186:$F$485,3,0))/COUNTIF($V$520:$V$819,V568)/6</f>
        <v>180.833333333333</v>
      </c>
      <c r="X568" s="157">
        <f t="shared" si="46"/>
        <v>4</v>
      </c>
      <c r="Y568" s="151">
        <f t="shared" si="53"/>
        <v>141</v>
      </c>
      <c r="Z568" s="156">
        <f ca="1">(SUM($W$520:W568)-SUM($Y$520:Y568))/SUM($W$520:W568)</f>
        <v>0.225514247971315</v>
      </c>
      <c r="AA568" s="151">
        <f t="shared" si="47"/>
        <v>600</v>
      </c>
      <c r="AB568" s="153">
        <f t="shared" si="54"/>
        <v>8400</v>
      </c>
      <c r="AC568" s="153">
        <f>SUM(Y$520:Y568)</f>
        <v>3420</v>
      </c>
      <c r="AD568" s="153">
        <f>INT(SUM(AB$520:AB568))</f>
        <v>188400</v>
      </c>
      <c r="AE568" s="153">
        <f ca="1">INT(AC568*6/($D$475+AVERAGE(OFFSET(装备产出!$F$186,0,0,W568))))+1</f>
        <v>16</v>
      </c>
      <c r="AF568" s="154">
        <f t="shared" si="48"/>
        <v>55.0877192982456</v>
      </c>
    </row>
    <row r="569" ht="17.25" spans="4:32">
      <c r="D569" s="151">
        <v>50</v>
      </c>
      <c r="E569" s="161" t="str">
        <f>IFERROR((INT(_xlfn.XLOOKUP(D569,养成规划!$G$6:$G$38,养成规划!$J$6:$J$38)/6)),"")</f>
        <v/>
      </c>
      <c r="F569" s="156" t="str">
        <f t="shared" si="55"/>
        <v/>
      </c>
      <c r="G569" s="157">
        <f t="shared" si="43"/>
        <v>8</v>
      </c>
      <c r="H569" s="151">
        <f t="shared" si="44"/>
        <v>2520</v>
      </c>
      <c r="I569" s="158">
        <f t="shared" si="49"/>
        <v>252</v>
      </c>
      <c r="J569" s="159">
        <f ca="1" t="shared" si="50"/>
        <v>0.0201914743817533</v>
      </c>
      <c r="K569" s="157">
        <f t="shared" si="45"/>
        <v>432</v>
      </c>
      <c r="L569" s="160">
        <f ca="1" t="shared" si="51"/>
        <v>21395.1686653646</v>
      </c>
      <c r="M569" s="157">
        <f t="shared" si="52"/>
        <v>54</v>
      </c>
      <c r="U569" s="151">
        <v>50</v>
      </c>
      <c r="V569" s="157">
        <f ca="1">OFFSET(养成规划!$D$5,IFERROR(MATCH(U569,养成规划!$G$6:$G$38,1)+1,1),0)</f>
        <v>20</v>
      </c>
      <c r="W569" s="152">
        <f ca="1">((V569-_xlfn.MAXIFS($V$519:V568,$V$519:V568,"&lt;"&amp;V569))*$D$475+VLOOKUP(V569,装备产出!$D$186:$F$485,3,0))/COUNTIF($V$520:$V$819,V569)/6</f>
        <v>180.833333333333</v>
      </c>
      <c r="X569" s="157">
        <f t="shared" si="46"/>
        <v>3</v>
      </c>
      <c r="Y569" s="151">
        <f t="shared" si="53"/>
        <v>144</v>
      </c>
      <c r="Z569" s="156">
        <f ca="1">(SUM($W$520:W569)-SUM($Y$520:Y569))/SUM($W$520:W569)</f>
        <v>0.224655547498187</v>
      </c>
      <c r="AA569" s="151">
        <f t="shared" si="47"/>
        <v>0</v>
      </c>
      <c r="AB569" s="153">
        <f t="shared" si="54"/>
        <v>8400</v>
      </c>
      <c r="AC569" s="153">
        <f>SUM(Y$520:Y569)</f>
        <v>3564</v>
      </c>
      <c r="AD569" s="153">
        <f>INT(SUM(AB$520:AB569))</f>
        <v>196800</v>
      </c>
      <c r="AE569" s="153">
        <f ca="1">INT(AC569*6/($D$475+AVERAGE(OFFSET(装备产出!$F$186,0,0,W569))))+1</f>
        <v>16</v>
      </c>
      <c r="AF569" s="154">
        <f t="shared" si="48"/>
        <v>55.2188552188552</v>
      </c>
    </row>
    <row r="570" ht="17.25" spans="4:32">
      <c r="D570" s="151">
        <v>51</v>
      </c>
      <c r="E570" s="161">
        <f>IFERROR((INT(_xlfn.XLOOKUP(D570,养成规划!$G$6:$G$38,养成规划!$J$6:$J$38)/6)),"")</f>
        <v>294</v>
      </c>
      <c r="F570" s="156">
        <f t="shared" si="55"/>
        <v>-0.108843537414966</v>
      </c>
      <c r="G570" s="157">
        <f t="shared" si="43"/>
        <v>10</v>
      </c>
      <c r="H570" s="151">
        <f t="shared" si="44"/>
        <v>2620</v>
      </c>
      <c r="I570" s="158">
        <f t="shared" si="49"/>
        <v>262</v>
      </c>
      <c r="J570" s="159">
        <f ca="1" t="shared" si="50"/>
        <v>0.0250088044741909</v>
      </c>
      <c r="K570" s="157">
        <f t="shared" si="45"/>
        <v>474</v>
      </c>
      <c r="L570" s="160">
        <f ca="1" t="shared" si="51"/>
        <v>18953.325037555</v>
      </c>
      <c r="M570" s="157">
        <f t="shared" si="52"/>
        <v>47.4</v>
      </c>
      <c r="U570" s="151">
        <v>51</v>
      </c>
      <c r="V570" s="157">
        <f ca="1">OFFSET(养成规划!$D$5,IFERROR(MATCH(U570,养成规划!$G$6:$G$38,1)+1,1),0)</f>
        <v>27</v>
      </c>
      <c r="W570" s="152">
        <f ca="1">((V570-_xlfn.MAXIFS($V$519:V569,$V$519:V569,"&lt;"&amp;V570))*$D$475+VLOOKUP(V570,装备产出!$D$186:$F$485,3,0))/COUNTIF($V$520:$V$819,V570)/6</f>
        <v>174.761904761905</v>
      </c>
      <c r="X570" s="157">
        <f t="shared" si="46"/>
        <v>4</v>
      </c>
      <c r="Y570" s="151">
        <f t="shared" si="53"/>
        <v>148</v>
      </c>
      <c r="Z570" s="156">
        <f ca="1">(SUM($W$520:W570)-SUM($Y$520:Y570))/SUM($W$520:W570)</f>
        <v>0.222035928143712</v>
      </c>
      <c r="AA570" s="151">
        <f t="shared" si="47"/>
        <v>600</v>
      </c>
      <c r="AB570" s="153">
        <f t="shared" si="54"/>
        <v>9000</v>
      </c>
      <c r="AC570" s="153">
        <f>SUM(Y$520:Y570)</f>
        <v>3712</v>
      </c>
      <c r="AD570" s="153">
        <f>INT(SUM(AB$520:AB570))</f>
        <v>205800</v>
      </c>
      <c r="AE570" s="153">
        <f ca="1">INT(AC570*6/($D$475+AVERAGE(OFFSET(装备产出!$F$186,0,0,W570))))+1</f>
        <v>17</v>
      </c>
      <c r="AF570" s="154">
        <f t="shared" si="48"/>
        <v>55.4418103448276</v>
      </c>
    </row>
    <row r="571" ht="17.25" spans="4:32">
      <c r="D571" s="151">
        <v>52</v>
      </c>
      <c r="E571" s="161" t="str">
        <f>IFERROR((INT(_xlfn.XLOOKUP(D571,养成规划!$G$6:$G$38,养成规划!$J$6:$J$38)/6)),"")</f>
        <v/>
      </c>
      <c r="F571" s="156" t="str">
        <f t="shared" si="55"/>
        <v/>
      </c>
      <c r="G571" s="157">
        <f t="shared" si="43"/>
        <v>10</v>
      </c>
      <c r="H571" s="151">
        <f t="shared" si="44"/>
        <v>2720</v>
      </c>
      <c r="I571" s="158">
        <f t="shared" si="49"/>
        <v>272</v>
      </c>
      <c r="J571" s="159">
        <f ca="1" t="shared" si="50"/>
        <v>0.0247574554527476</v>
      </c>
      <c r="K571" s="157">
        <f t="shared" si="45"/>
        <v>456</v>
      </c>
      <c r="L571" s="160">
        <f ca="1" t="shared" si="51"/>
        <v>18418.6941533764</v>
      </c>
      <c r="M571" s="157">
        <f t="shared" si="52"/>
        <v>45.6</v>
      </c>
      <c r="U571" s="151">
        <v>52</v>
      </c>
      <c r="V571" s="157">
        <f ca="1">OFFSET(养成规划!$D$5,IFERROR(MATCH(U571,养成规划!$G$6:$G$38,1)+1,1),0)</f>
        <v>27</v>
      </c>
      <c r="W571" s="152">
        <f ca="1">((V571-_xlfn.MAXIFS($V$519:V570,$V$519:V570,"&lt;"&amp;V571))*$D$475+VLOOKUP(V571,装备产出!$D$186:$F$485,3,0))/COUNTIF($V$520:$V$819,V571)/6</f>
        <v>174.761904761905</v>
      </c>
      <c r="X571" s="157">
        <f t="shared" si="46"/>
        <v>4</v>
      </c>
      <c r="Y571" s="151">
        <f t="shared" si="53"/>
        <v>152</v>
      </c>
      <c r="Z571" s="156">
        <f ca="1">(SUM($W$520:W571)-SUM($Y$520:Y571))/SUM($W$520:W571)</f>
        <v>0.21879272167132</v>
      </c>
      <c r="AA571" s="151">
        <f t="shared" si="47"/>
        <v>0</v>
      </c>
      <c r="AB571" s="153">
        <f t="shared" si="54"/>
        <v>9000</v>
      </c>
      <c r="AC571" s="153">
        <f>SUM(Y$520:Y571)</f>
        <v>3864</v>
      </c>
      <c r="AD571" s="153">
        <f>INT(SUM(AB$520:AB571))</f>
        <v>214800</v>
      </c>
      <c r="AE571" s="153">
        <f ca="1">INT(AC571*6/($D$475+AVERAGE(OFFSET(装备产出!$F$186,0,0,W571))))+1</f>
        <v>18</v>
      </c>
      <c r="AF571" s="154">
        <f t="shared" si="48"/>
        <v>55.5900621118012</v>
      </c>
    </row>
    <row r="572" ht="17.25" spans="4:32">
      <c r="D572" s="151">
        <v>53</v>
      </c>
      <c r="E572" s="161" t="str">
        <f>IFERROR((INT(_xlfn.XLOOKUP(D572,养成规划!$G$6:$G$38,养成规划!$J$6:$J$38)/6)),"")</f>
        <v/>
      </c>
      <c r="F572" s="156" t="str">
        <f t="shared" si="55"/>
        <v/>
      </c>
      <c r="G572" s="157">
        <f t="shared" si="43"/>
        <v>10</v>
      </c>
      <c r="H572" s="151">
        <f t="shared" si="44"/>
        <v>2820</v>
      </c>
      <c r="I572" s="158">
        <f t="shared" si="49"/>
        <v>282</v>
      </c>
      <c r="J572" s="159">
        <f ca="1" t="shared" si="50"/>
        <v>0.0245111085269438</v>
      </c>
      <c r="K572" s="157">
        <f t="shared" si="45"/>
        <v>495</v>
      </c>
      <c r="L572" s="160">
        <f ca="1" t="shared" si="51"/>
        <v>20194.9250665621</v>
      </c>
      <c r="M572" s="157">
        <f t="shared" si="52"/>
        <v>49.5</v>
      </c>
      <c r="U572" s="151">
        <v>53</v>
      </c>
      <c r="V572" s="157">
        <f ca="1">OFFSET(养成规划!$D$5,IFERROR(MATCH(U572,养成规划!$G$6:$G$38,1)+1,1),0)</f>
        <v>27</v>
      </c>
      <c r="W572" s="152">
        <f ca="1">((V572-_xlfn.MAXIFS($V$519:V571,$V$519:V571,"&lt;"&amp;V572))*$D$475+VLOOKUP(V572,装备产出!$D$186:$F$485,3,0))/COUNTIF($V$520:$V$819,V572)/6</f>
        <v>174.761904761905</v>
      </c>
      <c r="X572" s="157">
        <f t="shared" si="46"/>
        <v>3</v>
      </c>
      <c r="Y572" s="151">
        <f t="shared" si="53"/>
        <v>155</v>
      </c>
      <c r="Z572" s="156">
        <f ca="1">(SUM($W$520:W572)-SUM($Y$520:Y572))/SUM($W$520:W572)</f>
        <v>0.215185047424214</v>
      </c>
      <c r="AA572" s="151">
        <f t="shared" si="47"/>
        <v>600</v>
      </c>
      <c r="AB572" s="153">
        <f t="shared" si="54"/>
        <v>9600</v>
      </c>
      <c r="AC572" s="153">
        <f>SUM(Y$520:Y572)</f>
        <v>4019</v>
      </c>
      <c r="AD572" s="153">
        <f>INT(SUM(AB$520:AB572))</f>
        <v>224400</v>
      </c>
      <c r="AE572" s="153">
        <f ca="1">INT(AC572*6/($D$475+AVERAGE(OFFSET(装备产出!$F$186,0,0,W572))))+1</f>
        <v>19</v>
      </c>
      <c r="AF572" s="154">
        <f t="shared" si="48"/>
        <v>55.8347847723314</v>
      </c>
    </row>
    <row r="573" ht="17.25" spans="4:32">
      <c r="D573" s="151">
        <v>54</v>
      </c>
      <c r="E573" s="161" t="str">
        <f>IFERROR((INT(_xlfn.XLOOKUP(D573,养成规划!$G$6:$G$38,养成规划!$J$6:$J$38)/6)),"")</f>
        <v/>
      </c>
      <c r="F573" s="156" t="str">
        <f t="shared" si="55"/>
        <v/>
      </c>
      <c r="G573" s="157">
        <f t="shared" si="43"/>
        <v>10</v>
      </c>
      <c r="H573" s="151">
        <f t="shared" si="44"/>
        <v>2920</v>
      </c>
      <c r="I573" s="158">
        <f t="shared" si="49"/>
        <v>292</v>
      </c>
      <c r="J573" s="159">
        <f ca="1" t="shared" si="50"/>
        <v>0.0242696158467326</v>
      </c>
      <c r="K573" s="157">
        <f t="shared" si="45"/>
        <v>477</v>
      </c>
      <c r="L573" s="160">
        <f ca="1" t="shared" si="51"/>
        <v>19654.2047889159</v>
      </c>
      <c r="M573" s="157">
        <f t="shared" si="52"/>
        <v>47.7</v>
      </c>
      <c r="U573" s="151">
        <v>54</v>
      </c>
      <c r="V573" s="157">
        <f ca="1">OFFSET(养成规划!$D$5,IFERROR(MATCH(U573,养成规划!$G$6:$G$38,1)+1,1),0)</f>
        <v>27</v>
      </c>
      <c r="W573" s="152">
        <f ca="1">((V573-_xlfn.MAXIFS($V$519:V572,$V$519:V572,"&lt;"&amp;V573))*$D$475+VLOOKUP(V573,装备产出!$D$186:$F$485,3,0))/COUNTIF($V$520:$V$819,V573)/6</f>
        <v>174.761904761905</v>
      </c>
      <c r="X573" s="157">
        <f t="shared" si="46"/>
        <v>4</v>
      </c>
      <c r="Y573" s="151">
        <f t="shared" si="53"/>
        <v>159</v>
      </c>
      <c r="Z573" s="156">
        <f ca="1">(SUM($W$520:W573)-SUM($Y$520:Y573))/SUM($W$520:W573)</f>
        <v>0.21106015646075</v>
      </c>
      <c r="AA573" s="151">
        <f t="shared" si="47"/>
        <v>0</v>
      </c>
      <c r="AB573" s="153">
        <f t="shared" si="54"/>
        <v>9600</v>
      </c>
      <c r="AC573" s="153">
        <f>SUM(Y$520:Y573)</f>
        <v>4178</v>
      </c>
      <c r="AD573" s="153">
        <f>INT(SUM(AB$520:AB573))</f>
        <v>234000</v>
      </c>
      <c r="AE573" s="153">
        <f ca="1">INT(AC573*6/($D$475+AVERAGE(OFFSET(装备产出!$F$186,0,0,W573))))+1</f>
        <v>19</v>
      </c>
      <c r="AF573" s="154">
        <f t="shared" si="48"/>
        <v>56.0076591670656</v>
      </c>
    </row>
    <row r="574" ht="17.25" spans="4:32">
      <c r="D574" s="151">
        <v>55</v>
      </c>
      <c r="E574" s="161" t="str">
        <f>IFERROR((INT(_xlfn.XLOOKUP(D574,养成规划!$G$6:$G$38,养成规划!$J$6:$J$38)/6)),"")</f>
        <v/>
      </c>
      <c r="F574" s="156" t="str">
        <f t="shared" si="55"/>
        <v/>
      </c>
      <c r="G574" s="157">
        <f t="shared" si="43"/>
        <v>10</v>
      </c>
      <c r="H574" s="151">
        <f t="shared" si="44"/>
        <v>3020</v>
      </c>
      <c r="I574" s="158">
        <f t="shared" si="49"/>
        <v>302</v>
      </c>
      <c r="J574" s="159">
        <f ca="1" t="shared" si="50"/>
        <v>0.0240328353320578</v>
      </c>
      <c r="K574" s="157">
        <f t="shared" si="45"/>
        <v>519</v>
      </c>
      <c r="L574" s="160">
        <f ca="1" t="shared" si="51"/>
        <v>21595.4544201323</v>
      </c>
      <c r="M574" s="157">
        <f t="shared" si="52"/>
        <v>51.9</v>
      </c>
      <c r="U574" s="151">
        <v>55</v>
      </c>
      <c r="V574" s="157">
        <f ca="1">OFFSET(养成规划!$D$5,IFERROR(MATCH(U574,养成规划!$G$6:$G$38,1)+1,1),0)</f>
        <v>27</v>
      </c>
      <c r="W574" s="152">
        <f ca="1">((V574-_xlfn.MAXIFS($V$519:V573,$V$519:V573,"&lt;"&amp;V574))*$D$475+VLOOKUP(V574,装备产出!$D$186:$F$485,3,0))/COUNTIF($V$520:$V$819,V574)/6</f>
        <v>174.761904761905</v>
      </c>
      <c r="X574" s="157">
        <f t="shared" si="46"/>
        <v>4</v>
      </c>
      <c r="Y574" s="151">
        <f t="shared" si="53"/>
        <v>163</v>
      </c>
      <c r="Z574" s="156">
        <f ca="1">(SUM($W$520:W574)-SUM($Y$520:Y574))/SUM($W$520:W574)</f>
        <v>0.206467618384401</v>
      </c>
      <c r="AA574" s="151">
        <f t="shared" si="47"/>
        <v>600</v>
      </c>
      <c r="AB574" s="153">
        <f t="shared" si="54"/>
        <v>10200</v>
      </c>
      <c r="AC574" s="153">
        <f>SUM(Y$520:Y574)</f>
        <v>4341</v>
      </c>
      <c r="AD574" s="153">
        <f>INT(SUM(AB$520:AB574))</f>
        <v>244200</v>
      </c>
      <c r="AE574" s="153">
        <f ca="1">INT(AC574*6/($D$475+AVERAGE(OFFSET(装备产出!$F$186,0,0,W574))))+1</f>
        <v>20</v>
      </c>
      <c r="AF574" s="154">
        <f t="shared" si="48"/>
        <v>56.2543192812716</v>
      </c>
    </row>
    <row r="575" ht="17.25" spans="4:32">
      <c r="D575" s="151">
        <v>56</v>
      </c>
      <c r="E575" s="161" t="str">
        <f>IFERROR((INT(_xlfn.XLOOKUP(D575,养成规划!$G$6:$G$38,养成规划!$J$6:$J$38)/6)),"")</f>
        <v/>
      </c>
      <c r="F575" s="156" t="str">
        <f t="shared" si="55"/>
        <v/>
      </c>
      <c r="G575" s="157">
        <f t="shared" si="43"/>
        <v>10</v>
      </c>
      <c r="H575" s="151">
        <f t="shared" si="44"/>
        <v>3120</v>
      </c>
      <c r="I575" s="158">
        <f t="shared" si="49"/>
        <v>312</v>
      </c>
      <c r="J575" s="159">
        <f ca="1" t="shared" si="50"/>
        <v>0.0238006303940982</v>
      </c>
      <c r="K575" s="157">
        <f t="shared" si="45"/>
        <v>501</v>
      </c>
      <c r="L575" s="160">
        <f ca="1" t="shared" si="51"/>
        <v>21049.8626172621</v>
      </c>
      <c r="M575" s="157">
        <f t="shared" si="52"/>
        <v>50.1</v>
      </c>
      <c r="U575" s="151">
        <v>56</v>
      </c>
      <c r="V575" s="157">
        <f ca="1">OFFSET(养成规划!$D$5,IFERROR(MATCH(U575,养成规划!$G$6:$G$38,1)+1,1),0)</f>
        <v>27</v>
      </c>
      <c r="W575" s="152">
        <f ca="1">((V575-_xlfn.MAXIFS($V$519:V574,$V$519:V574,"&lt;"&amp;V575))*$D$475+VLOOKUP(V575,装备产出!$D$186:$F$485,3,0))/COUNTIF($V$520:$V$819,V575)/6</f>
        <v>174.761904761905</v>
      </c>
      <c r="X575" s="157">
        <f t="shared" si="46"/>
        <v>4</v>
      </c>
      <c r="Y575" s="151">
        <f t="shared" si="53"/>
        <v>167</v>
      </c>
      <c r="Z575" s="156">
        <f ca="1">(SUM($W$520:W575)-SUM($Y$520:Y575))/SUM($W$520:W575)</f>
        <v>0.201450864614087</v>
      </c>
      <c r="AA575" s="151">
        <f t="shared" si="47"/>
        <v>0</v>
      </c>
      <c r="AB575" s="153">
        <f t="shared" si="54"/>
        <v>10200</v>
      </c>
      <c r="AC575" s="153">
        <f>SUM(Y$520:Y575)</f>
        <v>4508</v>
      </c>
      <c r="AD575" s="153">
        <f>INT(SUM(AB$520:AB575))</f>
        <v>254400</v>
      </c>
      <c r="AE575" s="153">
        <f ca="1">INT(AC575*6/($D$475+AVERAGE(OFFSET(装备产出!$F$186,0,0,W575))))+1</f>
        <v>21</v>
      </c>
      <c r="AF575" s="154">
        <f t="shared" si="48"/>
        <v>56.433007985803</v>
      </c>
    </row>
    <row r="576" ht="17.25" spans="4:32">
      <c r="D576" s="151">
        <v>57</v>
      </c>
      <c r="E576" s="161" t="str">
        <f>IFERROR((INT(_xlfn.XLOOKUP(D576,养成规划!$G$6:$G$38,养成规划!$J$6:$J$38)/6)),"")</f>
        <v/>
      </c>
      <c r="F576" s="156" t="str">
        <f t="shared" si="55"/>
        <v/>
      </c>
      <c r="G576" s="157">
        <f t="shared" si="43"/>
        <v>10</v>
      </c>
      <c r="H576" s="151">
        <f t="shared" si="44"/>
        <v>3220</v>
      </c>
      <c r="I576" s="158">
        <f t="shared" si="49"/>
        <v>322</v>
      </c>
      <c r="J576" s="159">
        <f ca="1" t="shared" si="50"/>
        <v>0.0235728696725155</v>
      </c>
      <c r="K576" s="157">
        <f t="shared" si="45"/>
        <v>543</v>
      </c>
      <c r="L576" s="160">
        <f ca="1" t="shared" si="51"/>
        <v>23034.9553339746</v>
      </c>
      <c r="M576" s="157">
        <f t="shared" si="52"/>
        <v>54.3</v>
      </c>
      <c r="U576" s="151">
        <v>57</v>
      </c>
      <c r="V576" s="157">
        <f ca="1">OFFSET(养成规划!$D$5,IFERROR(MATCH(U576,养成规划!$G$6:$G$38,1)+1,1),0)</f>
        <v>27</v>
      </c>
      <c r="W576" s="152">
        <f ca="1">((V576-_xlfn.MAXIFS($V$519:V575,$V$519:V575,"&lt;"&amp;V576))*$D$475+VLOOKUP(V576,装备产出!$D$186:$F$485,3,0))/COUNTIF($V$520:$V$819,V576)/6</f>
        <v>174.761904761905</v>
      </c>
      <c r="X576" s="157">
        <f t="shared" si="46"/>
        <v>4</v>
      </c>
      <c r="Y576" s="151">
        <f t="shared" si="53"/>
        <v>171</v>
      </c>
      <c r="Z576" s="156">
        <f ca="1">(SUM($W$520:W576)-SUM($Y$520:Y576))/SUM($W$520:W576)</f>
        <v>0.196048109965635</v>
      </c>
      <c r="AA576" s="151">
        <f t="shared" si="47"/>
        <v>600</v>
      </c>
      <c r="AB576" s="153">
        <f t="shared" si="54"/>
        <v>10800</v>
      </c>
      <c r="AC576" s="153">
        <f>SUM(Y$520:Y576)</f>
        <v>4679</v>
      </c>
      <c r="AD576" s="153">
        <f>INT(SUM(AB$520:AB576))</f>
        <v>265200</v>
      </c>
      <c r="AE576" s="153">
        <f ca="1">INT(AC576*6/($D$475+AVERAGE(OFFSET(装备产出!$F$186,0,0,W576))))+1</f>
        <v>21</v>
      </c>
      <c r="AF576" s="154">
        <f t="shared" si="48"/>
        <v>56.6787775165634</v>
      </c>
    </row>
    <row r="577" ht="17.25" spans="4:32">
      <c r="D577" s="151">
        <v>58</v>
      </c>
      <c r="E577" s="161">
        <f>IFERROR((INT(_xlfn.XLOOKUP(D577,养成规划!$G$6:$G$38,养成规划!$J$6:$J$38)/6)),"")</f>
        <v>364</v>
      </c>
      <c r="F577" s="156">
        <f t="shared" si="55"/>
        <v>-0.0879120879120879</v>
      </c>
      <c r="G577" s="157">
        <f t="shared" si="43"/>
        <v>10</v>
      </c>
      <c r="H577" s="151">
        <f t="shared" si="44"/>
        <v>3320</v>
      </c>
      <c r="I577" s="158">
        <f t="shared" si="49"/>
        <v>332</v>
      </c>
      <c r="J577" s="159">
        <f ca="1" t="shared" si="50"/>
        <v>0.023349426787649</v>
      </c>
      <c r="K577" s="157">
        <f t="shared" si="45"/>
        <v>525</v>
      </c>
      <c r="L577" s="160">
        <f ca="1" t="shared" si="51"/>
        <v>22484.4920080738</v>
      </c>
      <c r="M577" s="157">
        <f t="shared" si="52"/>
        <v>52.5</v>
      </c>
      <c r="U577" s="151">
        <v>58</v>
      </c>
      <c r="V577" s="157">
        <f ca="1">OFFSET(养成规划!$D$5,IFERROR(MATCH(U577,养成规划!$G$6:$G$38,1)+1,1),0)</f>
        <v>34</v>
      </c>
      <c r="W577" s="152">
        <f ca="1">((V577-_xlfn.MAXIFS($V$519:V576,$V$519:V576,"&lt;"&amp;V577))*$D$475+VLOOKUP(V577,装备产出!$D$186:$F$485,3,0))/COUNTIF($V$520:$V$819,V577)/6</f>
        <v>244.666666666667</v>
      </c>
      <c r="X577" s="157">
        <f t="shared" si="46"/>
        <v>4</v>
      </c>
      <c r="Y577" s="151">
        <f t="shared" si="53"/>
        <v>175</v>
      </c>
      <c r="Z577" s="156">
        <f ca="1">(SUM($W$520:W577)-SUM($Y$520:Y577))/SUM($W$520:W577)</f>
        <v>0.199626250412223</v>
      </c>
      <c r="AA577" s="151">
        <f t="shared" si="47"/>
        <v>0</v>
      </c>
      <c r="AB577" s="153">
        <f t="shared" si="54"/>
        <v>10800</v>
      </c>
      <c r="AC577" s="153">
        <f>SUM(Y$520:Y577)</f>
        <v>4854</v>
      </c>
      <c r="AD577" s="153">
        <f>INT(SUM(AB$520:AB577))</f>
        <v>276000</v>
      </c>
      <c r="AE577" s="153">
        <f ca="1">INT(AC577*6/($D$475+AVERAGE(OFFSET(装备产出!$F$186,0,0,W577))))+1</f>
        <v>22</v>
      </c>
      <c r="AF577" s="154">
        <f t="shared" si="48"/>
        <v>56.8603213844252</v>
      </c>
    </row>
    <row r="578" ht="17.25" spans="4:32">
      <c r="D578" s="151">
        <v>59</v>
      </c>
      <c r="E578" s="161" t="str">
        <f>IFERROR((INT(_xlfn.XLOOKUP(D578,养成规划!$G$6:$G$38,养成规划!$J$6:$J$38)/6)),"")</f>
        <v/>
      </c>
      <c r="F578" s="156" t="str">
        <f t="shared" si="55"/>
        <v/>
      </c>
      <c r="G578" s="157">
        <f t="shared" si="43"/>
        <v>10</v>
      </c>
      <c r="H578" s="151">
        <f t="shared" si="44"/>
        <v>3420</v>
      </c>
      <c r="I578" s="158">
        <f t="shared" si="49"/>
        <v>342</v>
      </c>
      <c r="J578" s="159">
        <f ca="1" t="shared" si="50"/>
        <v>0.0231301801066697</v>
      </c>
      <c r="K578" s="157">
        <f t="shared" si="45"/>
        <v>567</v>
      </c>
      <c r="L578" s="160">
        <f ca="1" t="shared" si="51"/>
        <v>24513.427798018</v>
      </c>
      <c r="M578" s="157">
        <f t="shared" si="52"/>
        <v>56.7</v>
      </c>
      <c r="U578" s="151">
        <v>59</v>
      </c>
      <c r="V578" s="157">
        <f ca="1">OFFSET(养成规划!$D$5,IFERROR(MATCH(U578,养成规划!$G$6:$G$38,1)+1,1),0)</f>
        <v>34</v>
      </c>
      <c r="W578" s="152">
        <f ca="1">((V578-_xlfn.MAXIFS($V$519:V577,$V$519:V577,"&lt;"&amp;V578))*$D$475+VLOOKUP(V578,装备产出!$D$186:$F$485,3,0))/COUNTIF($V$520:$V$819,V578)/6</f>
        <v>244.666666666667</v>
      </c>
      <c r="X578" s="157">
        <f t="shared" si="46"/>
        <v>4</v>
      </c>
      <c r="Y578" s="151">
        <f t="shared" si="53"/>
        <v>179</v>
      </c>
      <c r="Z578" s="156">
        <f ca="1">(SUM($W$520:W578)-SUM($Y$520:Y578))/SUM($W$520:W578)</f>
        <v>0.202292899408284</v>
      </c>
      <c r="AA578" s="151">
        <f t="shared" si="47"/>
        <v>600</v>
      </c>
      <c r="AB578" s="153">
        <f t="shared" si="54"/>
        <v>11400</v>
      </c>
      <c r="AC578" s="153">
        <f>SUM(Y$520:Y578)</f>
        <v>5033</v>
      </c>
      <c r="AD578" s="153">
        <f>INT(SUM(AB$520:AB578))</f>
        <v>287400</v>
      </c>
      <c r="AE578" s="153">
        <f ca="1">INT(AC578*6/($D$475+AVERAGE(OFFSET(装备产出!$F$186,0,0,W578))))+1</f>
        <v>23</v>
      </c>
      <c r="AF578" s="154">
        <f t="shared" si="48"/>
        <v>57.1031194118816</v>
      </c>
    </row>
    <row r="579" ht="17.25" spans="4:32">
      <c r="D579" s="151">
        <v>60</v>
      </c>
      <c r="E579" s="161" t="str">
        <f>IFERROR((INT(_xlfn.XLOOKUP(D579,养成规划!$G$6:$G$38,养成规划!$J$6:$J$38)/6)),"")</f>
        <v/>
      </c>
      <c r="F579" s="156" t="str">
        <f t="shared" si="55"/>
        <v/>
      </c>
      <c r="G579" s="157">
        <f t="shared" si="43"/>
        <v>10</v>
      </c>
      <c r="H579" s="151">
        <f t="shared" si="44"/>
        <v>3520</v>
      </c>
      <c r="I579" s="158">
        <f t="shared" si="49"/>
        <v>352</v>
      </c>
      <c r="J579" s="159">
        <f ca="1" t="shared" si="50"/>
        <v>0.0208089266006756</v>
      </c>
      <c r="K579" s="157">
        <f t="shared" si="45"/>
        <v>549</v>
      </c>
      <c r="L579" s="160">
        <f ca="1" t="shared" si="51"/>
        <v>26382.9081881704</v>
      </c>
      <c r="M579" s="157">
        <f t="shared" si="52"/>
        <v>54.9</v>
      </c>
      <c r="U579" s="151">
        <v>60</v>
      </c>
      <c r="V579" s="157">
        <f ca="1">OFFSET(养成规划!$D$5,IFERROR(MATCH(U579,养成规划!$G$6:$G$38,1)+1,1),0)</f>
        <v>34</v>
      </c>
      <c r="W579" s="152">
        <f ca="1">((V579-_xlfn.MAXIFS($V$519:V578,$V$519:V578,"&lt;"&amp;V579))*$D$475+VLOOKUP(V579,装备产出!$D$186:$F$485,3,0))/COUNTIF($V$520:$V$819,V579)/6</f>
        <v>244.666666666667</v>
      </c>
      <c r="X579" s="157">
        <f t="shared" si="46"/>
        <v>4</v>
      </c>
      <c r="Y579" s="151">
        <f t="shared" si="53"/>
        <v>183</v>
      </c>
      <c r="Z579" s="156">
        <f ca="1">(SUM($W$520:W579)-SUM($Y$520:Y579))/SUM($W$520:W579)</f>
        <v>0.20415013732072</v>
      </c>
      <c r="AA579" s="151">
        <f t="shared" si="47"/>
        <v>0</v>
      </c>
      <c r="AB579" s="153">
        <f t="shared" si="54"/>
        <v>11400</v>
      </c>
      <c r="AC579" s="153">
        <f>SUM(Y$520:Y579)</f>
        <v>5216</v>
      </c>
      <c r="AD579" s="153">
        <f>INT(SUM(AB$520:AB579))</f>
        <v>298800</v>
      </c>
      <c r="AE579" s="153">
        <f ca="1">INT(AC579*6/($D$475+AVERAGE(OFFSET(装备产出!$F$186,0,0,W579))))+1</f>
        <v>24</v>
      </c>
      <c r="AF579" s="154">
        <f t="shared" si="48"/>
        <v>57.2852760736196</v>
      </c>
    </row>
    <row r="580" ht="17.25" spans="4:32">
      <c r="D580" s="151">
        <v>61</v>
      </c>
      <c r="E580" s="161" t="str">
        <f>IFERROR((INT(_xlfn.XLOOKUP(D580,养成规划!$G$6:$G$38,养成规划!$J$6:$J$38)/6)),"")</f>
        <v/>
      </c>
      <c r="F580" s="156" t="str">
        <f t="shared" si="55"/>
        <v/>
      </c>
      <c r="G580" s="157">
        <f t="shared" si="43"/>
        <v>10</v>
      </c>
      <c r="H580" s="151">
        <f t="shared" si="44"/>
        <v>3620</v>
      </c>
      <c r="I580" s="158">
        <f t="shared" si="49"/>
        <v>362</v>
      </c>
      <c r="J580" s="159">
        <f ca="1" t="shared" si="50"/>
        <v>0.0206346162389357</v>
      </c>
      <c r="K580" s="157">
        <f t="shared" si="45"/>
        <v>591</v>
      </c>
      <c r="L580" s="160">
        <f ca="1" t="shared" si="51"/>
        <v>28641.1917312441</v>
      </c>
      <c r="M580" s="157">
        <f t="shared" si="52"/>
        <v>59.1</v>
      </c>
      <c r="U580" s="151">
        <v>61</v>
      </c>
      <c r="V580" s="157">
        <f ca="1">OFFSET(养成规划!$D$5,IFERROR(MATCH(U580,养成规划!$G$6:$G$38,1)+1,1),0)</f>
        <v>34</v>
      </c>
      <c r="W580" s="152">
        <f ca="1">((V580-_xlfn.MAXIFS($V$519:V579,$V$519:V579,"&lt;"&amp;V580))*$D$475+VLOOKUP(V580,装备产出!$D$186:$F$485,3,0))/COUNTIF($V$520:$V$819,V580)/6</f>
        <v>244.666666666667</v>
      </c>
      <c r="X580" s="157">
        <f t="shared" si="46"/>
        <v>4</v>
      </c>
      <c r="Y580" s="151">
        <f t="shared" si="53"/>
        <v>187</v>
      </c>
      <c r="Z580" s="156">
        <f ca="1">(SUM($W$520:W580)-SUM($Y$520:Y580))/SUM($W$520:W580)</f>
        <v>0.205285350068641</v>
      </c>
      <c r="AA580" s="151">
        <f t="shared" si="47"/>
        <v>600</v>
      </c>
      <c r="AB580" s="153">
        <f t="shared" si="54"/>
        <v>12000</v>
      </c>
      <c r="AC580" s="153">
        <f>SUM(Y$520:Y580)</f>
        <v>5403</v>
      </c>
      <c r="AD580" s="153">
        <f>INT(SUM(AB$520:AB580))</f>
        <v>310800</v>
      </c>
      <c r="AE580" s="153">
        <f ca="1">INT(AC580*6/($D$475+AVERAGE(OFFSET(装备产出!$F$186,0,0,W580))))+1</f>
        <v>25</v>
      </c>
      <c r="AF580" s="154">
        <f t="shared" si="48"/>
        <v>57.5235980011105</v>
      </c>
    </row>
    <row r="581" ht="17.25" spans="4:32">
      <c r="D581" s="151">
        <v>62</v>
      </c>
      <c r="E581" s="161" t="str">
        <f>IFERROR((INT(_xlfn.XLOOKUP(D581,养成规划!$G$6:$G$38,养成规划!$J$6:$J$38)/6)),"")</f>
        <v/>
      </c>
      <c r="F581" s="156" t="str">
        <f t="shared" si="55"/>
        <v/>
      </c>
      <c r="G581" s="157">
        <f t="shared" si="43"/>
        <v>10</v>
      </c>
      <c r="H581" s="151">
        <f t="shared" si="44"/>
        <v>3720</v>
      </c>
      <c r="I581" s="158">
        <f t="shared" si="49"/>
        <v>372</v>
      </c>
      <c r="J581" s="159">
        <f ca="1" t="shared" si="50"/>
        <v>0.0204632019296015</v>
      </c>
      <c r="K581" s="157">
        <f t="shared" si="45"/>
        <v>573</v>
      </c>
      <c r="L581" s="160">
        <f ca="1" t="shared" si="51"/>
        <v>28001.4829532183</v>
      </c>
      <c r="M581" s="157">
        <f t="shared" si="52"/>
        <v>57.3</v>
      </c>
      <c r="U581" s="151">
        <v>62</v>
      </c>
      <c r="V581" s="157">
        <f ca="1">OFFSET(养成规划!$D$5,IFERROR(MATCH(U581,养成规划!$G$6:$G$38,1)+1,1),0)</f>
        <v>34</v>
      </c>
      <c r="W581" s="152">
        <f ca="1">((V581-_xlfn.MAXIFS($V$519:V580,$V$519:V580,"&lt;"&amp;V581))*$D$475+VLOOKUP(V581,装备产出!$D$186:$F$485,3,0))/COUNTIF($V$520:$V$819,V581)/6</f>
        <v>244.666666666667</v>
      </c>
      <c r="X581" s="157">
        <f t="shared" si="46"/>
        <v>4</v>
      </c>
      <c r="Y581" s="151">
        <f t="shared" si="53"/>
        <v>191</v>
      </c>
      <c r="Z581" s="156">
        <f ca="1">(SUM($W$520:W581)-SUM($Y$520:Y581))/SUM($W$520:W581)</f>
        <v>0.205773781353526</v>
      </c>
      <c r="AA581" s="151">
        <f t="shared" si="47"/>
        <v>0</v>
      </c>
      <c r="AB581" s="153">
        <f t="shared" si="54"/>
        <v>12000</v>
      </c>
      <c r="AC581" s="153">
        <f>SUM(Y$520:Y581)</f>
        <v>5594</v>
      </c>
      <c r="AD581" s="153">
        <f>INT(SUM(AB$520:AB581))</f>
        <v>322800</v>
      </c>
      <c r="AE581" s="153">
        <f ca="1">INT(AC581*6/($D$475+AVERAGE(OFFSET(装备产出!$F$186,0,0,W581))))+1</f>
        <v>26</v>
      </c>
      <c r="AF581" s="154">
        <f t="shared" si="48"/>
        <v>57.7046835895602</v>
      </c>
    </row>
    <row r="582" ht="17.25" spans="4:32">
      <c r="D582" s="151">
        <v>63</v>
      </c>
      <c r="E582" s="161" t="str">
        <f>IFERROR((INT(_xlfn.XLOOKUP(D582,养成规划!$G$6:$G$38,养成规划!$J$6:$J$38)/6)),"")</f>
        <v/>
      </c>
      <c r="F582" s="156" t="str">
        <f t="shared" si="55"/>
        <v/>
      </c>
      <c r="G582" s="157">
        <f t="shared" si="43"/>
        <v>10</v>
      </c>
      <c r="H582" s="151">
        <f t="shared" si="44"/>
        <v>3820</v>
      </c>
      <c r="I582" s="158">
        <f t="shared" si="49"/>
        <v>382</v>
      </c>
      <c r="J582" s="159">
        <f ca="1" t="shared" si="50"/>
        <v>0.0202946120928717</v>
      </c>
      <c r="K582" s="157">
        <f t="shared" si="45"/>
        <v>615</v>
      </c>
      <c r="L582" s="160">
        <f ca="1" t="shared" si="51"/>
        <v>30303.6095090486</v>
      </c>
      <c r="M582" s="157">
        <f t="shared" si="52"/>
        <v>61.5</v>
      </c>
      <c r="U582" s="151">
        <v>63</v>
      </c>
      <c r="V582" s="157">
        <f ca="1">OFFSET(养成规划!$D$5,IFERROR(MATCH(U582,养成规划!$G$6:$G$38,1)+1,1),0)</f>
        <v>41</v>
      </c>
      <c r="W582" s="152">
        <f ca="1">((V582-_xlfn.MAXIFS($V$519:V581,$V$519:V581,"&lt;"&amp;V582))*$D$475+VLOOKUP(V582,装备产出!$D$186:$F$485,3,0))/COUNTIF($V$520:$V$819,V582)/6</f>
        <v>244.666666666667</v>
      </c>
      <c r="X582" s="157">
        <f t="shared" si="46"/>
        <v>4</v>
      </c>
      <c r="Y582" s="151">
        <f t="shared" si="53"/>
        <v>195</v>
      </c>
      <c r="Z582" s="156">
        <f ca="1">(SUM($W$520:W582)-SUM($Y$520:Y582))/SUM($W$520:W582)</f>
        <v>0.205680570801317</v>
      </c>
      <c r="AA582" s="151">
        <f t="shared" si="47"/>
        <v>600</v>
      </c>
      <c r="AB582" s="153">
        <f t="shared" si="54"/>
        <v>12600</v>
      </c>
      <c r="AC582" s="153">
        <f>SUM(Y$520:Y582)</f>
        <v>5789</v>
      </c>
      <c r="AD582" s="153">
        <f>INT(SUM(AB$520:AB582))</f>
        <v>335400</v>
      </c>
      <c r="AE582" s="153">
        <f ca="1">INT(AC582*6/($D$475+AVERAGE(OFFSET(装备产出!$F$186,0,0,W582))))+1</f>
        <v>27</v>
      </c>
      <c r="AF582" s="154">
        <f t="shared" si="48"/>
        <v>57.9374676109864</v>
      </c>
    </row>
    <row r="583" ht="17.25" spans="4:32">
      <c r="D583" s="151">
        <v>64</v>
      </c>
      <c r="E583" s="161" t="str">
        <f>IFERROR((INT(_xlfn.XLOOKUP(D583,养成规划!$G$6:$G$38,养成规划!$J$6:$J$38)/6)),"")</f>
        <v/>
      </c>
      <c r="F583" s="156" t="str">
        <f t="shared" si="55"/>
        <v/>
      </c>
      <c r="G583" s="157">
        <f t="shared" si="43"/>
        <v>10</v>
      </c>
      <c r="H583" s="151">
        <f t="shared" si="44"/>
        <v>3920</v>
      </c>
      <c r="I583" s="158">
        <f t="shared" si="49"/>
        <v>392</v>
      </c>
      <c r="J583" s="159">
        <f ca="1" t="shared" si="50"/>
        <v>0.0201287774886021</v>
      </c>
      <c r="K583" s="157">
        <f t="shared" si="45"/>
        <v>597</v>
      </c>
      <c r="L583" s="160">
        <f ca="1" t="shared" si="51"/>
        <v>29659.0292350368</v>
      </c>
      <c r="M583" s="157">
        <f t="shared" si="52"/>
        <v>59.7</v>
      </c>
      <c r="U583" s="151">
        <v>64</v>
      </c>
      <c r="V583" s="157">
        <f ca="1">OFFSET(养成规划!$D$5,IFERROR(MATCH(U583,养成规划!$G$6:$G$38,1)+1,1),0)</f>
        <v>41</v>
      </c>
      <c r="W583" s="152">
        <f ca="1">((V583-_xlfn.MAXIFS($V$519:V582,$V$519:V582,"&lt;"&amp;V583))*$D$475+VLOOKUP(V583,装备产出!$D$186:$F$485,3,0))/COUNTIF($V$520:$V$819,V583)/6</f>
        <v>244.666666666667</v>
      </c>
      <c r="X583" s="157">
        <f t="shared" si="46"/>
        <v>4</v>
      </c>
      <c r="Y583" s="151">
        <f t="shared" si="53"/>
        <v>199</v>
      </c>
      <c r="Z583" s="156">
        <f ca="1">(SUM($W$520:W583)-SUM($Y$520:Y583))/SUM($W$520:W583)</f>
        <v>0.205062394902204</v>
      </c>
      <c r="AA583" s="151">
        <f t="shared" si="47"/>
        <v>0</v>
      </c>
      <c r="AB583" s="153">
        <f t="shared" si="54"/>
        <v>12600</v>
      </c>
      <c r="AC583" s="153">
        <f>SUM(Y$520:Y583)</f>
        <v>5988</v>
      </c>
      <c r="AD583" s="153">
        <f>INT(SUM(AB$520:AB583))</f>
        <v>348000</v>
      </c>
      <c r="AE583" s="153">
        <f ca="1">INT(AC583*6/($D$475+AVERAGE(OFFSET(装备产出!$F$186,0,0,W583))))+1</f>
        <v>27</v>
      </c>
      <c r="AF583" s="154">
        <f t="shared" si="48"/>
        <v>58.1162324649299</v>
      </c>
    </row>
    <row r="584" ht="17.25" spans="4:32">
      <c r="D584" s="151">
        <v>65</v>
      </c>
      <c r="E584" s="161" t="str">
        <f>IFERROR((INT(_xlfn.XLOOKUP(D584,养成规划!$G$6:$G$38,养成规划!$J$6:$J$38)/6)),"")</f>
        <v/>
      </c>
      <c r="F584" s="156" t="str">
        <f t="shared" si="55"/>
        <v/>
      </c>
      <c r="G584" s="157">
        <f t="shared" ref="G584:G647" si="56">_xlfn.XLOOKUP(_xlfn.MINIFS($E$481:$E$512,$E$481:$E$512,"&gt;="&amp;D584),$E$481:$E$512,$F$481:$F$512,0,0,1)</f>
        <v>10</v>
      </c>
      <c r="H584" s="151">
        <f t="shared" ref="H584:H647" si="57">I584*10</f>
        <v>4020</v>
      </c>
      <c r="I584" s="158">
        <f t="shared" si="49"/>
        <v>402</v>
      </c>
      <c r="J584" s="159">
        <f ca="1" t="shared" si="50"/>
        <v>0.0199656311214886</v>
      </c>
      <c r="K584" s="157">
        <f t="shared" ref="K584:K647" si="58">AA584*0.05+Y584*3</f>
        <v>639</v>
      </c>
      <c r="L584" s="160">
        <f ca="1" t="shared" si="51"/>
        <v>32004.9987957684</v>
      </c>
      <c r="M584" s="157">
        <f t="shared" si="52"/>
        <v>63.9</v>
      </c>
      <c r="U584" s="151">
        <v>65</v>
      </c>
      <c r="V584" s="157">
        <f ca="1">OFFSET(养成规划!$D$5,IFERROR(MATCH(U584,养成规划!$G$6:$G$38,1)+1,1),0)</f>
        <v>41</v>
      </c>
      <c r="W584" s="152">
        <f ca="1">((V584-_xlfn.MAXIFS($V$519:V583,$V$519:V583,"&lt;"&amp;V584))*$D$475+VLOOKUP(V584,装备产出!$D$186:$F$485,3,0))/COUNTIF($V$520:$V$819,V584)/6</f>
        <v>244.666666666667</v>
      </c>
      <c r="X584" s="157">
        <f t="shared" ref="X584:X647" si="59">_xlfn.XLOOKUP(_xlfn.MINIFS($V$482:$V$500,$V$482:$V$500,"&gt;="&amp;U584),$V$482:$V$500,$W$482:$W$500,0,0,1)</f>
        <v>4</v>
      </c>
      <c r="Y584" s="151">
        <f t="shared" si="53"/>
        <v>203</v>
      </c>
      <c r="Z584" s="156">
        <f ca="1">(SUM($W$520:W584)-SUM($Y$520:Y584))/SUM($W$520:W584)</f>
        <v>0.203968798217041</v>
      </c>
      <c r="AA584" s="151">
        <f t="shared" ref="AA584:AA647" si="60">_xlfn.XLOOKUP(U584,$AA$482:$AA$516,$AB$482:$AB$516,0,0,1)+_xlfn.XLOOKUP(_xlfn.MINIFS($AA$482:$AA$516,$AA$482:$AA$516,"&gt;="&amp;U584),$AA$482:$AA$516,$AC$482:$AC$516,0,0,1)</f>
        <v>600</v>
      </c>
      <c r="AB584" s="153">
        <f t="shared" si="54"/>
        <v>13200</v>
      </c>
      <c r="AC584" s="153">
        <f>SUM(Y$520:Y584)</f>
        <v>6191</v>
      </c>
      <c r="AD584" s="153">
        <f>INT(SUM(AB$520:AB584))</f>
        <v>361200</v>
      </c>
      <c r="AE584" s="153">
        <f ca="1">INT(AC584*6/($D$475+AVERAGE(OFFSET(装备产出!$F$186,0,0,W584))))+1</f>
        <v>28</v>
      </c>
      <c r="AF584" s="154">
        <f t="shared" ref="AF584:AF647" si="61">AD584/AC584</f>
        <v>58.3427556129866</v>
      </c>
    </row>
    <row r="585" ht="17.25" spans="4:32">
      <c r="D585" s="151">
        <v>66</v>
      </c>
      <c r="E585" s="161" t="str">
        <f>IFERROR((INT(_xlfn.XLOOKUP(D585,养成规划!$G$6:$G$38,养成规划!$J$6:$J$38)/6)),"")</f>
        <v/>
      </c>
      <c r="F585" s="156" t="str">
        <f t="shared" si="55"/>
        <v/>
      </c>
      <c r="G585" s="157">
        <f t="shared" si="56"/>
        <v>10</v>
      </c>
      <c r="H585" s="151">
        <f t="shared" si="57"/>
        <v>4120</v>
      </c>
      <c r="I585" s="158">
        <f t="shared" ref="I585:I648" si="62">G585+I584</f>
        <v>412</v>
      </c>
      <c r="J585" s="159">
        <f ca="1" t="shared" ref="J585:J648" si="63">LOG(G585/(I584+OFFSET($L$14,MIN(INT(D585/10)+1,25),0))+1,1.07)/6</f>
        <v>0.0198051081508233</v>
      </c>
      <c r="K585" s="157">
        <f t="shared" si="58"/>
        <v>621</v>
      </c>
      <c r="L585" s="160">
        <f ca="1" t="shared" ref="L585:L648" si="64">K585/J585</f>
        <v>31355.547027103</v>
      </c>
      <c r="M585" s="157">
        <f t="shared" ref="M585:M648" si="65">K585/G585</f>
        <v>62.1</v>
      </c>
      <c r="U585" s="151">
        <v>66</v>
      </c>
      <c r="V585" s="157">
        <f ca="1">OFFSET(养成规划!$D$5,IFERROR(MATCH(U585,养成规划!$G$6:$G$38,1)+1,1),0)</f>
        <v>41</v>
      </c>
      <c r="W585" s="152">
        <f ca="1">((V585-_xlfn.MAXIFS($V$519:V584,$V$519:V584,"&lt;"&amp;V585))*$D$475+VLOOKUP(V585,装备产出!$D$186:$F$485,3,0))/COUNTIF($V$520:$V$819,V585)/6</f>
        <v>244.666666666667</v>
      </c>
      <c r="X585" s="157">
        <f t="shared" si="59"/>
        <v>4</v>
      </c>
      <c r="Y585" s="151">
        <f t="shared" ref="Y585:Y648" si="66">Y584+X585</f>
        <v>207</v>
      </c>
      <c r="Z585" s="156">
        <f ca="1">(SUM($W$520:W585)-SUM($Y$520:Y585))/SUM($W$520:W585)</f>
        <v>0.202443280977312</v>
      </c>
      <c r="AA585" s="151">
        <f t="shared" si="60"/>
        <v>0</v>
      </c>
      <c r="AB585" s="153">
        <f t="shared" ref="AB585:AB648" si="67">AB584+AA585</f>
        <v>13200</v>
      </c>
      <c r="AC585" s="153">
        <f>SUM(Y$520:Y585)</f>
        <v>6398</v>
      </c>
      <c r="AD585" s="153">
        <f>INT(SUM(AB$520:AB585))</f>
        <v>374400</v>
      </c>
      <c r="AE585" s="153">
        <f ca="1">INT(AC585*6/($D$475+AVERAGE(OFFSET(装备产出!$F$186,0,0,W585))))+1</f>
        <v>29</v>
      </c>
      <c r="AF585" s="154">
        <f t="shared" si="61"/>
        <v>58.5182869646765</v>
      </c>
    </row>
    <row r="586" ht="17.25" spans="4:32">
      <c r="D586" s="151">
        <v>67</v>
      </c>
      <c r="E586" s="161" t="str">
        <f>IFERROR((INT(_xlfn.XLOOKUP(D586,养成规划!$G$6:$G$38,养成规划!$J$6:$J$38)/6)),"")</f>
        <v/>
      </c>
      <c r="F586" s="156" t="str">
        <f t="shared" si="55"/>
        <v/>
      </c>
      <c r="G586" s="157">
        <f t="shared" si="56"/>
        <v>10</v>
      </c>
      <c r="H586" s="151">
        <f t="shared" si="57"/>
        <v>4220</v>
      </c>
      <c r="I586" s="158">
        <f t="shared" si="62"/>
        <v>422</v>
      </c>
      <c r="J586" s="159">
        <f ca="1" t="shared" si="63"/>
        <v>0.0196471458045659</v>
      </c>
      <c r="K586" s="157">
        <f t="shared" si="58"/>
        <v>663</v>
      </c>
      <c r="L586" s="160">
        <f ca="1" t="shared" si="64"/>
        <v>33745.3595853053</v>
      </c>
      <c r="M586" s="157">
        <f t="shared" si="65"/>
        <v>66.3</v>
      </c>
      <c r="U586" s="151">
        <v>67</v>
      </c>
      <c r="V586" s="157">
        <f ca="1">OFFSET(养成规划!$D$5,IFERROR(MATCH(U586,养成规划!$G$6:$G$38,1)+1,1),0)</f>
        <v>41</v>
      </c>
      <c r="W586" s="152">
        <f ca="1">((V586-_xlfn.MAXIFS($V$519:V585,$V$519:V585,"&lt;"&amp;V586))*$D$475+VLOOKUP(V586,装备产出!$D$186:$F$485,3,0))/COUNTIF($V$520:$V$819,V586)/6</f>
        <v>244.666666666667</v>
      </c>
      <c r="X586" s="157">
        <f t="shared" si="59"/>
        <v>4</v>
      </c>
      <c r="Y586" s="151">
        <f t="shared" si="66"/>
        <v>211</v>
      </c>
      <c r="Z586" s="156">
        <f ca="1">(SUM($W$520:W586)-SUM($Y$520:Y586))/SUM($W$520:W586)</f>
        <v>0.200524193548387</v>
      </c>
      <c r="AA586" s="151">
        <f t="shared" si="60"/>
        <v>600</v>
      </c>
      <c r="AB586" s="153">
        <f t="shared" si="67"/>
        <v>13800</v>
      </c>
      <c r="AC586" s="153">
        <f>SUM(Y$520:Y586)</f>
        <v>6609</v>
      </c>
      <c r="AD586" s="153">
        <f>INT(SUM(AB$520:AB586))</f>
        <v>388200</v>
      </c>
      <c r="AE586" s="153">
        <f ca="1">INT(AC586*6/($D$475+AVERAGE(OFFSET(装备产出!$F$186,0,0,W586))))+1</f>
        <v>30</v>
      </c>
      <c r="AF586" s="154">
        <f t="shared" si="61"/>
        <v>58.7380844303223</v>
      </c>
    </row>
    <row r="587" ht="17.25" spans="4:32">
      <c r="D587" s="151">
        <v>68</v>
      </c>
      <c r="E587" s="161" t="str">
        <f>IFERROR((INT(_xlfn.XLOOKUP(D587,养成规划!$G$6:$G$38,养成规划!$J$6:$J$38)/6)),"")</f>
        <v/>
      </c>
      <c r="F587" s="156" t="str">
        <f t="shared" si="55"/>
        <v/>
      </c>
      <c r="G587" s="157">
        <f t="shared" si="56"/>
        <v>10</v>
      </c>
      <c r="H587" s="151">
        <f t="shared" si="57"/>
        <v>4320</v>
      </c>
      <c r="I587" s="158">
        <f t="shared" si="62"/>
        <v>432</v>
      </c>
      <c r="J587" s="159">
        <f ca="1" t="shared" si="63"/>
        <v>0.0194916832975021</v>
      </c>
      <c r="K587" s="157">
        <f t="shared" si="58"/>
        <v>645</v>
      </c>
      <c r="L587" s="160">
        <f ca="1" t="shared" si="64"/>
        <v>33091.036323305</v>
      </c>
      <c r="M587" s="157">
        <f t="shared" si="65"/>
        <v>64.5</v>
      </c>
      <c r="U587" s="151">
        <v>68</v>
      </c>
      <c r="V587" s="157">
        <f ca="1">OFFSET(养成规划!$D$5,IFERROR(MATCH(U587,养成规划!$G$6:$G$38,1)+1,1),0)</f>
        <v>48</v>
      </c>
      <c r="W587" s="152">
        <f ca="1">((V587-_xlfn.MAXIFS($V$519:V586,$V$519:V586,"&lt;"&amp;V587))*$D$475+VLOOKUP(V587,装备产出!$D$186:$F$485,3,0))/COUNTIF($V$520:$V$819,V587)/6</f>
        <v>244.666666666667</v>
      </c>
      <c r="X587" s="157">
        <f t="shared" si="59"/>
        <v>4</v>
      </c>
      <c r="Y587" s="151">
        <f t="shared" si="66"/>
        <v>215</v>
      </c>
      <c r="Z587" s="156">
        <f ca="1">(SUM($W$520:W587)-SUM($Y$520:Y587))/SUM($W$520:W587)</f>
        <v>0.198245476619409</v>
      </c>
      <c r="AA587" s="151">
        <f t="shared" si="60"/>
        <v>0</v>
      </c>
      <c r="AB587" s="153">
        <f t="shared" si="67"/>
        <v>13800</v>
      </c>
      <c r="AC587" s="153">
        <f>SUM(Y$520:Y587)</f>
        <v>6824</v>
      </c>
      <c r="AD587" s="153">
        <f>INT(SUM(AB$520:AB587))</f>
        <v>402000</v>
      </c>
      <c r="AE587" s="153">
        <f ca="1">INT(AC587*6/($D$475+AVERAGE(OFFSET(装备产出!$F$186,0,0,W587))))+1</f>
        <v>31</v>
      </c>
      <c r="AF587" s="154">
        <f t="shared" si="61"/>
        <v>58.9097303634232</v>
      </c>
    </row>
    <row r="588" ht="17.25" spans="4:32">
      <c r="D588" s="151">
        <v>69</v>
      </c>
      <c r="E588" s="161" t="str">
        <f>IFERROR((INT(_xlfn.XLOOKUP(D588,养成规划!$G$6:$G$38,养成规划!$J$6:$J$38)/6)),"")</f>
        <v/>
      </c>
      <c r="F588" s="156" t="str">
        <f t="shared" si="55"/>
        <v/>
      </c>
      <c r="G588" s="157">
        <f t="shared" si="56"/>
        <v>10</v>
      </c>
      <c r="H588" s="151">
        <f t="shared" si="57"/>
        <v>4420</v>
      </c>
      <c r="I588" s="158">
        <f t="shared" si="62"/>
        <v>442</v>
      </c>
      <c r="J588" s="159">
        <f ca="1" t="shared" si="63"/>
        <v>0.01933866175325</v>
      </c>
      <c r="K588" s="157">
        <f t="shared" si="58"/>
        <v>687</v>
      </c>
      <c r="L588" s="160">
        <f ca="1" t="shared" si="64"/>
        <v>35524.6918719464</v>
      </c>
      <c r="M588" s="157">
        <f t="shared" si="65"/>
        <v>68.7</v>
      </c>
      <c r="U588" s="151">
        <v>69</v>
      </c>
      <c r="V588" s="157">
        <f ca="1">OFFSET(养成规划!$D$5,IFERROR(MATCH(U588,养成规划!$G$6:$G$38,1)+1,1),0)</f>
        <v>48</v>
      </c>
      <c r="W588" s="152">
        <f ca="1">((V588-_xlfn.MAXIFS($V$519:V587,$V$519:V587,"&lt;"&amp;V588))*$D$475+VLOOKUP(V588,装备产出!$D$186:$F$485,3,0))/COUNTIF($V$520:$V$819,V588)/6</f>
        <v>244.666666666667</v>
      </c>
      <c r="X588" s="157">
        <f t="shared" si="59"/>
        <v>4</v>
      </c>
      <c r="Y588" s="151">
        <f t="shared" si="66"/>
        <v>219</v>
      </c>
      <c r="Z588" s="156">
        <f ca="1">(SUM($W$520:W588)-SUM($Y$520:Y588))/SUM($W$520:W588)</f>
        <v>0.195637277295569</v>
      </c>
      <c r="AA588" s="151">
        <f t="shared" si="60"/>
        <v>600</v>
      </c>
      <c r="AB588" s="153">
        <f t="shared" si="67"/>
        <v>14400</v>
      </c>
      <c r="AC588" s="153">
        <f>SUM(Y$520:Y588)</f>
        <v>7043</v>
      </c>
      <c r="AD588" s="153">
        <f>INT(SUM(AB$520:AB588))</f>
        <v>416400</v>
      </c>
      <c r="AE588" s="153">
        <f ca="1">INT(AC588*6/($D$475+AVERAGE(OFFSET(装备产出!$F$186,0,0,W588))))+1</f>
        <v>32</v>
      </c>
      <c r="AF588" s="154">
        <f t="shared" si="61"/>
        <v>59.1225330115008</v>
      </c>
    </row>
    <row r="589" ht="17.25" spans="4:32">
      <c r="D589" s="151">
        <v>70</v>
      </c>
      <c r="E589" s="161" t="str">
        <f>IFERROR((INT(_xlfn.XLOOKUP(D589,养成规划!$G$6:$G$38,养成规划!$J$6:$J$38)/6)),"")</f>
        <v/>
      </c>
      <c r="F589" s="156" t="str">
        <f t="shared" si="55"/>
        <v/>
      </c>
      <c r="G589" s="157">
        <f t="shared" si="56"/>
        <v>12</v>
      </c>
      <c r="H589" s="151">
        <f t="shared" si="57"/>
        <v>4540</v>
      </c>
      <c r="I589" s="158">
        <f t="shared" si="62"/>
        <v>454</v>
      </c>
      <c r="J589" s="159">
        <f ca="1" t="shared" si="63"/>
        <v>0.0219420638637383</v>
      </c>
      <c r="K589" s="157">
        <f t="shared" si="58"/>
        <v>669</v>
      </c>
      <c r="L589" s="160">
        <f ca="1" t="shared" si="64"/>
        <v>30489.3835035089</v>
      </c>
      <c r="M589" s="157">
        <f t="shared" si="65"/>
        <v>55.75</v>
      </c>
      <c r="U589" s="151">
        <v>70</v>
      </c>
      <c r="V589" s="157">
        <f ca="1">OFFSET(养成规划!$D$5,IFERROR(MATCH(U589,养成规划!$G$6:$G$38,1)+1,1),0)</f>
        <v>48</v>
      </c>
      <c r="W589" s="152">
        <f ca="1">((V589-_xlfn.MAXIFS($V$519:V588,$V$519:V588,"&lt;"&amp;V589))*$D$475+VLOOKUP(V589,装备产出!$D$186:$F$485,3,0))/COUNTIF($V$520:$V$819,V589)/6</f>
        <v>244.666666666667</v>
      </c>
      <c r="X589" s="157">
        <f t="shared" si="59"/>
        <v>4</v>
      </c>
      <c r="Y589" s="151">
        <f t="shared" si="66"/>
        <v>223</v>
      </c>
      <c r="Z589" s="156">
        <f ca="1">(SUM($W$520:W589)-SUM($Y$520:Y589))/SUM($W$520:W589)</f>
        <v>0.192726464706318</v>
      </c>
      <c r="AA589" s="151">
        <f t="shared" si="60"/>
        <v>0</v>
      </c>
      <c r="AB589" s="153">
        <f t="shared" si="67"/>
        <v>14400</v>
      </c>
      <c r="AC589" s="153">
        <f>SUM(Y$520:Y589)</f>
        <v>7266</v>
      </c>
      <c r="AD589" s="153">
        <f>INT(SUM(AB$520:AB589))</f>
        <v>430800</v>
      </c>
      <c r="AE589" s="153">
        <f ca="1">INT(AC589*6/($D$475+AVERAGE(OFFSET(装备产出!$F$186,0,0,W589))))+1</f>
        <v>33</v>
      </c>
      <c r="AF589" s="154">
        <f t="shared" si="61"/>
        <v>59.289843104872</v>
      </c>
    </row>
    <row r="590" ht="17.25" spans="4:32">
      <c r="D590" s="151">
        <v>71</v>
      </c>
      <c r="E590" s="161" t="str">
        <f>IFERROR((INT(_xlfn.XLOOKUP(D590,养成规划!$G$6:$G$38,养成规划!$J$6:$J$38)/6)),"")</f>
        <v/>
      </c>
      <c r="F590" s="156" t="str">
        <f t="shared" si="55"/>
        <v/>
      </c>
      <c r="G590" s="157">
        <f t="shared" si="56"/>
        <v>12</v>
      </c>
      <c r="H590" s="151">
        <f t="shared" si="57"/>
        <v>4660</v>
      </c>
      <c r="I590" s="158">
        <f t="shared" si="62"/>
        <v>466</v>
      </c>
      <c r="J590" s="159">
        <f ca="1" t="shared" si="63"/>
        <v>0.0217483409368215</v>
      </c>
      <c r="K590" s="157">
        <f t="shared" si="58"/>
        <v>711</v>
      </c>
      <c r="L590" s="160">
        <f ca="1" t="shared" si="64"/>
        <v>32692.148889216</v>
      </c>
      <c r="M590" s="157">
        <f t="shared" si="65"/>
        <v>59.25</v>
      </c>
      <c r="U590" s="151">
        <v>71</v>
      </c>
      <c r="V590" s="157">
        <f ca="1">OFFSET(养成规划!$D$5,IFERROR(MATCH(U590,养成规划!$G$6:$G$38,1)+1,1),0)</f>
        <v>48</v>
      </c>
      <c r="W590" s="152">
        <f ca="1">((V590-_xlfn.MAXIFS($V$519:V589,$V$519:V589,"&lt;"&amp;V590))*$D$475+VLOOKUP(V590,装备产出!$D$186:$F$485,3,0))/COUNTIF($V$520:$V$819,V590)/6</f>
        <v>244.666666666667</v>
      </c>
      <c r="X590" s="157">
        <f t="shared" si="59"/>
        <v>4</v>
      </c>
      <c r="Y590" s="151">
        <f t="shared" si="66"/>
        <v>227</v>
      </c>
      <c r="Z590" s="156">
        <f ca="1">(SUM($W$520:W590)-SUM($Y$520:Y590))/SUM($W$520:W590)</f>
        <v>0.189537063743871</v>
      </c>
      <c r="AA590" s="151">
        <f t="shared" si="60"/>
        <v>600</v>
      </c>
      <c r="AB590" s="153">
        <f t="shared" si="67"/>
        <v>15000</v>
      </c>
      <c r="AC590" s="153">
        <f>SUM(Y$520:Y590)</f>
        <v>7493</v>
      </c>
      <c r="AD590" s="153">
        <f>INT(SUM(AB$520:AB590))</f>
        <v>445800</v>
      </c>
      <c r="AE590" s="153">
        <f ca="1">INT(AC590*6/($D$475+AVERAGE(OFFSET(装备产出!$F$186,0,0,W590))))+1</f>
        <v>34</v>
      </c>
      <c r="AF590" s="154">
        <f t="shared" si="61"/>
        <v>59.4955291605498</v>
      </c>
    </row>
    <row r="591" ht="17.25" spans="4:32">
      <c r="D591" s="151">
        <v>72</v>
      </c>
      <c r="E591" s="161" t="str">
        <f>IFERROR((INT(_xlfn.XLOOKUP(D591,养成规划!$G$6:$G$38,养成规划!$J$6:$J$38)/6)),"")</f>
        <v/>
      </c>
      <c r="F591" s="156" t="str">
        <f t="shared" si="55"/>
        <v/>
      </c>
      <c r="G591" s="157">
        <f t="shared" si="56"/>
        <v>12</v>
      </c>
      <c r="H591" s="151">
        <f t="shared" si="57"/>
        <v>4780</v>
      </c>
      <c r="I591" s="158">
        <f t="shared" si="62"/>
        <v>478</v>
      </c>
      <c r="J591" s="159">
        <f ca="1" t="shared" si="63"/>
        <v>0.0215580087917457</v>
      </c>
      <c r="K591" s="157">
        <f t="shared" si="58"/>
        <v>693</v>
      </c>
      <c r="L591" s="160">
        <f ca="1" t="shared" si="64"/>
        <v>32145.8260219905</v>
      </c>
      <c r="M591" s="157">
        <f t="shared" si="65"/>
        <v>57.75</v>
      </c>
      <c r="U591" s="151">
        <v>72</v>
      </c>
      <c r="V591" s="157">
        <f ca="1">OFFSET(养成规划!$D$5,IFERROR(MATCH(U591,养成规划!$G$6:$G$38,1)+1,1),0)</f>
        <v>48</v>
      </c>
      <c r="W591" s="152">
        <f ca="1">((V591-_xlfn.MAXIFS($V$519:V590,$V$519:V590,"&lt;"&amp;V591))*$D$475+VLOOKUP(V591,装备产出!$D$186:$F$485,3,0))/COUNTIF($V$520:$V$819,V591)/6</f>
        <v>244.666666666667</v>
      </c>
      <c r="X591" s="157">
        <f t="shared" si="59"/>
        <v>4</v>
      </c>
      <c r="Y591" s="151">
        <f t="shared" si="66"/>
        <v>231</v>
      </c>
      <c r="Z591" s="156">
        <f ca="1">(SUM($W$520:W591)-SUM($Y$520:Y591))/SUM($W$520:W591)</f>
        <v>0.18609062170706</v>
      </c>
      <c r="AA591" s="151">
        <f t="shared" si="60"/>
        <v>0</v>
      </c>
      <c r="AB591" s="153">
        <f t="shared" si="67"/>
        <v>15000</v>
      </c>
      <c r="AC591" s="153">
        <f>SUM(Y$520:Y591)</f>
        <v>7724</v>
      </c>
      <c r="AD591" s="153">
        <f>INT(SUM(AB$520:AB591))</f>
        <v>460800</v>
      </c>
      <c r="AE591" s="153">
        <f ca="1">INT(AC591*6/($D$475+AVERAGE(OFFSET(装备产出!$F$186,0,0,W591))))+1</f>
        <v>35</v>
      </c>
      <c r="AF591" s="154">
        <f t="shared" si="61"/>
        <v>59.658208182289</v>
      </c>
    </row>
    <row r="592" ht="17.25" spans="4:32">
      <c r="D592" s="151">
        <v>73</v>
      </c>
      <c r="E592" s="161" t="str">
        <f>IFERROR((INT(_xlfn.XLOOKUP(D592,养成规划!$G$6:$G$38,养成规划!$J$6:$J$38)/6)),"")</f>
        <v/>
      </c>
      <c r="F592" s="156" t="str">
        <f t="shared" si="55"/>
        <v/>
      </c>
      <c r="G592" s="157">
        <f t="shared" si="56"/>
        <v>12</v>
      </c>
      <c r="H592" s="151">
        <f t="shared" si="57"/>
        <v>4900</v>
      </c>
      <c r="I592" s="158">
        <f t="shared" si="62"/>
        <v>490</v>
      </c>
      <c r="J592" s="159">
        <f ca="1" t="shared" si="63"/>
        <v>0.0213709791757269</v>
      </c>
      <c r="K592" s="157">
        <f t="shared" si="58"/>
        <v>735</v>
      </c>
      <c r="L592" s="160">
        <f ca="1" t="shared" si="64"/>
        <v>34392.4344297153</v>
      </c>
      <c r="M592" s="157">
        <f t="shared" si="65"/>
        <v>61.25</v>
      </c>
      <c r="U592" s="151">
        <v>73</v>
      </c>
      <c r="V592" s="157">
        <f ca="1">OFFSET(养成规划!$D$5,IFERROR(MATCH(U592,养成规划!$G$6:$G$38,1)+1,1),0)</f>
        <v>55</v>
      </c>
      <c r="W592" s="152">
        <f ca="1">((V592-_xlfn.MAXIFS($V$519:V591,$V$519:V591,"&lt;"&amp;V592))*$D$475+VLOOKUP(V592,装备产出!$D$186:$F$485,3,0))/COUNTIF($V$520:$V$819,V592)/6</f>
        <v>244.666666666667</v>
      </c>
      <c r="X592" s="157">
        <f t="shared" si="59"/>
        <v>4</v>
      </c>
      <c r="Y592" s="151">
        <f t="shared" si="66"/>
        <v>235</v>
      </c>
      <c r="Z592" s="156">
        <f ca="1">(SUM($W$520:W592)-SUM($Y$520:Y592))/SUM($W$520:W592)</f>
        <v>0.182406519654841</v>
      </c>
      <c r="AA592" s="151">
        <f t="shared" si="60"/>
        <v>600</v>
      </c>
      <c r="AB592" s="153">
        <f t="shared" si="67"/>
        <v>15600</v>
      </c>
      <c r="AC592" s="153">
        <f>SUM(Y$520:Y592)</f>
        <v>7959</v>
      </c>
      <c r="AD592" s="153">
        <f>INT(SUM(AB$520:AB592))</f>
        <v>476400</v>
      </c>
      <c r="AE592" s="153">
        <f ca="1">INT(AC592*6/($D$475+AVERAGE(OFFSET(装备产出!$F$186,0,0,W592))))+1</f>
        <v>36</v>
      </c>
      <c r="AF592" s="154">
        <f t="shared" si="61"/>
        <v>59.8567659253675</v>
      </c>
    </row>
    <row r="593" ht="17.25" spans="4:32">
      <c r="D593" s="151">
        <v>74</v>
      </c>
      <c r="E593" s="161" t="str">
        <f>IFERROR((INT(_xlfn.XLOOKUP(D593,养成规划!$G$6:$G$38,养成规划!$J$6:$J$38)/6)),"")</f>
        <v/>
      </c>
      <c r="F593" s="156" t="str">
        <f t="shared" si="55"/>
        <v/>
      </c>
      <c r="G593" s="157">
        <f t="shared" si="56"/>
        <v>12</v>
      </c>
      <c r="H593" s="151">
        <f t="shared" si="57"/>
        <v>5020</v>
      </c>
      <c r="I593" s="158">
        <f t="shared" si="62"/>
        <v>502</v>
      </c>
      <c r="J593" s="159">
        <f ca="1" t="shared" si="63"/>
        <v>0.0211871668722968</v>
      </c>
      <c r="K593" s="157">
        <f t="shared" si="58"/>
        <v>717</v>
      </c>
      <c r="L593" s="160">
        <f ca="1" t="shared" si="64"/>
        <v>33841.2400450535</v>
      </c>
      <c r="M593" s="157">
        <f t="shared" si="65"/>
        <v>59.75</v>
      </c>
      <c r="U593" s="151">
        <v>74</v>
      </c>
      <c r="V593" s="157">
        <f ca="1">OFFSET(养成规划!$D$5,IFERROR(MATCH(U593,养成规划!$G$6:$G$38,1)+1,1),0)</f>
        <v>55</v>
      </c>
      <c r="W593" s="152">
        <f ca="1">((V593-_xlfn.MAXIFS($V$519:V592,$V$519:V592,"&lt;"&amp;V593))*$D$475+VLOOKUP(V593,装备产出!$D$186:$F$485,3,0))/COUNTIF($V$520:$V$819,V593)/6</f>
        <v>244.666666666667</v>
      </c>
      <c r="X593" s="157">
        <f t="shared" si="59"/>
        <v>4</v>
      </c>
      <c r="Y593" s="151">
        <f t="shared" si="66"/>
        <v>239</v>
      </c>
      <c r="Z593" s="156">
        <f ca="1">(SUM($W$520:W593)-SUM($Y$520:Y593))/SUM($W$520:W593)</f>
        <v>0.178502237958447</v>
      </c>
      <c r="AA593" s="151">
        <f t="shared" si="60"/>
        <v>0</v>
      </c>
      <c r="AB593" s="153">
        <f t="shared" si="67"/>
        <v>15600</v>
      </c>
      <c r="AC593" s="153">
        <f>SUM(Y$520:Y593)</f>
        <v>8198</v>
      </c>
      <c r="AD593" s="153">
        <f>INT(SUM(AB$520:AB593))</f>
        <v>492000</v>
      </c>
      <c r="AE593" s="153">
        <f ca="1">INT(AC593*6/($D$475+AVERAGE(OFFSET(装备产出!$F$186,0,0,W593))))+1</f>
        <v>37</v>
      </c>
      <c r="AF593" s="154">
        <f t="shared" si="61"/>
        <v>60.0146377165162</v>
      </c>
    </row>
    <row r="594" ht="17.25" spans="4:32">
      <c r="D594" s="151">
        <v>75</v>
      </c>
      <c r="E594" s="161" t="str">
        <f>IFERROR((INT(_xlfn.XLOOKUP(D594,养成规划!$G$6:$G$38,养成规划!$J$6:$J$38)/6)),"")</f>
        <v/>
      </c>
      <c r="F594" s="156" t="str">
        <f t="shared" si="55"/>
        <v/>
      </c>
      <c r="G594" s="157">
        <f t="shared" si="56"/>
        <v>12</v>
      </c>
      <c r="H594" s="151">
        <f t="shared" si="57"/>
        <v>5140</v>
      </c>
      <c r="I594" s="158">
        <f t="shared" si="62"/>
        <v>514</v>
      </c>
      <c r="J594" s="159">
        <f ca="1" t="shared" si="63"/>
        <v>0.0210064895718364</v>
      </c>
      <c r="K594" s="157">
        <f t="shared" si="58"/>
        <v>759</v>
      </c>
      <c r="L594" s="160">
        <f ca="1" t="shared" si="64"/>
        <v>36131.6914663171</v>
      </c>
      <c r="M594" s="157">
        <f t="shared" si="65"/>
        <v>63.25</v>
      </c>
      <c r="U594" s="151">
        <v>75</v>
      </c>
      <c r="V594" s="157">
        <f ca="1">OFFSET(养成规划!$D$5,IFERROR(MATCH(U594,养成规划!$G$6:$G$38,1)+1,1),0)</f>
        <v>55</v>
      </c>
      <c r="W594" s="152">
        <f ca="1">((V594-_xlfn.MAXIFS($V$519:V593,$V$519:V593,"&lt;"&amp;V594))*$D$475+VLOOKUP(V594,装备产出!$D$186:$F$485,3,0))/COUNTIF($V$520:$V$819,V594)/6</f>
        <v>244.666666666667</v>
      </c>
      <c r="X594" s="157">
        <f t="shared" si="59"/>
        <v>4</v>
      </c>
      <c r="Y594" s="151">
        <f t="shared" si="66"/>
        <v>243</v>
      </c>
      <c r="Z594" s="156">
        <f ca="1">(SUM($W$520:W594)-SUM($Y$520:Y594))/SUM($W$520:W594)</f>
        <v>0.174393583724569</v>
      </c>
      <c r="AA594" s="151">
        <f t="shared" si="60"/>
        <v>600</v>
      </c>
      <c r="AB594" s="153">
        <f t="shared" si="67"/>
        <v>16200</v>
      </c>
      <c r="AC594" s="153">
        <f>SUM(Y$520:Y594)</f>
        <v>8441</v>
      </c>
      <c r="AD594" s="153">
        <f>INT(SUM(AB$520:AB594))</f>
        <v>508200</v>
      </c>
      <c r="AE594" s="153">
        <f ca="1">INT(AC594*6/($D$475+AVERAGE(OFFSET(装备产出!$F$186,0,0,W594))))+1</f>
        <v>39</v>
      </c>
      <c r="AF594" s="154">
        <f t="shared" si="61"/>
        <v>60.2061367136595</v>
      </c>
    </row>
    <row r="595" ht="17.25" spans="4:32">
      <c r="D595" s="151">
        <v>76</v>
      </c>
      <c r="E595" s="161" t="str">
        <f>IFERROR((INT(_xlfn.XLOOKUP(D595,养成规划!$G$6:$G$38,养成规划!$J$6:$J$38)/6)),"")</f>
        <v/>
      </c>
      <c r="F595" s="156" t="str">
        <f t="shared" ref="F595:F658" si="68">IF(E595="","",(I595-E595)/E595)</f>
        <v/>
      </c>
      <c r="G595" s="157">
        <f t="shared" si="56"/>
        <v>12</v>
      </c>
      <c r="H595" s="151">
        <f t="shared" si="57"/>
        <v>5260</v>
      </c>
      <c r="I595" s="158">
        <f t="shared" si="62"/>
        <v>526</v>
      </c>
      <c r="J595" s="159">
        <f ca="1" t="shared" si="63"/>
        <v>0.0208288677486745</v>
      </c>
      <c r="K595" s="157">
        <f t="shared" si="58"/>
        <v>741</v>
      </c>
      <c r="L595" s="160">
        <f ca="1" t="shared" si="64"/>
        <v>35575.6255664524</v>
      </c>
      <c r="M595" s="157">
        <f t="shared" si="65"/>
        <v>61.75</v>
      </c>
      <c r="U595" s="151">
        <v>76</v>
      </c>
      <c r="V595" s="157">
        <f ca="1">OFFSET(养成规划!$D$5,IFERROR(MATCH(U595,养成规划!$G$6:$G$38,1)+1,1),0)</f>
        <v>55</v>
      </c>
      <c r="W595" s="152">
        <f ca="1">((V595-_xlfn.MAXIFS($V$519:V594,$V$519:V594,"&lt;"&amp;V595))*$D$475+VLOOKUP(V595,装备产出!$D$186:$F$485,3,0))/COUNTIF($V$520:$V$819,V595)/6</f>
        <v>244.666666666667</v>
      </c>
      <c r="X595" s="157">
        <f t="shared" si="59"/>
        <v>4</v>
      </c>
      <c r="Y595" s="151">
        <f t="shared" si="66"/>
        <v>247</v>
      </c>
      <c r="Z595" s="156">
        <f ca="1">(SUM($W$520:W595)-SUM($Y$520:Y595))/SUM($W$520:W595)</f>
        <v>0.170094886327453</v>
      </c>
      <c r="AA595" s="151">
        <f t="shared" si="60"/>
        <v>0</v>
      </c>
      <c r="AB595" s="153">
        <f t="shared" si="67"/>
        <v>16200</v>
      </c>
      <c r="AC595" s="153">
        <f>SUM(Y$520:Y595)</f>
        <v>8688</v>
      </c>
      <c r="AD595" s="153">
        <f>INT(SUM(AB$520:AB595))</f>
        <v>524400</v>
      </c>
      <c r="AE595" s="153">
        <f ca="1">INT(AC595*6/($D$475+AVERAGE(OFFSET(装备产出!$F$186,0,0,W595))))+1</f>
        <v>40</v>
      </c>
      <c r="AF595" s="154">
        <f t="shared" si="61"/>
        <v>60.3591160220994</v>
      </c>
    </row>
    <row r="596" ht="17.25" spans="4:32">
      <c r="D596" s="151">
        <v>77</v>
      </c>
      <c r="E596" s="161" t="str">
        <f>IFERROR((INT(_xlfn.XLOOKUP(D596,养成规划!$G$6:$G$38,养成规划!$J$6:$J$38)/6)),"")</f>
        <v/>
      </c>
      <c r="F596" s="156" t="str">
        <f t="shared" si="68"/>
        <v/>
      </c>
      <c r="G596" s="157">
        <f t="shared" si="56"/>
        <v>12</v>
      </c>
      <c r="H596" s="151">
        <f t="shared" si="57"/>
        <v>5380</v>
      </c>
      <c r="I596" s="158">
        <f t="shared" si="62"/>
        <v>538</v>
      </c>
      <c r="J596" s="159">
        <f ca="1" t="shared" si="63"/>
        <v>0.0206542245443751</v>
      </c>
      <c r="K596" s="157">
        <f t="shared" si="58"/>
        <v>783</v>
      </c>
      <c r="L596" s="160">
        <f ca="1" t="shared" si="64"/>
        <v>37909.9199932558</v>
      </c>
      <c r="M596" s="157">
        <f t="shared" si="65"/>
        <v>65.25</v>
      </c>
      <c r="U596" s="151">
        <v>77</v>
      </c>
      <c r="V596" s="157">
        <f ca="1">OFFSET(养成规划!$D$5,IFERROR(MATCH(U596,养成规划!$G$6:$G$38,1)+1,1),0)</f>
        <v>55</v>
      </c>
      <c r="W596" s="152">
        <f ca="1">((V596-_xlfn.MAXIFS($V$519:V595,$V$519:V595,"&lt;"&amp;V596))*$D$475+VLOOKUP(V596,装备产出!$D$186:$F$485,3,0))/COUNTIF($V$520:$V$819,V596)/6</f>
        <v>244.666666666667</v>
      </c>
      <c r="X596" s="157">
        <f t="shared" si="59"/>
        <v>4</v>
      </c>
      <c r="Y596" s="151">
        <f t="shared" si="66"/>
        <v>251</v>
      </c>
      <c r="Z596" s="156">
        <f ca="1">(SUM($W$520:W596)-SUM($Y$520:Y596))/SUM($W$520:W596)</f>
        <v>0.165619166148102</v>
      </c>
      <c r="AA596" s="151">
        <f t="shared" si="60"/>
        <v>600</v>
      </c>
      <c r="AB596" s="153">
        <f t="shared" si="67"/>
        <v>16800</v>
      </c>
      <c r="AC596" s="153">
        <f>SUM(Y$520:Y596)</f>
        <v>8939</v>
      </c>
      <c r="AD596" s="153">
        <f>INT(SUM(AB$520:AB596))</f>
        <v>541200</v>
      </c>
      <c r="AE596" s="153">
        <f ca="1">INT(AC596*6/($D$475+AVERAGE(OFFSET(装备产出!$F$186,0,0,W596))))+1</f>
        <v>41</v>
      </c>
      <c r="AF596" s="154">
        <f t="shared" si="61"/>
        <v>60.5436849759481</v>
      </c>
    </row>
    <row r="597" ht="17.25" spans="4:32">
      <c r="D597" s="151">
        <v>78</v>
      </c>
      <c r="E597" s="161" t="str">
        <f>IFERROR((INT(_xlfn.XLOOKUP(D597,养成规划!$G$6:$G$38,养成规划!$J$6:$J$38)/6)),"")</f>
        <v/>
      </c>
      <c r="F597" s="156" t="str">
        <f t="shared" si="68"/>
        <v/>
      </c>
      <c r="G597" s="157">
        <f t="shared" si="56"/>
        <v>12</v>
      </c>
      <c r="H597" s="151">
        <f t="shared" si="57"/>
        <v>5500</v>
      </c>
      <c r="I597" s="158">
        <f t="shared" si="62"/>
        <v>550</v>
      </c>
      <c r="J597" s="159">
        <f ca="1" t="shared" si="63"/>
        <v>0.0204824856568449</v>
      </c>
      <c r="K597" s="157">
        <f t="shared" si="58"/>
        <v>765</v>
      </c>
      <c r="L597" s="160">
        <f ca="1" t="shared" si="64"/>
        <v>37348.9825803613</v>
      </c>
      <c r="M597" s="157">
        <f t="shared" si="65"/>
        <v>63.75</v>
      </c>
      <c r="U597" s="151">
        <v>78</v>
      </c>
      <c r="V597" s="157">
        <f ca="1">OFFSET(养成规划!$D$5,IFERROR(MATCH(U597,养成规划!$G$6:$G$38,1)+1,1),0)</f>
        <v>62</v>
      </c>
      <c r="W597" s="152">
        <f ca="1">((V597-_xlfn.MAXIFS($V$519:V596,$V$519:V596,"&lt;"&amp;V597))*$D$475+VLOOKUP(V597,装备产出!$D$186:$F$485,3,0))/COUNTIF($V$520:$V$819,V597)/6</f>
        <v>405.555555555556</v>
      </c>
      <c r="X597" s="157">
        <f t="shared" si="59"/>
        <v>4</v>
      </c>
      <c r="Y597" s="151">
        <f t="shared" si="66"/>
        <v>255</v>
      </c>
      <c r="Z597" s="156">
        <f ca="1">(SUM($W$520:W597)-SUM($Y$520:Y597))/SUM($W$520:W597)</f>
        <v>0.17311881682822</v>
      </c>
      <c r="AA597" s="151">
        <f t="shared" si="60"/>
        <v>0</v>
      </c>
      <c r="AB597" s="153">
        <f t="shared" si="67"/>
        <v>16800</v>
      </c>
      <c r="AC597" s="153">
        <f>SUM(Y$520:Y597)</f>
        <v>9194</v>
      </c>
      <c r="AD597" s="153">
        <f>INT(SUM(AB$520:AB597))</f>
        <v>558000</v>
      </c>
      <c r="AE597" s="153">
        <f ca="1">INT(AC597*6/($D$475+AVERAGE(OFFSET(装备产出!$F$186,0,0,W597))))+1</f>
        <v>42</v>
      </c>
      <c r="AF597" s="154">
        <f t="shared" si="61"/>
        <v>60.6917554927126</v>
      </c>
    </row>
    <row r="598" ht="17.25" spans="4:32">
      <c r="D598" s="151">
        <v>79</v>
      </c>
      <c r="E598" s="161" t="str">
        <f>IFERROR((INT(_xlfn.XLOOKUP(D598,养成规划!$G$6:$G$38,养成规划!$J$6:$J$38)/6)),"")</f>
        <v/>
      </c>
      <c r="F598" s="156" t="str">
        <f t="shared" si="68"/>
        <v/>
      </c>
      <c r="G598" s="157">
        <f t="shared" si="56"/>
        <v>12</v>
      </c>
      <c r="H598" s="151">
        <f t="shared" si="57"/>
        <v>5620</v>
      </c>
      <c r="I598" s="158">
        <f t="shared" si="62"/>
        <v>562</v>
      </c>
      <c r="J598" s="159">
        <f ca="1" t="shared" si="63"/>
        <v>0.0203135792349264</v>
      </c>
      <c r="K598" s="157">
        <f t="shared" si="58"/>
        <v>807</v>
      </c>
      <c r="L598" s="160">
        <f ca="1" t="shared" si="64"/>
        <v>39727.1200051477</v>
      </c>
      <c r="M598" s="157">
        <f t="shared" si="65"/>
        <v>67.25</v>
      </c>
      <c r="U598" s="151">
        <v>79</v>
      </c>
      <c r="V598" s="157">
        <f ca="1">OFFSET(养成规划!$D$5,IFERROR(MATCH(U598,养成规划!$G$6:$G$38,1)+1,1),0)</f>
        <v>62</v>
      </c>
      <c r="W598" s="152">
        <f ca="1">((V598-_xlfn.MAXIFS($V$519:V597,$V$519:V597,"&lt;"&amp;V598))*$D$475+VLOOKUP(V598,装备产出!$D$186:$F$485,3,0))/COUNTIF($V$520:$V$819,V598)/6</f>
        <v>405.555555555556</v>
      </c>
      <c r="X598" s="157">
        <f t="shared" si="59"/>
        <v>4</v>
      </c>
      <c r="Y598" s="151">
        <f t="shared" si="66"/>
        <v>259</v>
      </c>
      <c r="Z598" s="156">
        <f ca="1">(SUM($W$520:W598)-SUM($Y$520:Y598))/SUM($W$520:W598)</f>
        <v>0.179743540300809</v>
      </c>
      <c r="AA598" s="151">
        <f t="shared" si="60"/>
        <v>600</v>
      </c>
      <c r="AB598" s="153">
        <f t="shared" si="67"/>
        <v>17400</v>
      </c>
      <c r="AC598" s="153">
        <f>SUM(Y$520:Y598)</f>
        <v>9453</v>
      </c>
      <c r="AD598" s="153">
        <f>INT(SUM(AB$520:AB598))</f>
        <v>575400</v>
      </c>
      <c r="AE598" s="153">
        <f ca="1">INT(AC598*6/($D$475+AVERAGE(OFFSET(装备产出!$F$186,0,0,W598))))+1</f>
        <v>43</v>
      </c>
      <c r="AF598" s="154">
        <f t="shared" si="61"/>
        <v>60.8695652173913</v>
      </c>
    </row>
    <row r="599" ht="17.25" spans="4:32">
      <c r="D599" s="151">
        <v>80</v>
      </c>
      <c r="E599" s="161" t="str">
        <f>IFERROR((INT(_xlfn.XLOOKUP(D599,养成规划!$G$6:$G$38,养成规划!$J$6:$J$38)/6)),"")</f>
        <v/>
      </c>
      <c r="F599" s="156" t="str">
        <f t="shared" si="68"/>
        <v/>
      </c>
      <c r="G599" s="157">
        <f t="shared" si="56"/>
        <v>16</v>
      </c>
      <c r="H599" s="151">
        <f t="shared" si="57"/>
        <v>5780</v>
      </c>
      <c r="I599" s="158">
        <f t="shared" si="62"/>
        <v>578</v>
      </c>
      <c r="J599" s="159">
        <f ca="1" t="shared" si="63"/>
        <v>0.0222425536697123</v>
      </c>
      <c r="K599" s="157">
        <f t="shared" si="58"/>
        <v>789</v>
      </c>
      <c r="L599" s="160">
        <f ca="1" t="shared" si="64"/>
        <v>35472.5456310523</v>
      </c>
      <c r="M599" s="157">
        <f t="shared" si="65"/>
        <v>49.3125</v>
      </c>
      <c r="U599" s="151">
        <v>80</v>
      </c>
      <c r="V599" s="157">
        <f ca="1">OFFSET(养成规划!$D$5,IFERROR(MATCH(U599,养成规划!$G$6:$G$38,1)+1,1),0)</f>
        <v>62</v>
      </c>
      <c r="W599" s="152">
        <f ca="1">((V599-_xlfn.MAXIFS($V$519:V598,$V$519:V598,"&lt;"&amp;V599))*$D$475+VLOOKUP(V599,装备产出!$D$186:$F$485,3,0))/COUNTIF($V$520:$V$819,V599)/6</f>
        <v>405.555555555556</v>
      </c>
      <c r="X599" s="157">
        <f t="shared" si="59"/>
        <v>4</v>
      </c>
      <c r="Y599" s="151">
        <f t="shared" si="66"/>
        <v>263</v>
      </c>
      <c r="Z599" s="156">
        <f ca="1">(SUM($W$520:W599)-SUM($Y$520:Y599))/SUM($W$520:W599)</f>
        <v>0.185582564962279</v>
      </c>
      <c r="AA599" s="151">
        <f t="shared" si="60"/>
        <v>0</v>
      </c>
      <c r="AB599" s="153">
        <f t="shared" si="67"/>
        <v>17400</v>
      </c>
      <c r="AC599" s="153">
        <f>SUM(Y$520:Y599)</f>
        <v>9716</v>
      </c>
      <c r="AD599" s="153">
        <f>INT(SUM(AB$520:AB599))</f>
        <v>592800</v>
      </c>
      <c r="AE599" s="153">
        <f ca="1">INT(AC599*6/($D$475+AVERAGE(OFFSET(装备产出!$F$186,0,0,W599))))+1</f>
        <v>44</v>
      </c>
      <c r="AF599" s="154">
        <f t="shared" si="61"/>
        <v>61.0127624536846</v>
      </c>
    </row>
    <row r="600" ht="17.25" spans="4:32">
      <c r="D600" s="151">
        <v>81</v>
      </c>
      <c r="E600" s="161" t="str">
        <f>IFERROR((INT(_xlfn.XLOOKUP(D600,养成规划!$G$6:$G$38,养成规划!$J$6:$J$38)/6)),"")</f>
        <v/>
      </c>
      <c r="F600" s="156" t="str">
        <f t="shared" si="68"/>
        <v/>
      </c>
      <c r="G600" s="157">
        <f t="shared" si="56"/>
        <v>16</v>
      </c>
      <c r="H600" s="151">
        <f t="shared" si="57"/>
        <v>5940</v>
      </c>
      <c r="I600" s="158">
        <f t="shared" si="62"/>
        <v>594</v>
      </c>
      <c r="J600" s="159">
        <f ca="1" t="shared" si="63"/>
        <v>0.0220435124897036</v>
      </c>
      <c r="K600" s="157">
        <f t="shared" si="58"/>
        <v>831</v>
      </c>
      <c r="L600" s="160">
        <f ca="1" t="shared" si="64"/>
        <v>37698.1663148355</v>
      </c>
      <c r="M600" s="157">
        <f t="shared" si="65"/>
        <v>51.9375</v>
      </c>
      <c r="U600" s="151">
        <v>81</v>
      </c>
      <c r="V600" s="157">
        <f ca="1">OFFSET(养成规划!$D$5,IFERROR(MATCH(U600,养成规划!$G$6:$G$38,1)+1,1),0)</f>
        <v>90</v>
      </c>
      <c r="W600" s="152">
        <f ca="1">((V600-_xlfn.MAXIFS($V$519:V599,$V$519:V599,"&lt;"&amp;V600))*$D$475+VLOOKUP(V600,装备产出!$D$186:$F$485,3,0))/COUNTIF($V$520:$V$819,V600)/6</f>
        <v>428.787878787879</v>
      </c>
      <c r="X600" s="157">
        <f t="shared" si="59"/>
        <v>4</v>
      </c>
      <c r="Y600" s="151">
        <f t="shared" si="66"/>
        <v>267</v>
      </c>
      <c r="Z600" s="156">
        <f ca="1">(SUM($W$520:W600)-SUM($Y$520:Y600))/SUM($W$520:W600)</f>
        <v>0.192234699882306</v>
      </c>
      <c r="AA600" s="151">
        <f t="shared" si="60"/>
        <v>600</v>
      </c>
      <c r="AB600" s="153">
        <f t="shared" si="67"/>
        <v>18000</v>
      </c>
      <c r="AC600" s="153">
        <f>SUM(Y$520:Y600)</f>
        <v>9983</v>
      </c>
      <c r="AD600" s="153">
        <f>INT(SUM(AB$520:AB600))</f>
        <v>610800</v>
      </c>
      <c r="AE600" s="153">
        <f ca="1">INT(AC600*6/($D$475+AVERAGE(OFFSET(装备产出!$F$186,0,0,W600))))+1</f>
        <v>46</v>
      </c>
      <c r="AF600" s="154">
        <f t="shared" si="61"/>
        <v>61.1840128217971</v>
      </c>
    </row>
    <row r="601" ht="17.25" spans="4:32">
      <c r="D601" s="151">
        <v>82</v>
      </c>
      <c r="E601" s="161" t="str">
        <f>IFERROR((INT(_xlfn.XLOOKUP(D601,养成规划!$G$6:$G$38,养成规划!$J$6:$J$38)/6)),"")</f>
        <v/>
      </c>
      <c r="F601" s="156" t="str">
        <f t="shared" si="68"/>
        <v/>
      </c>
      <c r="G601" s="157">
        <f t="shared" si="56"/>
        <v>16</v>
      </c>
      <c r="H601" s="151">
        <f t="shared" si="57"/>
        <v>6100</v>
      </c>
      <c r="I601" s="158">
        <f t="shared" si="62"/>
        <v>610</v>
      </c>
      <c r="J601" s="159">
        <f ca="1" t="shared" si="63"/>
        <v>0.0218480020437011</v>
      </c>
      <c r="K601" s="157">
        <f t="shared" si="58"/>
        <v>813</v>
      </c>
      <c r="L601" s="160">
        <f ca="1" t="shared" si="64"/>
        <v>37211.6406055716</v>
      </c>
      <c r="M601" s="157">
        <f t="shared" si="65"/>
        <v>50.8125</v>
      </c>
      <c r="U601" s="151">
        <v>82</v>
      </c>
      <c r="V601" s="157">
        <f ca="1">OFFSET(养成规划!$D$5,IFERROR(MATCH(U601,养成规划!$G$6:$G$38,1)+1,1),0)</f>
        <v>90</v>
      </c>
      <c r="W601" s="152">
        <f ca="1">((V601-_xlfn.MAXIFS($V$519:V600,$V$519:V600,"&lt;"&amp;V601))*$D$475+VLOOKUP(V601,装备产出!$D$186:$F$485,3,0))/COUNTIF($V$520:$V$819,V601)/6</f>
        <v>428.787878787879</v>
      </c>
      <c r="X601" s="157">
        <f t="shared" si="59"/>
        <v>4</v>
      </c>
      <c r="Y601" s="151">
        <f t="shared" si="66"/>
        <v>271</v>
      </c>
      <c r="Z601" s="156">
        <f ca="1">(SUM($W$520:W601)-SUM($Y$520:Y601))/SUM($W$520:W601)</f>
        <v>0.198127917723168</v>
      </c>
      <c r="AA601" s="151">
        <f t="shared" si="60"/>
        <v>0</v>
      </c>
      <c r="AB601" s="153">
        <f t="shared" si="67"/>
        <v>18000</v>
      </c>
      <c r="AC601" s="153">
        <f>SUM(Y$520:Y601)</f>
        <v>10254</v>
      </c>
      <c r="AD601" s="153">
        <f>INT(SUM(AB$520:AB601))</f>
        <v>628800</v>
      </c>
      <c r="AE601" s="153">
        <f ca="1">INT(AC601*6/($D$475+AVERAGE(OFFSET(装备产出!$F$186,0,0,W601))))+1</f>
        <v>47</v>
      </c>
      <c r="AF601" s="154">
        <f t="shared" si="61"/>
        <v>61.3224107665301</v>
      </c>
    </row>
    <row r="602" ht="17.25" spans="4:32">
      <c r="D602" s="151">
        <v>83</v>
      </c>
      <c r="E602" s="161" t="str">
        <f>IFERROR((INT(_xlfn.XLOOKUP(D602,养成规划!$G$6:$G$38,养成规划!$J$6:$J$38)/6)),"")</f>
        <v/>
      </c>
      <c r="F602" s="156" t="str">
        <f t="shared" si="68"/>
        <v/>
      </c>
      <c r="G602" s="157">
        <f t="shared" si="56"/>
        <v>16</v>
      </c>
      <c r="H602" s="151">
        <f t="shared" si="57"/>
        <v>6260</v>
      </c>
      <c r="I602" s="158">
        <f t="shared" si="62"/>
        <v>626</v>
      </c>
      <c r="J602" s="159">
        <f ca="1" t="shared" si="63"/>
        <v>0.0216559292110136</v>
      </c>
      <c r="K602" s="157">
        <f t="shared" si="58"/>
        <v>855</v>
      </c>
      <c r="L602" s="160">
        <f ca="1" t="shared" si="64"/>
        <v>39481.1043049204</v>
      </c>
      <c r="M602" s="157">
        <f t="shared" si="65"/>
        <v>53.4375</v>
      </c>
      <c r="U602" s="151">
        <v>83</v>
      </c>
      <c r="V602" s="157">
        <f ca="1">OFFSET(养成规划!$D$5,IFERROR(MATCH(U602,养成规划!$G$6:$G$38,1)+1,1),0)</f>
        <v>90</v>
      </c>
      <c r="W602" s="152">
        <f ca="1">((V602-_xlfn.MAXIFS($V$519:V601,$V$519:V601,"&lt;"&amp;V602))*$D$475+VLOOKUP(V602,装备产出!$D$186:$F$485,3,0))/COUNTIF($V$520:$V$819,V602)/6</f>
        <v>428.787878787879</v>
      </c>
      <c r="X602" s="157">
        <f t="shared" si="59"/>
        <v>4</v>
      </c>
      <c r="Y602" s="151">
        <f t="shared" si="66"/>
        <v>275</v>
      </c>
      <c r="Z602" s="156">
        <f ca="1">(SUM($W$520:W602)-SUM($Y$520:Y602))/SUM($W$520:W602)</f>
        <v>0.20333608474343</v>
      </c>
      <c r="AA602" s="151">
        <f t="shared" si="60"/>
        <v>600</v>
      </c>
      <c r="AB602" s="153">
        <f t="shared" si="67"/>
        <v>18600</v>
      </c>
      <c r="AC602" s="153">
        <f>SUM(Y$520:Y602)</f>
        <v>10529</v>
      </c>
      <c r="AD602" s="153">
        <f>INT(SUM(AB$520:AB602))</f>
        <v>647400</v>
      </c>
      <c r="AE602" s="153">
        <f ca="1">INT(AC602*6/($D$475+AVERAGE(OFFSET(装备产出!$F$186,0,0,W602))))+1</f>
        <v>48</v>
      </c>
      <c r="AF602" s="154">
        <f t="shared" si="61"/>
        <v>61.487320733213</v>
      </c>
    </row>
    <row r="603" ht="17.25" spans="4:32">
      <c r="D603" s="151">
        <v>84</v>
      </c>
      <c r="E603" s="161" t="str">
        <f>IFERROR((INT(_xlfn.XLOOKUP(D603,养成规划!$G$6:$G$38,养成规划!$J$6:$J$38)/6)),"")</f>
        <v/>
      </c>
      <c r="F603" s="156" t="str">
        <f t="shared" si="68"/>
        <v/>
      </c>
      <c r="G603" s="157">
        <f t="shared" si="56"/>
        <v>16</v>
      </c>
      <c r="H603" s="151">
        <f t="shared" si="57"/>
        <v>6420</v>
      </c>
      <c r="I603" s="158">
        <f t="shared" si="62"/>
        <v>642</v>
      </c>
      <c r="J603" s="159">
        <f ca="1" t="shared" si="63"/>
        <v>0.0214672041170924</v>
      </c>
      <c r="K603" s="157">
        <f t="shared" si="58"/>
        <v>837</v>
      </c>
      <c r="L603" s="160">
        <f ca="1" t="shared" si="64"/>
        <v>38989.7070636028</v>
      </c>
      <c r="M603" s="157">
        <f t="shared" si="65"/>
        <v>52.3125</v>
      </c>
      <c r="U603" s="151">
        <v>84</v>
      </c>
      <c r="V603" s="157">
        <f ca="1">OFFSET(养成规划!$D$5,IFERROR(MATCH(U603,养成规划!$G$6:$G$38,1)+1,1),0)</f>
        <v>90</v>
      </c>
      <c r="W603" s="152">
        <f ca="1">((V603-_xlfn.MAXIFS($V$519:V602,$V$519:V602,"&lt;"&amp;V603))*$D$475+VLOOKUP(V603,装备产出!$D$186:$F$485,3,0))/COUNTIF($V$520:$V$819,V603)/6</f>
        <v>428.787878787879</v>
      </c>
      <c r="X603" s="157">
        <f t="shared" si="59"/>
        <v>4</v>
      </c>
      <c r="Y603" s="151">
        <f t="shared" si="66"/>
        <v>279</v>
      </c>
      <c r="Z603" s="156">
        <f ca="1">(SUM($W$520:W603)-SUM($Y$520:Y603))/SUM($W$520:W603)</f>
        <v>0.207923782451308</v>
      </c>
      <c r="AA603" s="151">
        <f t="shared" si="60"/>
        <v>0</v>
      </c>
      <c r="AB603" s="153">
        <f t="shared" si="67"/>
        <v>18600</v>
      </c>
      <c r="AC603" s="153">
        <f>SUM(Y$520:Y603)</f>
        <v>10808</v>
      </c>
      <c r="AD603" s="153">
        <f>INT(SUM(AB$520:AB603))</f>
        <v>666000</v>
      </c>
      <c r="AE603" s="153">
        <f ca="1">INT(AC603*6/($D$475+AVERAGE(OFFSET(装备产出!$F$186,0,0,W603))))+1</f>
        <v>49</v>
      </c>
      <c r="AF603" s="154">
        <f t="shared" si="61"/>
        <v>61.6210214655811</v>
      </c>
    </row>
    <row r="604" ht="17.25" spans="4:32">
      <c r="D604" s="151">
        <v>85</v>
      </c>
      <c r="E604" s="161" t="str">
        <f>IFERROR((INT(_xlfn.XLOOKUP(D604,养成规划!$G$6:$G$38,养成规划!$J$6:$J$38)/6)),"")</f>
        <v/>
      </c>
      <c r="F604" s="156" t="str">
        <f t="shared" si="68"/>
        <v/>
      </c>
      <c r="G604" s="157">
        <f t="shared" si="56"/>
        <v>16</v>
      </c>
      <c r="H604" s="151">
        <f t="shared" si="57"/>
        <v>6580</v>
      </c>
      <c r="I604" s="158">
        <f t="shared" si="62"/>
        <v>658</v>
      </c>
      <c r="J604" s="159">
        <f ca="1" t="shared" si="63"/>
        <v>0.0212817399933024</v>
      </c>
      <c r="K604" s="157">
        <f t="shared" si="58"/>
        <v>879</v>
      </c>
      <c r="L604" s="160">
        <f ca="1" t="shared" si="64"/>
        <v>41303.0137703322</v>
      </c>
      <c r="M604" s="157">
        <f t="shared" si="65"/>
        <v>54.9375</v>
      </c>
      <c r="U604" s="151">
        <v>85</v>
      </c>
      <c r="V604" s="157">
        <f ca="1">OFFSET(养成规划!$D$5,IFERROR(MATCH(U604,养成规划!$G$6:$G$38,1)+1,1),0)</f>
        <v>90</v>
      </c>
      <c r="W604" s="152">
        <f ca="1">((V604-_xlfn.MAXIFS($V$519:V603,$V$519:V603,"&lt;"&amp;V604))*$D$475+VLOOKUP(V604,装备产出!$D$186:$F$485,3,0))/COUNTIF($V$520:$V$819,V604)/6</f>
        <v>428.787878787879</v>
      </c>
      <c r="X604" s="157">
        <f t="shared" si="59"/>
        <v>4</v>
      </c>
      <c r="Y604" s="151">
        <f t="shared" si="66"/>
        <v>283</v>
      </c>
      <c r="Z604" s="156">
        <f ca="1">(SUM($W$520:W604)-SUM($Y$520:Y604))/SUM($W$520:W604)</f>
        <v>0.21194772198777</v>
      </c>
      <c r="AA604" s="151">
        <f t="shared" si="60"/>
        <v>600</v>
      </c>
      <c r="AB604" s="153">
        <f t="shared" si="67"/>
        <v>19200</v>
      </c>
      <c r="AC604" s="153">
        <f>SUM(Y$520:Y604)</f>
        <v>11091</v>
      </c>
      <c r="AD604" s="153">
        <f>INT(SUM(AB$520:AB604))</f>
        <v>685200</v>
      </c>
      <c r="AE604" s="153">
        <f ca="1">INT(AC604*6/($D$475+AVERAGE(OFFSET(装备产出!$F$186,0,0,W604))))+1</f>
        <v>51</v>
      </c>
      <c r="AF604" s="154">
        <f t="shared" si="61"/>
        <v>61.7798214768731</v>
      </c>
    </row>
    <row r="605" ht="17.25" spans="4:32">
      <c r="D605" s="151">
        <v>86</v>
      </c>
      <c r="E605" s="161" t="str">
        <f>IFERROR((INT(_xlfn.XLOOKUP(D605,养成规划!$G$6:$G$38,养成规划!$J$6:$J$38)/6)),"")</f>
        <v/>
      </c>
      <c r="F605" s="156" t="str">
        <f t="shared" si="68"/>
        <v/>
      </c>
      <c r="G605" s="157">
        <f t="shared" si="56"/>
        <v>16</v>
      </c>
      <c r="H605" s="151">
        <f t="shared" si="57"/>
        <v>6740</v>
      </c>
      <c r="I605" s="158">
        <f t="shared" si="62"/>
        <v>674</v>
      </c>
      <c r="J605" s="159">
        <f ca="1" t="shared" si="63"/>
        <v>0.0210994530439026</v>
      </c>
      <c r="K605" s="157">
        <f t="shared" si="58"/>
        <v>904</v>
      </c>
      <c r="L605" s="160">
        <f ca="1" t="shared" si="64"/>
        <v>42844.7125202254</v>
      </c>
      <c r="M605" s="157">
        <f t="shared" si="65"/>
        <v>56.5</v>
      </c>
      <c r="U605" s="151">
        <v>86</v>
      </c>
      <c r="V605" s="157">
        <f ca="1">OFFSET(养成规划!$D$5,IFERROR(MATCH(U605,养成规划!$G$6:$G$38,1)+1,1),0)</f>
        <v>90</v>
      </c>
      <c r="W605" s="152">
        <f ca="1">((V605-_xlfn.MAXIFS($V$519:V604,$V$519:V604,"&lt;"&amp;V605))*$D$475+VLOOKUP(V605,装备产出!$D$186:$F$485,3,0))/COUNTIF($V$520:$V$819,V605)/6</f>
        <v>428.787878787879</v>
      </c>
      <c r="X605" s="157">
        <f t="shared" si="59"/>
        <v>5</v>
      </c>
      <c r="Y605" s="151">
        <f t="shared" si="66"/>
        <v>288</v>
      </c>
      <c r="Z605" s="156">
        <f ca="1">(SUM($W$520:W605)-SUM($Y$520:Y605))/SUM($W$520:W605)</f>
        <v>0.215388955055475</v>
      </c>
      <c r="AA605" s="151">
        <f t="shared" si="60"/>
        <v>800</v>
      </c>
      <c r="AB605" s="153">
        <f t="shared" si="67"/>
        <v>20000</v>
      </c>
      <c r="AC605" s="153">
        <f>SUM(Y$520:Y605)</f>
        <v>11379</v>
      </c>
      <c r="AD605" s="153">
        <f>INT(SUM(AB$520:AB605))</f>
        <v>705200</v>
      </c>
      <c r="AE605" s="153">
        <f ca="1">INT(AC605*6/($D$475+AVERAGE(OFFSET(装备产出!$F$186,0,0,W605))))+1</f>
        <v>52</v>
      </c>
      <c r="AF605" s="154">
        <f t="shared" si="61"/>
        <v>61.9738114069778</v>
      </c>
    </row>
    <row r="606" ht="17.25" spans="4:32">
      <c r="D606" s="151">
        <v>87</v>
      </c>
      <c r="E606" s="161" t="str">
        <f>IFERROR((INT(_xlfn.XLOOKUP(D606,养成规划!$G$6:$G$38,养成规划!$J$6:$J$38)/6)),"")</f>
        <v/>
      </c>
      <c r="F606" s="156" t="str">
        <f t="shared" si="68"/>
        <v/>
      </c>
      <c r="G606" s="157">
        <f t="shared" si="56"/>
        <v>16</v>
      </c>
      <c r="H606" s="151">
        <f t="shared" si="57"/>
        <v>6900</v>
      </c>
      <c r="I606" s="158">
        <f t="shared" si="62"/>
        <v>690</v>
      </c>
      <c r="J606" s="159">
        <f ca="1" t="shared" si="63"/>
        <v>0.0209202623198038</v>
      </c>
      <c r="K606" s="157">
        <f t="shared" si="58"/>
        <v>909</v>
      </c>
      <c r="L606" s="160">
        <f ca="1" t="shared" si="64"/>
        <v>43450.6979933761</v>
      </c>
      <c r="M606" s="157">
        <f t="shared" si="65"/>
        <v>56.8125</v>
      </c>
      <c r="U606" s="151">
        <v>87</v>
      </c>
      <c r="V606" s="157">
        <f ca="1">OFFSET(养成规划!$D$5,IFERROR(MATCH(U606,养成规划!$G$6:$G$38,1)+1,1),0)</f>
        <v>90</v>
      </c>
      <c r="W606" s="152">
        <f ca="1">((V606-_xlfn.MAXIFS($V$519:V605,$V$519:V605,"&lt;"&amp;V606))*$D$475+VLOOKUP(V606,装备产出!$D$186:$F$485,3,0))/COUNTIF($V$520:$V$819,V606)/6</f>
        <v>428.787878787879</v>
      </c>
      <c r="X606" s="157">
        <f t="shared" si="59"/>
        <v>5</v>
      </c>
      <c r="Y606" s="151">
        <f t="shared" si="66"/>
        <v>293</v>
      </c>
      <c r="Z606" s="156">
        <f ca="1">(SUM($W$520:W606)-SUM($Y$520:Y606))/SUM($W$520:W606)</f>
        <v>0.218297682347688</v>
      </c>
      <c r="AA606" s="151">
        <f t="shared" si="60"/>
        <v>600</v>
      </c>
      <c r="AB606" s="153">
        <f t="shared" si="67"/>
        <v>20600</v>
      </c>
      <c r="AC606" s="153">
        <f>SUM(Y$520:Y606)</f>
        <v>11672</v>
      </c>
      <c r="AD606" s="153">
        <f>INT(SUM(AB$520:AB606))</f>
        <v>725800</v>
      </c>
      <c r="AE606" s="153">
        <f ca="1">INT(AC606*6/($D$475+AVERAGE(OFFSET(装备产出!$F$186,0,0,W606))))+1</f>
        <v>53</v>
      </c>
      <c r="AF606" s="154">
        <f t="shared" si="61"/>
        <v>62.1830020562029</v>
      </c>
    </row>
    <row r="607" ht="17.25" spans="4:32">
      <c r="D607" s="151">
        <v>88</v>
      </c>
      <c r="E607" s="161" t="str">
        <f>IFERROR((INT(_xlfn.XLOOKUP(D607,养成规划!$G$6:$G$38,养成规划!$J$6:$J$38)/6)),"")</f>
        <v/>
      </c>
      <c r="F607" s="156" t="str">
        <f t="shared" si="68"/>
        <v/>
      </c>
      <c r="G607" s="157">
        <f t="shared" si="56"/>
        <v>16</v>
      </c>
      <c r="H607" s="151">
        <f t="shared" si="57"/>
        <v>7060</v>
      </c>
      <c r="I607" s="158">
        <f t="shared" si="62"/>
        <v>706</v>
      </c>
      <c r="J607" s="159">
        <f ca="1" t="shared" si="63"/>
        <v>0.0207440895987044</v>
      </c>
      <c r="K607" s="157">
        <f t="shared" si="58"/>
        <v>934</v>
      </c>
      <c r="L607" s="160">
        <f ca="1" t="shared" si="64"/>
        <v>45024.8730153159</v>
      </c>
      <c r="M607" s="157">
        <f t="shared" si="65"/>
        <v>58.375</v>
      </c>
      <c r="U607" s="151">
        <v>88</v>
      </c>
      <c r="V607" s="157">
        <f ca="1">OFFSET(养成规划!$D$5,IFERROR(MATCH(U607,养成规划!$G$6:$G$38,1)+1,1),0)</f>
        <v>90</v>
      </c>
      <c r="W607" s="152">
        <f ca="1">((V607-_xlfn.MAXIFS($V$519:V606,$V$519:V606,"&lt;"&amp;V607))*$D$475+VLOOKUP(V607,装备产出!$D$186:$F$485,3,0))/COUNTIF($V$520:$V$819,V607)/6</f>
        <v>428.787878787879</v>
      </c>
      <c r="X607" s="157">
        <f t="shared" si="59"/>
        <v>5</v>
      </c>
      <c r="Y607" s="151">
        <f t="shared" si="66"/>
        <v>298</v>
      </c>
      <c r="Z607" s="156">
        <f ca="1">(SUM($W$520:W607)-SUM($Y$520:Y607))/SUM($W$520:W607)</f>
        <v>0.22071849908264</v>
      </c>
      <c r="AA607" s="151">
        <f t="shared" si="60"/>
        <v>800</v>
      </c>
      <c r="AB607" s="153">
        <f t="shared" si="67"/>
        <v>21400</v>
      </c>
      <c r="AC607" s="153">
        <f>SUM(Y$520:Y607)</f>
        <v>11970</v>
      </c>
      <c r="AD607" s="153">
        <f>INT(SUM(AB$520:AB607))</f>
        <v>747200</v>
      </c>
      <c r="AE607" s="153">
        <f ca="1">INT(AC607*6/($D$475+AVERAGE(OFFSET(装备产出!$F$186,0,0,W607))))+1</f>
        <v>55</v>
      </c>
      <c r="AF607" s="154">
        <f t="shared" si="61"/>
        <v>62.4227234753551</v>
      </c>
    </row>
    <row r="608" ht="17.25" spans="4:32">
      <c r="D608" s="151">
        <v>89</v>
      </c>
      <c r="E608" s="161" t="str">
        <f>IFERROR((INT(_xlfn.XLOOKUP(D608,养成规划!$G$6:$G$38,养成规划!$J$6:$J$38)/6)),"")</f>
        <v/>
      </c>
      <c r="F608" s="156" t="str">
        <f t="shared" si="68"/>
        <v/>
      </c>
      <c r="G608" s="157">
        <f t="shared" si="56"/>
        <v>16</v>
      </c>
      <c r="H608" s="151">
        <f t="shared" si="57"/>
        <v>7220</v>
      </c>
      <c r="I608" s="158">
        <f t="shared" si="62"/>
        <v>722</v>
      </c>
      <c r="J608" s="159">
        <f ca="1" t="shared" si="63"/>
        <v>0.0205708592712327</v>
      </c>
      <c r="K608" s="157">
        <f t="shared" si="58"/>
        <v>949</v>
      </c>
      <c r="L608" s="160">
        <f ca="1" t="shared" si="64"/>
        <v>46133.2211497421</v>
      </c>
      <c r="M608" s="157">
        <f t="shared" si="65"/>
        <v>59.3125</v>
      </c>
      <c r="U608" s="151">
        <v>89</v>
      </c>
      <c r="V608" s="157">
        <f ca="1">OFFSET(养成规划!$D$5,IFERROR(MATCH(U608,养成规划!$G$6:$G$38,1)+1,1),0)</f>
        <v>90</v>
      </c>
      <c r="W608" s="152">
        <f ca="1">((V608-_xlfn.MAXIFS($V$519:V607,$V$519:V607,"&lt;"&amp;V608))*$D$475+VLOOKUP(V608,装备产出!$D$186:$F$485,3,0))/COUNTIF($V$520:$V$819,V608)/6</f>
        <v>428.787878787879</v>
      </c>
      <c r="X608" s="157">
        <f t="shared" si="59"/>
        <v>5</v>
      </c>
      <c r="Y608" s="151">
        <f t="shared" si="66"/>
        <v>303</v>
      </c>
      <c r="Z608" s="156">
        <f ca="1">(SUM($W$520:W608)-SUM($Y$520:Y608))/SUM($W$520:W608)</f>
        <v>0.222691156149239</v>
      </c>
      <c r="AA608" s="151">
        <f t="shared" si="60"/>
        <v>800</v>
      </c>
      <c r="AB608" s="153">
        <f t="shared" si="67"/>
        <v>22200</v>
      </c>
      <c r="AC608" s="153">
        <f>SUM(Y$520:Y608)</f>
        <v>12273</v>
      </c>
      <c r="AD608" s="153">
        <f>INT(SUM(AB$520:AB608))</f>
        <v>769400</v>
      </c>
      <c r="AE608" s="153">
        <f ca="1">INT(AC608*6/($D$475+AVERAGE(OFFSET(装备产出!$F$186,0,0,W608))))+1</f>
        <v>56</v>
      </c>
      <c r="AF608" s="154">
        <f t="shared" si="61"/>
        <v>62.6904587305467</v>
      </c>
    </row>
    <row r="609" ht="17.25" spans="4:32">
      <c r="D609" s="151">
        <v>90</v>
      </c>
      <c r="E609" s="161" t="str">
        <f>IFERROR((INT(_xlfn.XLOOKUP(D609,养成规划!$G$6:$G$38,养成规划!$J$6:$J$38)/6)),"")</f>
        <v/>
      </c>
      <c r="F609" s="156" t="str">
        <f t="shared" si="68"/>
        <v/>
      </c>
      <c r="G609" s="157">
        <f t="shared" si="56"/>
        <v>20</v>
      </c>
      <c r="H609" s="151">
        <f t="shared" si="57"/>
        <v>7420</v>
      </c>
      <c r="I609" s="158">
        <f t="shared" si="62"/>
        <v>742</v>
      </c>
      <c r="J609" s="159">
        <f ca="1" t="shared" si="63"/>
        <v>0.024341562517372</v>
      </c>
      <c r="K609" s="157">
        <f t="shared" si="58"/>
        <v>973</v>
      </c>
      <c r="L609" s="160">
        <f ca="1" t="shared" si="64"/>
        <v>39972.7831483946</v>
      </c>
      <c r="M609" s="157">
        <f t="shared" si="65"/>
        <v>48.65</v>
      </c>
      <c r="U609" s="151">
        <v>90</v>
      </c>
      <c r="V609" s="157">
        <f ca="1">OFFSET(养成规划!$D$5,IFERROR(MATCH(U609,养成规划!$G$6:$G$38,1)+1,1),0)</f>
        <v>90</v>
      </c>
      <c r="W609" s="152">
        <f ca="1">((V609-_xlfn.MAXIFS($V$519:V608,$V$519:V608,"&lt;"&amp;V609))*$D$475+VLOOKUP(V609,装备产出!$D$186:$F$485,3,0))/COUNTIF($V$520:$V$819,V609)/6</f>
        <v>428.787878787879</v>
      </c>
      <c r="X609" s="157">
        <f t="shared" si="59"/>
        <v>8</v>
      </c>
      <c r="Y609" s="151">
        <f t="shared" si="66"/>
        <v>311</v>
      </c>
      <c r="Z609" s="156">
        <f ca="1">(SUM($W$520:W609)-SUM($Y$520:Y609))/SUM($W$520:W609)</f>
        <v>0.224066219473457</v>
      </c>
      <c r="AA609" s="151">
        <f t="shared" si="60"/>
        <v>800</v>
      </c>
      <c r="AB609" s="153">
        <f t="shared" si="67"/>
        <v>23000</v>
      </c>
      <c r="AC609" s="153">
        <f>SUM(Y$520:Y609)</f>
        <v>12584</v>
      </c>
      <c r="AD609" s="153">
        <f>INT(SUM(AB$520:AB609))</f>
        <v>792400</v>
      </c>
      <c r="AE609" s="153">
        <f ca="1">INT(AC609*6/($D$475+AVERAGE(OFFSET(装备产出!$F$186,0,0,W609))))+1</f>
        <v>57</v>
      </c>
      <c r="AF609" s="154">
        <f t="shared" si="61"/>
        <v>62.9688493324857</v>
      </c>
    </row>
    <row r="610" ht="17.25" spans="4:32">
      <c r="D610" s="151">
        <v>91</v>
      </c>
      <c r="E610" s="161" t="str">
        <f>IFERROR((INT(_xlfn.XLOOKUP(D610,养成规划!$G$6:$G$38,养成规划!$J$6:$J$38)/6)),"")</f>
        <v/>
      </c>
      <c r="F610" s="156" t="str">
        <f t="shared" si="68"/>
        <v/>
      </c>
      <c r="G610" s="157">
        <f t="shared" si="56"/>
        <v>20</v>
      </c>
      <c r="H610" s="151">
        <f t="shared" si="57"/>
        <v>7620</v>
      </c>
      <c r="I610" s="158">
        <f t="shared" si="62"/>
        <v>762</v>
      </c>
      <c r="J610" s="159">
        <f ca="1" t="shared" si="63"/>
        <v>0.0241033829394951</v>
      </c>
      <c r="K610" s="157">
        <f t="shared" si="58"/>
        <v>997</v>
      </c>
      <c r="L610" s="160">
        <f ca="1" t="shared" si="64"/>
        <v>41363.4883743371</v>
      </c>
      <c r="M610" s="157">
        <f t="shared" si="65"/>
        <v>49.85</v>
      </c>
      <c r="U610" s="151">
        <v>91</v>
      </c>
      <c r="V610" s="157">
        <f ca="1">OFFSET(养成规划!$D$5,IFERROR(MATCH(U610,养成规划!$G$6:$G$38,1)+1,1),0)</f>
        <v>90</v>
      </c>
      <c r="W610" s="152">
        <f ca="1">((V610-_xlfn.MAXIFS($V$519:V609,$V$519:V609,"&lt;"&amp;V610))*$D$475+VLOOKUP(V610,装备产出!$D$186:$F$485,3,0))/COUNTIF($V$520:$V$819,V610)/6</f>
        <v>428.787878787879</v>
      </c>
      <c r="X610" s="157">
        <f t="shared" si="59"/>
        <v>8</v>
      </c>
      <c r="Y610" s="151">
        <f t="shared" si="66"/>
        <v>319</v>
      </c>
      <c r="Z610" s="156">
        <f ca="1">(SUM($W$520:W610)-SUM($Y$520:Y610))/SUM($W$520:W610)</f>
        <v>0.224889867841409</v>
      </c>
      <c r="AA610" s="151">
        <f t="shared" si="60"/>
        <v>800</v>
      </c>
      <c r="AB610" s="153">
        <f t="shared" si="67"/>
        <v>23800</v>
      </c>
      <c r="AC610" s="153">
        <f>SUM(Y$520:Y610)</f>
        <v>12903</v>
      </c>
      <c r="AD610" s="153">
        <f>INT(SUM(AB$520:AB610))</f>
        <v>816200</v>
      </c>
      <c r="AE610" s="153">
        <f ca="1">INT(AC610*6/($D$475+AVERAGE(OFFSET(装备产出!$F$186,0,0,W610))))+1</f>
        <v>59</v>
      </c>
      <c r="AF610" s="154">
        <f t="shared" si="61"/>
        <v>63.2566069906223</v>
      </c>
    </row>
    <row r="611" ht="17.25" spans="4:32">
      <c r="D611" s="151">
        <v>92</v>
      </c>
      <c r="E611" s="161" t="str">
        <f>IFERROR((INT(_xlfn.XLOOKUP(D611,养成规划!$G$6:$G$38,养成规划!$J$6:$J$38)/6)),"")</f>
        <v/>
      </c>
      <c r="F611" s="156" t="str">
        <f t="shared" si="68"/>
        <v/>
      </c>
      <c r="G611" s="157">
        <f t="shared" si="56"/>
        <v>20</v>
      </c>
      <c r="H611" s="151">
        <f t="shared" si="57"/>
        <v>7820</v>
      </c>
      <c r="I611" s="158">
        <f t="shared" si="62"/>
        <v>782</v>
      </c>
      <c r="J611" s="159">
        <f ca="1" t="shared" si="63"/>
        <v>0.0238698193543318</v>
      </c>
      <c r="K611" s="157">
        <f t="shared" si="58"/>
        <v>1021</v>
      </c>
      <c r="L611" s="160">
        <f ca="1" t="shared" si="64"/>
        <v>42773.6793833218</v>
      </c>
      <c r="M611" s="157">
        <f t="shared" si="65"/>
        <v>51.05</v>
      </c>
      <c r="U611" s="151">
        <v>92</v>
      </c>
      <c r="V611" s="157">
        <f ca="1">OFFSET(养成规划!$D$5,IFERROR(MATCH(U611,养成规划!$G$6:$G$38,1)+1,1),0)</f>
        <v>120</v>
      </c>
      <c r="W611" s="152">
        <f ca="1">((V611-_xlfn.MAXIFS($V$519:V610,$V$519:V610,"&lt;"&amp;V611))*$D$475+VLOOKUP(V611,装备产出!$D$186:$F$485,3,0))/COUNTIF($V$520:$V$819,V611)/6</f>
        <v>841.666666666667</v>
      </c>
      <c r="X611" s="157">
        <f t="shared" si="59"/>
        <v>8</v>
      </c>
      <c r="Y611" s="151">
        <f t="shared" si="66"/>
        <v>327</v>
      </c>
      <c r="Z611" s="156">
        <f ca="1">(SUM($W$520:W611)-SUM($Y$520:Y611))/SUM($W$520:W611)</f>
        <v>0.24349566377585</v>
      </c>
      <c r="AA611" s="151">
        <f t="shared" si="60"/>
        <v>800</v>
      </c>
      <c r="AB611" s="153">
        <f t="shared" si="67"/>
        <v>24600</v>
      </c>
      <c r="AC611" s="153">
        <f>SUM(Y$520:Y611)</f>
        <v>13230</v>
      </c>
      <c r="AD611" s="153">
        <f>INT(SUM(AB$520:AB611))</f>
        <v>840800</v>
      </c>
      <c r="AE611" s="153">
        <f ca="1">INT(AC611*6/($D$475+AVERAGE(OFFSET(装备产出!$F$186,0,0,W611))))+1</f>
        <v>60</v>
      </c>
      <c r="AF611" s="154">
        <f t="shared" si="61"/>
        <v>63.5525321239607</v>
      </c>
    </row>
    <row r="612" ht="17.25" spans="4:32">
      <c r="D612" s="151">
        <v>93</v>
      </c>
      <c r="E612" s="161" t="str">
        <f>IFERROR((INT(_xlfn.XLOOKUP(D612,养成规划!$G$6:$G$38,养成规划!$J$6:$J$38)/6)),"")</f>
        <v/>
      </c>
      <c r="F612" s="156" t="str">
        <f t="shared" si="68"/>
        <v/>
      </c>
      <c r="G612" s="157">
        <f t="shared" si="56"/>
        <v>20</v>
      </c>
      <c r="H612" s="151">
        <f t="shared" si="57"/>
        <v>8020</v>
      </c>
      <c r="I612" s="158">
        <f t="shared" si="62"/>
        <v>802</v>
      </c>
      <c r="J612" s="159">
        <f ca="1" t="shared" si="63"/>
        <v>0.0236407388596786</v>
      </c>
      <c r="K612" s="157">
        <f t="shared" si="58"/>
        <v>1045</v>
      </c>
      <c r="L612" s="160">
        <f ca="1" t="shared" si="64"/>
        <v>44203.3561726932</v>
      </c>
      <c r="M612" s="157">
        <f t="shared" si="65"/>
        <v>52.25</v>
      </c>
      <c r="U612" s="151">
        <v>93</v>
      </c>
      <c r="V612" s="157">
        <f ca="1">OFFSET(养成规划!$D$5,IFERROR(MATCH(U612,养成规划!$G$6:$G$38,1)+1,1),0)</f>
        <v>120</v>
      </c>
      <c r="W612" s="152">
        <f ca="1">((V612-_xlfn.MAXIFS($V$519:V611,$V$519:V611,"&lt;"&amp;V612))*$D$475+VLOOKUP(V612,装备产出!$D$186:$F$485,3,0))/COUNTIF($V$520:$V$819,V612)/6</f>
        <v>841.666666666667</v>
      </c>
      <c r="X612" s="157">
        <f t="shared" si="59"/>
        <v>8</v>
      </c>
      <c r="Y612" s="151">
        <f t="shared" si="66"/>
        <v>335</v>
      </c>
      <c r="Z612" s="156">
        <f ca="1">(SUM($W$520:W612)-SUM($Y$520:Y612))/SUM($W$520:W612)</f>
        <v>0.259956355701036</v>
      </c>
      <c r="AA612" s="151">
        <f t="shared" si="60"/>
        <v>800</v>
      </c>
      <c r="AB612" s="153">
        <f t="shared" si="67"/>
        <v>25400</v>
      </c>
      <c r="AC612" s="153">
        <f>SUM(Y$520:Y612)</f>
        <v>13565</v>
      </c>
      <c r="AD612" s="153">
        <f>INT(SUM(AB$520:AB612))</f>
        <v>866200</v>
      </c>
      <c r="AE612" s="153">
        <f ca="1">INT(AC612*6/($D$475+AVERAGE(OFFSET(装备产出!$F$186,0,0,W612))))+1</f>
        <v>62</v>
      </c>
      <c r="AF612" s="154">
        <f t="shared" si="61"/>
        <v>63.855510504976</v>
      </c>
    </row>
    <row r="613" ht="17.25" spans="4:32">
      <c r="D613" s="151">
        <v>94</v>
      </c>
      <c r="E613" s="161" t="str">
        <f>IFERROR((INT(_xlfn.XLOOKUP(D613,养成规划!$G$6:$G$38,养成规划!$J$6:$J$38)/6)),"")</f>
        <v/>
      </c>
      <c r="F613" s="156" t="str">
        <f t="shared" si="68"/>
        <v/>
      </c>
      <c r="G613" s="157">
        <f t="shared" si="56"/>
        <v>20</v>
      </c>
      <c r="H613" s="151">
        <f t="shared" si="57"/>
        <v>8220</v>
      </c>
      <c r="I613" s="158">
        <f t="shared" si="62"/>
        <v>822</v>
      </c>
      <c r="J613" s="159">
        <f ca="1" t="shared" si="63"/>
        <v>0.0234160136068429</v>
      </c>
      <c r="K613" s="157">
        <f t="shared" si="58"/>
        <v>1069</v>
      </c>
      <c r="L613" s="160">
        <f ca="1" t="shared" si="64"/>
        <v>45652.5187398937</v>
      </c>
      <c r="M613" s="157">
        <f t="shared" si="65"/>
        <v>53.45</v>
      </c>
      <c r="U613" s="151">
        <v>94</v>
      </c>
      <c r="V613" s="157">
        <f ca="1">OFFSET(养成规划!$D$5,IFERROR(MATCH(U613,养成规划!$G$6:$G$38,1)+1,1),0)</f>
        <v>120</v>
      </c>
      <c r="W613" s="152">
        <f ca="1">((V613-_xlfn.MAXIFS($V$519:V612,$V$519:V612,"&lt;"&amp;V613))*$D$475+VLOOKUP(V613,装备产出!$D$186:$F$485,3,0))/COUNTIF($V$520:$V$819,V613)/6</f>
        <v>841.666666666667</v>
      </c>
      <c r="X613" s="157">
        <f t="shared" si="59"/>
        <v>8</v>
      </c>
      <c r="Y613" s="151">
        <f t="shared" si="66"/>
        <v>343</v>
      </c>
      <c r="Z613" s="156">
        <f ca="1">(SUM($W$520:W613)-SUM($Y$520:Y613))/SUM($W$520:W613)</f>
        <v>0.274554464052855</v>
      </c>
      <c r="AA613" s="151">
        <f t="shared" si="60"/>
        <v>800</v>
      </c>
      <c r="AB613" s="153">
        <f t="shared" si="67"/>
        <v>26200</v>
      </c>
      <c r="AC613" s="153">
        <f>SUM(Y$520:Y613)</f>
        <v>13908</v>
      </c>
      <c r="AD613" s="153">
        <f>INT(SUM(AB$520:AB613))</f>
        <v>892400</v>
      </c>
      <c r="AE613" s="153">
        <f ca="1">INT(AC613*6/($D$475+AVERAGE(OFFSET(装备产出!$F$186,0,0,W613))))+1</f>
        <v>63</v>
      </c>
      <c r="AF613" s="154">
        <f t="shared" si="61"/>
        <v>64.1645096347426</v>
      </c>
    </row>
    <row r="614" ht="17.25" spans="4:32">
      <c r="D614" s="151">
        <v>95</v>
      </c>
      <c r="E614" s="161" t="str">
        <f>IFERROR((INT(_xlfn.XLOOKUP(D614,养成规划!$G$6:$G$38,养成规划!$J$6:$J$38)/6)),"")</f>
        <v/>
      </c>
      <c r="F614" s="156" t="str">
        <f t="shared" si="68"/>
        <v/>
      </c>
      <c r="G614" s="157">
        <f t="shared" si="56"/>
        <v>24</v>
      </c>
      <c r="H614" s="151">
        <f t="shared" si="57"/>
        <v>8460</v>
      </c>
      <c r="I614" s="158">
        <f t="shared" si="62"/>
        <v>846</v>
      </c>
      <c r="J614" s="159">
        <f ca="1" t="shared" si="63"/>
        <v>0.0278085295559727</v>
      </c>
      <c r="K614" s="157">
        <f t="shared" si="58"/>
        <v>1093</v>
      </c>
      <c r="L614" s="160">
        <f ca="1" t="shared" si="64"/>
        <v>39304.4874163526</v>
      </c>
      <c r="M614" s="157">
        <f t="shared" si="65"/>
        <v>45.5416666666667</v>
      </c>
      <c r="U614" s="151">
        <v>95</v>
      </c>
      <c r="V614" s="157">
        <f ca="1">OFFSET(养成规划!$D$5,IFERROR(MATCH(U614,养成规划!$G$6:$G$38,1)+1,1),0)</f>
        <v>120</v>
      </c>
      <c r="W614" s="152">
        <f ca="1">((V614-_xlfn.MAXIFS($V$519:V613,$V$519:V613,"&lt;"&amp;V614))*$D$475+VLOOKUP(V614,装备产出!$D$186:$F$485,3,0))/COUNTIF($V$520:$V$819,V614)/6</f>
        <v>841.666666666667</v>
      </c>
      <c r="X614" s="157">
        <f t="shared" si="59"/>
        <v>8</v>
      </c>
      <c r="Y614" s="151">
        <f t="shared" si="66"/>
        <v>351</v>
      </c>
      <c r="Z614" s="156">
        <f ca="1">(SUM($W$520:W614)-SUM($Y$520:Y614))/SUM($W$520:W614)</f>
        <v>0.287524983344437</v>
      </c>
      <c r="AA614" s="151">
        <f t="shared" si="60"/>
        <v>800</v>
      </c>
      <c r="AB614" s="153">
        <f t="shared" si="67"/>
        <v>27000</v>
      </c>
      <c r="AC614" s="153">
        <f>SUM(Y$520:Y614)</f>
        <v>14259</v>
      </c>
      <c r="AD614" s="153">
        <f>INT(SUM(AB$520:AB614))</f>
        <v>919400</v>
      </c>
      <c r="AE614" s="153">
        <f ca="1">INT(AC614*6/($D$475+AVERAGE(OFFSET(装备产出!$F$186,0,0,W614))))+1</f>
        <v>65</v>
      </c>
      <c r="AF614" s="154">
        <f t="shared" si="61"/>
        <v>64.4785749351287</v>
      </c>
    </row>
    <row r="615" ht="17.25" spans="4:32">
      <c r="D615" s="151">
        <v>96</v>
      </c>
      <c r="E615" s="161" t="str">
        <f>IFERROR((INT(_xlfn.XLOOKUP(D615,养成规划!$G$6:$G$38,养成规划!$J$6:$J$38)/6)),"")</f>
        <v/>
      </c>
      <c r="F615" s="156" t="str">
        <f t="shared" si="68"/>
        <v/>
      </c>
      <c r="G615" s="157">
        <f t="shared" si="56"/>
        <v>24</v>
      </c>
      <c r="H615" s="151">
        <f t="shared" si="57"/>
        <v>8700</v>
      </c>
      <c r="I615" s="158">
        <f t="shared" si="62"/>
        <v>870</v>
      </c>
      <c r="J615" s="159">
        <f ca="1" t="shared" si="63"/>
        <v>0.027498102277551</v>
      </c>
      <c r="K615" s="157">
        <f t="shared" si="58"/>
        <v>1117</v>
      </c>
      <c r="L615" s="160">
        <f ca="1" t="shared" si="64"/>
        <v>40620.9849947317</v>
      </c>
      <c r="M615" s="157">
        <f t="shared" si="65"/>
        <v>46.5416666666667</v>
      </c>
      <c r="U615" s="151">
        <v>96</v>
      </c>
      <c r="V615" s="157">
        <f ca="1">OFFSET(养成规划!$D$5,IFERROR(MATCH(U615,养成规划!$G$6:$G$38,1)+1,1),0)</f>
        <v>120</v>
      </c>
      <c r="W615" s="152">
        <f ca="1">((V615-_xlfn.MAXIFS($V$519:V614,$V$519:V614,"&lt;"&amp;V615))*$D$475+VLOOKUP(V615,装备产出!$D$186:$F$485,3,0))/COUNTIF($V$520:$V$819,V615)/6</f>
        <v>841.666666666667</v>
      </c>
      <c r="X615" s="157">
        <f t="shared" si="59"/>
        <v>8</v>
      </c>
      <c r="Y615" s="151">
        <f t="shared" si="66"/>
        <v>359</v>
      </c>
      <c r="Z615" s="156">
        <f ca="1">(SUM($W$520:W615)-SUM($Y$520:Y615))/SUM($W$520:W615)</f>
        <v>0.299064972428674</v>
      </c>
      <c r="AA615" s="151">
        <f t="shared" si="60"/>
        <v>800</v>
      </c>
      <c r="AB615" s="153">
        <f t="shared" si="67"/>
        <v>27800</v>
      </c>
      <c r="AC615" s="153">
        <f>SUM(Y$520:Y615)</f>
        <v>14618</v>
      </c>
      <c r="AD615" s="153">
        <f>INT(SUM(AB$520:AB615))</f>
        <v>947200</v>
      </c>
      <c r="AE615" s="153">
        <f ca="1">INT(AC615*6/($D$475+AVERAGE(OFFSET(装备产出!$F$186,0,0,W615))))+1</f>
        <v>67</v>
      </c>
      <c r="AF615" s="154">
        <f t="shared" si="61"/>
        <v>64.7968258311671</v>
      </c>
    </row>
    <row r="616" ht="17.25" spans="4:32">
      <c r="D616" s="151">
        <v>97</v>
      </c>
      <c r="E616" s="161" t="str">
        <f>IFERROR((INT(_xlfn.XLOOKUP(D616,养成规划!$G$6:$G$38,养成规划!$J$6:$J$38)/6)),"")</f>
        <v/>
      </c>
      <c r="F616" s="156" t="str">
        <f t="shared" si="68"/>
        <v/>
      </c>
      <c r="G616" s="157">
        <f t="shared" si="56"/>
        <v>24</v>
      </c>
      <c r="H616" s="151">
        <f t="shared" si="57"/>
        <v>8940</v>
      </c>
      <c r="I616" s="158">
        <f t="shared" si="62"/>
        <v>894</v>
      </c>
      <c r="J616" s="159">
        <f ca="1" t="shared" si="63"/>
        <v>0.0271945291704599</v>
      </c>
      <c r="K616" s="157">
        <f t="shared" si="58"/>
        <v>1141</v>
      </c>
      <c r="L616" s="160">
        <f ca="1" t="shared" si="64"/>
        <v>41956.9683611001</v>
      </c>
      <c r="M616" s="157">
        <f t="shared" si="65"/>
        <v>47.5416666666667</v>
      </c>
      <c r="U616" s="151">
        <v>97</v>
      </c>
      <c r="V616" s="157">
        <f ca="1">OFFSET(养成规划!$D$5,IFERROR(MATCH(U616,养成规划!$G$6:$G$38,1)+1,1),0)</f>
        <v>120</v>
      </c>
      <c r="W616" s="152">
        <f ca="1">((V616-_xlfn.MAXIFS($V$519:V615,$V$519:V615,"&lt;"&amp;V616))*$D$475+VLOOKUP(V616,装备产出!$D$186:$F$485,3,0))/COUNTIF($V$520:$V$819,V616)/6</f>
        <v>841.666666666667</v>
      </c>
      <c r="X616" s="157">
        <f t="shared" si="59"/>
        <v>8</v>
      </c>
      <c r="Y616" s="151">
        <f t="shared" si="66"/>
        <v>367</v>
      </c>
      <c r="Z616" s="156">
        <f ca="1">(SUM($W$520:W616)-SUM($Y$520:Y616))/SUM($W$520:W616)</f>
        <v>0.309340912582578</v>
      </c>
      <c r="AA616" s="151">
        <f t="shared" si="60"/>
        <v>800</v>
      </c>
      <c r="AB616" s="153">
        <f t="shared" si="67"/>
        <v>28600</v>
      </c>
      <c r="AC616" s="153">
        <f>SUM(Y$520:Y616)</f>
        <v>14985</v>
      </c>
      <c r="AD616" s="153">
        <f>INT(SUM(AB$520:AB616))</f>
        <v>975800</v>
      </c>
      <c r="AE616" s="153">
        <f ca="1">INT(AC616*6/($D$475+AVERAGE(OFFSET(装备产出!$F$186,0,0,W616))))+1</f>
        <v>68</v>
      </c>
      <c r="AF616" s="154">
        <f t="shared" si="61"/>
        <v>65.1184517851185</v>
      </c>
    </row>
    <row r="617" ht="17.25" spans="4:32">
      <c r="D617" s="151">
        <v>98</v>
      </c>
      <c r="E617" s="161" t="str">
        <f>IFERROR((INT(_xlfn.XLOOKUP(D617,养成规划!$G$6:$G$38,养成规划!$J$6:$J$38)/6)),"")</f>
        <v/>
      </c>
      <c r="F617" s="156" t="str">
        <f t="shared" si="68"/>
        <v/>
      </c>
      <c r="G617" s="157">
        <f t="shared" si="56"/>
        <v>24</v>
      </c>
      <c r="H617" s="151">
        <f t="shared" si="57"/>
        <v>9180</v>
      </c>
      <c r="I617" s="158">
        <f t="shared" si="62"/>
        <v>918</v>
      </c>
      <c r="J617" s="159">
        <f ca="1" t="shared" si="63"/>
        <v>0.0268975857031799</v>
      </c>
      <c r="K617" s="157">
        <f t="shared" si="58"/>
        <v>1165</v>
      </c>
      <c r="L617" s="160">
        <f ca="1" t="shared" si="64"/>
        <v>43312.4375122734</v>
      </c>
      <c r="M617" s="157">
        <f t="shared" si="65"/>
        <v>48.5416666666667</v>
      </c>
      <c r="U617" s="151">
        <v>98</v>
      </c>
      <c r="V617" s="157">
        <f ca="1">OFFSET(养成规划!$D$5,IFERROR(MATCH(U617,养成规划!$G$6:$G$38,1)+1,1),0)</f>
        <v>150</v>
      </c>
      <c r="W617" s="152">
        <f ca="1">((V617-_xlfn.MAXIFS($V$519:V616,$V$519:V616,"&lt;"&amp;V617))*$D$475+VLOOKUP(V617,装备产出!$D$186:$F$485,3,0))/COUNTIF($V$520:$V$819,V617)/6</f>
        <v>841.666666666667</v>
      </c>
      <c r="X617" s="157">
        <f t="shared" si="59"/>
        <v>8</v>
      </c>
      <c r="Y617" s="151">
        <f t="shared" si="66"/>
        <v>375</v>
      </c>
      <c r="Z617" s="156">
        <f ca="1">(SUM($W$520:W617)-SUM($Y$520:Y617))/SUM($W$520:W617)</f>
        <v>0.318494416919322</v>
      </c>
      <c r="AA617" s="151">
        <f t="shared" si="60"/>
        <v>800</v>
      </c>
      <c r="AB617" s="153">
        <f t="shared" si="67"/>
        <v>29400</v>
      </c>
      <c r="AC617" s="153">
        <f>SUM(Y$520:Y617)</f>
        <v>15360</v>
      </c>
      <c r="AD617" s="153">
        <f>INT(SUM(AB$520:AB617))</f>
        <v>1005200</v>
      </c>
      <c r="AE617" s="153">
        <f ca="1">INT(AC617*6/($D$475+AVERAGE(OFFSET(装备产出!$F$186,0,0,W617))))+1</f>
        <v>70</v>
      </c>
      <c r="AF617" s="154">
        <f t="shared" si="61"/>
        <v>65.4427083333333</v>
      </c>
    </row>
    <row r="618" ht="17.25" spans="4:32">
      <c r="D618" s="151">
        <v>99</v>
      </c>
      <c r="E618" s="161" t="str">
        <f>IFERROR((INT(_xlfn.XLOOKUP(D618,养成规划!$G$6:$G$38,养成规划!$J$6:$J$38)/6)),"")</f>
        <v/>
      </c>
      <c r="F618" s="156" t="str">
        <f t="shared" si="68"/>
        <v/>
      </c>
      <c r="G618" s="157">
        <f t="shared" si="56"/>
        <v>24</v>
      </c>
      <c r="H618" s="151">
        <f t="shared" si="57"/>
        <v>9420</v>
      </c>
      <c r="I618" s="158">
        <f t="shared" si="62"/>
        <v>942</v>
      </c>
      <c r="J618" s="159">
        <f ca="1" t="shared" si="63"/>
        <v>0.0266070570454067</v>
      </c>
      <c r="K618" s="157">
        <f t="shared" si="58"/>
        <v>1189</v>
      </c>
      <c r="L618" s="160">
        <f ca="1" t="shared" si="64"/>
        <v>44687.3924452032</v>
      </c>
      <c r="M618" s="157">
        <f t="shared" si="65"/>
        <v>49.5416666666667</v>
      </c>
      <c r="U618" s="151">
        <v>99</v>
      </c>
      <c r="V618" s="157">
        <f ca="1">OFFSET(养成规划!$D$5,IFERROR(MATCH(U618,养成规划!$G$6:$G$38,1)+1,1),0)</f>
        <v>150</v>
      </c>
      <c r="W618" s="152">
        <f ca="1">((V618-_xlfn.MAXIFS($V$519:V617,$V$519:V617,"&lt;"&amp;V618))*$D$475+VLOOKUP(V618,装备产出!$D$186:$F$485,3,0))/COUNTIF($V$520:$V$819,V618)/6</f>
        <v>841.666666666667</v>
      </c>
      <c r="X618" s="157">
        <f t="shared" si="59"/>
        <v>8</v>
      </c>
      <c r="Y618" s="151">
        <f t="shared" si="66"/>
        <v>383</v>
      </c>
      <c r="Z618" s="156">
        <f ca="1">(SUM($W$520:W618)-SUM($Y$520:Y618))/SUM($W$520:W618)</f>
        <v>0.326646706586826</v>
      </c>
      <c r="AA618" s="151">
        <f t="shared" si="60"/>
        <v>800</v>
      </c>
      <c r="AB618" s="153">
        <f t="shared" si="67"/>
        <v>30200</v>
      </c>
      <c r="AC618" s="153">
        <f>SUM(Y$520:Y618)</f>
        <v>15743</v>
      </c>
      <c r="AD618" s="153">
        <f>INT(SUM(AB$520:AB618))</f>
        <v>1035400</v>
      </c>
      <c r="AE618" s="153">
        <f ca="1">INT(AC618*6/($D$475+AVERAGE(OFFSET(装备产出!$F$186,0,0,W618))))+1</f>
        <v>72</v>
      </c>
      <c r="AF618" s="154">
        <f t="shared" si="61"/>
        <v>65.7689131677571</v>
      </c>
    </row>
    <row r="619" ht="17.25" spans="4:32">
      <c r="D619" s="151">
        <v>100</v>
      </c>
      <c r="E619" s="161" t="str">
        <f>IFERROR((INT(_xlfn.XLOOKUP(D619,养成规划!$G$6:$G$38,养成规划!$J$6:$J$38)/6)),"")</f>
        <v/>
      </c>
      <c r="F619" s="156" t="str">
        <f t="shared" si="68"/>
        <v/>
      </c>
      <c r="G619" s="157">
        <f t="shared" si="56"/>
        <v>24</v>
      </c>
      <c r="H619" s="151">
        <f t="shared" si="57"/>
        <v>9660</v>
      </c>
      <c r="I619" s="158">
        <f t="shared" si="62"/>
        <v>966</v>
      </c>
      <c r="J619" s="159">
        <f ca="1" t="shared" si="63"/>
        <v>0.0253085727839645</v>
      </c>
      <c r="K619" s="157">
        <f t="shared" si="58"/>
        <v>1213</v>
      </c>
      <c r="L619" s="160">
        <f ca="1" t="shared" si="64"/>
        <v>47928.423714535</v>
      </c>
      <c r="M619" s="157">
        <f t="shared" si="65"/>
        <v>50.5416666666667</v>
      </c>
      <c r="U619" s="151">
        <v>100</v>
      </c>
      <c r="V619" s="157">
        <f ca="1">OFFSET(养成规划!$D$5,IFERROR(MATCH(U619,养成规划!$G$6:$G$38,1)+1,1),0)</f>
        <v>150</v>
      </c>
      <c r="W619" s="152">
        <f ca="1">((V619-_xlfn.MAXIFS($V$519:V618,$V$519:V618,"&lt;"&amp;V619))*$D$475+VLOOKUP(V619,装备产出!$D$186:$F$485,3,0))/COUNTIF($V$520:$V$819,V619)/6</f>
        <v>841.666666666667</v>
      </c>
      <c r="X619" s="157">
        <f t="shared" si="59"/>
        <v>8</v>
      </c>
      <c r="Y619" s="151">
        <f t="shared" si="66"/>
        <v>391</v>
      </c>
      <c r="Z619" s="156">
        <f ca="1">(SUM($W$520:W619)-SUM($Y$520:Y619))/SUM($W$520:W619)</f>
        <v>0.333902153719122</v>
      </c>
      <c r="AA619" s="151">
        <f t="shared" si="60"/>
        <v>800</v>
      </c>
      <c r="AB619" s="153">
        <f t="shared" si="67"/>
        <v>31000</v>
      </c>
      <c r="AC619" s="153">
        <f>SUM(Y$520:Y619)</f>
        <v>16134</v>
      </c>
      <c r="AD619" s="153">
        <f>INT(SUM(AB$520:AB619))</f>
        <v>1066400</v>
      </c>
      <c r="AE619" s="153">
        <f ca="1">INT(AC619*6/($D$475+AVERAGE(OFFSET(装备产出!$F$186,0,0,W619))))+1</f>
        <v>73</v>
      </c>
      <c r="AF619" s="154">
        <f t="shared" si="61"/>
        <v>66.0964422957729</v>
      </c>
    </row>
    <row r="620" ht="17.25" spans="4:32">
      <c r="D620" s="151">
        <v>101</v>
      </c>
      <c r="E620" s="161" t="str">
        <f>IFERROR((INT(_xlfn.XLOOKUP(D620,养成规划!$G$6:$G$38,养成规划!$J$6:$J$38)/6)),"")</f>
        <v/>
      </c>
      <c r="F620" s="156" t="str">
        <f t="shared" si="68"/>
        <v/>
      </c>
      <c r="G620" s="157">
        <f t="shared" si="56"/>
        <v>28</v>
      </c>
      <c r="H620" s="151">
        <f t="shared" si="57"/>
        <v>9940</v>
      </c>
      <c r="I620" s="158">
        <f t="shared" si="62"/>
        <v>994</v>
      </c>
      <c r="J620" s="159">
        <f ca="1" t="shared" si="63"/>
        <v>0.0292017349886819</v>
      </c>
      <c r="K620" s="157">
        <f t="shared" si="58"/>
        <v>1237</v>
      </c>
      <c r="L620" s="160">
        <f ca="1" t="shared" si="64"/>
        <v>42360.4967471775</v>
      </c>
      <c r="M620" s="157">
        <f t="shared" si="65"/>
        <v>44.1785714285714</v>
      </c>
      <c r="U620" s="151">
        <v>101</v>
      </c>
      <c r="V620" s="157">
        <f ca="1">OFFSET(养成规划!$D$5,IFERROR(MATCH(U620,养成规划!$G$6:$G$38,1)+1,1),0)</f>
        <v>150</v>
      </c>
      <c r="W620" s="152">
        <f ca="1">((V620-_xlfn.MAXIFS($V$519:V619,$V$519:V619,"&lt;"&amp;V620))*$D$475+VLOOKUP(V620,装备产出!$D$186:$F$485,3,0))/COUNTIF($V$520:$V$819,V620)/6</f>
        <v>841.666666666667</v>
      </c>
      <c r="X620" s="157">
        <f t="shared" si="59"/>
        <v>8</v>
      </c>
      <c r="Y620" s="151">
        <f t="shared" si="66"/>
        <v>399</v>
      </c>
      <c r="Z620" s="156">
        <f ca="1">(SUM($W$520:W620)-SUM($Y$520:Y620))/SUM($W$520:W620)</f>
        <v>0.340351110520016</v>
      </c>
      <c r="AA620" s="151">
        <f t="shared" si="60"/>
        <v>800</v>
      </c>
      <c r="AB620" s="153">
        <f t="shared" si="67"/>
        <v>31800</v>
      </c>
      <c r="AC620" s="153">
        <f>SUM(Y$520:Y620)</f>
        <v>16533</v>
      </c>
      <c r="AD620" s="153">
        <f>INT(SUM(AB$520:AB620))</f>
        <v>1098200</v>
      </c>
      <c r="AE620" s="153">
        <f ca="1">INT(AC620*6/($D$475+AVERAGE(OFFSET(装备产出!$F$186,0,0,W620))))+1</f>
        <v>75</v>
      </c>
      <c r="AF620" s="154">
        <f t="shared" si="61"/>
        <v>66.4247263049658</v>
      </c>
    </row>
    <row r="621" ht="17.25" spans="4:32">
      <c r="D621" s="151">
        <v>102</v>
      </c>
      <c r="E621" s="161" t="str">
        <f>IFERROR((INT(_xlfn.XLOOKUP(D621,养成规划!$G$6:$G$38,养成规划!$J$6:$J$38)/6)),"")</f>
        <v/>
      </c>
      <c r="F621" s="156" t="str">
        <f t="shared" si="68"/>
        <v/>
      </c>
      <c r="G621" s="157">
        <f t="shared" si="56"/>
        <v>28</v>
      </c>
      <c r="H621" s="151">
        <f t="shared" si="57"/>
        <v>10220</v>
      </c>
      <c r="I621" s="158">
        <f t="shared" si="62"/>
        <v>1022</v>
      </c>
      <c r="J621" s="159">
        <f ca="1" t="shared" si="63"/>
        <v>0.0288596147396606</v>
      </c>
      <c r="K621" s="157">
        <f t="shared" si="58"/>
        <v>1261</v>
      </c>
      <c r="L621" s="160">
        <f ca="1" t="shared" si="64"/>
        <v>43694.276981011</v>
      </c>
      <c r="M621" s="157">
        <f t="shared" si="65"/>
        <v>45.0357142857143</v>
      </c>
      <c r="U621" s="151">
        <v>102</v>
      </c>
      <c r="V621" s="157">
        <f ca="1">OFFSET(养成规划!$D$5,IFERROR(MATCH(U621,养成规划!$G$6:$G$38,1)+1,1),0)</f>
        <v>150</v>
      </c>
      <c r="W621" s="152">
        <f ca="1">((V621-_xlfn.MAXIFS($V$519:V620,$V$519:V620,"&lt;"&amp;V621))*$D$475+VLOOKUP(V621,装备产出!$D$186:$F$485,3,0))/COUNTIF($V$520:$V$819,V621)/6</f>
        <v>841.666666666667</v>
      </c>
      <c r="X621" s="157">
        <f t="shared" si="59"/>
        <v>8</v>
      </c>
      <c r="Y621" s="151">
        <f t="shared" si="66"/>
        <v>407</v>
      </c>
      <c r="Z621" s="156">
        <f ca="1">(SUM($W$520:W621)-SUM($Y$520:Y621))/SUM($W$520:W621)</f>
        <v>0.346072186836518</v>
      </c>
      <c r="AA621" s="151">
        <f t="shared" si="60"/>
        <v>800</v>
      </c>
      <c r="AB621" s="153">
        <f t="shared" si="67"/>
        <v>32600</v>
      </c>
      <c r="AC621" s="153">
        <f>SUM(Y$520:Y621)</f>
        <v>16940</v>
      </c>
      <c r="AD621" s="153">
        <f>INT(SUM(AB$520:AB621))</f>
        <v>1130800</v>
      </c>
      <c r="AE621" s="153">
        <f ca="1">INT(AC621*6/($D$475+AVERAGE(OFFSET(装备产出!$F$186,0,0,W621))))+1</f>
        <v>77</v>
      </c>
      <c r="AF621" s="154">
        <f t="shared" si="61"/>
        <v>66.7532467532468</v>
      </c>
    </row>
    <row r="622" ht="17.25" spans="4:32">
      <c r="D622" s="151">
        <v>103</v>
      </c>
      <c r="E622" s="161" t="str">
        <f>IFERROR((INT(_xlfn.XLOOKUP(D622,养成规划!$G$6:$G$38,养成规划!$J$6:$J$38)/6)),"")</f>
        <v/>
      </c>
      <c r="F622" s="156" t="str">
        <f t="shared" si="68"/>
        <v/>
      </c>
      <c r="G622" s="157">
        <f t="shared" si="56"/>
        <v>28</v>
      </c>
      <c r="H622" s="151">
        <f t="shared" si="57"/>
        <v>10500</v>
      </c>
      <c r="I622" s="158">
        <f t="shared" si="62"/>
        <v>1050</v>
      </c>
      <c r="J622" s="159">
        <f ca="1" t="shared" si="63"/>
        <v>0.028525418139858</v>
      </c>
      <c r="K622" s="157">
        <f t="shared" si="58"/>
        <v>1285</v>
      </c>
      <c r="L622" s="160">
        <f ca="1" t="shared" si="64"/>
        <v>45047.5429912978</v>
      </c>
      <c r="M622" s="157">
        <f t="shared" si="65"/>
        <v>45.8928571428571</v>
      </c>
      <c r="U622" s="151">
        <v>103</v>
      </c>
      <c r="V622" s="157">
        <f ca="1">OFFSET(养成规划!$D$5,IFERROR(MATCH(U622,养成规划!$G$6:$G$38,1)+1,1),0)</f>
        <v>150</v>
      </c>
      <c r="W622" s="152">
        <f ca="1">((V622-_xlfn.MAXIFS($V$519:V621,$V$519:V621,"&lt;"&amp;V622))*$D$475+VLOOKUP(V622,装备产出!$D$186:$F$485,3,0))/COUNTIF($V$520:$V$819,V622)/6</f>
        <v>841.666666666667</v>
      </c>
      <c r="X622" s="157">
        <f t="shared" si="59"/>
        <v>8</v>
      </c>
      <c r="Y622" s="151">
        <f t="shared" si="66"/>
        <v>415</v>
      </c>
      <c r="Z622" s="156">
        <f ca="1">(SUM($W$520:W622)-SUM($Y$520:Y622))/SUM($W$520:W622)</f>
        <v>0.351134097706879</v>
      </c>
      <c r="AA622" s="151">
        <f t="shared" si="60"/>
        <v>800</v>
      </c>
      <c r="AB622" s="153">
        <f t="shared" si="67"/>
        <v>33400</v>
      </c>
      <c r="AC622" s="153">
        <f>SUM(Y$520:Y622)</f>
        <v>17355</v>
      </c>
      <c r="AD622" s="153">
        <f>INT(SUM(AB$520:AB622))</f>
        <v>1164200</v>
      </c>
      <c r="AE622" s="153">
        <f ca="1">INT(AC622*6/($D$475+AVERAGE(OFFSET(装备产出!$F$186,0,0,W622))))+1</f>
        <v>79</v>
      </c>
      <c r="AF622" s="154">
        <f t="shared" si="61"/>
        <v>67.0815326995102</v>
      </c>
    </row>
    <row r="623" ht="17.25" spans="4:32">
      <c r="D623" s="151">
        <v>104</v>
      </c>
      <c r="E623" s="161" t="str">
        <f>IFERROR((INT(_xlfn.XLOOKUP(D623,养成规划!$G$6:$G$38,养成规划!$J$6:$J$38)/6)),"")</f>
        <v/>
      </c>
      <c r="F623" s="156" t="str">
        <f t="shared" si="68"/>
        <v/>
      </c>
      <c r="G623" s="157">
        <f t="shared" si="56"/>
        <v>28</v>
      </c>
      <c r="H623" s="151">
        <f t="shared" si="57"/>
        <v>10780</v>
      </c>
      <c r="I623" s="158">
        <f t="shared" si="62"/>
        <v>1078</v>
      </c>
      <c r="J623" s="159">
        <f ca="1" t="shared" si="63"/>
        <v>0.0281988730649399</v>
      </c>
      <c r="K623" s="157">
        <f t="shared" si="58"/>
        <v>1309</v>
      </c>
      <c r="L623" s="160">
        <f ca="1" t="shared" si="64"/>
        <v>46420.2947750951</v>
      </c>
      <c r="M623" s="157">
        <f t="shared" si="65"/>
        <v>46.75</v>
      </c>
      <c r="U623" s="151">
        <v>104</v>
      </c>
      <c r="V623" s="157">
        <f ca="1">OFFSET(养成规划!$D$5,IFERROR(MATCH(U623,养成规划!$G$6:$G$38,1)+1,1),0)</f>
        <v>190</v>
      </c>
      <c r="W623" s="152">
        <f ca="1">((V623-_xlfn.MAXIFS($V$519:V622,$V$519:V622,"&lt;"&amp;V623))*$D$475+VLOOKUP(V623,装备产出!$D$186:$F$485,3,0))/COUNTIF($V$520:$V$819,V623)/6</f>
        <v>840.416666666667</v>
      </c>
      <c r="X623" s="157">
        <f t="shared" si="59"/>
        <v>8</v>
      </c>
      <c r="Y623" s="151">
        <f t="shared" si="66"/>
        <v>423</v>
      </c>
      <c r="Z623" s="156">
        <f ca="1">(SUM($W$520:W623)-SUM($Y$520:Y623))/SUM($W$520:W623)</f>
        <v>0.355567974142488</v>
      </c>
      <c r="AA623" s="151">
        <f t="shared" si="60"/>
        <v>800</v>
      </c>
      <c r="AB623" s="153">
        <f t="shared" si="67"/>
        <v>34200</v>
      </c>
      <c r="AC623" s="153">
        <f>SUM(Y$520:Y623)</f>
        <v>17778</v>
      </c>
      <c r="AD623" s="153">
        <f>INT(SUM(AB$520:AB623))</f>
        <v>1198400</v>
      </c>
      <c r="AE623" s="153">
        <f ca="1">INT(AC623*6/($D$475+AVERAGE(OFFSET(装备产出!$F$186,0,0,W623))))+1</f>
        <v>81</v>
      </c>
      <c r="AF623" s="154">
        <f t="shared" si="61"/>
        <v>67.4091573855327</v>
      </c>
    </row>
    <row r="624" ht="17.25" spans="4:32">
      <c r="D624" s="151">
        <v>105</v>
      </c>
      <c r="E624" s="161" t="str">
        <f>IFERROR((INT(_xlfn.XLOOKUP(D624,养成规划!$G$6:$G$38,养成规划!$J$6:$J$38)/6)),"")</f>
        <v/>
      </c>
      <c r="F624" s="156" t="str">
        <f t="shared" si="68"/>
        <v/>
      </c>
      <c r="G624" s="157">
        <f t="shared" si="56"/>
        <v>28</v>
      </c>
      <c r="H624" s="151">
        <f t="shared" si="57"/>
        <v>11060</v>
      </c>
      <c r="I624" s="158">
        <f t="shared" si="62"/>
        <v>1106</v>
      </c>
      <c r="J624" s="159">
        <f ca="1" t="shared" si="63"/>
        <v>0.0278797197105355</v>
      </c>
      <c r="K624" s="157">
        <f t="shared" si="58"/>
        <v>1333</v>
      </c>
      <c r="L624" s="160">
        <f ca="1" t="shared" si="64"/>
        <v>47812.5323295941</v>
      </c>
      <c r="M624" s="157">
        <f t="shared" si="65"/>
        <v>47.6071428571429</v>
      </c>
      <c r="U624" s="151">
        <v>105</v>
      </c>
      <c r="V624" s="157">
        <f ca="1">OFFSET(养成规划!$D$5,IFERROR(MATCH(U624,养成规划!$G$6:$G$38,1)+1,1),0)</f>
        <v>190</v>
      </c>
      <c r="W624" s="152">
        <f ca="1">((V624-_xlfn.MAXIFS($V$519:V623,$V$519:V623,"&lt;"&amp;V624))*$D$475+VLOOKUP(V624,装备产出!$D$186:$F$485,3,0))/COUNTIF($V$520:$V$819,V624)/6</f>
        <v>840.416666666667</v>
      </c>
      <c r="X624" s="157">
        <f t="shared" si="59"/>
        <v>8</v>
      </c>
      <c r="Y624" s="151">
        <f t="shared" si="66"/>
        <v>431</v>
      </c>
      <c r="Z624" s="156">
        <f ca="1">(SUM($W$520:W624)-SUM($Y$520:Y624))/SUM($W$520:W624)</f>
        <v>0.359458271040366</v>
      </c>
      <c r="AA624" s="151">
        <f t="shared" si="60"/>
        <v>800</v>
      </c>
      <c r="AB624" s="153">
        <f t="shared" si="67"/>
        <v>35000</v>
      </c>
      <c r="AC624" s="153">
        <f>SUM(Y$520:Y624)</f>
        <v>18209</v>
      </c>
      <c r="AD624" s="153">
        <f>INT(SUM(AB$520:AB624))</f>
        <v>1233400</v>
      </c>
      <c r="AE624" s="153">
        <f ca="1">INT(AC624*6/($D$475+AVERAGE(OFFSET(装备产出!$F$186,0,0,W624))))+1</f>
        <v>83</v>
      </c>
      <c r="AF624" s="154">
        <f t="shared" si="61"/>
        <v>67.7357350760613</v>
      </c>
    </row>
    <row r="625" ht="17.25" spans="4:32">
      <c r="D625" s="151">
        <v>106</v>
      </c>
      <c r="E625" s="161" t="str">
        <f>IFERROR((INT(_xlfn.XLOOKUP(D625,养成规划!$G$6:$G$38,养成规划!$J$6:$J$38)/6)),"")</f>
        <v/>
      </c>
      <c r="F625" s="156" t="str">
        <f t="shared" si="68"/>
        <v/>
      </c>
      <c r="G625" s="157">
        <f t="shared" si="56"/>
        <v>28</v>
      </c>
      <c r="H625" s="151">
        <f t="shared" si="57"/>
        <v>11340</v>
      </c>
      <c r="I625" s="158">
        <f t="shared" si="62"/>
        <v>1134</v>
      </c>
      <c r="J625" s="159">
        <f ca="1" t="shared" si="63"/>
        <v>0.0275677099028275</v>
      </c>
      <c r="K625" s="157">
        <f t="shared" si="58"/>
        <v>1357</v>
      </c>
      <c r="L625" s="160">
        <f ca="1" t="shared" si="64"/>
        <v>49224.2556521105</v>
      </c>
      <c r="M625" s="157">
        <f t="shared" si="65"/>
        <v>48.4642857142857</v>
      </c>
      <c r="U625" s="151">
        <v>106</v>
      </c>
      <c r="V625" s="157">
        <f ca="1">OFFSET(养成规划!$D$5,IFERROR(MATCH(U625,养成规划!$G$6:$G$38,1)+1,1),0)</f>
        <v>190</v>
      </c>
      <c r="W625" s="152">
        <f ca="1">((V625-_xlfn.MAXIFS($V$519:V624,$V$519:V624,"&lt;"&amp;V625))*$D$475+VLOOKUP(V625,装备产出!$D$186:$F$485,3,0))/COUNTIF($V$520:$V$819,V625)/6</f>
        <v>840.416666666667</v>
      </c>
      <c r="X625" s="157">
        <f t="shared" si="59"/>
        <v>8</v>
      </c>
      <c r="Y625" s="151">
        <f t="shared" si="66"/>
        <v>439</v>
      </c>
      <c r="Z625" s="156">
        <f ca="1">(SUM($W$520:W625)-SUM($Y$520:Y625))/SUM($W$520:W625)</f>
        <v>0.362851814415671</v>
      </c>
      <c r="AA625" s="151">
        <f t="shared" si="60"/>
        <v>800</v>
      </c>
      <c r="AB625" s="153">
        <f t="shared" si="67"/>
        <v>35800</v>
      </c>
      <c r="AC625" s="153">
        <f>SUM(Y$520:Y625)</f>
        <v>18648</v>
      </c>
      <c r="AD625" s="153">
        <f>INT(SUM(AB$520:AB625))</f>
        <v>1269200</v>
      </c>
      <c r="AE625" s="153">
        <f ca="1">INT(AC625*6/($D$475+AVERAGE(OFFSET(装备产出!$F$186,0,0,W625))))+1</f>
        <v>85</v>
      </c>
      <c r="AF625" s="154">
        <f t="shared" si="61"/>
        <v>68.0609180609181</v>
      </c>
    </row>
    <row r="626" ht="17.25" spans="4:32">
      <c r="D626" s="151">
        <v>107</v>
      </c>
      <c r="E626" s="161" t="str">
        <f>IFERROR((INT(_xlfn.XLOOKUP(D626,养成规划!$G$6:$G$38,养成规划!$J$6:$J$38)/6)),"")</f>
        <v/>
      </c>
      <c r="F626" s="156" t="str">
        <f t="shared" si="68"/>
        <v/>
      </c>
      <c r="G626" s="157">
        <f t="shared" si="56"/>
        <v>28</v>
      </c>
      <c r="H626" s="151">
        <f t="shared" si="57"/>
        <v>11620</v>
      </c>
      <c r="I626" s="158">
        <f t="shared" si="62"/>
        <v>1162</v>
      </c>
      <c r="J626" s="159">
        <f ca="1" t="shared" si="63"/>
        <v>0.027262606454923</v>
      </c>
      <c r="K626" s="157">
        <f t="shared" si="58"/>
        <v>1381</v>
      </c>
      <c r="L626" s="160">
        <f ca="1" t="shared" si="64"/>
        <v>50655.464740079</v>
      </c>
      <c r="M626" s="157">
        <f t="shared" si="65"/>
        <v>49.3214285714286</v>
      </c>
      <c r="U626" s="151">
        <v>107</v>
      </c>
      <c r="V626" s="157">
        <f ca="1">OFFSET(养成规划!$D$5,IFERROR(MATCH(U626,养成规划!$G$6:$G$38,1)+1,1),0)</f>
        <v>190</v>
      </c>
      <c r="W626" s="152">
        <f ca="1">((V626-_xlfn.MAXIFS($V$519:V625,$V$519:V625,"&lt;"&amp;V626))*$D$475+VLOOKUP(V626,装备产出!$D$186:$F$485,3,0))/COUNTIF($V$520:$V$819,V626)/6</f>
        <v>840.416666666667</v>
      </c>
      <c r="X626" s="157">
        <f t="shared" si="59"/>
        <v>8</v>
      </c>
      <c r="Y626" s="151">
        <f t="shared" si="66"/>
        <v>447</v>
      </c>
      <c r="Z626" s="156">
        <f ca="1">(SUM($W$520:W626)-SUM($Y$520:Y626))/SUM($W$520:W626)</f>
        <v>0.365790202048159</v>
      </c>
      <c r="AA626" s="151">
        <f t="shared" si="60"/>
        <v>800</v>
      </c>
      <c r="AB626" s="153">
        <f t="shared" si="67"/>
        <v>36600</v>
      </c>
      <c r="AC626" s="153">
        <f>SUM(Y$520:Y626)</f>
        <v>19095</v>
      </c>
      <c r="AD626" s="153">
        <f>INT(SUM(AB$520:AB626))</f>
        <v>1305800</v>
      </c>
      <c r="AE626" s="153">
        <f ca="1">INT(AC626*6/($D$475+AVERAGE(OFFSET(装备产出!$F$186,0,0,W626))))+1</f>
        <v>87</v>
      </c>
      <c r="AF626" s="154">
        <f t="shared" si="61"/>
        <v>68.3843938203718</v>
      </c>
    </row>
    <row r="627" ht="17.25" spans="4:32">
      <c r="D627" s="151">
        <v>108</v>
      </c>
      <c r="E627" s="161" t="str">
        <f>IFERROR((INT(_xlfn.XLOOKUP(D627,养成规划!$G$6:$G$38,养成规划!$J$6:$J$38)/6)),"")</f>
        <v/>
      </c>
      <c r="F627" s="156" t="str">
        <f t="shared" si="68"/>
        <v/>
      </c>
      <c r="G627" s="157">
        <f t="shared" si="56"/>
        <v>32</v>
      </c>
      <c r="H627" s="151">
        <f t="shared" si="57"/>
        <v>11940</v>
      </c>
      <c r="I627" s="158">
        <f t="shared" si="62"/>
        <v>1194</v>
      </c>
      <c r="J627" s="159">
        <f ca="1" t="shared" si="63"/>
        <v>0.0307922269761499</v>
      </c>
      <c r="K627" s="157">
        <f t="shared" si="58"/>
        <v>1405</v>
      </c>
      <c r="L627" s="160">
        <f ca="1" t="shared" si="64"/>
        <v>45628.3983970449</v>
      </c>
      <c r="M627" s="157">
        <f t="shared" si="65"/>
        <v>43.90625</v>
      </c>
      <c r="U627" s="151">
        <v>108</v>
      </c>
      <c r="V627" s="157">
        <f ca="1">OFFSET(养成规划!$D$5,IFERROR(MATCH(U627,养成规划!$G$6:$G$38,1)+1,1),0)</f>
        <v>190</v>
      </c>
      <c r="W627" s="152">
        <f ca="1">((V627-_xlfn.MAXIFS($V$519:V626,$V$519:V626,"&lt;"&amp;V627))*$D$475)/COUNTIF($V$520:$V$819,V627)/6</f>
        <v>833.333333333333</v>
      </c>
      <c r="X627" s="157">
        <f t="shared" si="59"/>
        <v>8</v>
      </c>
      <c r="Y627" s="151">
        <f t="shared" si="66"/>
        <v>455</v>
      </c>
      <c r="Z627" s="156">
        <f ca="1">(SUM($W$520:W627)-SUM($Y$520:Y627))/SUM($W$520:W627)</f>
        <v>0.368165903582009</v>
      </c>
      <c r="AA627" s="151">
        <f t="shared" si="60"/>
        <v>800</v>
      </c>
      <c r="AB627" s="153">
        <f t="shared" si="67"/>
        <v>37400</v>
      </c>
      <c r="AC627" s="153">
        <f>SUM(Y$520:Y627)</f>
        <v>19550</v>
      </c>
      <c r="AD627" s="153">
        <f>INT(SUM(AB$520:AB627))</f>
        <v>1343200</v>
      </c>
      <c r="AE627" s="153">
        <f ca="1">INT(AC627*6/($D$475+AVERAGE(OFFSET(装备产出!$F$186,0,0,W627))))+1</f>
        <v>89</v>
      </c>
      <c r="AF627" s="154">
        <f t="shared" si="61"/>
        <v>68.7058823529412</v>
      </c>
    </row>
    <row r="628" ht="17.25" spans="4:32">
      <c r="D628" s="151">
        <v>109</v>
      </c>
      <c r="E628" s="161" t="str">
        <f>IFERROR((INT(_xlfn.XLOOKUP(D628,养成规划!$G$6:$G$38,养成规划!$J$6:$J$38)/6)),"")</f>
        <v/>
      </c>
      <c r="F628" s="156" t="str">
        <f t="shared" si="68"/>
        <v/>
      </c>
      <c r="G628" s="157">
        <f t="shared" si="56"/>
        <v>32</v>
      </c>
      <c r="H628" s="151">
        <f t="shared" si="57"/>
        <v>12260</v>
      </c>
      <c r="I628" s="158">
        <f t="shared" si="62"/>
        <v>1226</v>
      </c>
      <c r="J628" s="159">
        <f ca="1" t="shared" si="63"/>
        <v>0.0304120663083139</v>
      </c>
      <c r="K628" s="157">
        <f t="shared" si="58"/>
        <v>1429</v>
      </c>
      <c r="L628" s="160">
        <f ca="1" t="shared" si="64"/>
        <v>46987.9285910062</v>
      </c>
      <c r="M628" s="157">
        <f t="shared" si="65"/>
        <v>44.65625</v>
      </c>
      <c r="U628" s="151">
        <v>109</v>
      </c>
      <c r="V628" s="157">
        <f ca="1">OFFSET(养成规划!$D$5,IFERROR(MATCH(U628,养成规划!$G$6:$G$38,1)+1,1),0)</f>
        <v>190</v>
      </c>
      <c r="W628" s="152">
        <f ca="1">((V628-_xlfn.MAXIFS($V$519:V627,$V$519:V627,"&lt;"&amp;V628))*$D$475)/COUNTIF($V$520:$V$819,V628)/6</f>
        <v>833.333333333333</v>
      </c>
      <c r="X628" s="157">
        <f t="shared" si="59"/>
        <v>8</v>
      </c>
      <c r="Y628" s="151">
        <f t="shared" si="66"/>
        <v>463</v>
      </c>
      <c r="Z628" s="156">
        <f ca="1">(SUM($W$520:W628)-SUM($Y$520:Y628))/SUM($W$520:W628)</f>
        <v>0.370165224232888</v>
      </c>
      <c r="AA628" s="151">
        <f t="shared" si="60"/>
        <v>800</v>
      </c>
      <c r="AB628" s="153">
        <f t="shared" si="67"/>
        <v>38200</v>
      </c>
      <c r="AC628" s="153">
        <f>SUM(Y$520:Y628)</f>
        <v>20013</v>
      </c>
      <c r="AD628" s="153">
        <f>INT(SUM(AB$520:AB628))</f>
        <v>1381400</v>
      </c>
      <c r="AE628" s="153">
        <f ca="1">INT(AC628*6/($D$475+AVERAGE(OFFSET(装备产出!$F$186,0,0,W628))))+1</f>
        <v>91</v>
      </c>
      <c r="AF628" s="154">
        <f t="shared" si="61"/>
        <v>69.025133663119</v>
      </c>
    </row>
    <row r="629" ht="17.25" spans="4:32">
      <c r="D629" s="151">
        <v>110</v>
      </c>
      <c r="E629" s="161" t="str">
        <f>IFERROR((INT(_xlfn.XLOOKUP(D629,养成规划!$G$6:$G$38,养成规划!$J$6:$J$38)/6)),"")</f>
        <v/>
      </c>
      <c r="F629" s="156" t="str">
        <f t="shared" si="68"/>
        <v/>
      </c>
      <c r="G629" s="157">
        <f t="shared" si="56"/>
        <v>32</v>
      </c>
      <c r="H629" s="151">
        <f t="shared" si="57"/>
        <v>12580</v>
      </c>
      <c r="I629" s="158">
        <f t="shared" si="62"/>
        <v>1258</v>
      </c>
      <c r="J629" s="159">
        <f ca="1" t="shared" si="63"/>
        <v>0.0289064830184006</v>
      </c>
      <c r="K629" s="157">
        <f t="shared" si="58"/>
        <v>1453</v>
      </c>
      <c r="L629" s="160">
        <f ca="1" t="shared" si="64"/>
        <v>50265.5407465198</v>
      </c>
      <c r="M629" s="157">
        <f t="shared" si="65"/>
        <v>45.40625</v>
      </c>
      <c r="U629" s="151">
        <v>110</v>
      </c>
      <c r="V629" s="157">
        <f ca="1">OFFSET(养成规划!$D$5,IFERROR(MATCH(U629,养成规划!$G$6:$G$38,1)+1,1),0)</f>
        <v>190</v>
      </c>
      <c r="W629" s="152">
        <f ca="1">((V629-_xlfn.MAXIFS($V$519:V628,$V$519:V628,"&lt;"&amp;V629))*$D$475)/COUNTIF($V$520:$V$819,V629)/6</f>
        <v>833.333333333333</v>
      </c>
      <c r="X629" s="157">
        <f t="shared" si="59"/>
        <v>8</v>
      </c>
      <c r="Y629" s="151">
        <f t="shared" si="66"/>
        <v>471</v>
      </c>
      <c r="Z629" s="156">
        <f ca="1">(SUM($W$520:W629)-SUM($Y$520:Y629))/SUM($W$520:W629)</f>
        <v>0.371817020189113</v>
      </c>
      <c r="AA629" s="151">
        <f t="shared" si="60"/>
        <v>800</v>
      </c>
      <c r="AB629" s="153">
        <f t="shared" si="67"/>
        <v>39000</v>
      </c>
      <c r="AC629" s="153">
        <f>SUM(Y$520:Y629)</f>
        <v>20484</v>
      </c>
      <c r="AD629" s="153">
        <f>INT(SUM(AB$520:AB629))</f>
        <v>1420400</v>
      </c>
      <c r="AE629" s="153">
        <f ca="1">INT(AC629*6/($D$475+AVERAGE(OFFSET(装备产出!$F$186,0,0,W629))))+1</f>
        <v>93</v>
      </c>
      <c r="AF629" s="154">
        <f t="shared" si="61"/>
        <v>69.3419254051943</v>
      </c>
    </row>
    <row r="630" ht="17.25" spans="4:32">
      <c r="D630" s="151">
        <v>111</v>
      </c>
      <c r="E630" s="161" t="str">
        <f>IFERROR((INT(_xlfn.XLOOKUP(D630,养成规划!$G$6:$G$38,养成规划!$J$6:$J$38)/6)),"")</f>
        <v/>
      </c>
      <c r="F630" s="156" t="str">
        <f t="shared" si="68"/>
        <v/>
      </c>
      <c r="G630" s="157">
        <f t="shared" si="56"/>
        <v>32</v>
      </c>
      <c r="H630" s="151">
        <f t="shared" si="57"/>
        <v>12900</v>
      </c>
      <c r="I630" s="158">
        <f t="shared" si="62"/>
        <v>1290</v>
      </c>
      <c r="J630" s="159">
        <f ca="1" t="shared" si="63"/>
        <v>0.0285712063536624</v>
      </c>
      <c r="K630" s="157">
        <f t="shared" si="58"/>
        <v>1477</v>
      </c>
      <c r="L630" s="160">
        <f ca="1" t="shared" si="64"/>
        <v>51695.4020672868</v>
      </c>
      <c r="M630" s="157">
        <f t="shared" si="65"/>
        <v>46.15625</v>
      </c>
      <c r="U630" s="151">
        <v>111</v>
      </c>
      <c r="V630" s="157">
        <f ca="1">OFFSET(养成规划!$D$5,IFERROR(MATCH(U630,养成规划!$G$6:$G$38,1)+1,1),0)</f>
        <v>190</v>
      </c>
      <c r="W630" s="152">
        <f ca="1">((V630-_xlfn.MAXIFS($V$519:V629,$V$519:V629,"&lt;"&amp;V630))*$D$475)/COUNTIF($V$520:$V$819,V630)/6</f>
        <v>833.333333333333</v>
      </c>
      <c r="X630" s="157">
        <f t="shared" si="59"/>
        <v>8</v>
      </c>
      <c r="Y630" s="151">
        <f t="shared" si="66"/>
        <v>479</v>
      </c>
      <c r="Z630" s="156">
        <f ca="1">(SUM($W$520:W630)-SUM($Y$520:Y630))/SUM($W$520:W630)</f>
        <v>0.373147271368054</v>
      </c>
      <c r="AA630" s="151">
        <f t="shared" si="60"/>
        <v>800</v>
      </c>
      <c r="AB630" s="153">
        <f t="shared" si="67"/>
        <v>39800</v>
      </c>
      <c r="AC630" s="153">
        <f>SUM(Y$520:Y630)</f>
        <v>20963</v>
      </c>
      <c r="AD630" s="153">
        <f>INT(SUM(AB$520:AB630))</f>
        <v>1460200</v>
      </c>
      <c r="AE630" s="153">
        <f ca="1">INT(AC630*6/($D$475+AVERAGE(OFFSET(装备产出!$F$186,0,0,W630))))+1</f>
        <v>95</v>
      </c>
      <c r="AF630" s="154">
        <f t="shared" si="61"/>
        <v>69.656060678338</v>
      </c>
    </row>
    <row r="631" ht="17.25" spans="4:32">
      <c r="D631" s="151">
        <v>112</v>
      </c>
      <c r="E631" s="161" t="str">
        <f>IFERROR((INT(_xlfn.XLOOKUP(D631,养成规划!$G$6:$G$38,养成规划!$J$6:$J$38)/6)),"")</f>
        <v/>
      </c>
      <c r="F631" s="156" t="str">
        <f t="shared" si="68"/>
        <v/>
      </c>
      <c r="G631" s="157">
        <f t="shared" si="56"/>
        <v>32</v>
      </c>
      <c r="H631" s="151">
        <f t="shared" si="57"/>
        <v>13220</v>
      </c>
      <c r="I631" s="158">
        <f t="shared" si="62"/>
        <v>1322</v>
      </c>
      <c r="J631" s="159">
        <f ca="1" t="shared" si="63"/>
        <v>0.0282436181231758</v>
      </c>
      <c r="K631" s="157">
        <f t="shared" si="58"/>
        <v>1501</v>
      </c>
      <c r="L631" s="160">
        <f ca="1" t="shared" si="64"/>
        <v>53144.7491413406</v>
      </c>
      <c r="M631" s="157">
        <f t="shared" si="65"/>
        <v>46.90625</v>
      </c>
      <c r="U631" s="151">
        <v>112</v>
      </c>
      <c r="V631" s="157">
        <f ca="1">OFFSET(养成规划!$D$5,IFERROR(MATCH(U631,养成规划!$G$6:$G$38,1)+1,1),0)</f>
        <v>250</v>
      </c>
      <c r="W631" s="152">
        <f ca="1">((V631-_xlfn.MAXIFS($V$519:V630,$V$519:V630,"&lt;"&amp;V631))*$D$475)/COUNTIF($V$520:$V$819,V631)/6</f>
        <v>833.333333333333</v>
      </c>
      <c r="X631" s="157">
        <f t="shared" si="59"/>
        <v>8</v>
      </c>
      <c r="Y631" s="151">
        <f t="shared" si="66"/>
        <v>487</v>
      </c>
      <c r="Z631" s="156">
        <f ca="1">(SUM($W$520:W631)-SUM($Y$520:Y631))/SUM($W$520:W631)</f>
        <v>0.37417943107221</v>
      </c>
      <c r="AA631" s="151">
        <f t="shared" si="60"/>
        <v>800</v>
      </c>
      <c r="AB631" s="153">
        <f t="shared" si="67"/>
        <v>40600</v>
      </c>
      <c r="AC631" s="153">
        <f>SUM(Y$520:Y631)</f>
        <v>21450</v>
      </c>
      <c r="AD631" s="153">
        <f>INT(SUM(AB$520:AB631))</f>
        <v>1500800</v>
      </c>
      <c r="AE631" s="153">
        <f ca="1">INT(AC631*6/($D$475+AVERAGE(OFFSET(装备产出!$F$186,0,0,W631))))+1</f>
        <v>97</v>
      </c>
      <c r="AF631" s="154">
        <f t="shared" si="61"/>
        <v>69.967365967366</v>
      </c>
    </row>
    <row r="632" ht="17.25" spans="4:32">
      <c r="D632" s="151">
        <v>113</v>
      </c>
      <c r="E632" s="161" t="str">
        <f>IFERROR((INT(_xlfn.XLOOKUP(D632,养成规划!$G$6:$G$38,养成规划!$J$6:$J$38)/6)),"")</f>
        <v/>
      </c>
      <c r="F632" s="156" t="str">
        <f t="shared" si="68"/>
        <v/>
      </c>
      <c r="G632" s="157">
        <f t="shared" si="56"/>
        <v>32</v>
      </c>
      <c r="H632" s="151">
        <f t="shared" si="57"/>
        <v>13540</v>
      </c>
      <c r="I632" s="158">
        <f t="shared" si="62"/>
        <v>1354</v>
      </c>
      <c r="J632" s="159">
        <f ca="1" t="shared" si="63"/>
        <v>0.0279234568597584</v>
      </c>
      <c r="K632" s="157">
        <f t="shared" si="58"/>
        <v>1525</v>
      </c>
      <c r="L632" s="160">
        <f ca="1" t="shared" si="64"/>
        <v>54613.5819665557</v>
      </c>
      <c r="M632" s="157">
        <f t="shared" si="65"/>
        <v>47.65625</v>
      </c>
      <c r="U632" s="151">
        <v>113</v>
      </c>
      <c r="V632" s="157">
        <f ca="1">OFFSET(养成规划!$D$5,IFERROR(MATCH(U632,养成规划!$G$6:$G$38,1)+1,1),0)</f>
        <v>250</v>
      </c>
      <c r="W632" s="152">
        <f ca="1">((V632-_xlfn.MAXIFS($V$519:V631,$V$519:V631,"&lt;"&amp;V632))*$D$475)/COUNTIF($V$520:$V$819,V632)/6</f>
        <v>833.333333333333</v>
      </c>
      <c r="X632" s="157">
        <f t="shared" si="59"/>
        <v>8</v>
      </c>
      <c r="Y632" s="151">
        <f t="shared" si="66"/>
        <v>495</v>
      </c>
      <c r="Z632" s="156">
        <f ca="1">(SUM($W$520:W632)-SUM($Y$520:Y632))/SUM($W$520:W632)</f>
        <v>0.374934725848564</v>
      </c>
      <c r="AA632" s="151">
        <f t="shared" si="60"/>
        <v>800</v>
      </c>
      <c r="AB632" s="153">
        <f t="shared" si="67"/>
        <v>41400</v>
      </c>
      <c r="AC632" s="153">
        <f>SUM(Y$520:Y632)</f>
        <v>21945</v>
      </c>
      <c r="AD632" s="153">
        <f>INT(SUM(AB$520:AB632))</f>
        <v>1542200</v>
      </c>
      <c r="AE632" s="153">
        <f ca="1">INT(AC632*6/($D$475+AVERAGE(OFFSET(装备产出!$F$186,0,0,W632))))+1</f>
        <v>100</v>
      </c>
      <c r="AF632" s="154">
        <f t="shared" si="61"/>
        <v>70.2756892230576</v>
      </c>
    </row>
    <row r="633" ht="17.25" spans="4:32">
      <c r="D633" s="151">
        <v>114</v>
      </c>
      <c r="E633" s="161" t="str">
        <f>IFERROR((INT(_xlfn.XLOOKUP(D633,养成规划!$G$6:$G$38,养成规划!$J$6:$J$38)/6)),"")</f>
        <v/>
      </c>
      <c r="F633" s="156" t="str">
        <f t="shared" si="68"/>
        <v/>
      </c>
      <c r="G633" s="157">
        <f t="shared" si="56"/>
        <v>32</v>
      </c>
      <c r="H633" s="151">
        <f t="shared" si="57"/>
        <v>13860</v>
      </c>
      <c r="I633" s="158">
        <f t="shared" si="62"/>
        <v>1386</v>
      </c>
      <c r="J633" s="159">
        <f ca="1" t="shared" si="63"/>
        <v>0.0276104728193782</v>
      </c>
      <c r="K633" s="157">
        <f t="shared" si="58"/>
        <v>1549</v>
      </c>
      <c r="L633" s="160">
        <f ca="1" t="shared" si="64"/>
        <v>56101.9005409008</v>
      </c>
      <c r="M633" s="157">
        <f t="shared" si="65"/>
        <v>48.40625</v>
      </c>
      <c r="U633" s="151">
        <v>114</v>
      </c>
      <c r="V633" s="157">
        <f ca="1">OFFSET(养成规划!$D$5,IFERROR(MATCH(U633,养成规划!$G$6:$G$38,1)+1,1),0)</f>
        <v>250</v>
      </c>
      <c r="W633" s="152">
        <f ca="1">((V633-_xlfn.MAXIFS($V$519:V632,$V$519:V632,"&lt;"&amp;V633))*$D$475)/COUNTIF($V$520:$V$819,V633)/6</f>
        <v>833.333333333333</v>
      </c>
      <c r="X633" s="157">
        <f t="shared" si="59"/>
        <v>8</v>
      </c>
      <c r="Y633" s="151">
        <f t="shared" si="66"/>
        <v>503</v>
      </c>
      <c r="Z633" s="156">
        <f ca="1">(SUM($W$520:W633)-SUM($Y$520:Y633))/SUM($W$520:W633)</f>
        <v>0.375432413633202</v>
      </c>
      <c r="AA633" s="151">
        <f t="shared" si="60"/>
        <v>800</v>
      </c>
      <c r="AB633" s="153">
        <f t="shared" si="67"/>
        <v>42200</v>
      </c>
      <c r="AC633" s="153">
        <f>SUM(Y$520:Y633)</f>
        <v>22448</v>
      </c>
      <c r="AD633" s="153">
        <f>INT(SUM(AB$520:AB633))</f>
        <v>1584400</v>
      </c>
      <c r="AE633" s="153">
        <f ca="1">INT(AC633*6/($D$475+AVERAGE(OFFSET(装备产出!$F$186,0,0,W633))))+1</f>
        <v>102</v>
      </c>
      <c r="AF633" s="154">
        <f t="shared" si="61"/>
        <v>70.5808980755524</v>
      </c>
    </row>
    <row r="634" ht="17.25" spans="4:32">
      <c r="D634" s="151">
        <v>115</v>
      </c>
      <c r="E634" s="161" t="str">
        <f>IFERROR((INT(_xlfn.XLOOKUP(D634,养成规划!$G$6:$G$38,养成规划!$J$6:$J$38)/6)),"")</f>
        <v/>
      </c>
      <c r="F634" s="156" t="str">
        <f t="shared" si="68"/>
        <v/>
      </c>
      <c r="G634" s="157">
        <f t="shared" si="56"/>
        <v>32</v>
      </c>
      <c r="H634" s="151">
        <f t="shared" si="57"/>
        <v>14180</v>
      </c>
      <c r="I634" s="158">
        <f t="shared" si="62"/>
        <v>1418</v>
      </c>
      <c r="J634" s="159">
        <f ca="1" t="shared" si="63"/>
        <v>0.0273044273314046</v>
      </c>
      <c r="K634" s="157">
        <f t="shared" si="58"/>
        <v>1573</v>
      </c>
      <c r="L634" s="160">
        <f ca="1" t="shared" si="64"/>
        <v>57609.7048624341</v>
      </c>
      <c r="M634" s="157">
        <f t="shared" si="65"/>
        <v>49.15625</v>
      </c>
      <c r="U634" s="151">
        <v>115</v>
      </c>
      <c r="V634" s="157">
        <f ca="1">OFFSET(养成规划!$D$5,IFERROR(MATCH(U634,养成规划!$G$6:$G$38,1)+1,1),0)</f>
        <v>250</v>
      </c>
      <c r="W634" s="152">
        <f ca="1">((V634-_xlfn.MAXIFS($V$519:V633,$V$519:V633,"&lt;"&amp;V634))*$D$475)/COUNTIF($V$520:$V$819,V634)/6</f>
        <v>833.333333333333</v>
      </c>
      <c r="X634" s="157">
        <f t="shared" si="59"/>
        <v>8</v>
      </c>
      <c r="Y634" s="151">
        <f t="shared" si="66"/>
        <v>511</v>
      </c>
      <c r="Z634" s="156">
        <f ca="1">(SUM($W$520:W634)-SUM($Y$520:Y634))/SUM($W$520:W634)</f>
        <v>0.375690006798097</v>
      </c>
      <c r="AA634" s="151">
        <f t="shared" si="60"/>
        <v>800</v>
      </c>
      <c r="AB634" s="153">
        <f t="shared" si="67"/>
        <v>43000</v>
      </c>
      <c r="AC634" s="153">
        <f>SUM(Y$520:Y634)</f>
        <v>22959</v>
      </c>
      <c r="AD634" s="153">
        <f>INT(SUM(AB$520:AB634))</f>
        <v>1627400</v>
      </c>
      <c r="AE634" s="153">
        <f ca="1">INT(AC634*6/($D$475+AVERAGE(OFFSET(装备产出!$F$186,0,0,W634))))+1</f>
        <v>104</v>
      </c>
      <c r="AF634" s="154">
        <f t="shared" si="61"/>
        <v>70.8828781741365</v>
      </c>
    </row>
    <row r="635" ht="17.25" spans="4:32">
      <c r="D635" s="151">
        <v>116</v>
      </c>
      <c r="E635" s="161" t="str">
        <f>IFERROR((INT(_xlfn.XLOOKUP(D635,养成规划!$G$6:$G$38,养成规划!$J$6:$J$38)/6)),"")</f>
        <v/>
      </c>
      <c r="F635" s="156" t="str">
        <f t="shared" si="68"/>
        <v/>
      </c>
      <c r="G635" s="157">
        <f t="shared" si="56"/>
        <v>36</v>
      </c>
      <c r="H635" s="151">
        <f t="shared" si="57"/>
        <v>14540</v>
      </c>
      <c r="I635" s="158">
        <f t="shared" si="62"/>
        <v>1454</v>
      </c>
      <c r="J635" s="159">
        <f ca="1" t="shared" si="63"/>
        <v>0.0303600073612108</v>
      </c>
      <c r="K635" s="157">
        <f t="shared" si="58"/>
        <v>1597</v>
      </c>
      <c r="L635" s="160">
        <f ca="1" t="shared" si="64"/>
        <v>52602.0952827698</v>
      </c>
      <c r="M635" s="157">
        <f t="shared" si="65"/>
        <v>44.3611111111111</v>
      </c>
      <c r="U635" s="151">
        <v>116</v>
      </c>
      <c r="V635" s="157">
        <f ca="1">OFFSET(养成规划!$D$5,IFERROR(MATCH(U635,养成规划!$G$6:$G$38,1)+1,1),0)</f>
        <v>250</v>
      </c>
      <c r="W635" s="152">
        <f ca="1">((V635-_xlfn.MAXIFS($V$519:V634,$V$519:V634,"&lt;"&amp;V635))*$D$475)/COUNTIF($V$520:$V$819,V635)/6</f>
        <v>833.333333333333</v>
      </c>
      <c r="X635" s="157">
        <f t="shared" si="59"/>
        <v>8</v>
      </c>
      <c r="Y635" s="151">
        <f t="shared" si="66"/>
        <v>519</v>
      </c>
      <c r="Z635" s="156">
        <f ca="1">(SUM($W$520:W635)-SUM($Y$520:Y635))/SUM($W$520:W635)</f>
        <v>0.375723465543984</v>
      </c>
      <c r="AA635" s="151">
        <f t="shared" si="60"/>
        <v>800</v>
      </c>
      <c r="AB635" s="153">
        <f t="shared" si="67"/>
        <v>43800</v>
      </c>
      <c r="AC635" s="153">
        <f>SUM(Y$520:Y635)</f>
        <v>23478</v>
      </c>
      <c r="AD635" s="153">
        <f>INT(SUM(AB$520:AB635))</f>
        <v>1671200</v>
      </c>
      <c r="AE635" s="153">
        <f ca="1">INT(AC635*6/($D$475+AVERAGE(OFFSET(装备产出!$F$186,0,0,W635))))+1</f>
        <v>107</v>
      </c>
      <c r="AF635" s="154">
        <f t="shared" si="61"/>
        <v>71.1815316466479</v>
      </c>
    </row>
    <row r="636" ht="17.25" spans="4:32">
      <c r="D636" s="151">
        <v>117</v>
      </c>
      <c r="E636" s="161" t="str">
        <f>IFERROR((INT(_xlfn.XLOOKUP(D636,养成规划!$G$6:$G$38,养成规划!$J$6:$J$38)/6)),"")</f>
        <v/>
      </c>
      <c r="F636" s="156" t="str">
        <f t="shared" si="68"/>
        <v/>
      </c>
      <c r="G636" s="157">
        <f t="shared" si="56"/>
        <v>36</v>
      </c>
      <c r="H636" s="151">
        <f t="shared" si="57"/>
        <v>14900</v>
      </c>
      <c r="I636" s="158">
        <f t="shared" si="62"/>
        <v>1490</v>
      </c>
      <c r="J636" s="159">
        <f ca="1" t="shared" si="63"/>
        <v>0.0299903802283917</v>
      </c>
      <c r="K636" s="157">
        <f t="shared" si="58"/>
        <v>1621</v>
      </c>
      <c r="L636" s="160">
        <f ca="1" t="shared" si="64"/>
        <v>54050.6651684732</v>
      </c>
      <c r="M636" s="157">
        <f t="shared" si="65"/>
        <v>45.0277777777778</v>
      </c>
      <c r="U636" s="151">
        <v>117</v>
      </c>
      <c r="V636" s="157">
        <f ca="1">OFFSET(养成规划!$D$5,IFERROR(MATCH(U636,养成规划!$G$6:$G$38,1)+1,1),0)</f>
        <v>250</v>
      </c>
      <c r="W636" s="152">
        <f ca="1">((V636-_xlfn.MAXIFS($V$519:V635,$V$519:V635,"&lt;"&amp;V636))*$D$475)/COUNTIF($V$520:$V$819,V636)/6</f>
        <v>833.333333333333</v>
      </c>
      <c r="X636" s="157">
        <f t="shared" si="59"/>
        <v>8</v>
      </c>
      <c r="Y636" s="151">
        <f t="shared" si="66"/>
        <v>527</v>
      </c>
      <c r="Z636" s="156">
        <f ca="1">(SUM($W$520:W636)-SUM($Y$520:Y636))/SUM($W$520:W636)</f>
        <v>0.375547366139172</v>
      </c>
      <c r="AA636" s="151">
        <f t="shared" si="60"/>
        <v>800</v>
      </c>
      <c r="AB636" s="153">
        <f t="shared" si="67"/>
        <v>44600</v>
      </c>
      <c r="AC636" s="153">
        <f>SUM(Y$520:Y636)</f>
        <v>24005</v>
      </c>
      <c r="AD636" s="153">
        <f>INT(SUM(AB$520:AB636))</f>
        <v>1715800</v>
      </c>
      <c r="AE636" s="153">
        <f ca="1">INT(AC636*6/($D$475+AVERAGE(OFFSET(装备产出!$F$186,0,0,W636))))+1</f>
        <v>109</v>
      </c>
      <c r="AF636" s="154">
        <f t="shared" si="61"/>
        <v>71.4767756717351</v>
      </c>
    </row>
    <row r="637" ht="17.25" spans="4:32">
      <c r="D637" s="151">
        <v>118</v>
      </c>
      <c r="E637" s="161" t="str">
        <f>IFERROR((INT(_xlfn.XLOOKUP(D637,养成规划!$G$6:$G$38,养成规划!$J$6:$J$38)/6)),"")</f>
        <v/>
      </c>
      <c r="F637" s="156" t="str">
        <f t="shared" si="68"/>
        <v/>
      </c>
      <c r="G637" s="157">
        <f t="shared" si="56"/>
        <v>36</v>
      </c>
      <c r="H637" s="151">
        <f t="shared" si="57"/>
        <v>15260</v>
      </c>
      <c r="I637" s="158">
        <f t="shared" si="62"/>
        <v>1526</v>
      </c>
      <c r="J637" s="159">
        <f ca="1" t="shared" si="63"/>
        <v>0.029629645219854</v>
      </c>
      <c r="K637" s="157">
        <f t="shared" si="58"/>
        <v>1645</v>
      </c>
      <c r="L637" s="160">
        <f ca="1" t="shared" si="64"/>
        <v>55518.7207877107</v>
      </c>
      <c r="M637" s="157">
        <f t="shared" si="65"/>
        <v>45.6944444444444</v>
      </c>
      <c r="U637" s="151">
        <v>118</v>
      </c>
      <c r="V637" s="157">
        <f ca="1">OFFSET(养成规划!$D$5,IFERROR(MATCH(U637,养成规划!$G$6:$G$38,1)+1,1),0)</f>
        <v>250</v>
      </c>
      <c r="W637" s="152">
        <f ca="1">((V637-_xlfn.MAXIFS($V$519:V636,$V$519:V636,"&lt;"&amp;V637))*$D$475)/COUNTIF($V$520:$V$819,V637)/6</f>
        <v>833.333333333333</v>
      </c>
      <c r="X637" s="157">
        <f t="shared" si="59"/>
        <v>8</v>
      </c>
      <c r="Y637" s="151">
        <f t="shared" si="66"/>
        <v>535</v>
      </c>
      <c r="Z637" s="156">
        <f ca="1">(SUM($W$520:W637)-SUM($Y$520:Y637))/SUM($W$520:W637)</f>
        <v>0.375175047740293</v>
      </c>
      <c r="AA637" s="151">
        <f t="shared" si="60"/>
        <v>800</v>
      </c>
      <c r="AB637" s="153">
        <f t="shared" si="67"/>
        <v>45400</v>
      </c>
      <c r="AC637" s="153">
        <f>SUM(Y$520:Y637)</f>
        <v>24540</v>
      </c>
      <c r="AD637" s="153">
        <f>INT(SUM(AB$520:AB637))</f>
        <v>1761200</v>
      </c>
      <c r="AE637" s="153">
        <f ca="1">INT(AC637*6/($D$475+AVERAGE(OFFSET(装备产出!$F$186,0,0,W637))))+1</f>
        <v>111</v>
      </c>
      <c r="AF637" s="154">
        <f t="shared" si="61"/>
        <v>71.7685411572942</v>
      </c>
    </row>
    <row r="638" ht="17.25" spans="4:32">
      <c r="D638" s="151">
        <v>119</v>
      </c>
      <c r="E638" s="161" t="str">
        <f>IFERROR((INT(_xlfn.XLOOKUP(D638,养成规划!$G$6:$G$38,养成规划!$J$6:$J$38)/6)),"")</f>
        <v/>
      </c>
      <c r="F638" s="156" t="str">
        <f t="shared" si="68"/>
        <v/>
      </c>
      <c r="G638" s="157">
        <f t="shared" si="56"/>
        <v>36</v>
      </c>
      <c r="H638" s="151">
        <f t="shared" si="57"/>
        <v>15620</v>
      </c>
      <c r="I638" s="158">
        <f t="shared" si="62"/>
        <v>1562</v>
      </c>
      <c r="J638" s="159">
        <f ca="1" t="shared" si="63"/>
        <v>0.0292774852687533</v>
      </c>
      <c r="K638" s="157">
        <f t="shared" si="58"/>
        <v>1669</v>
      </c>
      <c r="L638" s="160">
        <f ca="1" t="shared" si="64"/>
        <v>57006.262138957</v>
      </c>
      <c r="M638" s="157">
        <f t="shared" si="65"/>
        <v>46.3611111111111</v>
      </c>
      <c r="U638" s="151">
        <v>119</v>
      </c>
      <c r="V638" s="157">
        <f ca="1">OFFSET(养成规划!$D$5,IFERROR(MATCH(U638,养成规划!$G$6:$G$38,1)+1,1),0)</f>
        <v>250</v>
      </c>
      <c r="W638" s="152">
        <f ca="1">((V638-_xlfn.MAXIFS($V$519:V637,$V$519:V637,"&lt;"&amp;V638))*$D$475)/COUNTIF($V$520:$V$819,V638)/6</f>
        <v>833.333333333333</v>
      </c>
      <c r="X638" s="157">
        <f t="shared" si="59"/>
        <v>8</v>
      </c>
      <c r="Y638" s="151">
        <f t="shared" si="66"/>
        <v>543</v>
      </c>
      <c r="Z638" s="156">
        <f ca="1">(SUM($W$520:W638)-SUM($Y$520:Y638))/SUM($W$520:W638)</f>
        <v>0.374618740910036</v>
      </c>
      <c r="AA638" s="151">
        <f t="shared" si="60"/>
        <v>800</v>
      </c>
      <c r="AB638" s="153">
        <f t="shared" si="67"/>
        <v>46200</v>
      </c>
      <c r="AC638" s="153">
        <f>SUM(Y$520:Y638)</f>
        <v>25083</v>
      </c>
      <c r="AD638" s="153">
        <f>INT(SUM(AB$520:AB638))</f>
        <v>1807400</v>
      </c>
      <c r="AE638" s="153">
        <f ca="1">INT(AC638*6/($D$475+AVERAGE(OFFSET(装备产出!$F$186,0,0,W638))))+1</f>
        <v>114</v>
      </c>
      <c r="AF638" s="154">
        <f t="shared" si="61"/>
        <v>72.0567715185584</v>
      </c>
    </row>
    <row r="639" ht="17.25" spans="4:32">
      <c r="D639" s="151">
        <v>120</v>
      </c>
      <c r="E639" s="161" t="str">
        <f>IFERROR((INT(_xlfn.XLOOKUP(D639,养成规划!$G$6:$G$38,养成规划!$J$6:$J$38)/6)),"")</f>
        <v/>
      </c>
      <c r="F639" s="156" t="str">
        <f t="shared" si="68"/>
        <v/>
      </c>
      <c r="G639" s="157">
        <f t="shared" si="56"/>
        <v>36</v>
      </c>
      <c r="H639" s="151">
        <f t="shared" si="57"/>
        <v>15980</v>
      </c>
      <c r="I639" s="158">
        <f t="shared" si="62"/>
        <v>1598</v>
      </c>
      <c r="J639" s="159">
        <f ca="1" t="shared" si="63"/>
        <v>0.0279928703539725</v>
      </c>
      <c r="K639" s="157">
        <f t="shared" si="58"/>
        <v>1693</v>
      </c>
      <c r="L639" s="160">
        <f ca="1" t="shared" si="64"/>
        <v>60479.6856696671</v>
      </c>
      <c r="M639" s="157">
        <f t="shared" si="65"/>
        <v>47.0277777777778</v>
      </c>
      <c r="U639" s="151">
        <v>120</v>
      </c>
      <c r="V639" s="157">
        <f ca="1">OFFSET(养成规划!$D$5,IFERROR(MATCH(U639,养成规划!$G$6:$G$38,1)+1,1),0)</f>
        <v>250</v>
      </c>
      <c r="W639" s="152">
        <f ca="1">((V639-_xlfn.MAXIFS($V$519:V638,$V$519:V638,"&lt;"&amp;V639))*$D$475)/COUNTIF($V$520:$V$819,V639)/6</f>
        <v>833.333333333333</v>
      </c>
      <c r="X639" s="157">
        <f t="shared" si="59"/>
        <v>8</v>
      </c>
      <c r="Y639" s="151">
        <f t="shared" si="66"/>
        <v>551</v>
      </c>
      <c r="Z639" s="156">
        <f ca="1">(SUM($W$520:W639)-SUM($Y$520:Y639))/SUM($W$520:W639)</f>
        <v>0.37388968043965</v>
      </c>
      <c r="AA639" s="151">
        <f t="shared" si="60"/>
        <v>800</v>
      </c>
      <c r="AB639" s="153">
        <f t="shared" si="67"/>
        <v>47000</v>
      </c>
      <c r="AC639" s="153">
        <f>SUM(Y$520:Y639)</f>
        <v>25634</v>
      </c>
      <c r="AD639" s="153">
        <f>INT(SUM(AB$520:AB639))</f>
        <v>1854400</v>
      </c>
      <c r="AE639" s="153">
        <f ca="1">INT(AC639*6/($D$475+AVERAGE(OFFSET(装备产出!$F$186,0,0,W639))))+1</f>
        <v>116</v>
      </c>
      <c r="AF639" s="154">
        <f t="shared" si="61"/>
        <v>72.3414215495046</v>
      </c>
    </row>
    <row r="640" ht="17.25" spans="4:32">
      <c r="D640" s="151">
        <v>121</v>
      </c>
      <c r="E640" s="161" t="str">
        <f>IFERROR((INT(_xlfn.XLOOKUP(D640,养成规划!$G$6:$G$38,养成规划!$J$6:$J$38)/6)),"")</f>
        <v/>
      </c>
      <c r="F640" s="156" t="str">
        <f t="shared" si="68"/>
        <v/>
      </c>
      <c r="G640" s="157">
        <f t="shared" si="56"/>
        <v>36</v>
      </c>
      <c r="H640" s="151">
        <f t="shared" si="57"/>
        <v>16340</v>
      </c>
      <c r="I640" s="158">
        <f t="shared" si="62"/>
        <v>1634</v>
      </c>
      <c r="J640" s="159">
        <f ca="1" t="shared" si="63"/>
        <v>0.0276783370650054</v>
      </c>
      <c r="K640" s="157">
        <f t="shared" si="58"/>
        <v>1717</v>
      </c>
      <c r="L640" s="160">
        <f ca="1" t="shared" si="64"/>
        <v>62034.0736499976</v>
      </c>
      <c r="M640" s="157">
        <f t="shared" si="65"/>
        <v>47.6944444444444</v>
      </c>
      <c r="U640" s="151">
        <v>121</v>
      </c>
      <c r="V640" s="157">
        <f ca="1">OFFSET(养成规划!$D$5,IFERROR(MATCH(U640,养成规划!$G$6:$G$38,1)+1,1),0)</f>
        <v>250</v>
      </c>
      <c r="W640" s="152">
        <f ca="1">((V640-_xlfn.MAXIFS($V$519:V639,$V$519:V639,"&lt;"&amp;V640))*$D$475)/COUNTIF($V$520:$V$819,V640)/6</f>
        <v>833.333333333333</v>
      </c>
      <c r="X640" s="157">
        <f t="shared" si="59"/>
        <v>8</v>
      </c>
      <c r="Y640" s="151">
        <f t="shared" si="66"/>
        <v>559</v>
      </c>
      <c r="Z640" s="156">
        <f ca="1">(SUM($W$520:W640)-SUM($Y$520:Y640))/SUM($W$520:W640)</f>
        <v>0.372998204667864</v>
      </c>
      <c r="AA640" s="151">
        <f t="shared" si="60"/>
        <v>800</v>
      </c>
      <c r="AB640" s="153">
        <f t="shared" si="67"/>
        <v>47800</v>
      </c>
      <c r="AC640" s="153">
        <f>SUM(Y$520:Y640)</f>
        <v>26193</v>
      </c>
      <c r="AD640" s="153">
        <f>INT(SUM(AB$520:AB640))</f>
        <v>1902200</v>
      </c>
      <c r="AE640" s="153">
        <f ca="1">INT(AC640*6/($D$475+AVERAGE(OFFSET(装备产出!$F$186,0,0,W640))))+1</f>
        <v>119</v>
      </c>
      <c r="AF640" s="154">
        <f t="shared" si="61"/>
        <v>72.622456381476</v>
      </c>
    </row>
    <row r="641" ht="17.25" spans="4:32">
      <c r="D641" s="151">
        <v>122</v>
      </c>
      <c r="E641" s="161" t="str">
        <f>IFERROR((INT(_xlfn.XLOOKUP(D641,养成规划!$G$6:$G$38,养成规划!$J$6:$J$38)/6)),"")</f>
        <v/>
      </c>
      <c r="F641" s="156" t="str">
        <f t="shared" si="68"/>
        <v/>
      </c>
      <c r="G641" s="157">
        <f t="shared" si="56"/>
        <v>36</v>
      </c>
      <c r="H641" s="151">
        <f t="shared" si="57"/>
        <v>16700</v>
      </c>
      <c r="I641" s="158">
        <f t="shared" si="62"/>
        <v>1670</v>
      </c>
      <c r="J641" s="159">
        <f ca="1" t="shared" si="63"/>
        <v>0.0273707936228608</v>
      </c>
      <c r="K641" s="157">
        <f t="shared" si="58"/>
        <v>1741</v>
      </c>
      <c r="L641" s="160">
        <f ca="1" t="shared" si="64"/>
        <v>63607.9473613023</v>
      </c>
      <c r="M641" s="157">
        <f t="shared" si="65"/>
        <v>48.3611111111111</v>
      </c>
      <c r="U641" s="151">
        <v>122</v>
      </c>
      <c r="V641" s="157">
        <f ca="1">OFFSET(养成规划!$D$5,IFERROR(MATCH(U641,养成规划!$G$6:$G$38,1)+1,1),0)</f>
        <v>250</v>
      </c>
      <c r="W641" s="152">
        <f ca="1">((V641-_xlfn.MAXIFS($V$519:V640,$V$519:V640,"&lt;"&amp;V641))*$D$475)/COUNTIF($V$520:$V$819,V641)/6</f>
        <v>833.333333333333</v>
      </c>
      <c r="X641" s="157">
        <f t="shared" si="59"/>
        <v>8</v>
      </c>
      <c r="Y641" s="151">
        <f t="shared" si="66"/>
        <v>567</v>
      </c>
      <c r="Z641" s="156">
        <f ca="1">(SUM($W$520:W641)-SUM($Y$520:Y641))/SUM($W$520:W641)</f>
        <v>0.371953843144925</v>
      </c>
      <c r="AA641" s="151">
        <f t="shared" si="60"/>
        <v>800</v>
      </c>
      <c r="AB641" s="153">
        <f t="shared" si="67"/>
        <v>48600</v>
      </c>
      <c r="AC641" s="153">
        <f>SUM(Y$520:Y641)</f>
        <v>26760</v>
      </c>
      <c r="AD641" s="153">
        <f>INT(SUM(AB$520:AB641))</f>
        <v>1950800</v>
      </c>
      <c r="AE641" s="153">
        <f ca="1">INT(AC641*6/($D$475+AVERAGE(OFFSET(装备产出!$F$186,0,0,W641))))+1</f>
        <v>121</v>
      </c>
      <c r="AF641" s="154">
        <f t="shared" si="61"/>
        <v>72.8998505231689</v>
      </c>
    </row>
    <row r="642" ht="17.25" spans="4:32">
      <c r="D642" s="151">
        <v>123</v>
      </c>
      <c r="E642" s="161" t="str">
        <f>IFERROR((INT(_xlfn.XLOOKUP(D642,养成规划!$G$6:$G$38,养成规划!$J$6:$J$38)/6)),"")</f>
        <v/>
      </c>
      <c r="F642" s="156" t="str">
        <f t="shared" si="68"/>
        <v/>
      </c>
      <c r="G642" s="157">
        <f t="shared" si="56"/>
        <v>36</v>
      </c>
      <c r="H642" s="151">
        <f t="shared" si="57"/>
        <v>17060</v>
      </c>
      <c r="I642" s="158">
        <f t="shared" si="62"/>
        <v>1706</v>
      </c>
      <c r="J642" s="159">
        <f ca="1" t="shared" si="63"/>
        <v>0.0270700095835941</v>
      </c>
      <c r="K642" s="157">
        <f t="shared" si="58"/>
        <v>1765</v>
      </c>
      <c r="L642" s="160">
        <f ca="1" t="shared" si="64"/>
        <v>65201.3068022586</v>
      </c>
      <c r="M642" s="157">
        <f t="shared" si="65"/>
        <v>49.0277777777778</v>
      </c>
      <c r="U642" s="151">
        <v>123</v>
      </c>
      <c r="V642" s="157">
        <f ca="1">OFFSET(养成规划!$D$5,IFERROR(MATCH(U642,养成规划!$G$6:$G$38,1)+1,1),0)</f>
        <v>250</v>
      </c>
      <c r="W642" s="152">
        <f ca="1">((V642-_xlfn.MAXIFS($V$519:V641,$V$519:V641,"&lt;"&amp;V642))*$D$475)/COUNTIF($V$520:$V$819,V642)/6</f>
        <v>833.333333333333</v>
      </c>
      <c r="X642" s="157">
        <f t="shared" si="59"/>
        <v>8</v>
      </c>
      <c r="Y642" s="151">
        <f t="shared" si="66"/>
        <v>575</v>
      </c>
      <c r="Z642" s="156">
        <f ca="1">(SUM($W$520:W642)-SUM($Y$520:Y642))/SUM($W$520:W642)</f>
        <v>0.370765394206791</v>
      </c>
      <c r="AA642" s="151">
        <f t="shared" si="60"/>
        <v>800</v>
      </c>
      <c r="AB642" s="153">
        <f t="shared" si="67"/>
        <v>49400</v>
      </c>
      <c r="AC642" s="153">
        <f>SUM(Y$520:Y642)</f>
        <v>27335</v>
      </c>
      <c r="AD642" s="153">
        <f>INT(SUM(AB$520:AB642))</f>
        <v>2000200</v>
      </c>
      <c r="AE642" s="153">
        <f ca="1">INT(AC642*6/($D$475+AVERAGE(OFFSET(装备产出!$F$186,0,0,W642))))+1</f>
        <v>124</v>
      </c>
      <c r="AF642" s="154">
        <f t="shared" si="61"/>
        <v>73.1735869764039</v>
      </c>
    </row>
    <row r="643" ht="17.25" spans="4:32">
      <c r="D643" s="151">
        <v>124</v>
      </c>
      <c r="E643" s="161" t="str">
        <f>IFERROR((INT(_xlfn.XLOOKUP(D643,养成规划!$G$6:$G$38,养成规划!$J$6:$J$38)/6)),"")</f>
        <v/>
      </c>
      <c r="F643" s="156" t="str">
        <f t="shared" si="68"/>
        <v/>
      </c>
      <c r="G643" s="157">
        <f t="shared" si="56"/>
        <v>36</v>
      </c>
      <c r="H643" s="151">
        <f t="shared" si="57"/>
        <v>17420</v>
      </c>
      <c r="I643" s="158">
        <f t="shared" si="62"/>
        <v>1742</v>
      </c>
      <c r="J643" s="159">
        <f ca="1" t="shared" si="63"/>
        <v>0.0267757645230692</v>
      </c>
      <c r="K643" s="157">
        <f t="shared" si="58"/>
        <v>1789</v>
      </c>
      <c r="L643" s="160">
        <f ca="1" t="shared" si="64"/>
        <v>66814.1519715955</v>
      </c>
      <c r="M643" s="157">
        <f t="shared" si="65"/>
        <v>49.6944444444444</v>
      </c>
      <c r="U643" s="151">
        <v>124</v>
      </c>
      <c r="V643" s="157">
        <f ca="1">OFFSET(养成规划!$D$5,IFERROR(MATCH(U643,养成规划!$G$6:$G$38,1)+1,1),0)</f>
        <v>310</v>
      </c>
      <c r="W643" s="152">
        <f ca="1">((V643-_xlfn.MAXIFS($V$519:V642,$V$519:V642,"&lt;"&amp;V643))*$D$475)/COUNTIF($V$520:$V$819,V643)/6</f>
        <v>833.333333333333</v>
      </c>
      <c r="X643" s="157">
        <f t="shared" si="59"/>
        <v>8</v>
      </c>
      <c r="Y643" s="151">
        <f t="shared" si="66"/>
        <v>583</v>
      </c>
      <c r="Z643" s="156">
        <f ca="1">(SUM($W$520:W643)-SUM($Y$520:Y643))/SUM($W$520:W643)</f>
        <v>0.36944099378882</v>
      </c>
      <c r="AA643" s="151">
        <f t="shared" si="60"/>
        <v>800</v>
      </c>
      <c r="AB643" s="153">
        <f t="shared" si="67"/>
        <v>50200</v>
      </c>
      <c r="AC643" s="153">
        <f>SUM(Y$520:Y643)</f>
        <v>27918</v>
      </c>
      <c r="AD643" s="153">
        <f>INT(SUM(AB$520:AB643))</f>
        <v>2050400</v>
      </c>
      <c r="AE643" s="153">
        <f ca="1">INT(AC643*6/($D$475+AVERAGE(OFFSET(装备产出!$F$186,0,0,W643))))+1</f>
        <v>127</v>
      </c>
      <c r="AF643" s="154">
        <f t="shared" si="61"/>
        <v>73.4436564223798</v>
      </c>
    </row>
    <row r="644" ht="17.25" spans="4:32">
      <c r="D644" s="151">
        <v>125</v>
      </c>
      <c r="E644" s="161" t="str">
        <f>IFERROR((INT(_xlfn.XLOOKUP(D644,养成规划!$G$6:$G$38,养成规划!$J$6:$J$38)/6)),"")</f>
        <v/>
      </c>
      <c r="F644" s="156" t="str">
        <f t="shared" si="68"/>
        <v/>
      </c>
      <c r="G644" s="157">
        <f t="shared" si="56"/>
        <v>36</v>
      </c>
      <c r="H644" s="151">
        <f t="shared" si="57"/>
        <v>17780</v>
      </c>
      <c r="I644" s="158">
        <f t="shared" si="62"/>
        <v>1778</v>
      </c>
      <c r="J644" s="159">
        <f ca="1" t="shared" si="63"/>
        <v>0.0264878474982229</v>
      </c>
      <c r="K644" s="157">
        <f t="shared" si="58"/>
        <v>1813</v>
      </c>
      <c r="L644" s="160">
        <f ca="1" t="shared" si="64"/>
        <v>68446.4828681014</v>
      </c>
      <c r="M644" s="157">
        <f t="shared" si="65"/>
        <v>50.3611111111111</v>
      </c>
      <c r="U644" s="151">
        <v>125</v>
      </c>
      <c r="V644" s="157">
        <f ca="1">OFFSET(养成规划!$D$5,IFERROR(MATCH(U644,养成规划!$G$6:$G$38,1)+1,1),0)</f>
        <v>310</v>
      </c>
      <c r="W644" s="152">
        <f ca="1">((V644-_xlfn.MAXIFS($V$519:V643,$V$519:V643,"&lt;"&amp;V644))*$D$475)/COUNTIF($V$520:$V$819,V644)/6</f>
        <v>833.333333333333</v>
      </c>
      <c r="X644" s="157">
        <f t="shared" si="59"/>
        <v>8</v>
      </c>
      <c r="Y644" s="151">
        <f t="shared" si="66"/>
        <v>591</v>
      </c>
      <c r="Z644" s="156">
        <f ca="1">(SUM($W$520:W644)-SUM($Y$520:Y644))/SUM($W$520:W644)</f>
        <v>0.367988176611861</v>
      </c>
      <c r="AA644" s="151">
        <f t="shared" si="60"/>
        <v>800</v>
      </c>
      <c r="AB644" s="153">
        <f t="shared" si="67"/>
        <v>51000</v>
      </c>
      <c r="AC644" s="153">
        <f>SUM(Y$520:Y644)</f>
        <v>28509</v>
      </c>
      <c r="AD644" s="153">
        <f>INT(SUM(AB$520:AB644))</f>
        <v>2101400</v>
      </c>
      <c r="AE644" s="153">
        <f ca="1">INT(AC644*6/($D$475+AVERAGE(OFFSET(装备产出!$F$186,0,0,W644))))+1</f>
        <v>129</v>
      </c>
      <c r="AF644" s="154">
        <f t="shared" si="61"/>
        <v>73.7100564733944</v>
      </c>
    </row>
    <row r="645" ht="17.25" spans="4:32">
      <c r="D645" s="151">
        <v>126</v>
      </c>
      <c r="E645" s="161" t="str">
        <f>IFERROR((INT(_xlfn.XLOOKUP(D645,养成规划!$G$6:$G$38,养成规划!$J$6:$J$38)/6)),"")</f>
        <v/>
      </c>
      <c r="F645" s="156" t="str">
        <f t="shared" si="68"/>
        <v/>
      </c>
      <c r="G645" s="157">
        <f t="shared" si="56"/>
        <v>40</v>
      </c>
      <c r="H645" s="151">
        <f t="shared" si="57"/>
        <v>18180</v>
      </c>
      <c r="I645" s="158">
        <f t="shared" si="62"/>
        <v>1818</v>
      </c>
      <c r="J645" s="159">
        <f ca="1" t="shared" si="63"/>
        <v>0.0291007056214312</v>
      </c>
      <c r="K645" s="157">
        <f t="shared" si="58"/>
        <v>1837</v>
      </c>
      <c r="L645" s="160">
        <f ca="1" t="shared" si="64"/>
        <v>63125.6170863137</v>
      </c>
      <c r="M645" s="157">
        <f t="shared" si="65"/>
        <v>45.925</v>
      </c>
      <c r="U645" s="151">
        <v>126</v>
      </c>
      <c r="V645" s="157">
        <f ca="1">OFFSET(养成规划!$D$5,IFERROR(MATCH(U645,养成规划!$G$6:$G$38,1)+1,1),0)</f>
        <v>310</v>
      </c>
      <c r="W645" s="152">
        <f ca="1">((V645-_xlfn.MAXIFS($V$519:V644,$V$519:V644,"&lt;"&amp;V645))*$D$475)/COUNTIF($V$520:$V$819,V645)/6</f>
        <v>833.333333333333</v>
      </c>
      <c r="X645" s="157">
        <f t="shared" si="59"/>
        <v>8</v>
      </c>
      <c r="Y645" s="151">
        <f t="shared" si="66"/>
        <v>599</v>
      </c>
      <c r="Z645" s="156">
        <f ca="1">(SUM($W$520:W645)-SUM($Y$520:Y645))/SUM($W$520:W645)</f>
        <v>0.366413930709233</v>
      </c>
      <c r="AA645" s="151">
        <f t="shared" si="60"/>
        <v>800</v>
      </c>
      <c r="AB645" s="153">
        <f t="shared" si="67"/>
        <v>51800</v>
      </c>
      <c r="AC645" s="153">
        <f>SUM(Y$520:Y645)</f>
        <v>29108</v>
      </c>
      <c r="AD645" s="153">
        <f>INT(SUM(AB$520:AB645))</f>
        <v>2153200</v>
      </c>
      <c r="AE645" s="153">
        <f ca="1">INT(AC645*6/($D$475+AVERAGE(OFFSET(装备产出!$F$186,0,0,W645))))+1</f>
        <v>132</v>
      </c>
      <c r="AF645" s="154">
        <f t="shared" si="61"/>
        <v>73.9727909852961</v>
      </c>
    </row>
    <row r="646" ht="17.25" spans="4:32">
      <c r="D646" s="151">
        <v>127</v>
      </c>
      <c r="E646" s="161" t="str">
        <f>IFERROR((INT(_xlfn.XLOOKUP(D646,养成规划!$G$6:$G$38,养成规划!$J$6:$J$38)/6)),"")</f>
        <v/>
      </c>
      <c r="F646" s="156" t="str">
        <f t="shared" si="68"/>
        <v/>
      </c>
      <c r="G646" s="157">
        <f t="shared" si="56"/>
        <v>40</v>
      </c>
      <c r="H646" s="151">
        <f t="shared" si="57"/>
        <v>18580</v>
      </c>
      <c r="I646" s="158">
        <f t="shared" si="62"/>
        <v>1858</v>
      </c>
      <c r="J646" s="159">
        <f ca="1" t="shared" si="63"/>
        <v>0.0287609348019024</v>
      </c>
      <c r="K646" s="157">
        <f t="shared" si="58"/>
        <v>1861</v>
      </c>
      <c r="L646" s="160">
        <f ca="1" t="shared" si="64"/>
        <v>64705.8245087675</v>
      </c>
      <c r="M646" s="157">
        <f t="shared" si="65"/>
        <v>46.525</v>
      </c>
      <c r="U646" s="151">
        <v>127</v>
      </c>
      <c r="V646" s="157">
        <f ca="1">OFFSET(养成规划!$D$5,IFERROR(MATCH(U646,养成规划!$G$6:$G$38,1)+1,1),0)</f>
        <v>310</v>
      </c>
      <c r="W646" s="152">
        <f ca="1">((V646-_xlfn.MAXIFS($V$519:V645,$V$519:V645,"&lt;"&amp;V646))*$D$475)/COUNTIF($V$520:$V$819,V646)/6</f>
        <v>833.333333333333</v>
      </c>
      <c r="X646" s="157">
        <f t="shared" si="59"/>
        <v>8</v>
      </c>
      <c r="Y646" s="151">
        <f t="shared" si="66"/>
        <v>607</v>
      </c>
      <c r="Z646" s="156">
        <f ca="1">(SUM($W$520:W646)-SUM($Y$520:Y646))/SUM($W$520:W646)</f>
        <v>0.364724746125067</v>
      </c>
      <c r="AA646" s="151">
        <f t="shared" si="60"/>
        <v>800</v>
      </c>
      <c r="AB646" s="153">
        <f t="shared" si="67"/>
        <v>52600</v>
      </c>
      <c r="AC646" s="153">
        <f>SUM(Y$520:Y646)</f>
        <v>29715</v>
      </c>
      <c r="AD646" s="153">
        <f>INT(SUM(AB$520:AB646))</f>
        <v>2205800</v>
      </c>
      <c r="AE646" s="153">
        <f ca="1">INT(AC646*6/($D$475+AVERAGE(OFFSET(装备产出!$F$186,0,0,W646))))+1</f>
        <v>135</v>
      </c>
      <c r="AF646" s="154">
        <f t="shared" si="61"/>
        <v>74.2318694262157</v>
      </c>
    </row>
    <row r="647" ht="17.25" spans="4:32">
      <c r="D647" s="151">
        <v>128</v>
      </c>
      <c r="E647" s="161" t="str">
        <f>IFERROR((INT(_xlfn.XLOOKUP(D647,养成规划!$G$6:$G$38,养成规划!$J$6:$J$38)/6)),"")</f>
        <v/>
      </c>
      <c r="F647" s="156" t="str">
        <f t="shared" si="68"/>
        <v/>
      </c>
      <c r="G647" s="157">
        <f t="shared" si="56"/>
        <v>40</v>
      </c>
      <c r="H647" s="151">
        <f t="shared" si="57"/>
        <v>18980</v>
      </c>
      <c r="I647" s="158">
        <f t="shared" si="62"/>
        <v>1898</v>
      </c>
      <c r="J647" s="159">
        <f ca="1" t="shared" si="63"/>
        <v>0.0284290066197963</v>
      </c>
      <c r="K647" s="157">
        <f t="shared" si="58"/>
        <v>1885</v>
      </c>
      <c r="L647" s="160">
        <f ca="1" t="shared" si="64"/>
        <v>66305.5176429343</v>
      </c>
      <c r="M647" s="157">
        <f t="shared" si="65"/>
        <v>47.125</v>
      </c>
      <c r="U647" s="151">
        <v>128</v>
      </c>
      <c r="V647" s="157">
        <f ca="1">OFFSET(养成规划!$D$5,IFERROR(MATCH(U647,养成规划!$G$6:$G$38,1)+1,1),0)</f>
        <v>310</v>
      </c>
      <c r="W647" s="152">
        <f ca="1">((V647-_xlfn.MAXIFS($V$519:V646,$V$519:V646,"&lt;"&amp;V647))*$D$475)/COUNTIF($V$520:$V$819,V647)/6</f>
        <v>833.333333333333</v>
      </c>
      <c r="X647" s="157">
        <f t="shared" si="59"/>
        <v>8</v>
      </c>
      <c r="Y647" s="151">
        <f t="shared" si="66"/>
        <v>615</v>
      </c>
      <c r="Z647" s="156">
        <f ca="1">(SUM($W$520:W647)-SUM($Y$520:Y647))/SUM($W$520:W647)</f>
        <v>0.362926658498163</v>
      </c>
      <c r="AA647" s="151">
        <f t="shared" si="60"/>
        <v>800</v>
      </c>
      <c r="AB647" s="153">
        <f t="shared" si="67"/>
        <v>53400</v>
      </c>
      <c r="AC647" s="153">
        <f>SUM(Y$520:Y647)</f>
        <v>30330</v>
      </c>
      <c r="AD647" s="153">
        <f>INT(SUM(AB$520:AB647))</f>
        <v>2259200</v>
      </c>
      <c r="AE647" s="153">
        <f ca="1">INT(AC647*6/($D$475+AVERAGE(OFFSET(装备产出!$F$186,0,0,W647))))+1</f>
        <v>138</v>
      </c>
      <c r="AF647" s="154">
        <f t="shared" si="61"/>
        <v>74.4873062973953</v>
      </c>
    </row>
    <row r="648" ht="17.25" spans="4:32">
      <c r="D648" s="151">
        <v>129</v>
      </c>
      <c r="E648" s="161" t="str">
        <f>IFERROR((INT(_xlfn.XLOOKUP(D648,养成规划!$G$6:$G$38,养成规划!$J$6:$J$38)/6)),"")</f>
        <v/>
      </c>
      <c r="F648" s="156" t="str">
        <f t="shared" si="68"/>
        <v/>
      </c>
      <c r="G648" s="157">
        <f t="shared" ref="G648:G711" si="69">_xlfn.XLOOKUP(_xlfn.MINIFS($E$481:$E$512,$E$481:$E$512,"&gt;="&amp;D648),$E$481:$E$512,$F$481:$F$512,0,0,1)</f>
        <v>40</v>
      </c>
      <c r="H648" s="151">
        <f t="shared" ref="H648:H711" si="70">I648*10</f>
        <v>19380</v>
      </c>
      <c r="I648" s="158">
        <f t="shared" si="62"/>
        <v>1938</v>
      </c>
      <c r="J648" s="159">
        <f ca="1" t="shared" si="63"/>
        <v>0.028104652633001</v>
      </c>
      <c r="K648" s="157">
        <f t="shared" ref="K648:K711" si="71">AA648*0.05+Y648*3</f>
        <v>1909</v>
      </c>
      <c r="L648" s="160">
        <f ca="1" t="shared" si="64"/>
        <v>67924.6964880973</v>
      </c>
      <c r="M648" s="157">
        <f t="shared" si="65"/>
        <v>47.725</v>
      </c>
      <c r="U648" s="151">
        <v>129</v>
      </c>
      <c r="V648" s="157">
        <f ca="1">OFFSET(养成规划!$D$5,IFERROR(MATCH(U648,养成规划!$G$6:$G$38,1)+1,1),0)</f>
        <v>310</v>
      </c>
      <c r="W648" s="152">
        <f ca="1">((V648-_xlfn.MAXIFS($V$519:V647,$V$519:V647,"&lt;"&amp;V648))*$D$475)/COUNTIF($V$520:$V$819,V648)/6</f>
        <v>833.333333333333</v>
      </c>
      <c r="X648" s="157">
        <f t="shared" ref="X648:X711" si="72">_xlfn.XLOOKUP(_xlfn.MINIFS($V$482:$V$500,$V$482:$V$500,"&gt;="&amp;U648),$V$482:$V$500,$W$482:$W$500,0,0,1)</f>
        <v>8</v>
      </c>
      <c r="Y648" s="151">
        <f t="shared" si="66"/>
        <v>623</v>
      </c>
      <c r="Z648" s="156">
        <f ca="1">(SUM($W$520:W648)-SUM($Y$520:Y648))/SUM($W$520:W648)</f>
        <v>0.361025288147257</v>
      </c>
      <c r="AA648" s="151">
        <f t="shared" ref="AA648:AA711" si="73">_xlfn.XLOOKUP(U648,$AA$482:$AA$516,$AB$482:$AB$516,0,0,1)+_xlfn.XLOOKUP(_xlfn.MINIFS($AA$482:$AA$516,$AA$482:$AA$516,"&gt;="&amp;U648),$AA$482:$AA$516,$AC$482:$AC$516,0,0,1)</f>
        <v>800</v>
      </c>
      <c r="AB648" s="153">
        <f t="shared" si="67"/>
        <v>54200</v>
      </c>
      <c r="AC648" s="153">
        <f>SUM(Y$520:Y648)</f>
        <v>30953</v>
      </c>
      <c r="AD648" s="153">
        <f>INT(SUM(AB$520:AB648))</f>
        <v>2313400</v>
      </c>
      <c r="AE648" s="153">
        <f ca="1">INT(AC648*6/($D$475+AVERAGE(OFFSET(装备产出!$F$186,0,0,W648))))+1</f>
        <v>140</v>
      </c>
      <c r="AF648" s="154">
        <f t="shared" ref="AF648:AF711" si="74">AD648/AC648</f>
        <v>74.7391206022033</v>
      </c>
    </row>
    <row r="649" ht="17.25" spans="4:32">
      <c r="D649" s="151">
        <v>130</v>
      </c>
      <c r="E649" s="161" t="str">
        <f>IFERROR((INT(_xlfn.XLOOKUP(D649,养成规划!$G$6:$G$38,养成规划!$J$6:$J$38)/6)),"")</f>
        <v/>
      </c>
      <c r="F649" s="156" t="str">
        <f t="shared" si="68"/>
        <v/>
      </c>
      <c r="G649" s="157">
        <f t="shared" si="69"/>
        <v>40</v>
      </c>
      <c r="H649" s="151">
        <f t="shared" si="70"/>
        <v>19780</v>
      </c>
      <c r="I649" s="158">
        <f t="shared" ref="I649:I712" si="75">G649+I648</f>
        <v>1978</v>
      </c>
      <c r="J649" s="159">
        <f ca="1" t="shared" ref="J649:J712" si="76">LOG(G649/(I648+OFFSET($L$14,MIN(INT(D649/10)+1,25),0))+1,1.07)/6</f>
        <v>0.0268853537250859</v>
      </c>
      <c r="K649" s="157">
        <f t="shared" si="71"/>
        <v>1933</v>
      </c>
      <c r="L649" s="160">
        <f ca="1" t="shared" ref="L649:L712" si="77">K649/J649</f>
        <v>71897.882384801</v>
      </c>
      <c r="M649" s="157">
        <f t="shared" ref="M649:M712" si="78">K649/G649</f>
        <v>48.325</v>
      </c>
      <c r="U649" s="151">
        <v>130</v>
      </c>
      <c r="V649" s="157">
        <f ca="1">OFFSET(养成规划!$D$5,IFERROR(MATCH(U649,养成规划!$G$6:$G$38,1)+1,1),0)</f>
        <v>310</v>
      </c>
      <c r="W649" s="152">
        <f ca="1">((V649-_xlfn.MAXIFS($V$519:V648,$V$519:V648,"&lt;"&amp;V649))*$D$475)/COUNTIF($V$520:$V$819,V649)/6</f>
        <v>833.333333333333</v>
      </c>
      <c r="X649" s="157">
        <f t="shared" si="72"/>
        <v>8</v>
      </c>
      <c r="Y649" s="151">
        <f t="shared" ref="Y649:Y712" si="79">Y648+X649</f>
        <v>631</v>
      </c>
      <c r="Z649" s="156">
        <f ca="1">(SUM($W$520:W649)-SUM($Y$520:Y649))/SUM($W$520:W649)</f>
        <v>0.359025875190259</v>
      </c>
      <c r="AA649" s="151">
        <f t="shared" si="73"/>
        <v>800</v>
      </c>
      <c r="AB649" s="153">
        <f t="shared" ref="AB649:AB712" si="80">AB648+AA649</f>
        <v>55000</v>
      </c>
      <c r="AC649" s="153">
        <f>SUM(Y$520:Y649)</f>
        <v>31584</v>
      </c>
      <c r="AD649" s="153">
        <f>INT(SUM(AB$520:AB649))</f>
        <v>2368400</v>
      </c>
      <c r="AE649" s="153">
        <f ca="1">INT(AC649*6/($D$475+AVERAGE(OFFSET(装备产出!$F$186,0,0,W649))))+1</f>
        <v>143</v>
      </c>
      <c r="AF649" s="154">
        <f t="shared" si="74"/>
        <v>74.9873353596758</v>
      </c>
    </row>
    <row r="650" ht="17.25" spans="4:32">
      <c r="D650" s="151">
        <v>131</v>
      </c>
      <c r="E650" s="161" t="str">
        <f>IFERROR((INT(_xlfn.XLOOKUP(D650,养成规划!$G$6:$G$38,养成规划!$J$6:$J$38)/6)),"")</f>
        <v/>
      </c>
      <c r="F650" s="156" t="str">
        <f t="shared" si="68"/>
        <v/>
      </c>
      <c r="G650" s="157">
        <f t="shared" si="69"/>
        <v>40</v>
      </c>
      <c r="H650" s="151">
        <f t="shared" si="70"/>
        <v>20180</v>
      </c>
      <c r="I650" s="158">
        <f t="shared" si="75"/>
        <v>2018</v>
      </c>
      <c r="J650" s="159">
        <f ca="1" t="shared" si="76"/>
        <v>0.0265950878263091</v>
      </c>
      <c r="K650" s="157">
        <f t="shared" si="71"/>
        <v>1957</v>
      </c>
      <c r="L650" s="160">
        <f ca="1" t="shared" si="77"/>
        <v>73585.0173829487</v>
      </c>
      <c r="M650" s="157">
        <f t="shared" si="78"/>
        <v>48.925</v>
      </c>
      <c r="U650" s="151">
        <v>131</v>
      </c>
      <c r="V650" s="157">
        <f ca="1">OFFSET(养成规划!$D$5,IFERROR(MATCH(U650,养成规划!$G$6:$G$38,1)+1,1),0)</f>
        <v>310</v>
      </c>
      <c r="W650" s="152">
        <f ca="1">((V650-_xlfn.MAXIFS($V$519:V649,$V$519:V649,"&lt;"&amp;V650))*$D$475)/COUNTIF($V$520:$V$819,V650)/6</f>
        <v>833.333333333333</v>
      </c>
      <c r="X650" s="157">
        <f t="shared" si="72"/>
        <v>8</v>
      </c>
      <c r="Y650" s="151">
        <f t="shared" si="79"/>
        <v>639</v>
      </c>
      <c r="Z650" s="156">
        <f ca="1">(SUM($W$520:W650)-SUM($Y$520:Y650))/SUM($W$520:W650)</f>
        <v>0.356933311159156</v>
      </c>
      <c r="AA650" s="151">
        <f t="shared" si="73"/>
        <v>800</v>
      </c>
      <c r="AB650" s="153">
        <f t="shared" si="80"/>
        <v>55800</v>
      </c>
      <c r="AC650" s="153">
        <f>SUM(Y$520:Y650)</f>
        <v>32223</v>
      </c>
      <c r="AD650" s="153">
        <f>INT(SUM(AB$520:AB650))</f>
        <v>2424200</v>
      </c>
      <c r="AE650" s="153">
        <f ca="1">INT(AC650*6/($D$475+AVERAGE(OFFSET(装备产出!$F$186,0,0,W650))))+1</f>
        <v>146</v>
      </c>
      <c r="AF650" s="154">
        <f t="shared" si="74"/>
        <v>75.231977159172</v>
      </c>
    </row>
    <row r="651" ht="17.25" spans="4:32">
      <c r="D651" s="151">
        <v>132</v>
      </c>
      <c r="E651" s="161" t="str">
        <f>IFERROR((INT(_xlfn.XLOOKUP(D651,养成规划!$G$6:$G$38,养成规划!$J$6:$J$38)/6)),"")</f>
        <v/>
      </c>
      <c r="F651" s="156" t="str">
        <f t="shared" si="68"/>
        <v/>
      </c>
      <c r="G651" s="157">
        <f t="shared" si="69"/>
        <v>40</v>
      </c>
      <c r="H651" s="151">
        <f t="shared" si="70"/>
        <v>20580</v>
      </c>
      <c r="I651" s="158">
        <f t="shared" si="75"/>
        <v>2058</v>
      </c>
      <c r="J651" s="159">
        <f ca="1" t="shared" si="76"/>
        <v>0.0263110227129545</v>
      </c>
      <c r="K651" s="157">
        <f t="shared" si="71"/>
        <v>1981</v>
      </c>
      <c r="L651" s="160">
        <f ca="1" t="shared" si="77"/>
        <v>75291.6380945022</v>
      </c>
      <c r="M651" s="157">
        <f t="shared" si="78"/>
        <v>49.525</v>
      </c>
      <c r="U651" s="151">
        <v>132</v>
      </c>
      <c r="V651" s="157">
        <f ca="1">OFFSET(养成规划!$D$5,IFERROR(MATCH(U651,养成规划!$G$6:$G$38,1)+1,1),0)</f>
        <v>310</v>
      </c>
      <c r="W651" s="152">
        <f ca="1">((V651-_xlfn.MAXIFS($V$519:V650,$V$519:V650,"&lt;"&amp;V651))*$D$475)/COUNTIF($V$520:$V$819,V651)/6</f>
        <v>833.333333333333</v>
      </c>
      <c r="X651" s="157">
        <f t="shared" si="72"/>
        <v>8</v>
      </c>
      <c r="Y651" s="151">
        <f t="shared" si="79"/>
        <v>647</v>
      </c>
      <c r="Z651" s="156">
        <f ca="1">(SUM($W$520:W651)-SUM($Y$520:Y651))/SUM($W$520:W651)</f>
        <v>0.354752167511861</v>
      </c>
      <c r="AA651" s="151">
        <f t="shared" si="73"/>
        <v>800</v>
      </c>
      <c r="AB651" s="153">
        <f t="shared" si="80"/>
        <v>56600</v>
      </c>
      <c r="AC651" s="153">
        <f>SUM(Y$520:Y651)</f>
        <v>32870</v>
      </c>
      <c r="AD651" s="153">
        <f>INT(SUM(AB$520:AB651))</f>
        <v>2480800</v>
      </c>
      <c r="AE651" s="153">
        <f ca="1">INT(AC651*6/($D$475+AVERAGE(OFFSET(装备产出!$F$186,0,0,W651))))+1</f>
        <v>149</v>
      </c>
      <c r="AF651" s="154">
        <f t="shared" si="74"/>
        <v>75.4730757529662</v>
      </c>
    </row>
    <row r="652" ht="17.25" spans="4:32">
      <c r="D652" s="151">
        <v>133</v>
      </c>
      <c r="E652" s="161" t="str">
        <f>IFERROR((INT(_xlfn.XLOOKUP(D652,养成规划!$G$6:$G$38,养成规划!$J$6:$J$38)/6)),"")</f>
        <v/>
      </c>
      <c r="F652" s="156" t="str">
        <f t="shared" si="68"/>
        <v/>
      </c>
      <c r="G652" s="157">
        <f t="shared" si="69"/>
        <v>40</v>
      </c>
      <c r="H652" s="151">
        <f t="shared" si="70"/>
        <v>20980</v>
      </c>
      <c r="I652" s="158">
        <f t="shared" si="75"/>
        <v>2098</v>
      </c>
      <c r="J652" s="159">
        <f ca="1" t="shared" si="76"/>
        <v>0.0260329617872929</v>
      </c>
      <c r="K652" s="157">
        <f t="shared" si="71"/>
        <v>2005</v>
      </c>
      <c r="L652" s="160">
        <f ca="1" t="shared" si="77"/>
        <v>77017.7445187458</v>
      </c>
      <c r="M652" s="157">
        <f t="shared" si="78"/>
        <v>50.125</v>
      </c>
      <c r="U652" s="151">
        <v>133</v>
      </c>
      <c r="V652" s="157">
        <f ca="1">OFFSET(养成规划!$D$5,IFERROR(MATCH(U652,养成规划!$G$6:$G$38,1)+1,1),0)</f>
        <v>310</v>
      </c>
      <c r="W652" s="152">
        <f ca="1">((V652-_xlfn.MAXIFS($V$519:V651,$V$519:V651,"&lt;"&amp;V652))*$D$475)/COUNTIF($V$520:$V$819,V652)/6</f>
        <v>833.333333333333</v>
      </c>
      <c r="X652" s="157">
        <f t="shared" si="72"/>
        <v>8</v>
      </c>
      <c r="Y652" s="151">
        <f t="shared" si="79"/>
        <v>655</v>
      </c>
      <c r="Z652" s="156">
        <f ca="1">(SUM($W$520:W652)-SUM($Y$520:Y652))/SUM($W$520:W652)</f>
        <v>0.352486721390633</v>
      </c>
      <c r="AA652" s="151">
        <f t="shared" si="73"/>
        <v>800</v>
      </c>
      <c r="AB652" s="153">
        <f t="shared" si="80"/>
        <v>57400</v>
      </c>
      <c r="AC652" s="153">
        <f>SUM(Y$520:Y652)</f>
        <v>33525</v>
      </c>
      <c r="AD652" s="153">
        <f>INT(SUM(AB$520:AB652))</f>
        <v>2538200</v>
      </c>
      <c r="AE652" s="153">
        <f ca="1">INT(AC652*6/($D$475+AVERAGE(OFFSET(装备产出!$F$186,0,0,W652))))+1</f>
        <v>152</v>
      </c>
      <c r="AF652" s="154">
        <f t="shared" si="74"/>
        <v>75.710663683818</v>
      </c>
    </row>
    <row r="653" ht="17.25" spans="4:32">
      <c r="D653" s="151">
        <v>134</v>
      </c>
      <c r="E653" s="161" t="str">
        <f>IFERROR((INT(_xlfn.XLOOKUP(D653,养成规划!$G$6:$G$38,养成规划!$J$6:$J$38)/6)),"")</f>
        <v/>
      </c>
      <c r="F653" s="156" t="str">
        <f t="shared" si="68"/>
        <v/>
      </c>
      <c r="G653" s="157">
        <f t="shared" si="69"/>
        <v>40</v>
      </c>
      <c r="H653" s="151">
        <f t="shared" si="70"/>
        <v>21380</v>
      </c>
      <c r="I653" s="158">
        <f t="shared" si="75"/>
        <v>2138</v>
      </c>
      <c r="J653" s="159">
        <f ca="1" t="shared" si="76"/>
        <v>0.025760716675675</v>
      </c>
      <c r="K653" s="157">
        <f t="shared" si="71"/>
        <v>2029</v>
      </c>
      <c r="L653" s="160">
        <f ca="1" t="shared" si="77"/>
        <v>78763.3366549897</v>
      </c>
      <c r="M653" s="157">
        <f t="shared" si="78"/>
        <v>50.725</v>
      </c>
      <c r="U653" s="151">
        <v>134</v>
      </c>
      <c r="V653" s="157">
        <f ca="1">OFFSET(养成规划!$D$5,IFERROR(MATCH(U653,养成规划!$G$6:$G$38,1)+1,1),0)</f>
        <v>310</v>
      </c>
      <c r="W653" s="152">
        <f ca="1">((V653-_xlfn.MAXIFS($V$519:V652,$V$519:V652,"&lt;"&amp;V653))*$D$475)/COUNTIF($V$520:$V$819,V653)/6</f>
        <v>833.333333333333</v>
      </c>
      <c r="X653" s="157">
        <f t="shared" si="72"/>
        <v>8</v>
      </c>
      <c r="Y653" s="151">
        <f t="shared" si="79"/>
        <v>663</v>
      </c>
      <c r="Z653" s="156">
        <f ca="1">(SUM($W$520:W653)-SUM($Y$520:Y653))/SUM($W$520:W653)</f>
        <v>0.350140978932362</v>
      </c>
      <c r="AA653" s="151">
        <f t="shared" si="73"/>
        <v>800</v>
      </c>
      <c r="AB653" s="153">
        <f t="shared" si="80"/>
        <v>58200</v>
      </c>
      <c r="AC653" s="153">
        <f>SUM(Y$520:Y653)</f>
        <v>34188</v>
      </c>
      <c r="AD653" s="153">
        <f>INT(SUM(AB$520:AB653))</f>
        <v>2596400</v>
      </c>
      <c r="AE653" s="153">
        <f ca="1">INT(AC653*6/($D$475+AVERAGE(OFFSET(装备产出!$F$186,0,0,W653))))+1</f>
        <v>155</v>
      </c>
      <c r="AF653" s="154">
        <f t="shared" si="74"/>
        <v>75.9447759447759</v>
      </c>
    </row>
    <row r="654" ht="17.25" spans="4:32">
      <c r="D654" s="151">
        <v>135</v>
      </c>
      <c r="E654" s="161" t="str">
        <f>IFERROR((INT(_xlfn.XLOOKUP(D654,养成规划!$G$6:$G$38,养成规划!$J$6:$J$38)/6)),"")</f>
        <v/>
      </c>
      <c r="F654" s="156" t="str">
        <f t="shared" si="68"/>
        <v/>
      </c>
      <c r="G654" s="157">
        <f t="shared" si="69"/>
        <v>40</v>
      </c>
      <c r="H654" s="151">
        <f t="shared" si="70"/>
        <v>21780</v>
      </c>
      <c r="I654" s="158">
        <f t="shared" si="75"/>
        <v>2178</v>
      </c>
      <c r="J654" s="159">
        <f ca="1" t="shared" si="76"/>
        <v>0.0254941068029387</v>
      </c>
      <c r="K654" s="157">
        <f t="shared" si="71"/>
        <v>2053</v>
      </c>
      <c r="L654" s="160">
        <f ca="1" t="shared" si="77"/>
        <v>80528.4145025765</v>
      </c>
      <c r="M654" s="157">
        <f t="shared" si="78"/>
        <v>51.325</v>
      </c>
      <c r="U654" s="151">
        <v>135</v>
      </c>
      <c r="V654" s="157">
        <f ca="1">OFFSET(养成规划!$D$5,IFERROR(MATCH(U654,养成规划!$G$6:$G$38,1)+1,1),0)</f>
        <v>310</v>
      </c>
      <c r="W654" s="152">
        <f ca="1">((V654-_xlfn.MAXIFS($V$519:V653,$V$519:V653,"&lt;"&amp;V654))*$D$475)/COUNTIF($V$520:$V$819,V654)/6</f>
        <v>833.333333333333</v>
      </c>
      <c r="X654" s="157">
        <f t="shared" si="72"/>
        <v>8</v>
      </c>
      <c r="Y654" s="151">
        <f t="shared" si="79"/>
        <v>671</v>
      </c>
      <c r="Z654" s="156">
        <f ca="1">(SUM($W$520:W654)-SUM($Y$520:Y654))/SUM($W$520:W654)</f>
        <v>0.347718696397942</v>
      </c>
      <c r="AA654" s="151">
        <f t="shared" si="73"/>
        <v>800</v>
      </c>
      <c r="AB654" s="153">
        <f t="shared" si="80"/>
        <v>59000</v>
      </c>
      <c r="AC654" s="153">
        <f>SUM(Y$520:Y654)</f>
        <v>34859</v>
      </c>
      <c r="AD654" s="153">
        <f>INT(SUM(AB$520:AB654))</f>
        <v>2655400</v>
      </c>
      <c r="AE654" s="153">
        <f ca="1">INT(AC654*6/($D$475+AVERAGE(OFFSET(装备产出!$F$186,0,0,W654))))+1</f>
        <v>158</v>
      </c>
      <c r="AF654" s="154">
        <f t="shared" si="74"/>
        <v>76.1754496686652</v>
      </c>
    </row>
    <row r="655" ht="17.25" spans="4:32">
      <c r="D655" s="151">
        <v>136</v>
      </c>
      <c r="E655" s="161" t="str">
        <f>IFERROR((INT(_xlfn.XLOOKUP(D655,养成规划!$G$6:$G$38,养成规划!$J$6:$J$38)/6)),"")</f>
        <v/>
      </c>
      <c r="F655" s="156" t="str">
        <f t="shared" si="68"/>
        <v/>
      </c>
      <c r="G655" s="157">
        <f t="shared" si="69"/>
        <v>45</v>
      </c>
      <c r="H655" s="151">
        <f t="shared" si="70"/>
        <v>22230</v>
      </c>
      <c r="I655" s="158">
        <f t="shared" si="75"/>
        <v>2223</v>
      </c>
      <c r="J655" s="159">
        <f ca="1" t="shared" si="76"/>
        <v>0.0283689824369266</v>
      </c>
      <c r="K655" s="157">
        <f t="shared" si="71"/>
        <v>2077</v>
      </c>
      <c r="L655" s="160">
        <f ca="1" t="shared" si="77"/>
        <v>73213.764526727</v>
      </c>
      <c r="M655" s="157">
        <f t="shared" si="78"/>
        <v>46.1555555555556</v>
      </c>
      <c r="U655" s="151">
        <v>136</v>
      </c>
      <c r="V655" s="157">
        <f ca="1">OFFSET(养成规划!$D$5,IFERROR(MATCH(U655,养成规划!$G$6:$G$38,1)+1,1),0)</f>
        <v>370</v>
      </c>
      <c r="W655" s="152">
        <f ca="1">((V655-_xlfn.MAXIFS($V$519:V654,$V$519:V654,"&lt;"&amp;V655))*$D$475)/COUNTIF($V$520:$V$819,V655)/6</f>
        <v>833.333333333333</v>
      </c>
      <c r="X655" s="157">
        <f t="shared" si="72"/>
        <v>8</v>
      </c>
      <c r="Y655" s="151">
        <f t="shared" si="79"/>
        <v>679</v>
      </c>
      <c r="Z655" s="156">
        <f ca="1">(SUM($W$520:W655)-SUM($Y$520:Y655))/SUM($W$520:W655)</f>
        <v>0.345223399355137</v>
      </c>
      <c r="AA655" s="151">
        <f t="shared" si="73"/>
        <v>800</v>
      </c>
      <c r="AB655" s="153">
        <f t="shared" si="80"/>
        <v>59800</v>
      </c>
      <c r="AC655" s="153">
        <f>SUM(Y$520:Y655)</f>
        <v>35538</v>
      </c>
      <c r="AD655" s="153">
        <f>INT(SUM(AB$520:AB655))</f>
        <v>2715200</v>
      </c>
      <c r="AE655" s="153">
        <f ca="1">INT(AC655*6/($D$475+AVERAGE(OFFSET(装备产出!$F$186,0,0,W655))))+1</f>
        <v>161</v>
      </c>
      <c r="AF655" s="154">
        <f t="shared" si="74"/>
        <v>76.4027238448984</v>
      </c>
    </row>
    <row r="656" ht="17.25" spans="4:32">
      <c r="D656" s="151">
        <v>137</v>
      </c>
      <c r="E656" s="161" t="str">
        <f>IFERROR((INT(_xlfn.XLOOKUP(D656,养成规划!$G$6:$G$38,养成规划!$J$6:$J$38)/6)),"")</f>
        <v/>
      </c>
      <c r="F656" s="156" t="str">
        <f t="shared" si="68"/>
        <v/>
      </c>
      <c r="G656" s="157">
        <f t="shared" si="69"/>
        <v>45</v>
      </c>
      <c r="H656" s="151">
        <f t="shared" si="70"/>
        <v>22680</v>
      </c>
      <c r="I656" s="158">
        <f t="shared" si="75"/>
        <v>2268</v>
      </c>
      <c r="J656" s="159">
        <f ca="1" t="shared" si="76"/>
        <v>0.0280459889015069</v>
      </c>
      <c r="K656" s="157">
        <f t="shared" si="71"/>
        <v>2101</v>
      </c>
      <c r="L656" s="160">
        <f ca="1" t="shared" si="77"/>
        <v>74912.6731590167</v>
      </c>
      <c r="M656" s="157">
        <f t="shared" si="78"/>
        <v>46.6888888888889</v>
      </c>
      <c r="U656" s="151">
        <v>137</v>
      </c>
      <c r="V656" s="157">
        <f ca="1">OFFSET(养成规划!$D$5,IFERROR(MATCH(U656,养成规划!$G$6:$G$38,1)+1,1),0)</f>
        <v>370</v>
      </c>
      <c r="W656" s="152">
        <f ca="1">((V656-_xlfn.MAXIFS($V$519:V655,$V$519:V655,"&lt;"&amp;V656))*$D$475)/COUNTIF($V$520:$V$819,V656)/6</f>
        <v>833.333333333333</v>
      </c>
      <c r="X656" s="157">
        <f t="shared" si="72"/>
        <v>8</v>
      </c>
      <c r="Y656" s="151">
        <f t="shared" si="79"/>
        <v>687</v>
      </c>
      <c r="Z656" s="156">
        <f ca="1">(SUM($W$520:W656)-SUM($Y$520:Y656))/SUM($W$520:W656)</f>
        <v>0.342658400120975</v>
      </c>
      <c r="AA656" s="151">
        <f t="shared" si="73"/>
        <v>800</v>
      </c>
      <c r="AB656" s="153">
        <f t="shared" si="80"/>
        <v>60600</v>
      </c>
      <c r="AC656" s="153">
        <f>SUM(Y$520:Y656)</f>
        <v>36225</v>
      </c>
      <c r="AD656" s="153">
        <f>INT(SUM(AB$520:AB656))</f>
        <v>2775800</v>
      </c>
      <c r="AE656" s="153">
        <f ca="1">INT(AC656*6/($D$475+AVERAGE(OFFSET(装备产出!$F$186,0,0,W656))))+1</f>
        <v>164</v>
      </c>
      <c r="AF656" s="154">
        <f t="shared" si="74"/>
        <v>76.6266390614217</v>
      </c>
    </row>
    <row r="657" ht="17.25" spans="4:32">
      <c r="D657" s="151">
        <v>138</v>
      </c>
      <c r="E657" s="161" t="str">
        <f>IFERROR((INT(_xlfn.XLOOKUP(D657,养成规划!$G$6:$G$38,养成规划!$J$6:$J$38)/6)),"")</f>
        <v/>
      </c>
      <c r="F657" s="156" t="str">
        <f t="shared" si="68"/>
        <v/>
      </c>
      <c r="G657" s="157">
        <f t="shared" si="69"/>
        <v>45</v>
      </c>
      <c r="H657" s="151">
        <f t="shared" si="70"/>
        <v>23130</v>
      </c>
      <c r="I657" s="158">
        <f t="shared" si="75"/>
        <v>2313</v>
      </c>
      <c r="J657" s="159">
        <f ca="1" t="shared" si="76"/>
        <v>0.0277302674985968</v>
      </c>
      <c r="K657" s="157">
        <f t="shared" si="71"/>
        <v>2125</v>
      </c>
      <c r="L657" s="160">
        <f ca="1" t="shared" si="77"/>
        <v>76631.0674827616</v>
      </c>
      <c r="M657" s="157">
        <f t="shared" si="78"/>
        <v>47.2222222222222</v>
      </c>
      <c r="U657" s="151">
        <v>138</v>
      </c>
      <c r="V657" s="157">
        <f ca="1">OFFSET(养成规划!$D$5,IFERROR(MATCH(U657,养成规划!$G$6:$G$38,1)+1,1),0)</f>
        <v>370</v>
      </c>
      <c r="W657" s="152">
        <f ca="1">((V657-_xlfn.MAXIFS($V$519:V656,$V$519:V656,"&lt;"&amp;V657))*$D$475)/COUNTIF($V$520:$V$819,V657)/6</f>
        <v>833.333333333333</v>
      </c>
      <c r="X657" s="157">
        <f t="shared" si="72"/>
        <v>8</v>
      </c>
      <c r="Y657" s="151">
        <f t="shared" si="79"/>
        <v>695</v>
      </c>
      <c r="Z657" s="156">
        <f ca="1">(SUM($W$520:W657)-SUM($Y$520:Y657))/SUM($W$520:W657)</f>
        <v>0.340026813645167</v>
      </c>
      <c r="AA657" s="151">
        <f t="shared" si="73"/>
        <v>800</v>
      </c>
      <c r="AB657" s="153">
        <f t="shared" si="80"/>
        <v>61400</v>
      </c>
      <c r="AC657" s="153">
        <f>SUM(Y$520:Y657)</f>
        <v>36920</v>
      </c>
      <c r="AD657" s="153">
        <f>INT(SUM(AB$520:AB657))</f>
        <v>2837200</v>
      </c>
      <c r="AE657" s="153">
        <f ca="1">INT(AC657*6/($D$475+AVERAGE(OFFSET(装备产出!$F$186,0,0,W657))))+1</f>
        <v>167</v>
      </c>
      <c r="AF657" s="154">
        <f t="shared" si="74"/>
        <v>76.8472372697725</v>
      </c>
    </row>
    <row r="658" ht="17.25" spans="4:32">
      <c r="D658" s="151">
        <v>139</v>
      </c>
      <c r="E658" s="161" t="str">
        <f>IFERROR((INT(_xlfn.XLOOKUP(D658,养成规划!$G$6:$G$38,养成规划!$J$6:$J$38)/6)),"")</f>
        <v/>
      </c>
      <c r="F658" s="156" t="str">
        <f t="shared" si="68"/>
        <v/>
      </c>
      <c r="G658" s="157">
        <f t="shared" si="69"/>
        <v>45</v>
      </c>
      <c r="H658" s="151">
        <f t="shared" si="70"/>
        <v>23580</v>
      </c>
      <c r="I658" s="158">
        <f t="shared" si="75"/>
        <v>2358</v>
      </c>
      <c r="J658" s="159">
        <f ca="1" t="shared" si="76"/>
        <v>0.0274215753638463</v>
      </c>
      <c r="K658" s="157">
        <f t="shared" si="71"/>
        <v>2149</v>
      </c>
      <c r="L658" s="160">
        <f ca="1" t="shared" si="77"/>
        <v>78368.9474979372</v>
      </c>
      <c r="M658" s="157">
        <f t="shared" si="78"/>
        <v>47.7555555555556</v>
      </c>
      <c r="U658" s="151">
        <v>139</v>
      </c>
      <c r="V658" s="157">
        <f ca="1">OFFSET(养成规划!$D$5,IFERROR(MATCH(U658,养成规划!$G$6:$G$38,1)+1,1),0)</f>
        <v>370</v>
      </c>
      <c r="W658" s="152">
        <f ca="1">((V658-_xlfn.MAXIFS($V$519:V657,$V$519:V657,"&lt;"&amp;V658))*$D$475)/COUNTIF($V$520:$V$819,V658)/6</f>
        <v>833.333333333333</v>
      </c>
      <c r="X658" s="157">
        <f t="shared" si="72"/>
        <v>8</v>
      </c>
      <c r="Y658" s="151">
        <f t="shared" si="79"/>
        <v>703</v>
      </c>
      <c r="Z658" s="156">
        <f ca="1">(SUM($W$520:W658)-SUM($Y$520:Y658))/SUM($W$520:W658)</f>
        <v>0.337331571994717</v>
      </c>
      <c r="AA658" s="151">
        <f t="shared" si="73"/>
        <v>800</v>
      </c>
      <c r="AB658" s="153">
        <f t="shared" si="80"/>
        <v>62200</v>
      </c>
      <c r="AC658" s="153">
        <f>SUM(Y$520:Y658)</f>
        <v>37623</v>
      </c>
      <c r="AD658" s="153">
        <f>INT(SUM(AB$520:AB658))</f>
        <v>2899400</v>
      </c>
      <c r="AE658" s="153">
        <f ca="1">INT(AC658*6/($D$475+AVERAGE(OFFSET(装备产出!$F$186,0,0,W658))))+1</f>
        <v>171</v>
      </c>
      <c r="AF658" s="154">
        <f t="shared" si="74"/>
        <v>77.0645615713792</v>
      </c>
    </row>
    <row r="659" ht="17.25" spans="4:32">
      <c r="D659" s="151">
        <v>140</v>
      </c>
      <c r="E659" s="161" t="str">
        <f>IFERROR((INT(_xlfn.XLOOKUP(D659,养成规划!$G$6:$G$38,养成规划!$J$6:$J$38)/6)),"")</f>
        <v/>
      </c>
      <c r="F659" s="156" t="str">
        <f t="shared" ref="F659:F722" si="81">IF(E659="","",(I659-E659)/E659)</f>
        <v/>
      </c>
      <c r="G659" s="157">
        <f t="shared" si="69"/>
        <v>45</v>
      </c>
      <c r="H659" s="151">
        <f t="shared" si="70"/>
        <v>24030</v>
      </c>
      <c r="I659" s="158">
        <f t="shared" si="75"/>
        <v>2403</v>
      </c>
      <c r="J659" s="159">
        <f ca="1" t="shared" si="76"/>
        <v>0.023772557157926</v>
      </c>
      <c r="K659" s="157">
        <f t="shared" si="71"/>
        <v>2173</v>
      </c>
      <c r="L659" s="160">
        <f ca="1" t="shared" si="77"/>
        <v>91407.9198785521</v>
      </c>
      <c r="M659" s="157">
        <f t="shared" si="78"/>
        <v>48.2888888888889</v>
      </c>
      <c r="U659" s="151">
        <v>140</v>
      </c>
      <c r="V659" s="157">
        <f ca="1">OFFSET(养成规划!$D$5,IFERROR(MATCH(U659,养成规划!$G$6:$G$38,1)+1,1),0)</f>
        <v>370</v>
      </c>
      <c r="W659" s="152">
        <f ca="1">((V659-_xlfn.MAXIFS($V$519:V658,$V$519:V658,"&lt;"&amp;V659))*$D$475)/COUNTIF($V$520:$V$819,V659)/6</f>
        <v>833.333333333333</v>
      </c>
      <c r="X659" s="157">
        <f t="shared" si="72"/>
        <v>8</v>
      </c>
      <c r="Y659" s="151">
        <f t="shared" si="79"/>
        <v>711</v>
      </c>
      <c r="Z659" s="156">
        <f ca="1">(SUM($W$520:W659)-SUM($Y$520:Y659))/SUM($W$520:W659)</f>
        <v>0.334575437581369</v>
      </c>
      <c r="AA659" s="151">
        <f t="shared" si="73"/>
        <v>800</v>
      </c>
      <c r="AB659" s="153">
        <f t="shared" si="80"/>
        <v>63000</v>
      </c>
      <c r="AC659" s="153">
        <f>SUM(Y$520:Y659)</f>
        <v>38334</v>
      </c>
      <c r="AD659" s="153">
        <f>INT(SUM(AB$520:AB659))</f>
        <v>2962400</v>
      </c>
      <c r="AE659" s="153">
        <f ca="1">INT(AC659*6/($D$475+AVERAGE(OFFSET(装备产出!$F$186,0,0,W659))))+1</f>
        <v>174</v>
      </c>
      <c r="AF659" s="154">
        <f t="shared" si="74"/>
        <v>77.2786560233735</v>
      </c>
    </row>
    <row r="660" ht="17.25" spans="4:32">
      <c r="D660" s="151">
        <v>141</v>
      </c>
      <c r="E660" s="161" t="str">
        <f>IFERROR((INT(_xlfn.XLOOKUP(D660,养成规划!$G$6:$G$38,养成规划!$J$6:$J$38)/6)),"")</f>
        <v/>
      </c>
      <c r="F660" s="156" t="str">
        <f t="shared" si="81"/>
        <v/>
      </c>
      <c r="G660" s="157">
        <f t="shared" si="69"/>
        <v>45</v>
      </c>
      <c r="H660" s="151">
        <f t="shared" si="70"/>
        <v>24480</v>
      </c>
      <c r="I660" s="158">
        <f t="shared" si="75"/>
        <v>2448</v>
      </c>
      <c r="J660" s="159">
        <f ca="1" t="shared" si="76"/>
        <v>0.0235453308537978</v>
      </c>
      <c r="K660" s="157">
        <f t="shared" si="71"/>
        <v>2197</v>
      </c>
      <c r="L660" s="160">
        <f ca="1" t="shared" si="77"/>
        <v>93309.3704922658</v>
      </c>
      <c r="M660" s="157">
        <f t="shared" si="78"/>
        <v>48.8222222222222</v>
      </c>
      <c r="U660" s="151">
        <v>141</v>
      </c>
      <c r="V660" s="157">
        <f ca="1">OFFSET(养成规划!$D$5,IFERROR(MATCH(U660,养成规划!$G$6:$G$38,1)+1,1),0)</f>
        <v>370</v>
      </c>
      <c r="W660" s="152">
        <f ca="1">((V660-_xlfn.MAXIFS($V$519:V659,$V$519:V659,"&lt;"&amp;V660))*$D$475)/COUNTIF($V$520:$V$819,V660)/6</f>
        <v>833.333333333333</v>
      </c>
      <c r="X660" s="157">
        <f t="shared" si="72"/>
        <v>8</v>
      </c>
      <c r="Y660" s="151">
        <f t="shared" si="79"/>
        <v>719</v>
      </c>
      <c r="Z660" s="156">
        <f ca="1">(SUM($W$520:W660)-SUM($Y$520:Y660))/SUM($W$520:W660)</f>
        <v>0.33176101525738</v>
      </c>
      <c r="AA660" s="151">
        <f t="shared" si="73"/>
        <v>800</v>
      </c>
      <c r="AB660" s="153">
        <f t="shared" si="80"/>
        <v>63800</v>
      </c>
      <c r="AC660" s="153">
        <f>SUM(Y$520:Y660)</f>
        <v>39053</v>
      </c>
      <c r="AD660" s="153">
        <f>INT(SUM(AB$520:AB660))</f>
        <v>3026200</v>
      </c>
      <c r="AE660" s="153">
        <f ca="1">INT(AC660*6/($D$475+AVERAGE(OFFSET(装备产出!$F$186,0,0,W660))))+1</f>
        <v>177</v>
      </c>
      <c r="AF660" s="154">
        <f t="shared" si="74"/>
        <v>77.4895654623204</v>
      </c>
    </row>
    <row r="661" ht="17.25" spans="4:32">
      <c r="D661" s="151">
        <v>142</v>
      </c>
      <c r="E661" s="161" t="str">
        <f>IFERROR((INT(_xlfn.XLOOKUP(D661,养成规划!$G$6:$G$38,养成规划!$J$6:$J$38)/6)),"")</f>
        <v/>
      </c>
      <c r="F661" s="156" t="str">
        <f t="shared" si="81"/>
        <v/>
      </c>
      <c r="G661" s="157">
        <f t="shared" si="69"/>
        <v>45</v>
      </c>
      <c r="H661" s="151">
        <f t="shared" si="70"/>
        <v>24930</v>
      </c>
      <c r="I661" s="158">
        <f t="shared" si="75"/>
        <v>2493</v>
      </c>
      <c r="J661" s="159">
        <f ca="1" t="shared" si="76"/>
        <v>0.023322407270071</v>
      </c>
      <c r="K661" s="157">
        <f t="shared" si="71"/>
        <v>2221</v>
      </c>
      <c r="L661" s="160">
        <f ca="1" t="shared" si="77"/>
        <v>95230.3068152895</v>
      </c>
      <c r="M661" s="157">
        <f t="shared" si="78"/>
        <v>49.3555555555556</v>
      </c>
      <c r="U661" s="151">
        <v>142</v>
      </c>
      <c r="V661" s="157">
        <f ca="1">OFFSET(养成规划!$D$5,IFERROR(MATCH(U661,养成规划!$G$6:$G$38,1)+1,1),0)</f>
        <v>370</v>
      </c>
      <c r="W661" s="152">
        <f ca="1">((V661-_xlfn.MAXIFS($V$519:V660,$V$519:V660,"&lt;"&amp;V661))*$D$475)/COUNTIF($V$520:$V$819,V661)/6</f>
        <v>833.333333333333</v>
      </c>
      <c r="X661" s="157">
        <f t="shared" si="72"/>
        <v>8</v>
      </c>
      <c r="Y661" s="151">
        <f t="shared" si="79"/>
        <v>727</v>
      </c>
      <c r="Z661" s="156">
        <f ca="1">(SUM($W$520:W661)-SUM($Y$520:Y661))/SUM($W$520:W661)</f>
        <v>0.328890763390975</v>
      </c>
      <c r="AA661" s="151">
        <f t="shared" si="73"/>
        <v>800</v>
      </c>
      <c r="AB661" s="153">
        <f t="shared" si="80"/>
        <v>64600</v>
      </c>
      <c r="AC661" s="153">
        <f>SUM(Y$520:Y661)</f>
        <v>39780</v>
      </c>
      <c r="AD661" s="153">
        <f>INT(SUM(AB$520:AB661))</f>
        <v>3090800</v>
      </c>
      <c r="AE661" s="153">
        <f ca="1">INT(AC661*6/($D$475+AVERAGE(OFFSET(装备产出!$F$186,0,0,W661))))+1</f>
        <v>180</v>
      </c>
      <c r="AF661" s="154">
        <f t="shared" si="74"/>
        <v>77.6973353443942</v>
      </c>
    </row>
    <row r="662" ht="17.25" spans="4:32">
      <c r="D662" s="151">
        <v>143</v>
      </c>
      <c r="E662" s="161" t="str">
        <f>IFERROR((INT(_xlfn.XLOOKUP(D662,养成规划!$G$6:$G$38,养成规划!$J$6:$J$38)/6)),"")</f>
        <v/>
      </c>
      <c r="F662" s="156" t="str">
        <f t="shared" si="81"/>
        <v/>
      </c>
      <c r="G662" s="157">
        <f t="shared" si="69"/>
        <v>45</v>
      </c>
      <c r="H662" s="151">
        <f t="shared" si="70"/>
        <v>25380</v>
      </c>
      <c r="I662" s="158">
        <f t="shared" si="75"/>
        <v>2538</v>
      </c>
      <c r="J662" s="159">
        <f ca="1" t="shared" si="76"/>
        <v>0.0231036653386907</v>
      </c>
      <c r="K662" s="157">
        <f t="shared" si="71"/>
        <v>2245</v>
      </c>
      <c r="L662" s="160">
        <f ca="1" t="shared" si="77"/>
        <v>97170.7288470977</v>
      </c>
      <c r="M662" s="157">
        <f t="shared" si="78"/>
        <v>49.8888888888889</v>
      </c>
      <c r="U662" s="151">
        <v>143</v>
      </c>
      <c r="V662" s="157">
        <f ca="1">OFFSET(养成规划!$D$5,IFERROR(MATCH(U662,养成规划!$G$6:$G$38,1)+1,1),0)</f>
        <v>370</v>
      </c>
      <c r="W662" s="152">
        <f ca="1">((V662-_xlfn.MAXIFS($V$519:V661,$V$519:V661,"&lt;"&amp;V662))*$D$475)/COUNTIF($V$520:$V$819,V662)/6</f>
        <v>833.333333333333</v>
      </c>
      <c r="X662" s="157">
        <f t="shared" si="72"/>
        <v>8</v>
      </c>
      <c r="Y662" s="151">
        <f t="shared" si="79"/>
        <v>735</v>
      </c>
      <c r="Z662" s="156">
        <f ca="1">(SUM($W$520:W662)-SUM($Y$520:Y662))/SUM($W$520:W662)</f>
        <v>0.325967004020519</v>
      </c>
      <c r="AA662" s="151">
        <f t="shared" si="73"/>
        <v>800</v>
      </c>
      <c r="AB662" s="153">
        <f t="shared" si="80"/>
        <v>65400</v>
      </c>
      <c r="AC662" s="153">
        <f>SUM(Y$520:Y662)</f>
        <v>40515</v>
      </c>
      <c r="AD662" s="153">
        <f>INT(SUM(AB$520:AB662))</f>
        <v>3156200</v>
      </c>
      <c r="AE662" s="153">
        <f ca="1">INT(AC662*6/($D$475+AVERAGE(OFFSET(装备产出!$F$186,0,0,W662))))+1</f>
        <v>184</v>
      </c>
      <c r="AF662" s="154">
        <f t="shared" si="74"/>
        <v>77.9020116006417</v>
      </c>
    </row>
    <row r="663" ht="17.25" spans="4:32">
      <c r="D663" s="151">
        <v>144</v>
      </c>
      <c r="E663" s="161" t="str">
        <f>IFERROR((INT(_xlfn.XLOOKUP(D663,养成规划!$G$6:$G$38,养成规划!$J$6:$J$38)/6)),"")</f>
        <v/>
      </c>
      <c r="F663" s="156" t="str">
        <f t="shared" si="81"/>
        <v/>
      </c>
      <c r="G663" s="157">
        <f t="shared" si="69"/>
        <v>45</v>
      </c>
      <c r="H663" s="151">
        <f t="shared" si="70"/>
        <v>25830</v>
      </c>
      <c r="I663" s="158">
        <f t="shared" si="75"/>
        <v>2583</v>
      </c>
      <c r="J663" s="159">
        <f ca="1" t="shared" si="76"/>
        <v>0.0228889884915073</v>
      </c>
      <c r="K663" s="157">
        <f t="shared" si="71"/>
        <v>2269</v>
      </c>
      <c r="L663" s="160">
        <f ca="1" t="shared" si="77"/>
        <v>99130.6365871905</v>
      </c>
      <c r="M663" s="157">
        <f t="shared" si="78"/>
        <v>50.4222222222222</v>
      </c>
      <c r="U663" s="151">
        <v>144</v>
      </c>
      <c r="V663" s="157">
        <f ca="1">OFFSET(养成规划!$D$5,IFERROR(MATCH(U663,养成规划!$G$6:$G$38,1)+1,1),0)</f>
        <v>370</v>
      </c>
      <c r="W663" s="152">
        <f ca="1">((V663-_xlfn.MAXIFS($V$519:V662,$V$519:V662,"&lt;"&amp;V663))*$D$475)/COUNTIF($V$520:$V$819,V663)/6</f>
        <v>833.333333333333</v>
      </c>
      <c r="X663" s="157">
        <f t="shared" si="72"/>
        <v>8</v>
      </c>
      <c r="Y663" s="151">
        <f t="shared" si="79"/>
        <v>743</v>
      </c>
      <c r="Z663" s="156">
        <f ca="1">(SUM($W$520:W663)-SUM($Y$520:Y663))/SUM($W$520:W663)</f>
        <v>0.322991932175579</v>
      </c>
      <c r="AA663" s="151">
        <f t="shared" si="73"/>
        <v>800</v>
      </c>
      <c r="AB663" s="153">
        <f t="shared" si="80"/>
        <v>66200</v>
      </c>
      <c r="AC663" s="153">
        <f>SUM(Y$520:Y663)</f>
        <v>41258</v>
      </c>
      <c r="AD663" s="153">
        <f>INT(SUM(AB$520:AB663))</f>
        <v>3222400</v>
      </c>
      <c r="AE663" s="153">
        <f ca="1">INT(AC663*6/($D$475+AVERAGE(OFFSET(装备产出!$F$186,0,0,W663))))+1</f>
        <v>187</v>
      </c>
      <c r="AF663" s="154">
        <f t="shared" si="74"/>
        <v>78.1036405060837</v>
      </c>
    </row>
    <row r="664" ht="17.25" spans="4:32">
      <c r="D664" s="151">
        <v>145</v>
      </c>
      <c r="E664" s="161" t="str">
        <f>IFERROR((INT(_xlfn.XLOOKUP(D664,养成规划!$G$6:$G$38,养成规划!$J$6:$J$38)/6)),"")</f>
        <v/>
      </c>
      <c r="F664" s="156" t="str">
        <f t="shared" si="81"/>
        <v/>
      </c>
      <c r="G664" s="157">
        <f t="shared" si="69"/>
        <v>45</v>
      </c>
      <c r="H664" s="151">
        <f t="shared" si="70"/>
        <v>26280</v>
      </c>
      <c r="I664" s="158">
        <f t="shared" si="75"/>
        <v>2628</v>
      </c>
      <c r="J664" s="159">
        <f ca="1" t="shared" si="76"/>
        <v>0.0226782644531352</v>
      </c>
      <c r="K664" s="157">
        <f t="shared" si="71"/>
        <v>2293</v>
      </c>
      <c r="L664" s="160">
        <f ca="1" t="shared" si="77"/>
        <v>101110.030035081</v>
      </c>
      <c r="M664" s="157">
        <f t="shared" si="78"/>
        <v>50.9555555555556</v>
      </c>
      <c r="U664" s="151">
        <v>145</v>
      </c>
      <c r="V664" s="157">
        <f ca="1">OFFSET(养成规划!$D$5,IFERROR(MATCH(U664,养成规划!$G$6:$G$38,1)+1,1),0)</f>
        <v>370</v>
      </c>
      <c r="W664" s="152">
        <f ca="1">((V664-_xlfn.MAXIFS($V$519:V663,$V$519:V663,"&lt;"&amp;V664))*$D$475)/COUNTIF($V$520:$V$819,V664)/6</f>
        <v>833.333333333333</v>
      </c>
      <c r="X664" s="157">
        <f t="shared" si="72"/>
        <v>8</v>
      </c>
      <c r="Y664" s="151">
        <f t="shared" si="79"/>
        <v>751</v>
      </c>
      <c r="Z664" s="156">
        <f ca="1">(SUM($W$520:W664)-SUM($Y$520:Y664))/SUM($W$520:W664)</f>
        <v>0.319967624443546</v>
      </c>
      <c r="AA664" s="151">
        <f t="shared" si="73"/>
        <v>800</v>
      </c>
      <c r="AB664" s="153">
        <f t="shared" si="80"/>
        <v>67000</v>
      </c>
      <c r="AC664" s="153">
        <f>SUM(Y$520:Y664)</f>
        <v>42009</v>
      </c>
      <c r="AD664" s="153">
        <f>INT(SUM(AB$520:AB664))</f>
        <v>3289400</v>
      </c>
      <c r="AE664" s="153">
        <f ca="1">INT(AC664*6/($D$475+AVERAGE(OFFSET(装备产出!$F$186,0,0,W664))))+1</f>
        <v>190</v>
      </c>
      <c r="AF664" s="154">
        <f t="shared" si="74"/>
        <v>78.3022685614987</v>
      </c>
    </row>
    <row r="665" ht="17.25" spans="4:32">
      <c r="D665" s="151">
        <v>146</v>
      </c>
      <c r="E665" s="161" t="str">
        <f>IFERROR((INT(_xlfn.XLOOKUP(D665,养成规划!$G$6:$G$38,养成规划!$J$6:$J$38)/6)),"")</f>
        <v/>
      </c>
      <c r="F665" s="156" t="str">
        <f t="shared" si="81"/>
        <v/>
      </c>
      <c r="G665" s="157">
        <f t="shared" si="69"/>
        <v>50</v>
      </c>
      <c r="H665" s="151">
        <f t="shared" si="70"/>
        <v>26780</v>
      </c>
      <c r="I665" s="158">
        <f t="shared" si="75"/>
        <v>2678</v>
      </c>
      <c r="J665" s="159">
        <f ca="1" t="shared" si="76"/>
        <v>0.0249555987313997</v>
      </c>
      <c r="K665" s="157">
        <f t="shared" si="71"/>
        <v>2317</v>
      </c>
      <c r="L665" s="160">
        <f ca="1" t="shared" si="77"/>
        <v>92844.8972488364</v>
      </c>
      <c r="M665" s="157">
        <f t="shared" si="78"/>
        <v>46.34</v>
      </c>
      <c r="U665" s="151">
        <v>146</v>
      </c>
      <c r="V665" s="157">
        <f ca="1">OFFSET(养成规划!$D$5,IFERROR(MATCH(U665,养成规划!$G$6:$G$38,1)+1,1),0)</f>
        <v>370</v>
      </c>
      <c r="W665" s="152">
        <f ca="1">((V665-_xlfn.MAXIFS($V$519:V664,$V$519:V664,"&lt;"&amp;V665))*$D$475)/COUNTIF($V$520:$V$819,V665)/6</f>
        <v>833.333333333333</v>
      </c>
      <c r="X665" s="157">
        <f t="shared" si="72"/>
        <v>8</v>
      </c>
      <c r="Y665" s="151">
        <f t="shared" si="79"/>
        <v>759</v>
      </c>
      <c r="Z665" s="156">
        <f ca="1">(SUM($W$520:W665)-SUM($Y$520:Y665))/SUM($W$520:W665)</f>
        <v>0.316896046852124</v>
      </c>
      <c r="AA665" s="151">
        <f t="shared" si="73"/>
        <v>800</v>
      </c>
      <c r="AB665" s="153">
        <f t="shared" si="80"/>
        <v>67800</v>
      </c>
      <c r="AC665" s="153">
        <f>SUM(Y$520:Y665)</f>
        <v>42768</v>
      </c>
      <c r="AD665" s="153">
        <f>INT(SUM(AB$520:AB665))</f>
        <v>3357200</v>
      </c>
      <c r="AE665" s="153">
        <f ca="1">INT(AC665*6/($D$475+AVERAGE(OFFSET(装备产出!$F$186,0,0,W665))))+1</f>
        <v>194</v>
      </c>
      <c r="AF665" s="154">
        <f t="shared" si="74"/>
        <v>78.4979423868313</v>
      </c>
    </row>
    <row r="666" ht="17.25" spans="4:32">
      <c r="D666" s="151">
        <v>147</v>
      </c>
      <c r="E666" s="161" t="str">
        <f>IFERROR((INT(_xlfn.XLOOKUP(D666,养成规划!$G$6:$G$38,养成规划!$J$6:$J$38)/6)),"")</f>
        <v/>
      </c>
      <c r="F666" s="156" t="str">
        <f t="shared" si="81"/>
        <v/>
      </c>
      <c r="G666" s="157">
        <f t="shared" si="69"/>
        <v>50</v>
      </c>
      <c r="H666" s="151">
        <f t="shared" si="70"/>
        <v>27280</v>
      </c>
      <c r="I666" s="158">
        <f t="shared" si="75"/>
        <v>2728</v>
      </c>
      <c r="J666" s="159">
        <f ca="1" t="shared" si="76"/>
        <v>0.0247053127098451</v>
      </c>
      <c r="K666" s="157">
        <f t="shared" si="71"/>
        <v>2341</v>
      </c>
      <c r="L666" s="160">
        <f ca="1" t="shared" si="77"/>
        <v>94756.9467140203</v>
      </c>
      <c r="M666" s="157">
        <f t="shared" si="78"/>
        <v>46.82</v>
      </c>
      <c r="U666" s="151">
        <v>147</v>
      </c>
      <c r="V666" s="157">
        <f ca="1">OFFSET(养成规划!$D$5,IFERROR(MATCH(U666,养成规划!$G$6:$G$38,1)+1,1),0)</f>
        <v>370</v>
      </c>
      <c r="W666" s="152">
        <f ca="1">((V666-_xlfn.MAXIFS($V$519:V665,$V$519:V665,"&lt;"&amp;V666))*$D$475)/COUNTIF($V$520:$V$819,V666)/6</f>
        <v>833.333333333333</v>
      </c>
      <c r="X666" s="157">
        <f t="shared" si="72"/>
        <v>8</v>
      </c>
      <c r="Y666" s="151">
        <f t="shared" si="79"/>
        <v>767</v>
      </c>
      <c r="Z666" s="156">
        <f ca="1">(SUM($W$520:W666)-SUM($Y$520:Y666))/SUM($W$520:W666)</f>
        <v>0.313779062130567</v>
      </c>
      <c r="AA666" s="151">
        <f t="shared" si="73"/>
        <v>800</v>
      </c>
      <c r="AB666" s="153">
        <f t="shared" si="80"/>
        <v>68600</v>
      </c>
      <c r="AC666" s="153">
        <f>SUM(Y$520:Y666)</f>
        <v>43535</v>
      </c>
      <c r="AD666" s="153">
        <f>INT(SUM(AB$520:AB666))</f>
        <v>3425800</v>
      </c>
      <c r="AE666" s="153">
        <f ca="1">INT(AC666*6/($D$475+AVERAGE(OFFSET(装备产出!$F$186,0,0,W666))))+1</f>
        <v>197</v>
      </c>
      <c r="AF666" s="154">
        <f t="shared" si="74"/>
        <v>78.6907086252441</v>
      </c>
    </row>
    <row r="667" ht="17.25" spans="4:32">
      <c r="D667" s="151">
        <v>148</v>
      </c>
      <c r="E667" s="161" t="str">
        <f>IFERROR((INT(_xlfn.XLOOKUP(D667,养成规划!$G$6:$G$38,养成规划!$J$6:$J$38)/6)),"")</f>
        <v/>
      </c>
      <c r="F667" s="156" t="str">
        <f t="shared" si="81"/>
        <v/>
      </c>
      <c r="G667" s="157">
        <f t="shared" si="69"/>
        <v>50</v>
      </c>
      <c r="H667" s="151">
        <f t="shared" si="70"/>
        <v>27780</v>
      </c>
      <c r="I667" s="158">
        <f t="shared" si="75"/>
        <v>2778</v>
      </c>
      <c r="J667" s="159">
        <f ca="1" t="shared" si="76"/>
        <v>0.02445999724242</v>
      </c>
      <c r="K667" s="157">
        <f t="shared" si="71"/>
        <v>2365</v>
      </c>
      <c r="L667" s="160">
        <f ca="1" t="shared" si="77"/>
        <v>96688.4818735171</v>
      </c>
      <c r="M667" s="157">
        <f t="shared" si="78"/>
        <v>47.3</v>
      </c>
      <c r="U667" s="151">
        <v>148</v>
      </c>
      <c r="V667" s="157">
        <f ca="1">OFFSET(养成规划!$D$5,IFERROR(MATCH(U667,养成规划!$G$6:$G$38,1)+1,1),0)</f>
        <v>430</v>
      </c>
      <c r="W667" s="152">
        <f ca="1">((V667-_xlfn.MAXIFS($V$519:V666,$V$519:V666,"&lt;"&amp;V667))*$D$475)/COUNTIF($V$520:$V$819,V667)/6</f>
        <v>833.333333333333</v>
      </c>
      <c r="X667" s="157">
        <f t="shared" si="72"/>
        <v>8</v>
      </c>
      <c r="Y667" s="151">
        <f t="shared" si="79"/>
        <v>775</v>
      </c>
      <c r="Z667" s="156">
        <f ca="1">(SUM($W$520:W667)-SUM($Y$520:Y667))/SUM($W$520:W667)</f>
        <v>0.310618436406069</v>
      </c>
      <c r="AA667" s="151">
        <f t="shared" si="73"/>
        <v>800</v>
      </c>
      <c r="AB667" s="153">
        <f t="shared" si="80"/>
        <v>69400</v>
      </c>
      <c r="AC667" s="153">
        <f>SUM(Y$520:Y667)</f>
        <v>44310</v>
      </c>
      <c r="AD667" s="153">
        <f>INT(SUM(AB$520:AB667))</f>
        <v>3495200</v>
      </c>
      <c r="AE667" s="153">
        <f ca="1">INT(AC667*6/($D$475+AVERAGE(OFFSET(装备产出!$F$186,0,0,W667))))+1</f>
        <v>201</v>
      </c>
      <c r="AF667" s="154">
        <f t="shared" si="74"/>
        <v>78.8806138569172</v>
      </c>
    </row>
    <row r="668" ht="17.25" spans="4:32">
      <c r="D668" s="151">
        <v>149</v>
      </c>
      <c r="E668" s="161" t="str">
        <f>IFERROR((INT(_xlfn.XLOOKUP(D668,养成规划!$G$6:$G$38,养成规划!$J$6:$J$38)/6)),"")</f>
        <v/>
      </c>
      <c r="F668" s="156" t="str">
        <f t="shared" si="81"/>
        <v/>
      </c>
      <c r="G668" s="157">
        <f t="shared" si="69"/>
        <v>50</v>
      </c>
      <c r="H668" s="151">
        <f t="shared" si="70"/>
        <v>28280</v>
      </c>
      <c r="I668" s="158">
        <f t="shared" si="75"/>
        <v>2828</v>
      </c>
      <c r="J668" s="159">
        <f ca="1" t="shared" si="76"/>
        <v>0.0242195057147306</v>
      </c>
      <c r="K668" s="157">
        <f t="shared" si="71"/>
        <v>2389</v>
      </c>
      <c r="L668" s="160">
        <f ca="1" t="shared" si="77"/>
        <v>98639.5027272162</v>
      </c>
      <c r="M668" s="157">
        <f t="shared" si="78"/>
        <v>47.78</v>
      </c>
      <c r="U668" s="151">
        <v>149</v>
      </c>
      <c r="V668" s="157">
        <f ca="1">OFFSET(养成规划!$D$5,IFERROR(MATCH(U668,养成规划!$G$6:$G$38,1)+1,1),0)</f>
        <v>430</v>
      </c>
      <c r="W668" s="152">
        <f ca="1">((V668-_xlfn.MAXIFS($V$519:V667,$V$519:V667,"&lt;"&amp;V668))*$D$475)/COUNTIF($V$520:$V$819,V668)/6</f>
        <v>833.333333333333</v>
      </c>
      <c r="X668" s="157">
        <f t="shared" si="72"/>
        <v>8</v>
      </c>
      <c r="Y668" s="151">
        <f t="shared" si="79"/>
        <v>783</v>
      </c>
      <c r="Z668" s="156">
        <f ca="1">(SUM($W$520:W668)-SUM($Y$520:Y668))/SUM($W$520:W668)</f>
        <v>0.307415845385896</v>
      </c>
      <c r="AA668" s="151">
        <f t="shared" si="73"/>
        <v>800</v>
      </c>
      <c r="AB668" s="153">
        <f t="shared" si="80"/>
        <v>70200</v>
      </c>
      <c r="AC668" s="153">
        <f>SUM(Y$520:Y668)</f>
        <v>45093</v>
      </c>
      <c r="AD668" s="153">
        <f>INT(SUM(AB$520:AB668))</f>
        <v>3565400</v>
      </c>
      <c r="AE668" s="153">
        <f ca="1">INT(AC668*6/($D$475+AVERAGE(OFFSET(装备产出!$F$186,0,0,W668))))+1</f>
        <v>204</v>
      </c>
      <c r="AF668" s="154">
        <f t="shared" si="74"/>
        <v>79.0677045217661</v>
      </c>
    </row>
    <row r="669" ht="17.25" spans="4:32">
      <c r="D669" s="151">
        <v>150</v>
      </c>
      <c r="E669" s="161" t="str">
        <f>IFERROR((INT(_xlfn.XLOOKUP(D669,养成规划!$G$6:$G$38,养成规划!$J$6:$J$38)/6)),"")</f>
        <v/>
      </c>
      <c r="F669" s="156" t="str">
        <f t="shared" si="81"/>
        <v/>
      </c>
      <c r="G669" s="157">
        <f t="shared" si="69"/>
        <v>50</v>
      </c>
      <c r="H669" s="151">
        <f t="shared" si="70"/>
        <v>28780</v>
      </c>
      <c r="I669" s="158">
        <f t="shared" si="75"/>
        <v>2878</v>
      </c>
      <c r="J669" s="159">
        <f ca="1" t="shared" si="76"/>
        <v>0.0232151947474192</v>
      </c>
      <c r="K669" s="157">
        <f t="shared" si="71"/>
        <v>2413</v>
      </c>
      <c r="L669" s="160">
        <f ca="1" t="shared" si="77"/>
        <v>103940.545244327</v>
      </c>
      <c r="M669" s="157">
        <f t="shared" si="78"/>
        <v>48.26</v>
      </c>
      <c r="U669" s="151">
        <v>150</v>
      </c>
      <c r="V669" s="157">
        <f ca="1">OFFSET(养成规划!$D$5,IFERROR(MATCH(U669,养成规划!$G$6:$G$38,1)+1,1),0)</f>
        <v>430</v>
      </c>
      <c r="W669" s="152">
        <f ca="1">((V669-_xlfn.MAXIFS($V$519:V668,$V$519:V668,"&lt;"&amp;V669))*$D$475)/COUNTIF($V$520:$V$819,V669)/6</f>
        <v>833.333333333333</v>
      </c>
      <c r="X669" s="157">
        <f t="shared" si="72"/>
        <v>8</v>
      </c>
      <c r="Y669" s="151">
        <f t="shared" si="79"/>
        <v>791</v>
      </c>
      <c r="Z669" s="156">
        <f ca="1">(SUM($W$520:W669)-SUM($Y$520:Y669))/SUM($W$520:W669)</f>
        <v>0.304172880070771</v>
      </c>
      <c r="AA669" s="151">
        <f t="shared" si="73"/>
        <v>800</v>
      </c>
      <c r="AB669" s="153">
        <f t="shared" si="80"/>
        <v>71000</v>
      </c>
      <c r="AC669" s="153">
        <f>SUM(Y$520:Y669)</f>
        <v>45884</v>
      </c>
      <c r="AD669" s="153">
        <f>INT(SUM(AB$520:AB669))</f>
        <v>3636400</v>
      </c>
      <c r="AE669" s="153">
        <f ca="1">INT(AC669*6/($D$475+AVERAGE(OFFSET(装备产出!$F$186,0,0,W669))))+1</f>
        <v>208</v>
      </c>
      <c r="AF669" s="154">
        <f t="shared" si="74"/>
        <v>79.2520268503182</v>
      </c>
    </row>
    <row r="670" ht="17.25" spans="4:32">
      <c r="D670" s="151">
        <v>151</v>
      </c>
      <c r="E670" s="161" t="str">
        <f>IFERROR((INT(_xlfn.XLOOKUP(D670,养成规划!$G$6:$G$38,养成规划!$J$6:$J$38)/6)),"")</f>
        <v/>
      </c>
      <c r="F670" s="156" t="str">
        <f t="shared" si="81"/>
        <v/>
      </c>
      <c r="G670" s="157">
        <f t="shared" si="69"/>
        <v>50</v>
      </c>
      <c r="H670" s="151">
        <f t="shared" si="70"/>
        <v>29280</v>
      </c>
      <c r="I670" s="158">
        <f t="shared" si="75"/>
        <v>2928</v>
      </c>
      <c r="J670" s="159">
        <f ca="1" t="shared" si="76"/>
        <v>0.0229984499654183</v>
      </c>
      <c r="K670" s="157">
        <f t="shared" si="71"/>
        <v>2437</v>
      </c>
      <c r="L670" s="160">
        <f ca="1" t="shared" si="77"/>
        <v>105963.66292791</v>
      </c>
      <c r="M670" s="157">
        <f t="shared" si="78"/>
        <v>48.74</v>
      </c>
      <c r="U670" s="151">
        <v>151</v>
      </c>
      <c r="V670" s="157">
        <f ca="1">OFFSET(养成规划!$D$5,IFERROR(MATCH(U670,养成规划!$G$6:$G$38,1)+1,1),0)</f>
        <v>430</v>
      </c>
      <c r="W670" s="152">
        <f ca="1">((V670-_xlfn.MAXIFS($V$519:V669,$V$519:V669,"&lt;"&amp;V670))*$D$475)/COUNTIF($V$520:$V$819,V670)/6</f>
        <v>833.333333333333</v>
      </c>
      <c r="X670" s="157">
        <f t="shared" si="72"/>
        <v>8</v>
      </c>
      <c r="Y670" s="151">
        <f t="shared" si="79"/>
        <v>799</v>
      </c>
      <c r="Z670" s="156">
        <f ca="1">(SUM($W$520:W670)-SUM($Y$520:Y670))/SUM($W$520:W670)</f>
        <v>0.300891052040435</v>
      </c>
      <c r="AA670" s="151">
        <f t="shared" si="73"/>
        <v>800</v>
      </c>
      <c r="AB670" s="153">
        <f t="shared" si="80"/>
        <v>71800</v>
      </c>
      <c r="AC670" s="153">
        <f>SUM(Y$520:Y670)</f>
        <v>46683</v>
      </c>
      <c r="AD670" s="153">
        <f>INT(SUM(AB$520:AB670))</f>
        <v>3708200</v>
      </c>
      <c r="AE670" s="153">
        <f ca="1">INT(AC670*6/($D$475+AVERAGE(OFFSET(装备产出!$F$186,0,0,W670))))+1</f>
        <v>211</v>
      </c>
      <c r="AF670" s="154">
        <f t="shared" si="74"/>
        <v>79.4336268020479</v>
      </c>
    </row>
    <row r="671" ht="17.25" spans="4:32">
      <c r="D671" s="151">
        <v>152</v>
      </c>
      <c r="E671" s="161" t="str">
        <f>IFERROR((INT(_xlfn.XLOOKUP(D671,养成规划!$G$6:$G$38,养成规划!$J$6:$J$38)/6)),"")</f>
        <v/>
      </c>
      <c r="F671" s="156" t="str">
        <f t="shared" si="81"/>
        <v/>
      </c>
      <c r="G671" s="157">
        <f t="shared" si="69"/>
        <v>50</v>
      </c>
      <c r="H671" s="151">
        <f t="shared" si="70"/>
        <v>29780</v>
      </c>
      <c r="I671" s="158">
        <f t="shared" si="75"/>
        <v>2978</v>
      </c>
      <c r="J671" s="159">
        <f ca="1" t="shared" si="76"/>
        <v>0.0227857149782897</v>
      </c>
      <c r="K671" s="157">
        <f t="shared" si="71"/>
        <v>2461</v>
      </c>
      <c r="L671" s="160">
        <f ca="1" t="shared" si="77"/>
        <v>108006.266309609</v>
      </c>
      <c r="M671" s="157">
        <f t="shared" si="78"/>
        <v>49.22</v>
      </c>
      <c r="U671" s="151">
        <v>152</v>
      </c>
      <c r="V671" s="157">
        <f ca="1">OFFSET(养成规划!$D$5,IFERROR(MATCH(U671,养成规划!$G$6:$G$38,1)+1,1),0)</f>
        <v>430</v>
      </c>
      <c r="W671" s="152">
        <f ca="1">((V671-_xlfn.MAXIFS($V$519:V670,$V$519:V670,"&lt;"&amp;V671))*$D$475)/COUNTIF($V$520:$V$819,V671)/6</f>
        <v>833.333333333333</v>
      </c>
      <c r="X671" s="157">
        <f t="shared" si="72"/>
        <v>8</v>
      </c>
      <c r="Y671" s="151">
        <f t="shared" si="79"/>
        <v>807</v>
      </c>
      <c r="Z671" s="156">
        <f ca="1">(SUM($W$520:W671)-SUM($Y$520:Y671))/SUM($W$520:W671)</f>
        <v>0.297571798348331</v>
      </c>
      <c r="AA671" s="151">
        <f t="shared" si="73"/>
        <v>800</v>
      </c>
      <c r="AB671" s="153">
        <f t="shared" si="80"/>
        <v>72600</v>
      </c>
      <c r="AC671" s="153">
        <f>SUM(Y$520:Y671)</f>
        <v>47490</v>
      </c>
      <c r="AD671" s="153">
        <f>INT(SUM(AB$520:AB671))</f>
        <v>3780800</v>
      </c>
      <c r="AE671" s="153">
        <f ca="1">INT(AC671*6/($D$475+AVERAGE(OFFSET(装备产出!$F$186,0,0,W671))))+1</f>
        <v>215</v>
      </c>
      <c r="AF671" s="154">
        <f t="shared" si="74"/>
        <v>79.6125500105285</v>
      </c>
    </row>
    <row r="672" ht="17.25" spans="4:32">
      <c r="D672" s="151">
        <v>153</v>
      </c>
      <c r="E672" s="161" t="str">
        <f>IFERROR((INT(_xlfn.XLOOKUP(D672,养成规划!$G$6:$G$38,养成规划!$J$6:$J$38)/6)),"")</f>
        <v/>
      </c>
      <c r="F672" s="156" t="str">
        <f t="shared" si="81"/>
        <v/>
      </c>
      <c r="G672" s="157">
        <f t="shared" si="69"/>
        <v>50</v>
      </c>
      <c r="H672" s="151">
        <f t="shared" si="70"/>
        <v>30280</v>
      </c>
      <c r="I672" s="158">
        <f t="shared" si="75"/>
        <v>3028</v>
      </c>
      <c r="J672" s="159">
        <f ca="1" t="shared" si="76"/>
        <v>0.0225768795328373</v>
      </c>
      <c r="K672" s="157">
        <f t="shared" si="71"/>
        <v>2485</v>
      </c>
      <c r="L672" s="160">
        <f ca="1" t="shared" si="77"/>
        <v>110068.355389223</v>
      </c>
      <c r="M672" s="157">
        <f t="shared" si="78"/>
        <v>49.7</v>
      </c>
      <c r="U672" s="151">
        <v>153</v>
      </c>
      <c r="V672" s="157">
        <f ca="1">OFFSET(养成规划!$D$5,IFERROR(MATCH(U672,养成规划!$G$6:$G$38,1)+1,1),0)</f>
        <v>430</v>
      </c>
      <c r="W672" s="152">
        <f ca="1">((V672-_xlfn.MAXIFS($V$519:V671,$V$519:V671,"&lt;"&amp;V672))*$D$475)/COUNTIF($V$520:$V$819,V672)/6</f>
        <v>833.333333333333</v>
      </c>
      <c r="X672" s="157">
        <f t="shared" si="72"/>
        <v>8</v>
      </c>
      <c r="Y672" s="151">
        <f t="shared" si="79"/>
        <v>815</v>
      </c>
      <c r="Z672" s="156">
        <f ca="1">(SUM($W$520:W672)-SUM($Y$520:Y672))/SUM($W$520:W672)</f>
        <v>0.294216486058688</v>
      </c>
      <c r="AA672" s="151">
        <f t="shared" si="73"/>
        <v>800</v>
      </c>
      <c r="AB672" s="153">
        <f t="shared" si="80"/>
        <v>73400</v>
      </c>
      <c r="AC672" s="153">
        <f>SUM(Y$520:Y672)</f>
        <v>48305</v>
      </c>
      <c r="AD672" s="153">
        <f>INT(SUM(AB$520:AB672))</f>
        <v>3854200</v>
      </c>
      <c r="AE672" s="153">
        <f ca="1">INT(AC672*6/($D$475+AVERAGE(OFFSET(装备产出!$F$186,0,0,W672))))+1</f>
        <v>219</v>
      </c>
      <c r="AF672" s="154">
        <f t="shared" si="74"/>
        <v>79.7888417348101</v>
      </c>
    </row>
    <row r="673" ht="17.25" spans="4:32">
      <c r="D673" s="151">
        <v>154</v>
      </c>
      <c r="E673" s="161" t="str">
        <f>IFERROR((INT(_xlfn.XLOOKUP(D673,养成规划!$G$6:$G$38,养成规划!$J$6:$J$38)/6)),"")</f>
        <v/>
      </c>
      <c r="F673" s="156" t="str">
        <f t="shared" si="81"/>
        <v/>
      </c>
      <c r="G673" s="157">
        <f t="shared" si="69"/>
        <v>50</v>
      </c>
      <c r="H673" s="151">
        <f t="shared" si="70"/>
        <v>30780</v>
      </c>
      <c r="I673" s="158">
        <f t="shared" si="75"/>
        <v>3078</v>
      </c>
      <c r="J673" s="159">
        <f ca="1" t="shared" si="76"/>
        <v>0.0223718373812077</v>
      </c>
      <c r="K673" s="157">
        <f t="shared" si="71"/>
        <v>2509</v>
      </c>
      <c r="L673" s="160">
        <f ca="1" t="shared" si="77"/>
        <v>112149.930166557</v>
      </c>
      <c r="M673" s="157">
        <f t="shared" si="78"/>
        <v>50.18</v>
      </c>
      <c r="U673" s="151">
        <v>154</v>
      </c>
      <c r="V673" s="157">
        <f ca="1">OFFSET(养成规划!$D$5,IFERROR(MATCH(U673,养成规划!$G$6:$G$38,1)+1,1),0)</f>
        <v>430</v>
      </c>
      <c r="W673" s="152">
        <f ca="1">((V673-_xlfn.MAXIFS($V$519:V672,$V$519:V672,"&lt;"&amp;V673))*$D$475)/COUNTIF($V$520:$V$819,V673)/6</f>
        <v>833.333333333333</v>
      </c>
      <c r="X673" s="157">
        <f t="shared" si="72"/>
        <v>8</v>
      </c>
      <c r="Y673" s="151">
        <f t="shared" si="79"/>
        <v>823</v>
      </c>
      <c r="Z673" s="156">
        <f ca="1">(SUM($W$520:W673)-SUM($Y$520:Y673))/SUM($W$520:W673)</f>
        <v>0.290826416456154</v>
      </c>
      <c r="AA673" s="151">
        <f t="shared" si="73"/>
        <v>800</v>
      </c>
      <c r="AB673" s="153">
        <f t="shared" si="80"/>
        <v>74200</v>
      </c>
      <c r="AC673" s="153">
        <f>SUM(Y$520:Y673)</f>
        <v>49128</v>
      </c>
      <c r="AD673" s="153">
        <f>INT(SUM(AB$520:AB673))</f>
        <v>3928400</v>
      </c>
      <c r="AE673" s="153">
        <f ca="1">INT(AC673*6/($D$475+AVERAGE(OFFSET(装备产出!$F$186,0,0,W673))))+1</f>
        <v>222</v>
      </c>
      <c r="AF673" s="154">
        <f t="shared" si="74"/>
        <v>79.9625468164794</v>
      </c>
    </row>
    <row r="674" ht="17.25" spans="4:32">
      <c r="D674" s="151">
        <v>155</v>
      </c>
      <c r="E674" s="161" t="str">
        <f>IFERROR((INT(_xlfn.XLOOKUP(D674,养成规划!$G$6:$G$38,养成规划!$J$6:$J$38)/6)),"")</f>
        <v/>
      </c>
      <c r="F674" s="156" t="str">
        <f t="shared" si="81"/>
        <v/>
      </c>
      <c r="G674" s="157">
        <f t="shared" si="69"/>
        <v>50</v>
      </c>
      <c r="H674" s="151">
        <f t="shared" si="70"/>
        <v>31280</v>
      </c>
      <c r="I674" s="158">
        <f t="shared" si="75"/>
        <v>3128</v>
      </c>
      <c r="J674" s="159">
        <f ca="1" t="shared" si="76"/>
        <v>0.0221704861006396</v>
      </c>
      <c r="K674" s="157">
        <f t="shared" si="71"/>
        <v>2533</v>
      </c>
      <c r="L674" s="160">
        <f ca="1" t="shared" si="77"/>
        <v>114250.990641424</v>
      </c>
      <c r="M674" s="157">
        <f t="shared" si="78"/>
        <v>50.66</v>
      </c>
      <c r="U674" s="151">
        <v>155</v>
      </c>
      <c r="V674" s="157">
        <f ca="1">OFFSET(养成规划!$D$5,IFERROR(MATCH(U674,养成规划!$G$6:$G$38,1)+1,1),0)</f>
        <v>430</v>
      </c>
      <c r="W674" s="152">
        <f ca="1">((V674-_xlfn.MAXIFS($V$519:V673,$V$519:V673,"&lt;"&amp;V674))*$D$475)/COUNTIF($V$520:$V$819,V674)/6</f>
        <v>833.333333333333</v>
      </c>
      <c r="X674" s="157">
        <f t="shared" si="72"/>
        <v>8</v>
      </c>
      <c r="Y674" s="151">
        <f t="shared" si="79"/>
        <v>831</v>
      </c>
      <c r="Z674" s="156">
        <f ca="1">(SUM($W$520:W674)-SUM($Y$520:Y674))/SUM($W$520:W674)</f>
        <v>0.287402828955189</v>
      </c>
      <c r="AA674" s="151">
        <f t="shared" si="73"/>
        <v>800</v>
      </c>
      <c r="AB674" s="153">
        <f t="shared" si="80"/>
        <v>75000</v>
      </c>
      <c r="AC674" s="153">
        <f>SUM(Y$520:Y674)</f>
        <v>49959</v>
      </c>
      <c r="AD674" s="153">
        <f>INT(SUM(AB$520:AB674))</f>
        <v>4003400</v>
      </c>
      <c r="AE674" s="153">
        <f ca="1">INT(AC674*6/($D$475+AVERAGE(OFFSET(装备产出!$F$186,0,0,W674))))+1</f>
        <v>226</v>
      </c>
      <c r="AF674" s="154">
        <f t="shared" si="74"/>
        <v>80.1337096419064</v>
      </c>
    </row>
    <row r="675" ht="17.25" spans="4:32">
      <c r="D675" s="151">
        <v>156</v>
      </c>
      <c r="E675" s="161" t="str">
        <f>IFERROR((INT(_xlfn.XLOOKUP(D675,养成规划!$G$6:$G$38,养成规划!$J$6:$J$38)/6)),"")</f>
        <v/>
      </c>
      <c r="F675" s="156" t="str">
        <f t="shared" si="81"/>
        <v/>
      </c>
      <c r="G675" s="157">
        <f t="shared" si="69"/>
        <v>55</v>
      </c>
      <c r="H675" s="151">
        <f t="shared" si="70"/>
        <v>31830</v>
      </c>
      <c r="I675" s="158">
        <f t="shared" si="75"/>
        <v>3183</v>
      </c>
      <c r="J675" s="159">
        <f ca="1" t="shared" si="76"/>
        <v>0.0241592582953615</v>
      </c>
      <c r="K675" s="157">
        <f t="shared" si="71"/>
        <v>2557</v>
      </c>
      <c r="L675" s="160">
        <f ca="1" t="shared" si="77"/>
        <v>105839.341950781</v>
      </c>
      <c r="M675" s="157">
        <f t="shared" si="78"/>
        <v>46.4909090909091</v>
      </c>
      <c r="U675" s="151">
        <v>156</v>
      </c>
      <c r="V675" s="157">
        <f ca="1">OFFSET(养成规划!$D$5,IFERROR(MATCH(U675,养成规划!$G$6:$G$38,1)+1,1),0)</f>
        <v>430</v>
      </c>
      <c r="W675" s="152">
        <f ca="1">((V675-_xlfn.MAXIFS($V$519:V674,$V$519:V674,"&lt;"&amp;V675))*$D$475)/COUNTIF($V$520:$V$819,V675)/6</f>
        <v>833.333333333333</v>
      </c>
      <c r="X675" s="157">
        <f t="shared" si="72"/>
        <v>8</v>
      </c>
      <c r="Y675" s="151">
        <f t="shared" si="79"/>
        <v>839</v>
      </c>
      <c r="Z675" s="156">
        <f ca="1">(SUM($W$520:W675)-SUM($Y$520:Y675))/SUM($W$520:W675)</f>
        <v>0.283946904733937</v>
      </c>
      <c r="AA675" s="151">
        <f t="shared" si="73"/>
        <v>800</v>
      </c>
      <c r="AB675" s="153">
        <f t="shared" si="80"/>
        <v>75800</v>
      </c>
      <c r="AC675" s="153">
        <f>SUM(Y$520:Y675)</f>
        <v>50798</v>
      </c>
      <c r="AD675" s="153">
        <f>INT(SUM(AB$520:AB675))</f>
        <v>4079200</v>
      </c>
      <c r="AE675" s="153">
        <f ca="1">INT(AC675*6/($D$475+AVERAGE(OFFSET(装备产出!$F$186,0,0,W675))))+1</f>
        <v>230</v>
      </c>
      <c r="AF675" s="154">
        <f t="shared" si="74"/>
        <v>80.3023741092169</v>
      </c>
    </row>
    <row r="676" ht="17.25" spans="4:32">
      <c r="D676" s="151">
        <v>157</v>
      </c>
      <c r="E676" s="161" t="str">
        <f>IFERROR((INT(_xlfn.XLOOKUP(D676,养成规划!$G$6:$G$38,养成规划!$J$6:$J$38)/6)),"")</f>
        <v/>
      </c>
      <c r="F676" s="156" t="str">
        <f t="shared" si="81"/>
        <v/>
      </c>
      <c r="G676" s="157">
        <f t="shared" si="69"/>
        <v>55</v>
      </c>
      <c r="H676" s="151">
        <f t="shared" si="70"/>
        <v>32380</v>
      </c>
      <c r="I676" s="158">
        <f t="shared" si="75"/>
        <v>3238</v>
      </c>
      <c r="J676" s="159">
        <f ca="1" t="shared" si="76"/>
        <v>0.0239246158446152</v>
      </c>
      <c r="K676" s="157">
        <f t="shared" si="71"/>
        <v>2581</v>
      </c>
      <c r="L676" s="160">
        <f ca="1" t="shared" si="77"/>
        <v>107880.520078692</v>
      </c>
      <c r="M676" s="157">
        <f t="shared" si="78"/>
        <v>46.9272727272727</v>
      </c>
      <c r="U676" s="151">
        <v>157</v>
      </c>
      <c r="V676" s="157">
        <f ca="1">OFFSET(养成规划!$D$5,IFERROR(MATCH(U676,养成规划!$G$6:$G$38,1)+1,1),0)</f>
        <v>430</v>
      </c>
      <c r="W676" s="152">
        <f ca="1">((V676-_xlfn.MAXIFS($V$519:V675,$V$519:V675,"&lt;"&amp;V676))*$D$475)/COUNTIF($V$520:$V$819,V676)/6</f>
        <v>833.333333333333</v>
      </c>
      <c r="X676" s="157">
        <f t="shared" si="72"/>
        <v>8</v>
      </c>
      <c r="Y676" s="151">
        <f t="shared" si="79"/>
        <v>847</v>
      </c>
      <c r="Z676" s="156">
        <f ca="1">(SUM($W$520:W676)-SUM($Y$520:Y676))/SUM($W$520:W676)</f>
        <v>0.280459770114943</v>
      </c>
      <c r="AA676" s="151">
        <f t="shared" si="73"/>
        <v>800</v>
      </c>
      <c r="AB676" s="153">
        <f t="shared" si="80"/>
        <v>76600</v>
      </c>
      <c r="AC676" s="153">
        <f>SUM(Y$520:Y676)</f>
        <v>51645</v>
      </c>
      <c r="AD676" s="153">
        <f>INT(SUM(AB$520:AB676))</f>
        <v>4155800</v>
      </c>
      <c r="AE676" s="153">
        <f ca="1">INT(AC676*6/($D$475+AVERAGE(OFFSET(装备产出!$F$186,0,0,W676))))+1</f>
        <v>234</v>
      </c>
      <c r="AF676" s="154">
        <f t="shared" si="74"/>
        <v>80.468583599574</v>
      </c>
    </row>
    <row r="677" ht="17.25" spans="4:32">
      <c r="D677" s="151">
        <v>158</v>
      </c>
      <c r="E677" s="161" t="str">
        <f>IFERROR((INT(_xlfn.XLOOKUP(D677,养成规划!$G$6:$G$38,养成规划!$J$6:$J$38)/6)),"")</f>
        <v/>
      </c>
      <c r="F677" s="156" t="str">
        <f t="shared" si="81"/>
        <v/>
      </c>
      <c r="G677" s="157">
        <f t="shared" si="69"/>
        <v>55</v>
      </c>
      <c r="H677" s="151">
        <f t="shared" si="70"/>
        <v>32930</v>
      </c>
      <c r="I677" s="158">
        <f t="shared" si="75"/>
        <v>3293</v>
      </c>
      <c r="J677" s="159">
        <f ca="1" t="shared" si="76"/>
        <v>0.02369448743242</v>
      </c>
      <c r="K677" s="157">
        <f t="shared" si="71"/>
        <v>2605</v>
      </c>
      <c r="L677" s="160">
        <f ca="1" t="shared" si="77"/>
        <v>109941.183890549</v>
      </c>
      <c r="M677" s="157">
        <f t="shared" si="78"/>
        <v>47.3636363636364</v>
      </c>
      <c r="U677" s="151">
        <v>158</v>
      </c>
      <c r="V677" s="157">
        <f ca="1">OFFSET(养成规划!$D$5,IFERROR(MATCH(U677,养成规划!$G$6:$G$38,1)+1,1),0)</f>
        <v>430</v>
      </c>
      <c r="W677" s="152">
        <f ca="1">((V677-_xlfn.MAXIFS($V$519:V676,$V$519:V676,"&lt;"&amp;V677))*$D$475)/COUNTIF($V$520:$V$819,V677)/6</f>
        <v>833.333333333333</v>
      </c>
      <c r="X677" s="157">
        <f t="shared" si="72"/>
        <v>8</v>
      </c>
      <c r="Y677" s="151">
        <f t="shared" si="79"/>
        <v>855</v>
      </c>
      <c r="Z677" s="156">
        <f ca="1">(SUM($W$520:W677)-SUM($Y$520:Y677))/SUM($W$520:W677)</f>
        <v>0.276942499713073</v>
      </c>
      <c r="AA677" s="151">
        <f t="shared" si="73"/>
        <v>800</v>
      </c>
      <c r="AB677" s="153">
        <f t="shared" si="80"/>
        <v>77400</v>
      </c>
      <c r="AC677" s="153">
        <f>SUM(Y$520:Y677)</f>
        <v>52500</v>
      </c>
      <c r="AD677" s="153">
        <f>INT(SUM(AB$520:AB677))</f>
        <v>4233200</v>
      </c>
      <c r="AE677" s="153">
        <f ca="1">INT(AC677*6/($D$475+AVERAGE(OFFSET(装备产出!$F$186,0,0,W677))))+1</f>
        <v>238</v>
      </c>
      <c r="AF677" s="154">
        <f t="shared" si="74"/>
        <v>80.632380952381</v>
      </c>
    </row>
    <row r="678" ht="17.25" spans="4:32">
      <c r="D678" s="151">
        <v>159</v>
      </c>
      <c r="E678" s="161" t="str">
        <f>IFERROR((INT(_xlfn.XLOOKUP(D678,养成规划!$G$6:$G$38,养成规划!$J$6:$J$38)/6)),"")</f>
        <v/>
      </c>
      <c r="F678" s="156" t="str">
        <f t="shared" si="81"/>
        <v/>
      </c>
      <c r="G678" s="157">
        <f t="shared" si="69"/>
        <v>55</v>
      </c>
      <c r="H678" s="151">
        <f t="shared" si="70"/>
        <v>33480</v>
      </c>
      <c r="I678" s="158">
        <f t="shared" si="75"/>
        <v>3348</v>
      </c>
      <c r="J678" s="159">
        <f ca="1" t="shared" si="76"/>
        <v>0.0234687440376037</v>
      </c>
      <c r="K678" s="157">
        <f t="shared" si="71"/>
        <v>2629</v>
      </c>
      <c r="L678" s="160">
        <f ca="1" t="shared" si="77"/>
        <v>112021.33338655</v>
      </c>
      <c r="M678" s="157">
        <f t="shared" si="78"/>
        <v>47.8</v>
      </c>
      <c r="U678" s="151">
        <v>159</v>
      </c>
      <c r="V678" s="157">
        <f ca="1">OFFSET(养成规划!$D$5,IFERROR(MATCH(U678,养成规划!$G$6:$G$38,1)+1,1),0)</f>
        <v>430</v>
      </c>
      <c r="W678" s="152">
        <f ca="1">((V678-_xlfn.MAXIFS($V$519:V677,$V$519:V677,"&lt;"&amp;V678))*$D$475)/COUNTIF($V$520:$V$819,V678)/6</f>
        <v>833.333333333333</v>
      </c>
      <c r="X678" s="157">
        <f t="shared" si="72"/>
        <v>8</v>
      </c>
      <c r="Y678" s="151">
        <f t="shared" si="79"/>
        <v>863</v>
      </c>
      <c r="Z678" s="156">
        <f ca="1">(SUM($W$520:W678)-SUM($Y$520:Y678))/SUM($W$520:W678)</f>
        <v>0.273396119369114</v>
      </c>
      <c r="AA678" s="151">
        <f t="shared" si="73"/>
        <v>800</v>
      </c>
      <c r="AB678" s="153">
        <f t="shared" si="80"/>
        <v>78200</v>
      </c>
      <c r="AC678" s="153">
        <f>SUM(Y$520:Y678)</f>
        <v>53363</v>
      </c>
      <c r="AD678" s="153">
        <f>INT(SUM(AB$520:AB678))</f>
        <v>4311400</v>
      </c>
      <c r="AE678" s="153">
        <f ca="1">INT(AC678*6/($D$475+AVERAGE(OFFSET(装备产出!$F$186,0,0,W678))))+1</f>
        <v>242</v>
      </c>
      <c r="AF678" s="154">
        <f t="shared" si="74"/>
        <v>80.793808444053</v>
      </c>
    </row>
    <row r="679" ht="17.25" spans="4:32">
      <c r="D679" s="151">
        <v>160</v>
      </c>
      <c r="E679" s="161" t="str">
        <f>IFERROR((INT(_xlfn.XLOOKUP(D679,养成规划!$G$6:$G$38,养成规划!$J$6:$J$38)/6)),"")</f>
        <v/>
      </c>
      <c r="F679" s="156" t="str">
        <f t="shared" si="81"/>
        <v/>
      </c>
      <c r="G679" s="157">
        <f t="shared" si="69"/>
        <v>55</v>
      </c>
      <c r="H679" s="151">
        <f t="shared" si="70"/>
        <v>34030</v>
      </c>
      <c r="I679" s="158">
        <f t="shared" si="75"/>
        <v>3403</v>
      </c>
      <c r="J679" s="159">
        <f ca="1" t="shared" si="76"/>
        <v>0.0225883601009168</v>
      </c>
      <c r="K679" s="157">
        <f t="shared" si="71"/>
        <v>2653</v>
      </c>
      <c r="L679" s="160">
        <f ca="1" t="shared" si="77"/>
        <v>117449.871887438</v>
      </c>
      <c r="M679" s="157">
        <f t="shared" si="78"/>
        <v>48.2363636363636</v>
      </c>
      <c r="U679" s="151">
        <v>160</v>
      </c>
      <c r="V679" s="157">
        <f ca="1">OFFSET(养成规划!$D$5,IFERROR(MATCH(U679,养成规划!$G$6:$G$38,1)+1,1),0)</f>
        <v>475</v>
      </c>
      <c r="W679" s="152">
        <f ca="1">((V679-_xlfn.MAXIFS($V$519:V678,$V$519:V678,"&lt;"&amp;V679))*$D$475)/COUNTIF($V$520:$V$819,V679)/6</f>
        <v>833.333333333333</v>
      </c>
      <c r="X679" s="157">
        <f t="shared" si="72"/>
        <v>8</v>
      </c>
      <c r="Y679" s="151">
        <f t="shared" si="79"/>
        <v>871</v>
      </c>
      <c r="Z679" s="156">
        <f ca="1">(SUM($W$520:W679)-SUM($Y$520:Y679))/SUM($W$520:W679)</f>
        <v>0.269821608885897</v>
      </c>
      <c r="AA679" s="151">
        <f t="shared" si="73"/>
        <v>800</v>
      </c>
      <c r="AB679" s="153">
        <f t="shared" si="80"/>
        <v>79000</v>
      </c>
      <c r="AC679" s="153">
        <f>SUM(Y$520:Y679)</f>
        <v>54234</v>
      </c>
      <c r="AD679" s="153">
        <f>INT(SUM(AB$520:AB679))</f>
        <v>4390400</v>
      </c>
      <c r="AE679" s="153">
        <f ca="1">INT(AC679*6/($D$475+AVERAGE(OFFSET(装备产出!$F$186,0,0,W679))))+1</f>
        <v>246</v>
      </c>
      <c r="AF679" s="154">
        <f t="shared" si="74"/>
        <v>80.9529077700336</v>
      </c>
    </row>
    <row r="680" ht="17.25" spans="4:32">
      <c r="D680" s="151">
        <v>161</v>
      </c>
      <c r="E680" s="161" t="str">
        <f>IFERROR((INT(_xlfn.XLOOKUP(D680,养成规划!$G$6:$G$38,养成规划!$J$6:$J$38)/6)),"")</f>
        <v/>
      </c>
      <c r="F680" s="156" t="str">
        <f t="shared" si="81"/>
        <v/>
      </c>
      <c r="G680" s="157">
        <f t="shared" si="69"/>
        <v>55</v>
      </c>
      <c r="H680" s="151">
        <f t="shared" si="70"/>
        <v>34580</v>
      </c>
      <c r="I680" s="158">
        <f t="shared" si="75"/>
        <v>3458</v>
      </c>
      <c r="J680" s="159">
        <f ca="1" t="shared" si="76"/>
        <v>0.0223831103107837</v>
      </c>
      <c r="K680" s="157">
        <f t="shared" si="71"/>
        <v>2677</v>
      </c>
      <c r="L680" s="160">
        <f ca="1" t="shared" si="77"/>
        <v>119599.106774284</v>
      </c>
      <c r="M680" s="157">
        <f t="shared" si="78"/>
        <v>48.6727272727273</v>
      </c>
      <c r="U680" s="151">
        <v>161</v>
      </c>
      <c r="V680" s="157">
        <f ca="1">OFFSET(养成规划!$D$5,IFERROR(MATCH(U680,养成规划!$G$6:$G$38,1)+1,1),0)</f>
        <v>475</v>
      </c>
      <c r="W680" s="152">
        <f ca="1">((V680-_xlfn.MAXIFS($V$519:V679,$V$519:V679,"&lt;"&amp;V680))*$D$475)/COUNTIF($V$520:$V$819,V680)/6</f>
        <v>833.333333333333</v>
      </c>
      <c r="X680" s="157">
        <f t="shared" si="72"/>
        <v>8</v>
      </c>
      <c r="Y680" s="151">
        <f t="shared" si="79"/>
        <v>879</v>
      </c>
      <c r="Z680" s="156">
        <f ca="1">(SUM($W$520:W680)-SUM($Y$520:Y680))/SUM($W$520:W680)</f>
        <v>0.26621990458227</v>
      </c>
      <c r="AA680" s="151">
        <f t="shared" si="73"/>
        <v>800</v>
      </c>
      <c r="AB680" s="153">
        <f t="shared" si="80"/>
        <v>79800</v>
      </c>
      <c r="AC680" s="153">
        <f>SUM(Y$520:Y680)</f>
        <v>55113</v>
      </c>
      <c r="AD680" s="153">
        <f>INT(SUM(AB$520:AB680))</f>
        <v>4470200</v>
      </c>
      <c r="AE680" s="153">
        <f ca="1">INT(AC680*6/($D$475+AVERAGE(OFFSET(装备产出!$F$186,0,0,W680))))+1</f>
        <v>250</v>
      </c>
      <c r="AF680" s="154">
        <f t="shared" si="74"/>
        <v>81.109720029757</v>
      </c>
    </row>
    <row r="681" ht="17.25" spans="4:32">
      <c r="D681" s="151">
        <v>162</v>
      </c>
      <c r="E681" s="161" t="str">
        <f>IFERROR((INT(_xlfn.XLOOKUP(D681,养成规划!$G$6:$G$38,养成规划!$J$6:$J$38)/6)),"")</f>
        <v/>
      </c>
      <c r="F681" s="156" t="str">
        <f t="shared" si="81"/>
        <v/>
      </c>
      <c r="G681" s="157">
        <f t="shared" si="69"/>
        <v>55</v>
      </c>
      <c r="H681" s="151">
        <f t="shared" si="70"/>
        <v>35130</v>
      </c>
      <c r="I681" s="158">
        <f t="shared" si="75"/>
        <v>3513</v>
      </c>
      <c r="J681" s="159">
        <f ca="1" t="shared" si="76"/>
        <v>0.02218155697428</v>
      </c>
      <c r="K681" s="157">
        <f t="shared" si="71"/>
        <v>2701</v>
      </c>
      <c r="L681" s="160">
        <f ca="1" t="shared" si="77"/>
        <v>121767.827350076</v>
      </c>
      <c r="M681" s="157">
        <f t="shared" si="78"/>
        <v>49.1090909090909</v>
      </c>
      <c r="U681" s="151">
        <v>162</v>
      </c>
      <c r="V681" s="157">
        <f ca="1">OFFSET(养成规划!$D$5,IFERROR(MATCH(U681,养成规划!$G$6:$G$38,1)+1,1),0)</f>
        <v>475</v>
      </c>
      <c r="W681" s="152">
        <f ca="1">((V681-_xlfn.MAXIFS($V$519:V680,$V$519:V680,"&lt;"&amp;V681))*$D$475)/COUNTIF($V$520:$V$819,V681)/6</f>
        <v>833.333333333333</v>
      </c>
      <c r="X681" s="157">
        <f t="shared" si="72"/>
        <v>8</v>
      </c>
      <c r="Y681" s="151">
        <f t="shared" si="79"/>
        <v>887</v>
      </c>
      <c r="Z681" s="156">
        <f ca="1">(SUM($W$520:W681)-SUM($Y$520:Y681))/SUM($W$520:W681)</f>
        <v>0.262591901678921</v>
      </c>
      <c r="AA681" s="151">
        <f t="shared" si="73"/>
        <v>800</v>
      </c>
      <c r="AB681" s="153">
        <f t="shared" si="80"/>
        <v>80600</v>
      </c>
      <c r="AC681" s="153">
        <f>SUM(Y$520:Y681)</f>
        <v>56000</v>
      </c>
      <c r="AD681" s="153">
        <f>INT(SUM(AB$520:AB681))</f>
        <v>4550800</v>
      </c>
      <c r="AE681" s="153">
        <f ca="1">INT(AC681*6/($D$475+AVERAGE(OFFSET(装备产出!$F$186,0,0,W681))))+1</f>
        <v>254</v>
      </c>
      <c r="AF681" s="154">
        <f t="shared" si="74"/>
        <v>81.2642857142857</v>
      </c>
    </row>
    <row r="682" ht="17.25" spans="4:32">
      <c r="D682" s="151">
        <v>163</v>
      </c>
      <c r="E682" s="161" t="str">
        <f>IFERROR((INT(_xlfn.XLOOKUP(D682,养成规划!$G$6:$G$38,养成规划!$J$6:$J$38)/6)),"")</f>
        <v/>
      </c>
      <c r="F682" s="156" t="str">
        <f t="shared" si="81"/>
        <v/>
      </c>
      <c r="G682" s="157">
        <f t="shared" si="69"/>
        <v>55</v>
      </c>
      <c r="H682" s="151">
        <f t="shared" si="70"/>
        <v>35680</v>
      </c>
      <c r="I682" s="158">
        <f t="shared" si="75"/>
        <v>3568</v>
      </c>
      <c r="J682" s="159">
        <f ca="1" t="shared" si="76"/>
        <v>0.0219836011247881</v>
      </c>
      <c r="K682" s="157">
        <f t="shared" si="71"/>
        <v>2725</v>
      </c>
      <c r="L682" s="160">
        <f ca="1" t="shared" si="77"/>
        <v>123956.033614864</v>
      </c>
      <c r="M682" s="157">
        <f t="shared" si="78"/>
        <v>49.5454545454545</v>
      </c>
      <c r="U682" s="151">
        <v>163</v>
      </c>
      <c r="V682" s="157">
        <f ca="1">OFFSET(养成规划!$D$5,IFERROR(MATCH(U682,养成规划!$G$6:$G$38,1)+1,1),0)</f>
        <v>475</v>
      </c>
      <c r="W682" s="152">
        <f ca="1">((V682-_xlfn.MAXIFS($V$519:V681,$V$519:V681,"&lt;"&amp;V682))*$D$475)/COUNTIF($V$520:$V$819,V682)/6</f>
        <v>833.333333333333</v>
      </c>
      <c r="X682" s="157">
        <f t="shared" si="72"/>
        <v>8</v>
      </c>
      <c r="Y682" s="151">
        <f t="shared" si="79"/>
        <v>895</v>
      </c>
      <c r="Z682" s="156">
        <f ca="1">(SUM($W$520:W682)-SUM($Y$520:Y682))/SUM($W$520:W682)</f>
        <v>0.258938456528818</v>
      </c>
      <c r="AA682" s="151">
        <f t="shared" si="73"/>
        <v>800</v>
      </c>
      <c r="AB682" s="153">
        <f t="shared" si="80"/>
        <v>81400</v>
      </c>
      <c r="AC682" s="153">
        <f>SUM(Y$520:Y682)</f>
        <v>56895</v>
      </c>
      <c r="AD682" s="153">
        <f>INT(SUM(AB$520:AB682))</f>
        <v>4632200</v>
      </c>
      <c r="AE682" s="153">
        <f ca="1">INT(AC682*6/($D$475+AVERAGE(OFFSET(装备产出!$F$186,0,0,W682))))+1</f>
        <v>258</v>
      </c>
      <c r="AF682" s="154">
        <f t="shared" si="74"/>
        <v>81.4166446963705</v>
      </c>
    </row>
    <row r="683" ht="17.25" spans="4:32">
      <c r="D683" s="151">
        <v>164</v>
      </c>
      <c r="E683" s="161" t="str">
        <f>IFERROR((INT(_xlfn.XLOOKUP(D683,养成规划!$G$6:$G$38,养成规划!$J$6:$J$38)/6)),"")</f>
        <v/>
      </c>
      <c r="F683" s="156" t="str">
        <f t="shared" si="81"/>
        <v/>
      </c>
      <c r="G683" s="157">
        <f t="shared" si="69"/>
        <v>55</v>
      </c>
      <c r="H683" s="151">
        <f t="shared" si="70"/>
        <v>36230</v>
      </c>
      <c r="I683" s="158">
        <f t="shared" si="75"/>
        <v>3623</v>
      </c>
      <c r="J683" s="159">
        <f ca="1" t="shared" si="76"/>
        <v>0.0217891472973608</v>
      </c>
      <c r="K683" s="157">
        <f t="shared" si="71"/>
        <v>2749</v>
      </c>
      <c r="L683" s="160">
        <f ca="1" t="shared" si="77"/>
        <v>126163.72556869</v>
      </c>
      <c r="M683" s="157">
        <f t="shared" si="78"/>
        <v>49.9818181818182</v>
      </c>
      <c r="U683" s="151">
        <v>164</v>
      </c>
      <c r="V683" s="157">
        <f ca="1">OFFSET(养成规划!$D$5,IFERROR(MATCH(U683,养成规划!$G$6:$G$38,1)+1,1),0)</f>
        <v>475</v>
      </c>
      <c r="W683" s="152">
        <f ca="1">((V683-_xlfn.MAXIFS($V$519:V682,$V$519:V682,"&lt;"&amp;V683))*$D$475)/COUNTIF($V$520:$V$819,V683)/6</f>
        <v>833.333333333333</v>
      </c>
      <c r="X683" s="157">
        <f t="shared" si="72"/>
        <v>8</v>
      </c>
      <c r="Y683" s="151">
        <f t="shared" si="79"/>
        <v>903</v>
      </c>
      <c r="Z683" s="156">
        <f ca="1">(SUM($W$520:W683)-SUM($Y$520:Y683))/SUM($W$520:W683)</f>
        <v>0.255260388703962</v>
      </c>
      <c r="AA683" s="151">
        <f t="shared" si="73"/>
        <v>800</v>
      </c>
      <c r="AB683" s="153">
        <f t="shared" si="80"/>
        <v>82200</v>
      </c>
      <c r="AC683" s="153">
        <f>SUM(Y$520:Y683)</f>
        <v>57798</v>
      </c>
      <c r="AD683" s="153">
        <f>INT(SUM(AB$520:AB683))</f>
        <v>4714400</v>
      </c>
      <c r="AE683" s="153">
        <f ca="1">INT(AC683*6/($D$475+AVERAGE(OFFSET(装备产出!$F$186,0,0,W683))))+1</f>
        <v>262</v>
      </c>
      <c r="AF683" s="154">
        <f t="shared" si="74"/>
        <v>81.5668362227067</v>
      </c>
    </row>
    <row r="684" ht="17.25" spans="4:32">
      <c r="D684" s="151">
        <v>165</v>
      </c>
      <c r="E684" s="161" t="str">
        <f>IFERROR((INT(_xlfn.XLOOKUP(D684,养成规划!$G$6:$G$38,养成规划!$J$6:$J$38)/6)),"")</f>
        <v/>
      </c>
      <c r="F684" s="156" t="str">
        <f t="shared" si="81"/>
        <v/>
      </c>
      <c r="G684" s="157">
        <f t="shared" si="69"/>
        <v>55</v>
      </c>
      <c r="H684" s="151">
        <f t="shared" si="70"/>
        <v>36780</v>
      </c>
      <c r="I684" s="158">
        <f t="shared" si="75"/>
        <v>3678</v>
      </c>
      <c r="J684" s="159">
        <f ca="1" t="shared" si="76"/>
        <v>0.0215981033752033</v>
      </c>
      <c r="K684" s="157">
        <f t="shared" si="71"/>
        <v>2773</v>
      </c>
      <c r="L684" s="160">
        <f ca="1" t="shared" si="77"/>
        <v>128390.903211607</v>
      </c>
      <c r="M684" s="157">
        <f t="shared" si="78"/>
        <v>50.4181818181818</v>
      </c>
      <c r="U684" s="151">
        <v>165</v>
      </c>
      <c r="V684" s="157">
        <f ca="1">OFFSET(养成规划!$D$5,IFERROR(MATCH(U684,养成规划!$G$6:$G$38,1)+1,1),0)</f>
        <v>475</v>
      </c>
      <c r="W684" s="152">
        <f ca="1">((V684-_xlfn.MAXIFS($V$519:V683,$V$519:V683,"&lt;"&amp;V684))*$D$475)/COUNTIF($V$520:$V$819,V684)/6</f>
        <v>833.333333333333</v>
      </c>
      <c r="X684" s="157">
        <f t="shared" si="72"/>
        <v>8</v>
      </c>
      <c r="Y684" s="151">
        <f t="shared" si="79"/>
        <v>911</v>
      </c>
      <c r="Z684" s="156">
        <f ca="1">(SUM($W$520:W684)-SUM($Y$520:Y684))/SUM($W$520:W684)</f>
        <v>0.251558482949113</v>
      </c>
      <c r="AA684" s="151">
        <f t="shared" si="73"/>
        <v>800</v>
      </c>
      <c r="AB684" s="153">
        <f t="shared" si="80"/>
        <v>83000</v>
      </c>
      <c r="AC684" s="153">
        <f>SUM(Y$520:Y684)</f>
        <v>58709</v>
      </c>
      <c r="AD684" s="153">
        <f>INT(SUM(AB$520:AB684))</f>
        <v>4797400</v>
      </c>
      <c r="AE684" s="153">
        <f ca="1">INT(AC684*6/($D$475+AVERAGE(OFFSET(装备产出!$F$186,0,0,W684))))+1</f>
        <v>266</v>
      </c>
      <c r="AF684" s="154">
        <f t="shared" si="74"/>
        <v>81.7148989081742</v>
      </c>
    </row>
    <row r="685" ht="17.25" spans="4:32">
      <c r="D685" s="151">
        <v>166</v>
      </c>
      <c r="E685" s="161" t="str">
        <f>IFERROR((INT(_xlfn.XLOOKUP(D685,养成规划!$G$6:$G$38,养成规划!$J$6:$J$38)/6)),"")</f>
        <v/>
      </c>
      <c r="F685" s="156" t="str">
        <f t="shared" si="81"/>
        <v/>
      </c>
      <c r="G685" s="157">
        <f t="shared" si="69"/>
        <v>60</v>
      </c>
      <c r="H685" s="151">
        <f t="shared" si="70"/>
        <v>37380</v>
      </c>
      <c r="I685" s="158">
        <f t="shared" si="75"/>
        <v>3738</v>
      </c>
      <c r="J685" s="159">
        <f ca="1" t="shared" si="76"/>
        <v>0.0233475825592002</v>
      </c>
      <c r="K685" s="157">
        <f t="shared" si="71"/>
        <v>2797</v>
      </c>
      <c r="L685" s="160">
        <f ca="1" t="shared" si="77"/>
        <v>119798.27003108</v>
      </c>
      <c r="M685" s="157">
        <f t="shared" si="78"/>
        <v>46.6166666666667</v>
      </c>
      <c r="U685" s="151">
        <v>166</v>
      </c>
      <c r="V685" s="157">
        <f ca="1">OFFSET(养成规划!$D$5,IFERROR(MATCH(U685,养成规划!$G$6:$G$38,1)+1,1),0)</f>
        <v>475</v>
      </c>
      <c r="W685" s="152">
        <f ca="1">((V685-_xlfn.MAXIFS($V$519:V684,$V$519:V684,"&lt;"&amp;V685))*$D$475)/COUNTIF($V$520:$V$819,V685)/6</f>
        <v>833.333333333333</v>
      </c>
      <c r="X685" s="157">
        <f t="shared" si="72"/>
        <v>8</v>
      </c>
      <c r="Y685" s="151">
        <f t="shared" si="79"/>
        <v>919</v>
      </c>
      <c r="Z685" s="156">
        <f ca="1">(SUM($W$520:W685)-SUM($Y$520:Y685))/SUM($W$520:W685)</f>
        <v>0.247833491012299</v>
      </c>
      <c r="AA685" s="151">
        <f t="shared" si="73"/>
        <v>800</v>
      </c>
      <c r="AB685" s="153">
        <f t="shared" si="80"/>
        <v>83800</v>
      </c>
      <c r="AC685" s="153">
        <f>SUM(Y$520:Y685)</f>
        <v>59628</v>
      </c>
      <c r="AD685" s="153">
        <f>INT(SUM(AB$520:AB685))</f>
        <v>4881200</v>
      </c>
      <c r="AE685" s="153">
        <f ca="1">INT(AC685*6/($D$475+AVERAGE(OFFSET(装备产出!$F$186,0,0,W685))))+1</f>
        <v>270</v>
      </c>
      <c r="AF685" s="154">
        <f t="shared" si="74"/>
        <v>81.8608707318709</v>
      </c>
    </row>
    <row r="686" ht="17.25" spans="4:32">
      <c r="D686" s="151">
        <v>167</v>
      </c>
      <c r="E686" s="161" t="str">
        <f>IFERROR((INT(_xlfn.XLOOKUP(D686,养成规划!$G$6:$G$38,养成规划!$J$6:$J$38)/6)),"")</f>
        <v/>
      </c>
      <c r="F686" s="156" t="str">
        <f t="shared" si="81"/>
        <v/>
      </c>
      <c r="G686" s="157">
        <f t="shared" si="69"/>
        <v>60</v>
      </c>
      <c r="H686" s="151">
        <f t="shared" si="70"/>
        <v>37980</v>
      </c>
      <c r="I686" s="158">
        <f t="shared" si="75"/>
        <v>3798</v>
      </c>
      <c r="J686" s="159">
        <f ca="1" t="shared" si="76"/>
        <v>0.0231283703484381</v>
      </c>
      <c r="K686" s="157">
        <f t="shared" si="71"/>
        <v>2821</v>
      </c>
      <c r="L686" s="160">
        <f ca="1" t="shared" si="77"/>
        <v>121971.412490396</v>
      </c>
      <c r="M686" s="157">
        <f t="shared" si="78"/>
        <v>47.0166666666667</v>
      </c>
      <c r="U686" s="151">
        <v>167</v>
      </c>
      <c r="V686" s="157">
        <f ca="1">OFFSET(养成规划!$D$5,IFERROR(MATCH(U686,养成规划!$G$6:$G$38,1)+1,1),0)</f>
        <v>475</v>
      </c>
      <c r="W686" s="152">
        <f ca="1">((V686-_xlfn.MAXIFS($V$519:V685,$V$519:V685,"&lt;"&amp;V686))*$D$475)/COUNTIF($V$520:$V$819,V686)/6</f>
        <v>833.333333333333</v>
      </c>
      <c r="X686" s="157">
        <f t="shared" si="72"/>
        <v>8</v>
      </c>
      <c r="Y686" s="151">
        <f t="shared" si="79"/>
        <v>927</v>
      </c>
      <c r="Z686" s="156">
        <f ca="1">(SUM($W$520:W686)-SUM($Y$520:Y686))/SUM($W$520:W686)</f>
        <v>0.244086133361074</v>
      </c>
      <c r="AA686" s="151">
        <f t="shared" si="73"/>
        <v>800</v>
      </c>
      <c r="AB686" s="153">
        <f t="shared" si="80"/>
        <v>84600</v>
      </c>
      <c r="AC686" s="153">
        <f>SUM(Y$520:Y686)</f>
        <v>60555</v>
      </c>
      <c r="AD686" s="153">
        <f>INT(SUM(AB$520:AB686))</f>
        <v>4965800</v>
      </c>
      <c r="AE686" s="153">
        <f ca="1">INT(AC686*6/($D$475+AVERAGE(OFFSET(装备产出!$F$186,0,0,W686))))+1</f>
        <v>274</v>
      </c>
      <c r="AF686" s="154">
        <f t="shared" si="74"/>
        <v>82.0047890347618</v>
      </c>
    </row>
    <row r="687" ht="17.25" spans="4:32">
      <c r="D687" s="151">
        <v>168</v>
      </c>
      <c r="E687" s="161" t="str">
        <f>IFERROR((INT(_xlfn.XLOOKUP(D687,养成规划!$G$6:$G$38,养成规划!$J$6:$J$38)/6)),"")</f>
        <v/>
      </c>
      <c r="F687" s="156" t="str">
        <f t="shared" si="81"/>
        <v/>
      </c>
      <c r="G687" s="157">
        <f t="shared" si="69"/>
        <v>60</v>
      </c>
      <c r="H687" s="151">
        <f t="shared" si="70"/>
        <v>38580</v>
      </c>
      <c r="I687" s="158">
        <f t="shared" si="75"/>
        <v>3858</v>
      </c>
      <c r="J687" s="159">
        <f ca="1" t="shared" si="76"/>
        <v>0.0229132362773033</v>
      </c>
      <c r="K687" s="157">
        <f t="shared" si="71"/>
        <v>2845</v>
      </c>
      <c r="L687" s="160">
        <f ca="1" t="shared" si="77"/>
        <v>124164.040625641</v>
      </c>
      <c r="M687" s="157">
        <f t="shared" si="78"/>
        <v>47.4166666666667</v>
      </c>
      <c r="U687" s="151">
        <v>168</v>
      </c>
      <c r="V687" s="157">
        <f ca="1">OFFSET(养成规划!$D$5,IFERROR(MATCH(U687,养成规划!$G$6:$G$38,1)+1,1),0)</f>
        <v>475</v>
      </c>
      <c r="W687" s="152">
        <f ca="1">((V687-_xlfn.MAXIFS($V$519:V686,$V$519:V686,"&lt;"&amp;V687))*$D$475)/COUNTIF($V$520:$V$819,V687)/6</f>
        <v>833.333333333333</v>
      </c>
      <c r="X687" s="157">
        <f t="shared" si="72"/>
        <v>8</v>
      </c>
      <c r="Y687" s="151">
        <f t="shared" si="79"/>
        <v>935</v>
      </c>
      <c r="Z687" s="156">
        <f ca="1">(SUM($W$520:W687)-SUM($Y$520:Y687))/SUM($W$520:W687)</f>
        <v>0.240317100792752</v>
      </c>
      <c r="AA687" s="151">
        <f t="shared" si="73"/>
        <v>800</v>
      </c>
      <c r="AB687" s="153">
        <f t="shared" si="80"/>
        <v>85400</v>
      </c>
      <c r="AC687" s="153">
        <f>SUM(Y$520:Y687)</f>
        <v>61490</v>
      </c>
      <c r="AD687" s="153">
        <f>INT(SUM(AB$520:AB687))</f>
        <v>5051200</v>
      </c>
      <c r="AE687" s="153">
        <f ca="1">INT(AC687*6/($D$475+AVERAGE(OFFSET(装备产出!$F$186,0,0,W687))))+1</f>
        <v>278</v>
      </c>
      <c r="AF687" s="154">
        <f t="shared" si="74"/>
        <v>82.1466905187835</v>
      </c>
    </row>
    <row r="688" ht="17.25" spans="4:32">
      <c r="D688" s="151">
        <v>169</v>
      </c>
      <c r="E688" s="161">
        <f>IFERROR((INT(_xlfn.XLOOKUP(D688,养成规划!$G$6:$G$38,养成规划!$J$6:$J$38)/6)),"")</f>
        <v>3350</v>
      </c>
      <c r="F688" s="156">
        <f t="shared" si="81"/>
        <v>0.16955223880597</v>
      </c>
      <c r="G688" s="157">
        <f t="shared" si="69"/>
        <v>60</v>
      </c>
      <c r="H688" s="151">
        <f t="shared" si="70"/>
        <v>39180</v>
      </c>
      <c r="I688" s="158">
        <f t="shared" si="75"/>
        <v>3918</v>
      </c>
      <c r="J688" s="159">
        <f ca="1" t="shared" si="76"/>
        <v>0.0227020675915971</v>
      </c>
      <c r="K688" s="157">
        <f t="shared" si="71"/>
        <v>2869</v>
      </c>
      <c r="L688" s="160">
        <f ca="1" t="shared" si="77"/>
        <v>126376.154437225</v>
      </c>
      <c r="M688" s="157">
        <f t="shared" si="78"/>
        <v>47.8166666666667</v>
      </c>
      <c r="U688" s="151">
        <v>169</v>
      </c>
      <c r="V688" s="157">
        <f ca="1">OFFSET(养成规划!$D$5,IFERROR(MATCH(U688,养成规划!$G$6:$G$38,1)+1,1),0)</f>
        <v>520</v>
      </c>
      <c r="W688" s="152">
        <f ca="1">((V688-_xlfn.MAXIFS($V$519:V687,$V$519:V687,"&lt;"&amp;V688))*$D$475)/COUNTIF($V$520:$V$819,V688)/6</f>
        <v>833.333333333333</v>
      </c>
      <c r="X688" s="157">
        <f t="shared" si="72"/>
        <v>8</v>
      </c>
      <c r="Y688" s="151">
        <f t="shared" si="79"/>
        <v>943</v>
      </c>
      <c r="Z688" s="156">
        <f ca="1">(SUM($W$520:W688)-SUM($Y$520:Y688))/SUM($W$520:W688)</f>
        <v>0.236527055946194</v>
      </c>
      <c r="AA688" s="151">
        <f t="shared" si="73"/>
        <v>800</v>
      </c>
      <c r="AB688" s="153">
        <f t="shared" si="80"/>
        <v>86200</v>
      </c>
      <c r="AC688" s="153">
        <f>SUM(Y$520:Y688)</f>
        <v>62433</v>
      </c>
      <c r="AD688" s="153">
        <f>INT(SUM(AB$520:AB688))</f>
        <v>5137400</v>
      </c>
      <c r="AE688" s="153">
        <f ca="1">INT(AC688*6/($D$475+AVERAGE(OFFSET(装备产出!$F$186,0,0,W688))))+1</f>
        <v>283</v>
      </c>
      <c r="AF688" s="154">
        <f t="shared" si="74"/>
        <v>82.2866112472571</v>
      </c>
    </row>
    <row r="689" ht="17.25" spans="4:32">
      <c r="D689" s="151">
        <v>170</v>
      </c>
      <c r="E689" s="161" t="str">
        <f>IFERROR((INT(_xlfn.XLOOKUP(D689,养成规划!$G$6:$G$38,养成规划!$J$6:$J$38)/6)),"")</f>
        <v/>
      </c>
      <c r="F689" s="156" t="str">
        <f t="shared" si="81"/>
        <v/>
      </c>
      <c r="G689" s="157">
        <f t="shared" si="69"/>
        <v>60</v>
      </c>
      <c r="H689" s="151">
        <f t="shared" si="70"/>
        <v>39780</v>
      </c>
      <c r="I689" s="158">
        <f t="shared" si="75"/>
        <v>3978</v>
      </c>
      <c r="J689" s="159">
        <f ca="1" t="shared" si="76"/>
        <v>0.0218423516938795</v>
      </c>
      <c r="K689" s="157">
        <f t="shared" si="71"/>
        <v>2893</v>
      </c>
      <c r="L689" s="160">
        <f ca="1" t="shared" si="77"/>
        <v>132449.108069744</v>
      </c>
      <c r="M689" s="157">
        <f t="shared" si="78"/>
        <v>48.2166666666667</v>
      </c>
      <c r="U689" s="151">
        <v>170</v>
      </c>
      <c r="V689" s="157">
        <f ca="1">OFFSET(养成规划!$D$5,IFERROR(MATCH(U689,养成规划!$G$6:$G$38,1)+1,1),0)</f>
        <v>520</v>
      </c>
      <c r="W689" s="152">
        <f ca="1">((V689-_xlfn.MAXIFS($V$519:V688,$V$519:V688,"&lt;"&amp;V689))*$D$475)/COUNTIF($V$520:$V$819,V689)/6</f>
        <v>833.333333333333</v>
      </c>
      <c r="X689" s="157">
        <f t="shared" si="72"/>
        <v>8</v>
      </c>
      <c r="Y689" s="151">
        <f t="shared" si="79"/>
        <v>951</v>
      </c>
      <c r="Z689" s="156">
        <f ca="1">(SUM($W$520:W689)-SUM($Y$520:Y689))/SUM($W$520:W689)</f>
        <v>0.232716634722082</v>
      </c>
      <c r="AA689" s="151">
        <f t="shared" si="73"/>
        <v>800</v>
      </c>
      <c r="AB689" s="153">
        <f t="shared" si="80"/>
        <v>87000</v>
      </c>
      <c r="AC689" s="153">
        <f>SUM(Y$520:Y689)</f>
        <v>63384</v>
      </c>
      <c r="AD689" s="153">
        <f>INT(SUM(AB$520:AB689))</f>
        <v>5224400</v>
      </c>
      <c r="AE689" s="153">
        <f ca="1">INT(AC689*6/($D$475+AVERAGE(OFFSET(装备产出!$F$186,0,0,W689))))+1</f>
        <v>287</v>
      </c>
      <c r="AF689" s="154">
        <f t="shared" si="74"/>
        <v>82.4245866464723</v>
      </c>
    </row>
    <row r="690" ht="17.25" spans="4:32">
      <c r="D690" s="151">
        <v>171</v>
      </c>
      <c r="E690" s="161" t="str">
        <f>IFERROR((INT(_xlfn.XLOOKUP(D690,养成规划!$G$6:$G$38,养成规划!$J$6:$J$38)/6)),"")</f>
        <v/>
      </c>
      <c r="F690" s="156" t="str">
        <f t="shared" si="81"/>
        <v/>
      </c>
      <c r="G690" s="157">
        <f t="shared" si="69"/>
        <v>60</v>
      </c>
      <c r="H690" s="151">
        <f t="shared" si="70"/>
        <v>40380</v>
      </c>
      <c r="I690" s="158">
        <f t="shared" si="75"/>
        <v>4038</v>
      </c>
      <c r="J690" s="159">
        <f ca="1" t="shared" si="76"/>
        <v>0.0216503777606018</v>
      </c>
      <c r="K690" s="157">
        <f t="shared" si="71"/>
        <v>2917</v>
      </c>
      <c r="L690" s="160">
        <f ca="1" t="shared" si="77"/>
        <v>134732.060209508</v>
      </c>
      <c r="M690" s="157">
        <f t="shared" si="78"/>
        <v>48.6166666666667</v>
      </c>
      <c r="U690" s="151">
        <v>171</v>
      </c>
      <c r="V690" s="157">
        <f ca="1">OFFSET(养成规划!$D$5,IFERROR(MATCH(U690,养成规划!$G$6:$G$38,1)+1,1),0)</f>
        <v>520</v>
      </c>
      <c r="W690" s="152">
        <f ca="1">((V690-_xlfn.MAXIFS($V$519:V689,$V$519:V689,"&lt;"&amp;V690))*$D$475)/COUNTIF($V$520:$V$819,V690)/6</f>
        <v>833.333333333333</v>
      </c>
      <c r="X690" s="157">
        <f t="shared" si="72"/>
        <v>8</v>
      </c>
      <c r="Y690" s="151">
        <f t="shared" si="79"/>
        <v>959</v>
      </c>
      <c r="Z690" s="156">
        <f ca="1">(SUM($W$520:W690)-SUM($Y$520:Y690))/SUM($W$520:W690)</f>
        <v>0.228886447618096</v>
      </c>
      <c r="AA690" s="151">
        <f t="shared" si="73"/>
        <v>800</v>
      </c>
      <c r="AB690" s="153">
        <f t="shared" si="80"/>
        <v>87800</v>
      </c>
      <c r="AC690" s="153">
        <f>SUM(Y$520:Y690)</f>
        <v>64343</v>
      </c>
      <c r="AD690" s="153">
        <f>INT(SUM(AB$520:AB690))</f>
        <v>5312200</v>
      </c>
      <c r="AE690" s="153">
        <f ca="1">INT(AC690*6/($D$475+AVERAGE(OFFSET(装备产出!$F$186,0,0,W690))))+1</f>
        <v>291</v>
      </c>
      <c r="AF690" s="154">
        <f t="shared" si="74"/>
        <v>82.5606515083226</v>
      </c>
    </row>
    <row r="691" ht="17.25" spans="4:32">
      <c r="D691" s="151">
        <v>172</v>
      </c>
      <c r="E691" s="161" t="str">
        <f>IFERROR((INT(_xlfn.XLOOKUP(D691,养成规划!$G$6:$G$38,养成规划!$J$6:$J$38)/6)),"")</f>
        <v/>
      </c>
      <c r="F691" s="156" t="str">
        <f t="shared" si="81"/>
        <v/>
      </c>
      <c r="G691" s="157">
        <f t="shared" si="69"/>
        <v>60</v>
      </c>
      <c r="H691" s="151">
        <f t="shared" si="70"/>
        <v>40980</v>
      </c>
      <c r="I691" s="158">
        <f t="shared" si="75"/>
        <v>4098</v>
      </c>
      <c r="J691" s="159">
        <f ca="1" t="shared" si="76"/>
        <v>0.0214617489920274</v>
      </c>
      <c r="K691" s="157">
        <f t="shared" si="71"/>
        <v>2941</v>
      </c>
      <c r="L691" s="160">
        <f ca="1" t="shared" si="77"/>
        <v>137034.498031475</v>
      </c>
      <c r="M691" s="157">
        <f t="shared" si="78"/>
        <v>49.0166666666667</v>
      </c>
      <c r="U691" s="151">
        <v>172</v>
      </c>
      <c r="V691" s="157">
        <f ca="1">OFFSET(养成规划!$D$5,IFERROR(MATCH(U691,养成规划!$G$6:$G$38,1)+1,1),0)</f>
        <v>520</v>
      </c>
      <c r="W691" s="152">
        <f ca="1">((V691-_xlfn.MAXIFS($V$519:V690,$V$519:V690,"&lt;"&amp;V691))*$D$475)/COUNTIF($V$520:$V$819,V691)/6</f>
        <v>833.333333333333</v>
      </c>
      <c r="X691" s="157">
        <f t="shared" si="72"/>
        <v>8</v>
      </c>
      <c r="Y691" s="151">
        <f t="shared" si="79"/>
        <v>967</v>
      </c>
      <c r="Z691" s="156">
        <f ca="1">(SUM($W$520:W691)-SUM($Y$520:Y691))/SUM($W$520:W691)</f>
        <v>0.225037080984871</v>
      </c>
      <c r="AA691" s="151">
        <f t="shared" si="73"/>
        <v>800</v>
      </c>
      <c r="AB691" s="153">
        <f t="shared" si="80"/>
        <v>88600</v>
      </c>
      <c r="AC691" s="153">
        <f>SUM(Y$520:Y691)</f>
        <v>65310</v>
      </c>
      <c r="AD691" s="153">
        <f>INT(SUM(AB$520:AB691))</f>
        <v>5400800</v>
      </c>
      <c r="AE691" s="153">
        <f ca="1">INT(AC691*6/($D$475+AVERAGE(OFFSET(装备产出!$F$186,0,0,W691))))+1</f>
        <v>296</v>
      </c>
      <c r="AF691" s="154">
        <f t="shared" si="74"/>
        <v>82.6948399938754</v>
      </c>
    </row>
    <row r="692" ht="17.25" spans="4:32">
      <c r="D692" s="151">
        <v>173</v>
      </c>
      <c r="E692" s="161" t="str">
        <f>IFERROR((INT(_xlfn.XLOOKUP(D692,养成规划!$G$6:$G$38,养成规划!$J$6:$J$38)/6)),"")</f>
        <v/>
      </c>
      <c r="F692" s="156" t="str">
        <f t="shared" si="81"/>
        <v/>
      </c>
      <c r="G692" s="157">
        <f t="shared" si="69"/>
        <v>60</v>
      </c>
      <c r="H692" s="151">
        <f t="shared" si="70"/>
        <v>41580</v>
      </c>
      <c r="I692" s="158">
        <f t="shared" si="75"/>
        <v>4158</v>
      </c>
      <c r="J692" s="159">
        <f ca="1" t="shared" si="76"/>
        <v>0.0212763787080811</v>
      </c>
      <c r="K692" s="157">
        <f t="shared" si="71"/>
        <v>2965</v>
      </c>
      <c r="L692" s="160">
        <f ca="1" t="shared" si="77"/>
        <v>139356.421535863</v>
      </c>
      <c r="M692" s="157">
        <f t="shared" si="78"/>
        <v>49.4166666666667</v>
      </c>
      <c r="U692" s="151">
        <v>173</v>
      </c>
      <c r="V692" s="157">
        <f ca="1">OFFSET(养成规划!$D$5,IFERROR(MATCH(U692,养成规划!$G$6:$G$38,1)+1,1),0)</f>
        <v>520</v>
      </c>
      <c r="W692" s="152">
        <f ca="1">((V692-_xlfn.MAXIFS($V$519:V691,$V$519:V691,"&lt;"&amp;V692))*$D$475)/COUNTIF($V$520:$V$819,V692)/6</f>
        <v>833.333333333333</v>
      </c>
      <c r="X692" s="157">
        <f t="shared" si="72"/>
        <v>8</v>
      </c>
      <c r="Y692" s="151">
        <f t="shared" si="79"/>
        <v>975</v>
      </c>
      <c r="Z692" s="156">
        <f ca="1">(SUM($W$520:W692)-SUM($Y$520:Y692))/SUM($W$520:W692)</f>
        <v>0.221169098208166</v>
      </c>
      <c r="AA692" s="151">
        <f t="shared" si="73"/>
        <v>800</v>
      </c>
      <c r="AB692" s="153">
        <f t="shared" si="80"/>
        <v>89400</v>
      </c>
      <c r="AC692" s="153">
        <f>SUM(Y$520:Y692)</f>
        <v>66285</v>
      </c>
      <c r="AD692" s="153">
        <f>INT(SUM(AB$520:AB692))</f>
        <v>5490200</v>
      </c>
      <c r="AE692" s="153">
        <f ca="1">INT(AC692*6/($D$475+AVERAGE(OFFSET(装备产出!$F$186,0,0,W692))))+1</f>
        <v>300</v>
      </c>
      <c r="AF692" s="154">
        <f t="shared" si="74"/>
        <v>82.8271856377763</v>
      </c>
    </row>
    <row r="693" ht="17.25" spans="4:32">
      <c r="D693" s="151">
        <v>174</v>
      </c>
      <c r="E693" s="161" t="str">
        <f>IFERROR((INT(_xlfn.XLOOKUP(D693,养成规划!$G$6:$G$38,养成规划!$J$6:$J$38)/6)),"")</f>
        <v/>
      </c>
      <c r="F693" s="156" t="str">
        <f t="shared" si="81"/>
        <v/>
      </c>
      <c r="G693" s="157">
        <f t="shared" si="69"/>
        <v>60</v>
      </c>
      <c r="H693" s="151">
        <f t="shared" si="70"/>
        <v>42180</v>
      </c>
      <c r="I693" s="158">
        <f t="shared" si="75"/>
        <v>4218</v>
      </c>
      <c r="J693" s="159">
        <f ca="1" t="shared" si="76"/>
        <v>0.0210941831978043</v>
      </c>
      <c r="K693" s="157">
        <f t="shared" si="71"/>
        <v>2989</v>
      </c>
      <c r="L693" s="160">
        <f ca="1" t="shared" si="77"/>
        <v>141697.830722885</v>
      </c>
      <c r="M693" s="157">
        <f t="shared" si="78"/>
        <v>49.8166666666667</v>
      </c>
      <c r="U693" s="151">
        <v>174</v>
      </c>
      <c r="V693" s="157">
        <f ca="1">OFFSET(养成规划!$D$5,IFERROR(MATCH(U693,养成规划!$G$6:$G$38,1)+1,1),0)</f>
        <v>520</v>
      </c>
      <c r="W693" s="152">
        <f ca="1">((V693-_xlfn.MAXIFS($V$519:V692,$V$519:V692,"&lt;"&amp;V693))*$D$475)/COUNTIF($V$520:$V$819,V693)/6</f>
        <v>833.333333333333</v>
      </c>
      <c r="X693" s="157">
        <f t="shared" si="72"/>
        <v>8</v>
      </c>
      <c r="Y693" s="151">
        <f t="shared" si="79"/>
        <v>983</v>
      </c>
      <c r="Z693" s="156">
        <f ca="1">(SUM($W$520:W693)-SUM($Y$520:Y693))/SUM($W$520:W693)</f>
        <v>0.217283040822263</v>
      </c>
      <c r="AA693" s="151">
        <f t="shared" si="73"/>
        <v>800</v>
      </c>
      <c r="AB693" s="153">
        <f t="shared" si="80"/>
        <v>90200</v>
      </c>
      <c r="AC693" s="153">
        <f>SUM(Y$520:Y693)</f>
        <v>67268</v>
      </c>
      <c r="AD693" s="153">
        <f>INT(SUM(AB$520:AB693))</f>
        <v>5580400</v>
      </c>
      <c r="AE693" s="153">
        <f ca="1">INT(AC693*6/($D$475+AVERAGE(OFFSET(装备产出!$F$186,0,0,W693))))+1</f>
        <v>304</v>
      </c>
      <c r="AF693" s="154">
        <f t="shared" si="74"/>
        <v>82.9577213533924</v>
      </c>
    </row>
    <row r="694" ht="17.25" spans="4:32">
      <c r="D694" s="151">
        <v>175</v>
      </c>
      <c r="E694" s="161" t="str">
        <f>IFERROR((INT(_xlfn.XLOOKUP(D694,养成规划!$G$6:$G$38,养成规划!$J$6:$J$38)/6)),"")</f>
        <v/>
      </c>
      <c r="F694" s="156" t="str">
        <f t="shared" si="81"/>
        <v/>
      </c>
      <c r="G694" s="157">
        <f t="shared" si="69"/>
        <v>60</v>
      </c>
      <c r="H694" s="151">
        <f t="shared" si="70"/>
        <v>42780</v>
      </c>
      <c r="I694" s="158">
        <f t="shared" si="75"/>
        <v>4278</v>
      </c>
      <c r="J694" s="159">
        <f ca="1" t="shared" si="76"/>
        <v>0.0209150815933055</v>
      </c>
      <c r="K694" s="157">
        <f t="shared" si="71"/>
        <v>3013</v>
      </c>
      <c r="L694" s="160">
        <f ca="1" t="shared" si="77"/>
        <v>144058.725592751</v>
      </c>
      <c r="M694" s="157">
        <f t="shared" si="78"/>
        <v>50.2166666666667</v>
      </c>
      <c r="U694" s="151">
        <v>175</v>
      </c>
      <c r="V694" s="157">
        <f ca="1">OFFSET(养成规划!$D$5,IFERROR(MATCH(U694,养成规划!$G$6:$G$38,1)+1,1),0)</f>
        <v>520</v>
      </c>
      <c r="W694" s="152">
        <f ca="1">((V694-_xlfn.MAXIFS($V$519:V693,$V$519:V693,"&lt;"&amp;V694))*$D$475)/COUNTIF($V$520:$V$819,V694)/6</f>
        <v>833.333333333333</v>
      </c>
      <c r="X694" s="157">
        <f t="shared" si="72"/>
        <v>8</v>
      </c>
      <c r="Y694" s="151">
        <f t="shared" si="79"/>
        <v>991</v>
      </c>
      <c r="Z694" s="156">
        <f ca="1">(SUM($W$520:W694)-SUM($Y$520:Y694))/SUM($W$520:W694)</f>
        <v>0.213379429559205</v>
      </c>
      <c r="AA694" s="151">
        <f t="shared" si="73"/>
        <v>800</v>
      </c>
      <c r="AB694" s="153">
        <f t="shared" si="80"/>
        <v>91000</v>
      </c>
      <c r="AC694" s="153">
        <f>SUM(Y$520:Y694)</f>
        <v>68259</v>
      </c>
      <c r="AD694" s="153">
        <f>INT(SUM(AB$520:AB694))</f>
        <v>5671400</v>
      </c>
      <c r="AE694" s="153">
        <f ca="1">INT(AC694*6/($D$475+AVERAGE(OFFSET(装备产出!$F$186,0,0,W694))))+1</f>
        <v>309</v>
      </c>
      <c r="AF694" s="154">
        <f t="shared" si="74"/>
        <v>83.0864794386088</v>
      </c>
    </row>
    <row r="695" ht="17.25" spans="4:32">
      <c r="D695" s="151">
        <v>176</v>
      </c>
      <c r="E695" s="161" t="str">
        <f>IFERROR((INT(_xlfn.XLOOKUP(D695,养成规划!$G$6:$G$38,养成规划!$J$6:$J$38)/6)),"")</f>
        <v/>
      </c>
      <c r="F695" s="156" t="str">
        <f t="shared" si="81"/>
        <v/>
      </c>
      <c r="G695" s="157">
        <f t="shared" si="69"/>
        <v>65</v>
      </c>
      <c r="H695" s="151">
        <f t="shared" si="70"/>
        <v>43430</v>
      </c>
      <c r="I695" s="158">
        <f t="shared" si="75"/>
        <v>4343</v>
      </c>
      <c r="J695" s="159">
        <f ca="1" t="shared" si="76"/>
        <v>0.0224593897736466</v>
      </c>
      <c r="K695" s="157">
        <f t="shared" si="71"/>
        <v>3037</v>
      </c>
      <c r="L695" s="160">
        <f ca="1" t="shared" si="77"/>
        <v>135221.83953384</v>
      </c>
      <c r="M695" s="157">
        <f t="shared" si="78"/>
        <v>46.7230769230769</v>
      </c>
      <c r="U695" s="151">
        <v>176</v>
      </c>
      <c r="V695" s="157">
        <f ca="1">OFFSET(养成规划!$D$5,IFERROR(MATCH(U695,养成规划!$G$6:$G$38,1)+1,1),0)</f>
        <v>520</v>
      </c>
      <c r="W695" s="152">
        <f ca="1">((V695-_xlfn.MAXIFS($V$519:V694,$V$519:V694,"&lt;"&amp;V695))*$D$475)/COUNTIF($V$520:$V$819,V695)/6</f>
        <v>833.333333333333</v>
      </c>
      <c r="X695" s="157">
        <f t="shared" si="72"/>
        <v>8</v>
      </c>
      <c r="Y695" s="151">
        <f t="shared" si="79"/>
        <v>999</v>
      </c>
      <c r="Z695" s="156">
        <f ca="1">(SUM($W$520:W695)-SUM($Y$520:Y695))/SUM($W$520:W695)</f>
        <v>0.209458765338152</v>
      </c>
      <c r="AA695" s="151">
        <f t="shared" si="73"/>
        <v>800</v>
      </c>
      <c r="AB695" s="153">
        <f t="shared" si="80"/>
        <v>91800</v>
      </c>
      <c r="AC695" s="153">
        <f>SUM(Y$520:Y695)</f>
        <v>69258</v>
      </c>
      <c r="AD695" s="153">
        <f>INT(SUM(AB$520:AB695))</f>
        <v>5763200</v>
      </c>
      <c r="AE695" s="153">
        <f ca="1">INT(AC695*6/($D$475+AVERAGE(OFFSET(装备产出!$F$186,0,0,W695))))+1</f>
        <v>313</v>
      </c>
      <c r="AF695" s="154">
        <f t="shared" si="74"/>
        <v>83.2134915821999</v>
      </c>
    </row>
    <row r="696" ht="17.25" spans="4:32">
      <c r="D696" s="151">
        <v>177</v>
      </c>
      <c r="E696" s="161" t="str">
        <f>IFERROR((INT(_xlfn.XLOOKUP(D696,养成规划!$G$6:$G$38,养成规划!$J$6:$J$38)/6)),"")</f>
        <v/>
      </c>
      <c r="F696" s="156" t="str">
        <f t="shared" si="81"/>
        <v/>
      </c>
      <c r="G696" s="157">
        <f t="shared" si="69"/>
        <v>65</v>
      </c>
      <c r="H696" s="151">
        <f t="shared" si="70"/>
        <v>44080</v>
      </c>
      <c r="I696" s="158">
        <f t="shared" si="75"/>
        <v>4408</v>
      </c>
      <c r="J696" s="159">
        <f ca="1" t="shared" si="76"/>
        <v>0.0222564665658274</v>
      </c>
      <c r="K696" s="157">
        <f t="shared" si="71"/>
        <v>3061</v>
      </c>
      <c r="L696" s="160">
        <f ca="1" t="shared" si="77"/>
        <v>137533.062175281</v>
      </c>
      <c r="M696" s="157">
        <f t="shared" si="78"/>
        <v>47.0923076923077</v>
      </c>
      <c r="U696" s="151">
        <v>177</v>
      </c>
      <c r="V696" s="157">
        <f ca="1">OFFSET(养成规划!$D$5,IFERROR(MATCH(U696,养成规划!$G$6:$G$38,1)+1,1),0)</f>
        <v>520</v>
      </c>
      <c r="W696" s="152">
        <f ca="1">((V696-_xlfn.MAXIFS($V$519:V695,$V$519:V695,"&lt;"&amp;V696))*$D$475)/COUNTIF($V$520:$V$819,V696)/6</f>
        <v>833.333333333333</v>
      </c>
      <c r="X696" s="157">
        <f t="shared" si="72"/>
        <v>8</v>
      </c>
      <c r="Y696" s="151">
        <f t="shared" si="79"/>
        <v>1007</v>
      </c>
      <c r="Z696" s="156">
        <f ca="1">(SUM($W$520:W696)-SUM($Y$520:Y696))/SUM($W$520:W696)</f>
        <v>0.205521530198812</v>
      </c>
      <c r="AA696" s="151">
        <f t="shared" si="73"/>
        <v>800</v>
      </c>
      <c r="AB696" s="153">
        <f t="shared" si="80"/>
        <v>92600</v>
      </c>
      <c r="AC696" s="153">
        <f>SUM(Y$520:Y696)</f>
        <v>70265</v>
      </c>
      <c r="AD696" s="153">
        <f>INT(SUM(AB$520:AB696))</f>
        <v>5855800</v>
      </c>
      <c r="AE696" s="153">
        <f ca="1">INT(AC696*6/($D$475+AVERAGE(OFFSET(装备产出!$F$186,0,0,W696))))+1</f>
        <v>318</v>
      </c>
      <c r="AF696" s="154">
        <f t="shared" si="74"/>
        <v>83.3387888707038</v>
      </c>
    </row>
    <row r="697" ht="17.25" spans="4:32">
      <c r="D697" s="151">
        <v>178</v>
      </c>
      <c r="E697" s="161" t="str">
        <f>IFERROR((INT(_xlfn.XLOOKUP(D697,养成规划!$G$6:$G$38,养成规划!$J$6:$J$38)/6)),"")</f>
        <v/>
      </c>
      <c r="F697" s="156" t="str">
        <f t="shared" si="81"/>
        <v/>
      </c>
      <c r="G697" s="157">
        <f t="shared" si="69"/>
        <v>65</v>
      </c>
      <c r="H697" s="151">
        <f t="shared" si="70"/>
        <v>44730</v>
      </c>
      <c r="I697" s="158">
        <f t="shared" si="75"/>
        <v>4473</v>
      </c>
      <c r="J697" s="159">
        <f ca="1" t="shared" si="76"/>
        <v>0.0220571774180825</v>
      </c>
      <c r="K697" s="157">
        <f t="shared" si="71"/>
        <v>3085</v>
      </c>
      <c r="L697" s="160">
        <f ca="1" t="shared" si="77"/>
        <v>139863.770487284</v>
      </c>
      <c r="M697" s="157">
        <f t="shared" si="78"/>
        <v>47.4615384615385</v>
      </c>
      <c r="U697" s="151">
        <v>178</v>
      </c>
      <c r="V697" s="157">
        <f ca="1">OFFSET(养成规划!$D$5,IFERROR(MATCH(U697,养成规划!$G$6:$G$38,1)+1,1),0)</f>
        <v>560</v>
      </c>
      <c r="W697" s="152">
        <f ca="1">((V697-_xlfn.MAXIFS($V$519:V696,$V$519:V696,"&lt;"&amp;V697))*$D$475)/COUNTIF($V$520:$V$819,V697)/6</f>
        <v>54.2005420054201</v>
      </c>
      <c r="X697" s="157">
        <f t="shared" si="72"/>
        <v>8</v>
      </c>
      <c r="Y697" s="151">
        <f t="shared" si="79"/>
        <v>1015</v>
      </c>
      <c r="Z697" s="156">
        <f ca="1">(SUM($W$520:W697)-SUM($Y$520:Y697))/SUM($W$520:W697)</f>
        <v>0.194538657585865</v>
      </c>
      <c r="AA697" s="151">
        <f t="shared" si="73"/>
        <v>800</v>
      </c>
      <c r="AB697" s="153">
        <f t="shared" si="80"/>
        <v>93400</v>
      </c>
      <c r="AC697" s="153">
        <f>SUM(Y$520:Y697)</f>
        <v>71280</v>
      </c>
      <c r="AD697" s="153">
        <f>INT(SUM(AB$520:AB697))</f>
        <v>5949200</v>
      </c>
      <c r="AE697" s="153">
        <f ca="1">INT(AC697*6/($D$475+AVERAGE(OFFSET(装备产出!$F$186,0,0,W697))))+1</f>
        <v>311</v>
      </c>
      <c r="AF697" s="154">
        <f t="shared" si="74"/>
        <v>83.4624017957351</v>
      </c>
    </row>
    <row r="698" ht="17.25" spans="4:32">
      <c r="D698" s="151">
        <v>179</v>
      </c>
      <c r="E698" s="161" t="str">
        <f>IFERROR((INT(_xlfn.XLOOKUP(D698,养成规划!$G$6:$G$38,养成规划!$J$6:$J$38)/6)),"")</f>
        <v/>
      </c>
      <c r="F698" s="156" t="str">
        <f t="shared" si="81"/>
        <v/>
      </c>
      <c r="G698" s="157">
        <f t="shared" si="69"/>
        <v>65</v>
      </c>
      <c r="H698" s="151">
        <f t="shared" si="70"/>
        <v>45380</v>
      </c>
      <c r="I698" s="158">
        <f t="shared" si="75"/>
        <v>4538</v>
      </c>
      <c r="J698" s="159">
        <f ca="1" t="shared" si="76"/>
        <v>0.0218614255750343</v>
      </c>
      <c r="K698" s="157">
        <f t="shared" si="71"/>
        <v>3109</v>
      </c>
      <c r="L698" s="160">
        <f ca="1" t="shared" si="77"/>
        <v>142213.96447039</v>
      </c>
      <c r="M698" s="157">
        <f t="shared" si="78"/>
        <v>47.8307692307692</v>
      </c>
      <c r="U698" s="151">
        <v>179</v>
      </c>
      <c r="V698" s="157">
        <f ca="1">OFFSET(养成规划!$D$5,IFERROR(MATCH(U698,养成规划!$G$6:$G$38,1)+1,1),0)</f>
        <v>560</v>
      </c>
      <c r="W698" s="152">
        <f ca="1">((V698-_xlfn.MAXIFS($V$519:V697,$V$519:V697,"&lt;"&amp;V698))*$D$475)/COUNTIF($V$520:$V$819,V698)/6</f>
        <v>54.2005420054201</v>
      </c>
      <c r="X698" s="157">
        <f t="shared" si="72"/>
        <v>8</v>
      </c>
      <c r="Y698" s="151">
        <f t="shared" si="79"/>
        <v>1023</v>
      </c>
      <c r="Z698" s="156">
        <f ca="1">(SUM($W$520:W698)-SUM($Y$520:Y698))/SUM($W$520:W698)</f>
        <v>0.183478885599759</v>
      </c>
      <c r="AA698" s="151">
        <f t="shared" si="73"/>
        <v>800</v>
      </c>
      <c r="AB698" s="153">
        <f t="shared" si="80"/>
        <v>94200</v>
      </c>
      <c r="AC698" s="153">
        <f>SUM(Y$520:Y698)</f>
        <v>72303</v>
      </c>
      <c r="AD698" s="153">
        <f>INT(SUM(AB$520:AB698))</f>
        <v>6043400</v>
      </c>
      <c r="AE698" s="153">
        <f ca="1">INT(AC698*6/($D$475+AVERAGE(OFFSET(装备产出!$F$186,0,0,W698))))+1</f>
        <v>316</v>
      </c>
      <c r="AF698" s="154">
        <f t="shared" si="74"/>
        <v>83.5843602616766</v>
      </c>
    </row>
    <row r="699" ht="17.25" spans="4:32">
      <c r="D699" s="151">
        <v>180</v>
      </c>
      <c r="E699" s="161" t="str">
        <f>IFERROR((INT(_xlfn.XLOOKUP(D699,养成规划!$G$6:$G$38,养成规划!$J$6:$J$38)/6)),"")</f>
        <v/>
      </c>
      <c r="F699" s="156" t="str">
        <f t="shared" si="81"/>
        <v/>
      </c>
      <c r="G699" s="157">
        <f t="shared" si="69"/>
        <v>65</v>
      </c>
      <c r="H699" s="151">
        <f t="shared" si="70"/>
        <v>46030</v>
      </c>
      <c r="I699" s="158">
        <f t="shared" si="75"/>
        <v>4603</v>
      </c>
      <c r="J699" s="159">
        <f ca="1" t="shared" si="76"/>
        <v>0.0211084931943764</v>
      </c>
      <c r="K699" s="157">
        <f t="shared" si="71"/>
        <v>3133</v>
      </c>
      <c r="L699" s="160">
        <f ca="1" t="shared" si="77"/>
        <v>148423.66866976</v>
      </c>
      <c r="M699" s="157">
        <f t="shared" si="78"/>
        <v>48.2</v>
      </c>
      <c r="U699" s="151">
        <v>180</v>
      </c>
      <c r="V699" s="157">
        <f ca="1">OFFSET(养成规划!$D$5,IFERROR(MATCH(U699,养成规划!$G$6:$G$38,1)+1,1),0)</f>
        <v>560</v>
      </c>
      <c r="W699" s="152">
        <f ca="1">((V699-_xlfn.MAXIFS($V$519:V698,$V$519:V698,"&lt;"&amp;V699))*$D$475)/COUNTIF($V$520:$V$819,V699)/6</f>
        <v>54.2005420054201</v>
      </c>
      <c r="X699" s="157">
        <f t="shared" si="72"/>
        <v>8</v>
      </c>
      <c r="Y699" s="151">
        <f t="shared" si="79"/>
        <v>1031</v>
      </c>
      <c r="Z699" s="156">
        <f ca="1">(SUM($W$520:W699)-SUM($Y$520:Y699))/SUM($W$520:W699)</f>
        <v>0.172342355361947</v>
      </c>
      <c r="AA699" s="151">
        <f t="shared" si="73"/>
        <v>800</v>
      </c>
      <c r="AB699" s="153">
        <f t="shared" si="80"/>
        <v>95000</v>
      </c>
      <c r="AC699" s="153">
        <f>SUM(Y$520:Y699)</f>
        <v>73334</v>
      </c>
      <c r="AD699" s="153">
        <f>INT(SUM(AB$520:AB699))</f>
        <v>6138400</v>
      </c>
      <c r="AE699" s="153">
        <f ca="1">INT(AC699*6/($D$475+AVERAGE(OFFSET(装备产出!$F$186,0,0,W699))))+1</f>
        <v>320</v>
      </c>
      <c r="AF699" s="154">
        <f t="shared" si="74"/>
        <v>83.7046935936946</v>
      </c>
    </row>
    <row r="700" ht="17.25" spans="4:32">
      <c r="D700" s="151">
        <v>181</v>
      </c>
      <c r="E700" s="161" t="str">
        <f>IFERROR((INT(_xlfn.XLOOKUP(D700,养成规划!$G$6:$G$38,养成规划!$J$6:$J$38)/6)),"")</f>
        <v/>
      </c>
      <c r="F700" s="156" t="str">
        <f t="shared" si="81"/>
        <v/>
      </c>
      <c r="G700" s="157">
        <f t="shared" si="69"/>
        <v>65</v>
      </c>
      <c r="H700" s="151">
        <f t="shared" si="70"/>
        <v>46680</v>
      </c>
      <c r="I700" s="158">
        <f t="shared" si="75"/>
        <v>4668</v>
      </c>
      <c r="J700" s="159">
        <f ca="1" t="shared" si="76"/>
        <v>0.0209291495389876</v>
      </c>
      <c r="K700" s="157">
        <f t="shared" si="71"/>
        <v>3157</v>
      </c>
      <c r="L700" s="160">
        <f ca="1" t="shared" si="77"/>
        <v>150842.249663276</v>
      </c>
      <c r="M700" s="157">
        <f t="shared" si="78"/>
        <v>48.5692307692308</v>
      </c>
      <c r="U700" s="151">
        <v>181</v>
      </c>
      <c r="V700" s="157">
        <f ca="1">OFFSET(养成规划!$D$5,IFERROR(MATCH(U700,养成规划!$G$6:$G$38,1)+1,1),0)</f>
        <v>560</v>
      </c>
      <c r="W700" s="152">
        <f ca="1">((V700-_xlfn.MAXIFS($V$519:V699,$V$519:V699,"&lt;"&amp;V700))*$D$475)/COUNTIF($V$520:$V$819,V700)/6</f>
        <v>54.2005420054201</v>
      </c>
      <c r="X700" s="157">
        <f t="shared" si="72"/>
        <v>8</v>
      </c>
      <c r="Y700" s="151">
        <f t="shared" si="79"/>
        <v>1039</v>
      </c>
      <c r="Z700" s="156">
        <f ca="1">(SUM($W$520:W700)-SUM($Y$520:Y700))/SUM($W$520:W700)</f>
        <v>0.16112920764879</v>
      </c>
      <c r="AA700" s="151">
        <f t="shared" si="73"/>
        <v>800</v>
      </c>
      <c r="AB700" s="153">
        <f t="shared" si="80"/>
        <v>95800</v>
      </c>
      <c r="AC700" s="153">
        <f>SUM(Y$520:Y700)</f>
        <v>74373</v>
      </c>
      <c r="AD700" s="153">
        <f>INT(SUM(AB$520:AB700))</f>
        <v>6234200</v>
      </c>
      <c r="AE700" s="153">
        <f ca="1">INT(AC700*6/($D$475+AVERAGE(OFFSET(装备产出!$F$186,0,0,W700))))+1</f>
        <v>325</v>
      </c>
      <c r="AF700" s="154">
        <f t="shared" si="74"/>
        <v>83.8234305460315</v>
      </c>
    </row>
    <row r="701" ht="17.25" spans="4:32">
      <c r="D701" s="151">
        <v>182</v>
      </c>
      <c r="E701" s="161" t="str">
        <f>IFERROR((INT(_xlfn.XLOOKUP(D701,养成规划!$G$6:$G$38,养成规划!$J$6:$J$38)/6)),"")</f>
        <v/>
      </c>
      <c r="F701" s="156" t="str">
        <f t="shared" si="81"/>
        <v/>
      </c>
      <c r="G701" s="157">
        <f t="shared" si="69"/>
        <v>65</v>
      </c>
      <c r="H701" s="151">
        <f t="shared" si="70"/>
        <v>47330</v>
      </c>
      <c r="I701" s="158">
        <f t="shared" si="75"/>
        <v>4733</v>
      </c>
      <c r="J701" s="159">
        <f ca="1" t="shared" si="76"/>
        <v>0.020752827734733</v>
      </c>
      <c r="K701" s="157">
        <f t="shared" si="71"/>
        <v>3181</v>
      </c>
      <c r="L701" s="160">
        <f ca="1" t="shared" si="77"/>
        <v>153280.316333765</v>
      </c>
      <c r="M701" s="157">
        <f t="shared" si="78"/>
        <v>48.9384615384615</v>
      </c>
      <c r="U701" s="151">
        <v>182</v>
      </c>
      <c r="V701" s="157">
        <f ca="1">OFFSET(养成规划!$D$5,IFERROR(MATCH(U701,养成规划!$G$6:$G$38,1)+1,1),0)</f>
        <v>560</v>
      </c>
      <c r="W701" s="152">
        <f ca="1">((V701-_xlfn.MAXIFS($V$519:V700,$V$519:V700,"&lt;"&amp;V701))*$D$475)/COUNTIF($V$520:$V$819,V701)/6</f>
        <v>54.2005420054201</v>
      </c>
      <c r="X701" s="157">
        <f t="shared" si="72"/>
        <v>8</v>
      </c>
      <c r="Y701" s="151">
        <f t="shared" si="79"/>
        <v>1047</v>
      </c>
      <c r="Z701" s="156">
        <f ca="1">(SUM($W$520:W701)-SUM($Y$520:Y701))/SUM($W$520:W701)</f>
        <v>0.149839582892609</v>
      </c>
      <c r="AA701" s="151">
        <f t="shared" si="73"/>
        <v>800</v>
      </c>
      <c r="AB701" s="153">
        <f t="shared" si="80"/>
        <v>96600</v>
      </c>
      <c r="AC701" s="153">
        <f>SUM(Y$520:Y701)</f>
        <v>75420</v>
      </c>
      <c r="AD701" s="153">
        <f>INT(SUM(AB$520:AB701))</f>
        <v>6330800</v>
      </c>
      <c r="AE701" s="153">
        <f ca="1">INT(AC701*6/($D$475+AVERAGE(OFFSET(装备产出!$F$186,0,0,W701))))+1</f>
        <v>329</v>
      </c>
      <c r="AF701" s="154">
        <f t="shared" si="74"/>
        <v>83.9405993105277</v>
      </c>
    </row>
    <row r="702" ht="17.25" spans="4:32">
      <c r="D702" s="151">
        <v>183</v>
      </c>
      <c r="E702" s="161" t="str">
        <f>IFERROR((INT(_xlfn.XLOOKUP(D702,养成规划!$G$6:$G$38,养成规划!$J$6:$J$38)/6)),"")</f>
        <v/>
      </c>
      <c r="F702" s="156" t="str">
        <f t="shared" si="81"/>
        <v/>
      </c>
      <c r="G702" s="157">
        <f t="shared" si="69"/>
        <v>65</v>
      </c>
      <c r="H702" s="151">
        <f t="shared" si="70"/>
        <v>47980</v>
      </c>
      <c r="I702" s="158">
        <f t="shared" si="75"/>
        <v>4798</v>
      </c>
      <c r="J702" s="159">
        <f ca="1" t="shared" si="76"/>
        <v>0.0205794520442103</v>
      </c>
      <c r="K702" s="157">
        <f t="shared" si="71"/>
        <v>3205</v>
      </c>
      <c r="L702" s="160">
        <f ca="1" t="shared" si="77"/>
        <v>155737.868681575</v>
      </c>
      <c r="M702" s="157">
        <f t="shared" si="78"/>
        <v>49.3076923076923</v>
      </c>
      <c r="U702" s="151">
        <v>183</v>
      </c>
      <c r="V702" s="157">
        <f ca="1">OFFSET(养成规划!$D$5,IFERROR(MATCH(U702,养成规划!$G$6:$G$38,1)+1,1),0)</f>
        <v>560</v>
      </c>
      <c r="W702" s="152">
        <f ca="1">((V702-_xlfn.MAXIFS($V$519:V701,$V$519:V701,"&lt;"&amp;V702))*$D$475)/COUNTIF($V$520:$V$819,V702)/6</f>
        <v>54.2005420054201</v>
      </c>
      <c r="X702" s="157">
        <f t="shared" si="72"/>
        <v>8</v>
      </c>
      <c r="Y702" s="151">
        <f t="shared" si="79"/>
        <v>1055</v>
      </c>
      <c r="Z702" s="156">
        <f ca="1">(SUM($W$520:W702)-SUM($Y$520:Y702))/SUM($W$520:W702)</f>
        <v>0.138473621182736</v>
      </c>
      <c r="AA702" s="151">
        <f t="shared" si="73"/>
        <v>800</v>
      </c>
      <c r="AB702" s="153">
        <f t="shared" si="80"/>
        <v>97400</v>
      </c>
      <c r="AC702" s="153">
        <f>SUM(Y$520:Y702)</f>
        <v>76475</v>
      </c>
      <c r="AD702" s="153">
        <f>INT(SUM(AB$520:AB702))</f>
        <v>6428200</v>
      </c>
      <c r="AE702" s="153">
        <f ca="1">INT(AC702*6/($D$475+AVERAGE(OFFSET(装备产出!$F$186,0,0,W702))))+1</f>
        <v>334</v>
      </c>
      <c r="AF702" s="154">
        <f t="shared" si="74"/>
        <v>84.0562275253351</v>
      </c>
    </row>
    <row r="703" ht="17.25" spans="4:32">
      <c r="D703" s="151">
        <v>184</v>
      </c>
      <c r="E703" s="161" t="str">
        <f>IFERROR((INT(_xlfn.XLOOKUP(D703,养成规划!$G$6:$G$38,养成规划!$J$6:$J$38)/6)),"")</f>
        <v/>
      </c>
      <c r="F703" s="156" t="str">
        <f t="shared" si="81"/>
        <v/>
      </c>
      <c r="G703" s="157">
        <f t="shared" si="69"/>
        <v>65</v>
      </c>
      <c r="H703" s="151">
        <f t="shared" si="70"/>
        <v>48630</v>
      </c>
      <c r="I703" s="158">
        <f t="shared" si="75"/>
        <v>4863</v>
      </c>
      <c r="J703" s="159">
        <f ca="1" t="shared" si="76"/>
        <v>0.0204089492400303</v>
      </c>
      <c r="K703" s="157">
        <f t="shared" si="71"/>
        <v>3229</v>
      </c>
      <c r="L703" s="160">
        <f ca="1" t="shared" si="77"/>
        <v>158214.906707034</v>
      </c>
      <c r="M703" s="157">
        <f t="shared" si="78"/>
        <v>49.6769230769231</v>
      </c>
      <c r="U703" s="151">
        <v>184</v>
      </c>
      <c r="V703" s="157">
        <f ca="1">OFFSET(养成规划!$D$5,IFERROR(MATCH(U703,养成规划!$G$6:$G$38,1)+1,1),0)</f>
        <v>560</v>
      </c>
      <c r="W703" s="152">
        <f ca="1">((V703-_xlfn.MAXIFS($V$519:V702,$V$519:V702,"&lt;"&amp;V703))*$D$475)/COUNTIF($V$520:$V$819,V703)/6</f>
        <v>54.2005420054201</v>
      </c>
      <c r="X703" s="157">
        <f t="shared" si="72"/>
        <v>8</v>
      </c>
      <c r="Y703" s="151">
        <f t="shared" si="79"/>
        <v>1063</v>
      </c>
      <c r="Z703" s="156">
        <f ca="1">(SUM($W$520:W703)-SUM($Y$520:Y703))/SUM($W$520:W703)</f>
        <v>0.127031462266561</v>
      </c>
      <c r="AA703" s="151">
        <f t="shared" si="73"/>
        <v>800</v>
      </c>
      <c r="AB703" s="153">
        <f t="shared" si="80"/>
        <v>98200</v>
      </c>
      <c r="AC703" s="153">
        <f>SUM(Y$520:Y703)</f>
        <v>77538</v>
      </c>
      <c r="AD703" s="153">
        <f>INT(SUM(AB$520:AB703))</f>
        <v>6526400</v>
      </c>
      <c r="AE703" s="153">
        <f ca="1">INT(AC703*6/($D$475+AVERAGE(OFFSET(装备产出!$F$186,0,0,W703))))+1</f>
        <v>339</v>
      </c>
      <c r="AF703" s="154">
        <f t="shared" si="74"/>
        <v>84.1703422837834</v>
      </c>
    </row>
    <row r="704" ht="17.25" spans="4:32">
      <c r="D704" s="151">
        <v>185</v>
      </c>
      <c r="E704" s="161" t="str">
        <f>IFERROR((INT(_xlfn.XLOOKUP(D704,养成规划!$G$6:$G$38,养成规划!$J$6:$J$38)/6)),"")</f>
        <v/>
      </c>
      <c r="F704" s="156" t="str">
        <f t="shared" si="81"/>
        <v/>
      </c>
      <c r="G704" s="157">
        <f t="shared" si="69"/>
        <v>65</v>
      </c>
      <c r="H704" s="151">
        <f t="shared" si="70"/>
        <v>49280</v>
      </c>
      <c r="I704" s="158">
        <f t="shared" si="75"/>
        <v>4928</v>
      </c>
      <c r="J704" s="159">
        <f ca="1" t="shared" si="76"/>
        <v>0.0202412485016874</v>
      </c>
      <c r="K704" s="157">
        <f t="shared" si="71"/>
        <v>3253</v>
      </c>
      <c r="L704" s="160">
        <f ca="1" t="shared" si="77"/>
        <v>160711.430410472</v>
      </c>
      <c r="M704" s="157">
        <f t="shared" si="78"/>
        <v>50.0461538461538</v>
      </c>
      <c r="U704" s="151">
        <v>185</v>
      </c>
      <c r="V704" s="157">
        <f ca="1">OFFSET(养成规划!$D$5,IFERROR(MATCH(U704,养成规划!$G$6:$G$38,1)+1,1),0)</f>
        <v>560</v>
      </c>
      <c r="W704" s="152">
        <f ca="1">((V704-_xlfn.MAXIFS($V$519:V703,$V$519:V703,"&lt;"&amp;V704))*$D$475)/COUNTIF($V$520:$V$819,V704)/6</f>
        <v>54.2005420054201</v>
      </c>
      <c r="X704" s="157">
        <f t="shared" si="72"/>
        <v>8</v>
      </c>
      <c r="Y704" s="151">
        <f t="shared" si="79"/>
        <v>1071</v>
      </c>
      <c r="Z704" s="156">
        <f ca="1">(SUM($W$520:W704)-SUM($Y$520:Y704))/SUM($W$520:W704)</f>
        <v>0.115513245550576</v>
      </c>
      <c r="AA704" s="151">
        <f t="shared" si="73"/>
        <v>800</v>
      </c>
      <c r="AB704" s="153">
        <f t="shared" si="80"/>
        <v>99000</v>
      </c>
      <c r="AC704" s="153">
        <f>SUM(Y$520:Y704)</f>
        <v>78609</v>
      </c>
      <c r="AD704" s="153">
        <f>INT(SUM(AB$520:AB704))</f>
        <v>6625400</v>
      </c>
      <c r="AE704" s="153">
        <f ca="1">INT(AC704*6/($D$475+AVERAGE(OFFSET(装备产出!$F$186,0,0,W704))))+1</f>
        <v>343</v>
      </c>
      <c r="AF704" s="154">
        <f t="shared" si="74"/>
        <v>84.2829701433678</v>
      </c>
    </row>
    <row r="705" ht="17.25" spans="4:32">
      <c r="D705" s="151">
        <v>186</v>
      </c>
      <c r="E705" s="161" t="str">
        <f>IFERROR((INT(_xlfn.XLOOKUP(D705,养成规划!$G$6:$G$38,养成规划!$J$6:$J$38)/6)),"")</f>
        <v/>
      </c>
      <c r="F705" s="156" t="str">
        <f t="shared" si="81"/>
        <v/>
      </c>
      <c r="G705" s="157">
        <f t="shared" si="69"/>
        <v>70</v>
      </c>
      <c r="H705" s="151">
        <f t="shared" si="70"/>
        <v>49980</v>
      </c>
      <c r="I705" s="158">
        <f t="shared" si="75"/>
        <v>4998</v>
      </c>
      <c r="J705" s="159">
        <f ca="1" t="shared" si="76"/>
        <v>0.0216138546041021</v>
      </c>
      <c r="K705" s="157">
        <f t="shared" si="71"/>
        <v>3277</v>
      </c>
      <c r="L705" s="160">
        <f ca="1" t="shared" si="77"/>
        <v>151615.714088225</v>
      </c>
      <c r="M705" s="157">
        <f t="shared" si="78"/>
        <v>46.8142857142857</v>
      </c>
      <c r="U705" s="151">
        <v>186</v>
      </c>
      <c r="V705" s="157">
        <f ca="1">OFFSET(养成规划!$D$5,IFERROR(MATCH(U705,养成规划!$G$6:$G$38,1)+1,1),0)</f>
        <v>560</v>
      </c>
      <c r="W705" s="152">
        <f ca="1">((V705-_xlfn.MAXIFS($V$519:V704,$V$519:V704,"&lt;"&amp;V705))*$D$475)/COUNTIF($V$520:$V$819,V705)/6</f>
        <v>54.2005420054201</v>
      </c>
      <c r="X705" s="157">
        <f t="shared" si="72"/>
        <v>8</v>
      </c>
      <c r="Y705" s="151">
        <f t="shared" si="79"/>
        <v>1079</v>
      </c>
      <c r="Z705" s="156">
        <f ca="1">(SUM($W$520:W705)-SUM($Y$520:Y705))/SUM($W$520:W705)</f>
        <v>0.103919110101409</v>
      </c>
      <c r="AA705" s="151">
        <f t="shared" si="73"/>
        <v>800</v>
      </c>
      <c r="AB705" s="153">
        <f t="shared" si="80"/>
        <v>99800</v>
      </c>
      <c r="AC705" s="153">
        <f>SUM(Y$520:Y705)</f>
        <v>79688</v>
      </c>
      <c r="AD705" s="153">
        <f>INT(SUM(AB$520:AB705))</f>
        <v>6725200</v>
      </c>
      <c r="AE705" s="153">
        <f ca="1">INT(AC705*6/($D$475+AVERAGE(OFFSET(装备产出!$F$186,0,0,W705))))+1</f>
        <v>348</v>
      </c>
      <c r="AF705" s="154">
        <f t="shared" si="74"/>
        <v>84.3941371348258</v>
      </c>
    </row>
    <row r="706" ht="17.25" spans="4:32">
      <c r="D706" s="151">
        <v>187</v>
      </c>
      <c r="E706" s="161" t="str">
        <f>IFERROR((INT(_xlfn.XLOOKUP(D706,养成规划!$G$6:$G$38,养成规划!$J$6:$J$38)/6)),"")</f>
        <v/>
      </c>
      <c r="F706" s="156" t="str">
        <f t="shared" si="81"/>
        <v/>
      </c>
      <c r="G706" s="157">
        <f t="shared" si="69"/>
        <v>70</v>
      </c>
      <c r="H706" s="151">
        <f t="shared" si="70"/>
        <v>50680</v>
      </c>
      <c r="I706" s="158">
        <f t="shared" si="75"/>
        <v>5068</v>
      </c>
      <c r="J706" s="159">
        <f ca="1" t="shared" si="76"/>
        <v>0.0214258589551441</v>
      </c>
      <c r="K706" s="157">
        <f t="shared" si="71"/>
        <v>3301</v>
      </c>
      <c r="L706" s="160">
        <f ca="1" t="shared" si="77"/>
        <v>154066.168684802</v>
      </c>
      <c r="M706" s="157">
        <f t="shared" si="78"/>
        <v>47.1571428571429</v>
      </c>
      <c r="U706" s="151">
        <v>187</v>
      </c>
      <c r="V706" s="157">
        <f ca="1">OFFSET(养成规划!$D$5,IFERROR(MATCH(U706,养成规划!$G$6:$G$38,1)+1,1),0)</f>
        <v>560</v>
      </c>
      <c r="W706" s="152">
        <f ca="1">((V706-_xlfn.MAXIFS($V$519:V705,$V$519:V705,"&lt;"&amp;V706))*$D$475)/COUNTIF($V$520:$V$819,V706)/6</f>
        <v>54.2005420054201</v>
      </c>
      <c r="X706" s="157">
        <f t="shared" si="72"/>
        <v>8</v>
      </c>
      <c r="Y706" s="151">
        <f t="shared" si="79"/>
        <v>1087</v>
      </c>
      <c r="Z706" s="156">
        <f ca="1">(SUM($W$520:W706)-SUM($Y$520:Y706))/SUM($W$520:W706)</f>
        <v>0.0922491946468662</v>
      </c>
      <c r="AA706" s="151">
        <f t="shared" si="73"/>
        <v>800</v>
      </c>
      <c r="AB706" s="153">
        <f t="shared" si="80"/>
        <v>100600</v>
      </c>
      <c r="AC706" s="153">
        <f>SUM(Y$520:Y706)</f>
        <v>80775</v>
      </c>
      <c r="AD706" s="153">
        <f>INT(SUM(AB$520:AB706))</f>
        <v>6825800</v>
      </c>
      <c r="AE706" s="153">
        <f ca="1">INT(AC706*6/($D$475+AVERAGE(OFFSET(装备产出!$F$186,0,0,W706))))+1</f>
        <v>353</v>
      </c>
      <c r="AF706" s="154">
        <f t="shared" si="74"/>
        <v>84.5038687712782</v>
      </c>
    </row>
    <row r="707" ht="17.25" spans="4:32">
      <c r="D707" s="151">
        <v>188</v>
      </c>
      <c r="E707" s="161" t="str">
        <f>IFERROR((INT(_xlfn.XLOOKUP(D707,养成规划!$G$6:$G$38,养成规划!$J$6:$J$38)/6)),"")</f>
        <v/>
      </c>
      <c r="F707" s="156" t="str">
        <f t="shared" si="81"/>
        <v/>
      </c>
      <c r="G707" s="157">
        <f t="shared" si="69"/>
        <v>70</v>
      </c>
      <c r="H707" s="151">
        <f t="shared" si="70"/>
        <v>51380</v>
      </c>
      <c r="I707" s="158">
        <f t="shared" si="75"/>
        <v>5138</v>
      </c>
      <c r="J707" s="159">
        <f ca="1" t="shared" si="76"/>
        <v>0.0212411054698194</v>
      </c>
      <c r="K707" s="157">
        <f t="shared" si="71"/>
        <v>3325</v>
      </c>
      <c r="L707" s="160">
        <f ca="1" t="shared" si="77"/>
        <v>156536.108948018</v>
      </c>
      <c r="M707" s="157">
        <f t="shared" si="78"/>
        <v>47.5</v>
      </c>
      <c r="U707" s="151">
        <v>188</v>
      </c>
      <c r="V707" s="157">
        <f ca="1">OFFSET(养成规划!$D$5,IFERROR(MATCH(U707,养成规划!$G$6:$G$38,1)+1,1),0)</f>
        <v>560</v>
      </c>
      <c r="W707" s="152">
        <f ca="1">((V707-_xlfn.MAXIFS($V$519:V706,$V$519:V706,"&lt;"&amp;V707))*$D$475)/COUNTIF($V$520:$V$819,V707)/6</f>
        <v>54.2005420054201</v>
      </c>
      <c r="X707" s="157">
        <f t="shared" si="72"/>
        <v>8</v>
      </c>
      <c r="Y707" s="151">
        <f t="shared" si="79"/>
        <v>1095</v>
      </c>
      <c r="Z707" s="156">
        <f ca="1">(SUM($W$520:W707)-SUM($Y$520:Y707))/SUM($W$520:W707)</f>
        <v>0.080503637576957</v>
      </c>
      <c r="AA707" s="151">
        <f t="shared" si="73"/>
        <v>800</v>
      </c>
      <c r="AB707" s="153">
        <f t="shared" si="80"/>
        <v>101400</v>
      </c>
      <c r="AC707" s="153">
        <f>SUM(Y$520:Y707)</f>
        <v>81870</v>
      </c>
      <c r="AD707" s="153">
        <f>INT(SUM(AB$520:AB707))</f>
        <v>6927200</v>
      </c>
      <c r="AE707" s="153">
        <f ca="1">INT(AC707*6/($D$475+AVERAGE(OFFSET(装备产出!$F$186,0,0,W707))))+1</f>
        <v>358</v>
      </c>
      <c r="AF707" s="154">
        <f t="shared" si="74"/>
        <v>84.6121900574081</v>
      </c>
    </row>
    <row r="708" ht="17.25" spans="4:32">
      <c r="D708" s="151">
        <v>189</v>
      </c>
      <c r="E708" s="161" t="str">
        <f>IFERROR((INT(_xlfn.XLOOKUP(D708,养成规划!$G$6:$G$38,养成规划!$J$6:$J$38)/6)),"")</f>
        <v/>
      </c>
      <c r="F708" s="156" t="str">
        <f t="shared" si="81"/>
        <v/>
      </c>
      <c r="G708" s="157">
        <f t="shared" si="69"/>
        <v>70</v>
      </c>
      <c r="H708" s="151">
        <f t="shared" si="70"/>
        <v>52080</v>
      </c>
      <c r="I708" s="158">
        <f t="shared" si="75"/>
        <v>5208</v>
      </c>
      <c r="J708" s="159">
        <f ca="1" t="shared" si="76"/>
        <v>0.021059510993369</v>
      </c>
      <c r="K708" s="157">
        <f t="shared" si="71"/>
        <v>3349</v>
      </c>
      <c r="L708" s="160">
        <f ca="1" t="shared" si="77"/>
        <v>159025.534878493</v>
      </c>
      <c r="M708" s="157">
        <f t="shared" si="78"/>
        <v>47.8428571428571</v>
      </c>
      <c r="U708" s="151">
        <v>189</v>
      </c>
      <c r="V708" s="157">
        <f ca="1">OFFSET(养成规划!$D$5,IFERROR(MATCH(U708,养成规划!$G$6:$G$38,1)+1,1),0)</f>
        <v>560</v>
      </c>
      <c r="W708" s="152">
        <f ca="1">((V708-_xlfn.MAXIFS($V$519:V707,$V$519:V707,"&lt;"&amp;V708))*$D$475)/COUNTIF($V$520:$V$819,V708)/6</f>
        <v>54.2005420054201</v>
      </c>
      <c r="X708" s="157">
        <f t="shared" si="72"/>
        <v>8</v>
      </c>
      <c r="Y708" s="151">
        <f t="shared" si="79"/>
        <v>1103</v>
      </c>
      <c r="Z708" s="156">
        <f ca="1">(SUM($W$520:W708)-SUM($Y$520:Y708))/SUM($W$520:W708)</f>
        <v>0.0686825769449249</v>
      </c>
      <c r="AA708" s="151">
        <f t="shared" si="73"/>
        <v>800</v>
      </c>
      <c r="AB708" s="153">
        <f t="shared" si="80"/>
        <v>102200</v>
      </c>
      <c r="AC708" s="153">
        <f>SUM(Y$520:Y708)</f>
        <v>82973</v>
      </c>
      <c r="AD708" s="153">
        <f>INT(SUM(AB$520:AB708))</f>
        <v>7029400</v>
      </c>
      <c r="AE708" s="153">
        <f ca="1">INT(AC708*6/($D$475+AVERAGE(OFFSET(装备产出!$F$186,0,0,W708))))+1</f>
        <v>362</v>
      </c>
      <c r="AF708" s="154">
        <f t="shared" si="74"/>
        <v>84.7191254986562</v>
      </c>
    </row>
    <row r="709" ht="17.25" spans="4:32">
      <c r="D709" s="151">
        <v>190</v>
      </c>
      <c r="E709" s="161" t="str">
        <f>IFERROR((INT(_xlfn.XLOOKUP(D709,养成规划!$G$6:$G$38,养成规划!$J$6:$J$38)/6)),"")</f>
        <v/>
      </c>
      <c r="F709" s="156" t="str">
        <f t="shared" si="81"/>
        <v/>
      </c>
      <c r="G709" s="157">
        <f t="shared" si="69"/>
        <v>70</v>
      </c>
      <c r="H709" s="151">
        <f t="shared" si="70"/>
        <v>52780</v>
      </c>
      <c r="I709" s="158">
        <f t="shared" si="75"/>
        <v>5278</v>
      </c>
      <c r="J709" s="159">
        <f ca="1" t="shared" si="76"/>
        <v>0.0203271489140808</v>
      </c>
      <c r="K709" s="157">
        <f t="shared" si="71"/>
        <v>3373</v>
      </c>
      <c r="L709" s="160">
        <f ca="1" t="shared" si="77"/>
        <v>165935.71554265</v>
      </c>
      <c r="M709" s="157">
        <f t="shared" si="78"/>
        <v>48.1857142857143</v>
      </c>
      <c r="U709" s="151">
        <v>190</v>
      </c>
      <c r="V709" s="157">
        <f ca="1">OFFSET(养成规划!$D$5,IFERROR(MATCH(U709,养成规划!$G$6:$G$38,1)+1,1),0)</f>
        <v>560</v>
      </c>
      <c r="W709" s="152">
        <f ca="1">((V709-_xlfn.MAXIFS($V$519:V708,$V$519:V708,"&lt;"&amp;V709))*$D$475)/COUNTIF($V$520:$V$819,V709)/6</f>
        <v>54.2005420054201</v>
      </c>
      <c r="X709" s="157">
        <f t="shared" si="72"/>
        <v>8</v>
      </c>
      <c r="Y709" s="151">
        <f t="shared" si="79"/>
        <v>1111</v>
      </c>
      <c r="Z709" s="156">
        <f ca="1">(SUM($W$520:W709)-SUM($Y$520:Y709))/SUM($W$520:W709)</f>
        <v>0.0567861504682701</v>
      </c>
      <c r="AA709" s="151">
        <f t="shared" si="73"/>
        <v>800</v>
      </c>
      <c r="AB709" s="153">
        <f t="shared" si="80"/>
        <v>103000</v>
      </c>
      <c r="AC709" s="153">
        <f>SUM(Y$520:Y709)</f>
        <v>84084</v>
      </c>
      <c r="AD709" s="153">
        <f>INT(SUM(AB$520:AB709))</f>
        <v>7132400</v>
      </c>
      <c r="AE709" s="153">
        <f ca="1">INT(AC709*6/($D$475+AVERAGE(OFFSET(装备产出!$F$186,0,0,W709))))+1</f>
        <v>367</v>
      </c>
      <c r="AF709" s="154">
        <f t="shared" si="74"/>
        <v>84.8246991104134</v>
      </c>
    </row>
    <row r="710" ht="17.25" spans="4:32">
      <c r="D710" s="151">
        <v>191</v>
      </c>
      <c r="E710" s="161" t="str">
        <f>IFERROR((INT(_xlfn.XLOOKUP(D710,养成规划!$G$6:$G$38,养成规划!$J$6:$J$38)/6)),"")</f>
        <v/>
      </c>
      <c r="F710" s="156" t="str">
        <f t="shared" si="81"/>
        <v/>
      </c>
      <c r="G710" s="157">
        <f t="shared" si="69"/>
        <v>70</v>
      </c>
      <c r="H710" s="151">
        <f t="shared" si="70"/>
        <v>53480</v>
      </c>
      <c r="I710" s="158">
        <f t="shared" si="75"/>
        <v>5348</v>
      </c>
      <c r="J710" s="159">
        <f ca="1" t="shared" si="76"/>
        <v>0.0201607843198352</v>
      </c>
      <c r="K710" s="157">
        <f t="shared" si="71"/>
        <v>3397</v>
      </c>
      <c r="L710" s="160">
        <f ca="1" t="shared" si="77"/>
        <v>168495.42885382</v>
      </c>
      <c r="M710" s="157">
        <f t="shared" si="78"/>
        <v>48.5285714285714</v>
      </c>
      <c r="U710" s="151">
        <v>191</v>
      </c>
      <c r="V710" s="157">
        <f ca="1">OFFSET(养成规划!$D$5,IFERROR(MATCH(U710,养成规划!$G$6:$G$38,1)+1,1),0)</f>
        <v>560</v>
      </c>
      <c r="W710" s="152">
        <f ca="1">((V710-_xlfn.MAXIFS($V$519:V709,$V$519:V709,"&lt;"&amp;V710))*$D$475)/COUNTIF($V$520:$V$819,V710)/6</f>
        <v>54.2005420054201</v>
      </c>
      <c r="X710" s="157">
        <f t="shared" si="72"/>
        <v>8</v>
      </c>
      <c r="Y710" s="151">
        <f t="shared" si="79"/>
        <v>1119</v>
      </c>
      <c r="Z710" s="156">
        <f ca="1">(SUM($W$520:W710)-SUM($Y$520:Y710))/SUM($W$520:W710)</f>
        <v>0.0448144955297697</v>
      </c>
      <c r="AA710" s="151">
        <f t="shared" si="73"/>
        <v>800</v>
      </c>
      <c r="AB710" s="153">
        <f t="shared" si="80"/>
        <v>103800</v>
      </c>
      <c r="AC710" s="153">
        <f>SUM(Y$520:Y710)</f>
        <v>85203</v>
      </c>
      <c r="AD710" s="153">
        <f>INT(SUM(AB$520:AB710))</f>
        <v>7236200</v>
      </c>
      <c r="AE710" s="153">
        <f ca="1">INT(AC710*6/($D$475+AVERAGE(OFFSET(装备产出!$F$186,0,0,W710))))+1</f>
        <v>372</v>
      </c>
      <c r="AF710" s="154">
        <f t="shared" si="74"/>
        <v>84.9289344271915</v>
      </c>
    </row>
    <row r="711" ht="17.25" spans="4:32">
      <c r="D711" s="151">
        <v>192</v>
      </c>
      <c r="E711" s="161" t="str">
        <f>IFERROR((INT(_xlfn.XLOOKUP(D711,养成规划!$G$6:$G$38,养成规划!$J$6:$J$38)/6)),"")</f>
        <v/>
      </c>
      <c r="F711" s="156" t="str">
        <f t="shared" si="81"/>
        <v/>
      </c>
      <c r="G711" s="157">
        <f t="shared" si="69"/>
        <v>70</v>
      </c>
      <c r="H711" s="151">
        <f t="shared" si="70"/>
        <v>54180</v>
      </c>
      <c r="I711" s="158">
        <f t="shared" si="75"/>
        <v>5418</v>
      </c>
      <c r="J711" s="159">
        <f ca="1" t="shared" si="76"/>
        <v>0.0199971208075883</v>
      </c>
      <c r="K711" s="157">
        <f t="shared" si="71"/>
        <v>3421</v>
      </c>
      <c r="L711" s="160">
        <f ca="1" t="shared" si="77"/>
        <v>171074.627838516</v>
      </c>
      <c r="M711" s="157">
        <f t="shared" si="78"/>
        <v>48.8714285714286</v>
      </c>
      <c r="U711" s="151">
        <v>192</v>
      </c>
      <c r="V711" s="157">
        <f ca="1">OFFSET(养成规划!$D$5,IFERROR(MATCH(U711,养成规划!$G$6:$G$38,1)+1,1),0)</f>
        <v>560</v>
      </c>
      <c r="W711" s="152">
        <f ca="1">((V711-_xlfn.MAXIFS($V$519:V710,$V$519:V710,"&lt;"&amp;V711))*$D$475)/COUNTIF($V$520:$V$819,V711)/6</f>
        <v>54.2005420054201</v>
      </c>
      <c r="X711" s="157">
        <f t="shared" si="72"/>
        <v>8</v>
      </c>
      <c r="Y711" s="151">
        <f t="shared" si="79"/>
        <v>1127</v>
      </c>
      <c r="Z711" s="156">
        <f ca="1">(SUM($W$520:W711)-SUM($Y$520:Y711))/SUM($W$520:W711)</f>
        <v>0.0327677491784944</v>
      </c>
      <c r="AA711" s="151">
        <f t="shared" si="73"/>
        <v>800</v>
      </c>
      <c r="AB711" s="153">
        <f t="shared" si="80"/>
        <v>104600</v>
      </c>
      <c r="AC711" s="153">
        <f>SUM(Y$520:Y711)</f>
        <v>86330</v>
      </c>
      <c r="AD711" s="153">
        <f>INT(SUM(AB$520:AB711))</f>
        <v>7340800</v>
      </c>
      <c r="AE711" s="153">
        <f ca="1">INT(AC711*6/($D$475+AVERAGE(OFFSET(装备产出!$F$186,0,0,W711))))+1</f>
        <v>377</v>
      </c>
      <c r="AF711" s="154">
        <f t="shared" si="74"/>
        <v>85.0318545117572</v>
      </c>
    </row>
    <row r="712" ht="17.25" spans="4:32">
      <c r="D712" s="151">
        <v>193</v>
      </c>
      <c r="E712" s="161" t="str">
        <f>IFERROR((INT(_xlfn.XLOOKUP(D712,养成规划!$G$6:$G$38,养成规划!$J$6:$J$38)/6)),"")</f>
        <v/>
      </c>
      <c r="F712" s="156" t="str">
        <f t="shared" si="81"/>
        <v/>
      </c>
      <c r="G712" s="157">
        <f t="shared" ref="G712:G775" si="82">_xlfn.XLOOKUP(_xlfn.MINIFS($E$481:$E$512,$E$481:$E$512,"&gt;="&amp;D712),$E$481:$E$512,$F$481:$F$512,0,0,1)</f>
        <v>70</v>
      </c>
      <c r="H712" s="151">
        <f t="shared" ref="H712:H775" si="83">I712*10</f>
        <v>54880</v>
      </c>
      <c r="I712" s="158">
        <f t="shared" si="75"/>
        <v>5488</v>
      </c>
      <c r="J712" s="159">
        <f ca="1" t="shared" si="76"/>
        <v>0.0198360931248806</v>
      </c>
      <c r="K712" s="157">
        <f t="shared" ref="K712:K775" si="84">AA712*0.05+Y712*3</f>
        <v>3445</v>
      </c>
      <c r="L712" s="160">
        <f ca="1" t="shared" si="77"/>
        <v>173673.312497152</v>
      </c>
      <c r="M712" s="157">
        <f t="shared" si="78"/>
        <v>49.2142857142857</v>
      </c>
      <c r="U712" s="151">
        <v>193</v>
      </c>
      <c r="V712" s="157">
        <f ca="1">OFFSET(养成规划!$D$5,IFERROR(MATCH(U712,养成规划!$G$6:$G$38,1)+1,1),0)</f>
        <v>560</v>
      </c>
      <c r="W712" s="152">
        <f ca="1">((V712-_xlfn.MAXIFS($V$519:V711,$V$519:V711,"&lt;"&amp;V712))*$D$475)/COUNTIF($V$520:$V$819,V712)/6</f>
        <v>54.2005420054201</v>
      </c>
      <c r="X712" s="157">
        <f t="shared" ref="X712:X775" si="85">_xlfn.XLOOKUP(_xlfn.MINIFS($V$482:$V$500,$V$482:$V$500,"&gt;="&amp;U712),$V$482:$V$500,$W$482:$W$500,0,0,1)</f>
        <v>8</v>
      </c>
      <c r="Y712" s="151">
        <f t="shared" si="79"/>
        <v>1135</v>
      </c>
      <c r="Z712" s="156">
        <f ca="1">(SUM($W$520:W712)-SUM($Y$520:Y712))/SUM($W$520:W712)</f>
        <v>0.0206460481308204</v>
      </c>
      <c r="AA712" s="151">
        <f t="shared" ref="AA712:AA775" si="86">_xlfn.XLOOKUP(U712,$AA$482:$AA$516,$AB$482:$AB$516,0,0,1)+_xlfn.XLOOKUP(_xlfn.MINIFS($AA$482:$AA$516,$AA$482:$AA$516,"&gt;="&amp;U712),$AA$482:$AA$516,$AC$482:$AC$516,0,0,1)</f>
        <v>800</v>
      </c>
      <c r="AB712" s="153">
        <f t="shared" si="80"/>
        <v>105400</v>
      </c>
      <c r="AC712" s="153">
        <f>SUM(Y$520:Y712)</f>
        <v>87465</v>
      </c>
      <c r="AD712" s="153">
        <f>INT(SUM(AB$520:AB712))</f>
        <v>7446200</v>
      </c>
      <c r="AE712" s="153">
        <f ca="1">INT(AC712*6/($D$475+AVERAGE(OFFSET(装备产出!$F$186,0,0,W712))))+1</f>
        <v>382</v>
      </c>
      <c r="AF712" s="154">
        <f t="shared" ref="AF712:AF775" si="87">AD712/AC712</f>
        <v>85.1334819642143</v>
      </c>
    </row>
    <row r="713" ht="17.25" spans="4:32">
      <c r="D713" s="151">
        <v>194</v>
      </c>
      <c r="E713" s="161" t="str">
        <f>IFERROR((INT(_xlfn.XLOOKUP(D713,养成规划!$G$6:$G$38,养成规划!$J$6:$J$38)/6)),"")</f>
        <v/>
      </c>
      <c r="F713" s="156" t="str">
        <f t="shared" si="81"/>
        <v/>
      </c>
      <c r="G713" s="157">
        <f t="shared" si="82"/>
        <v>70</v>
      </c>
      <c r="H713" s="151">
        <f t="shared" si="83"/>
        <v>55580</v>
      </c>
      <c r="I713" s="158">
        <f t="shared" ref="I713:I776" si="88">G713+I712</f>
        <v>5558</v>
      </c>
      <c r="J713" s="159">
        <f ca="1" t="shared" ref="J713:J776" si="89">LOG(G713/(I712+OFFSET($L$14,MIN(INT(D713/10)+1,25),0))+1,1.07)/6</f>
        <v>0.0196776381042895</v>
      </c>
      <c r="K713" s="157">
        <f t="shared" si="84"/>
        <v>3469</v>
      </c>
      <c r="L713" s="160">
        <f ca="1" t="shared" ref="L713:L776" si="90">K713/J713</f>
        <v>176291.482830137</v>
      </c>
      <c r="M713" s="157">
        <f t="shared" ref="M713:M776" si="91">K713/G713</f>
        <v>49.5571428571429</v>
      </c>
      <c r="U713" s="151">
        <v>194</v>
      </c>
      <c r="V713" s="157">
        <f ca="1">OFFSET(养成规划!$D$5,IFERROR(MATCH(U713,养成规划!$G$6:$G$38,1)+1,1),0)</f>
        <v>560</v>
      </c>
      <c r="W713" s="152">
        <f ca="1">((V713-_xlfn.MAXIFS($V$519:V712,$V$519:V712,"&lt;"&amp;V713))*$D$475)/COUNTIF($V$520:$V$819,V713)/6</f>
        <v>54.2005420054201</v>
      </c>
      <c r="X713" s="157">
        <f t="shared" si="85"/>
        <v>8</v>
      </c>
      <c r="Y713" s="151">
        <f t="shared" ref="Y713:Y776" si="92">Y712+X713</f>
        <v>1143</v>
      </c>
      <c r="Z713" s="156">
        <f ca="1">(SUM($W$520:W713)-SUM($Y$520:Y713))/SUM($W$520:W713)</f>
        <v>0.00844952877143897</v>
      </c>
      <c r="AA713" s="151">
        <f t="shared" si="86"/>
        <v>800</v>
      </c>
      <c r="AB713" s="153">
        <f t="shared" ref="AB713:AB776" si="93">AB712+AA713</f>
        <v>106200</v>
      </c>
      <c r="AC713" s="153">
        <f>SUM(Y$520:Y713)</f>
        <v>88608</v>
      </c>
      <c r="AD713" s="153">
        <f>INT(SUM(AB$520:AB713))</f>
        <v>7552400</v>
      </c>
      <c r="AE713" s="153">
        <f ca="1">INT(AC713*6/($D$475+AVERAGE(OFFSET(装备产出!$F$186,0,0,W713))))+1</f>
        <v>387</v>
      </c>
      <c r="AF713" s="154">
        <f t="shared" si="87"/>
        <v>85.233838931022</v>
      </c>
    </row>
    <row r="714" ht="17.25" spans="4:32">
      <c r="D714" s="151">
        <v>195</v>
      </c>
      <c r="E714" s="161" t="str">
        <f>IFERROR((INT(_xlfn.XLOOKUP(D714,养成规划!$G$6:$G$38,养成规划!$J$6:$J$38)/6)),"")</f>
        <v/>
      </c>
      <c r="F714" s="156" t="str">
        <f t="shared" si="81"/>
        <v/>
      </c>
      <c r="G714" s="157">
        <f t="shared" si="82"/>
        <v>70</v>
      </c>
      <c r="H714" s="151">
        <f t="shared" si="83"/>
        <v>56280</v>
      </c>
      <c r="I714" s="158">
        <f t="shared" si="88"/>
        <v>5628</v>
      </c>
      <c r="J714" s="159">
        <f ca="1" t="shared" si="89"/>
        <v>0.0195216945808094</v>
      </c>
      <c r="K714" s="157">
        <f t="shared" si="84"/>
        <v>3493</v>
      </c>
      <c r="L714" s="160">
        <f ca="1" t="shared" si="90"/>
        <v>178929.138837863</v>
      </c>
      <c r="M714" s="157">
        <f t="shared" si="91"/>
        <v>49.9</v>
      </c>
      <c r="U714" s="151">
        <v>195</v>
      </c>
      <c r="V714" s="157">
        <f ca="1">OFFSET(养成规划!$D$5,IFERROR(MATCH(U714,养成规划!$G$6:$G$38,1)+1,1),0)</f>
        <v>560</v>
      </c>
      <c r="W714" s="152">
        <f ca="1">((V714-_xlfn.MAXIFS($V$519:V713,$V$519:V713,"&lt;"&amp;V714))*$D$475)/COUNTIF($V$520:$V$819,V714)/6</f>
        <v>54.2005420054201</v>
      </c>
      <c r="X714" s="157">
        <f t="shared" si="85"/>
        <v>8</v>
      </c>
      <c r="Y714" s="151">
        <f t="shared" si="92"/>
        <v>1151</v>
      </c>
      <c r="Z714" s="156">
        <f ca="1">(SUM($W$520:W714)-SUM($Y$520:Y714))/SUM($W$520:W714)</f>
        <v>-0.00382167284563845</v>
      </c>
      <c r="AA714" s="151">
        <f t="shared" si="86"/>
        <v>800</v>
      </c>
      <c r="AB714" s="153">
        <f t="shared" si="93"/>
        <v>107000</v>
      </c>
      <c r="AC714" s="153">
        <f>SUM(Y$520:Y714)</f>
        <v>89759</v>
      </c>
      <c r="AD714" s="153">
        <f>INT(SUM(AB$520:AB714))</f>
        <v>7659400</v>
      </c>
      <c r="AE714" s="153">
        <f ca="1">INT(AC714*6/($D$475+AVERAGE(OFFSET(装备产出!$F$186,0,0,W714))))+1</f>
        <v>392</v>
      </c>
      <c r="AF714" s="154">
        <f t="shared" si="87"/>
        <v>85.3329471139384</v>
      </c>
    </row>
    <row r="715" ht="17.25" spans="4:32">
      <c r="D715" s="151">
        <v>196</v>
      </c>
      <c r="E715" s="161" t="str">
        <f>IFERROR((INT(_xlfn.XLOOKUP(D715,养成规划!$G$6:$G$38,养成规划!$J$6:$J$38)/6)),"")</f>
        <v/>
      </c>
      <c r="F715" s="156" t="str">
        <f t="shared" si="81"/>
        <v/>
      </c>
      <c r="G715" s="157">
        <f t="shared" si="82"/>
        <v>75</v>
      </c>
      <c r="H715" s="151">
        <f t="shared" si="83"/>
        <v>57030</v>
      </c>
      <c r="I715" s="158">
        <f t="shared" si="88"/>
        <v>5703</v>
      </c>
      <c r="J715" s="159">
        <f ca="1" t="shared" si="89"/>
        <v>0.0207458366371755</v>
      </c>
      <c r="K715" s="157">
        <f t="shared" si="84"/>
        <v>3517</v>
      </c>
      <c r="L715" s="160">
        <f ca="1" t="shared" si="90"/>
        <v>169527.990676342</v>
      </c>
      <c r="M715" s="157">
        <f t="shared" si="91"/>
        <v>46.8933333333333</v>
      </c>
      <c r="U715" s="151">
        <v>196</v>
      </c>
      <c r="V715" s="157">
        <f ca="1">OFFSET(养成规划!$D$5,IFERROR(MATCH(U715,养成规划!$G$6:$G$38,1)+1,1),0)</f>
        <v>560</v>
      </c>
      <c r="W715" s="152">
        <f ca="1">((V715-_xlfn.MAXIFS($V$519:V714,$V$519:V714,"&lt;"&amp;V715))*$D$475)/COUNTIF($V$520:$V$819,V715)/6</f>
        <v>54.2005420054201</v>
      </c>
      <c r="X715" s="157">
        <f t="shared" si="85"/>
        <v>8</v>
      </c>
      <c r="Y715" s="151">
        <f t="shared" si="92"/>
        <v>1159</v>
      </c>
      <c r="Z715" s="156">
        <f ca="1">(SUM($W$520:W715)-SUM($Y$520:Y715))/SUM($W$520:W715)</f>
        <v>-0.0161674209960789</v>
      </c>
      <c r="AA715" s="151">
        <f t="shared" si="86"/>
        <v>800</v>
      </c>
      <c r="AB715" s="153">
        <f t="shared" si="93"/>
        <v>107800</v>
      </c>
      <c r="AC715" s="153">
        <f>SUM(Y$520:Y715)</f>
        <v>90918</v>
      </c>
      <c r="AD715" s="153">
        <f>INT(SUM(AB$520:AB715))</f>
        <v>7767200</v>
      </c>
      <c r="AE715" s="153">
        <f ca="1">INT(AC715*6/($D$475+AVERAGE(OFFSET(装备产出!$F$186,0,0,W715))))+1</f>
        <v>397</v>
      </c>
      <c r="AF715" s="154">
        <f t="shared" si="87"/>
        <v>85.4308277788777</v>
      </c>
    </row>
    <row r="716" ht="17.25" spans="4:32">
      <c r="D716" s="151">
        <v>197</v>
      </c>
      <c r="E716" s="161" t="str">
        <f>IFERROR((INT(_xlfn.XLOOKUP(D716,养成规划!$G$6:$G$38,养成规划!$J$6:$J$38)/6)),"")</f>
        <v/>
      </c>
      <c r="F716" s="156" t="str">
        <f t="shared" si="81"/>
        <v/>
      </c>
      <c r="G716" s="157">
        <f t="shared" si="82"/>
        <v>75</v>
      </c>
      <c r="H716" s="151">
        <f t="shared" si="83"/>
        <v>57780</v>
      </c>
      <c r="I716" s="158">
        <f t="shared" si="88"/>
        <v>5778</v>
      </c>
      <c r="J716" s="159">
        <f ca="1" t="shared" si="89"/>
        <v>0.0205725772517229</v>
      </c>
      <c r="K716" s="157">
        <f t="shared" si="84"/>
        <v>3541</v>
      </c>
      <c r="L716" s="160">
        <f ca="1" t="shared" si="90"/>
        <v>172122.333369945</v>
      </c>
      <c r="M716" s="157">
        <f t="shared" si="91"/>
        <v>47.2133333333333</v>
      </c>
      <c r="U716" s="151">
        <v>197</v>
      </c>
      <c r="V716" s="157">
        <f ca="1">OFFSET(养成规划!$D$5,IFERROR(MATCH(U716,养成规划!$G$6:$G$38,1)+1,1),0)</f>
        <v>560</v>
      </c>
      <c r="W716" s="152">
        <f ca="1">((V716-_xlfn.MAXIFS($V$519:V715,$V$519:V715,"&lt;"&amp;V716))*$D$475)/COUNTIF($V$520:$V$819,V716)/6</f>
        <v>54.2005420054201</v>
      </c>
      <c r="X716" s="157">
        <f t="shared" si="85"/>
        <v>8</v>
      </c>
      <c r="Y716" s="151">
        <f t="shared" si="92"/>
        <v>1167</v>
      </c>
      <c r="Z716" s="156">
        <f ca="1">(SUM($W$520:W716)-SUM($Y$520:Y716))/SUM($W$520:W716)</f>
        <v>-0.0285875802842297</v>
      </c>
      <c r="AA716" s="151">
        <f t="shared" si="86"/>
        <v>800</v>
      </c>
      <c r="AB716" s="153">
        <f t="shared" si="93"/>
        <v>108600</v>
      </c>
      <c r="AC716" s="153">
        <f>SUM(Y$520:Y716)</f>
        <v>92085</v>
      </c>
      <c r="AD716" s="153">
        <f>INT(SUM(AB$520:AB716))</f>
        <v>7875800</v>
      </c>
      <c r="AE716" s="153">
        <f ca="1">INT(AC716*6/($D$475+AVERAGE(OFFSET(装备产出!$F$186,0,0,W716))))+1</f>
        <v>402</v>
      </c>
      <c r="AF716" s="154">
        <f t="shared" si="87"/>
        <v>85.5275017646739</v>
      </c>
    </row>
    <row r="717" ht="17.25" spans="4:32">
      <c r="D717" s="151">
        <v>198</v>
      </c>
      <c r="E717" s="161" t="str">
        <f>IFERROR((INT(_xlfn.XLOOKUP(D717,养成规划!$G$6:$G$38,养成规划!$J$6:$J$38)/6)),"")</f>
        <v/>
      </c>
      <c r="F717" s="156" t="str">
        <f t="shared" si="81"/>
        <v/>
      </c>
      <c r="G717" s="157">
        <f t="shared" si="82"/>
        <v>75</v>
      </c>
      <c r="H717" s="151">
        <f t="shared" si="83"/>
        <v>58530</v>
      </c>
      <c r="I717" s="158">
        <f t="shared" si="88"/>
        <v>5853</v>
      </c>
      <c r="J717" s="159">
        <f ca="1" t="shared" si="89"/>
        <v>0.0204021878742495</v>
      </c>
      <c r="K717" s="157">
        <f t="shared" si="84"/>
        <v>3565</v>
      </c>
      <c r="L717" s="160">
        <f ca="1" t="shared" si="90"/>
        <v>174736.161728005</v>
      </c>
      <c r="M717" s="157">
        <f t="shared" si="91"/>
        <v>47.5333333333333</v>
      </c>
      <c r="U717" s="151">
        <v>198</v>
      </c>
      <c r="V717" s="157">
        <f ca="1">OFFSET(养成规划!$D$5,IFERROR(MATCH(U717,养成规划!$G$6:$G$38,1)+1,1),0)</f>
        <v>560</v>
      </c>
      <c r="W717" s="152">
        <f ca="1">((V717-_xlfn.MAXIFS($V$519:V716,$V$519:V716,"&lt;"&amp;V717))*$D$475)/COUNTIF($V$520:$V$819,V717)/6</f>
        <v>54.2005420054201</v>
      </c>
      <c r="X717" s="157">
        <f t="shared" si="85"/>
        <v>8</v>
      </c>
      <c r="Y717" s="151">
        <f t="shared" si="92"/>
        <v>1175</v>
      </c>
      <c r="Z717" s="156">
        <f ca="1">(SUM($W$520:W717)-SUM($Y$520:Y717))/SUM($W$520:W717)</f>
        <v>-0.0410820156421241</v>
      </c>
      <c r="AA717" s="151">
        <f t="shared" si="86"/>
        <v>800</v>
      </c>
      <c r="AB717" s="153">
        <f t="shared" si="93"/>
        <v>109400</v>
      </c>
      <c r="AC717" s="153">
        <f>SUM(Y$520:Y717)</f>
        <v>93260</v>
      </c>
      <c r="AD717" s="153">
        <f>INT(SUM(AB$520:AB717))</f>
        <v>7985200</v>
      </c>
      <c r="AE717" s="153">
        <f ca="1">INT(AC717*6/($D$475+AVERAGE(OFFSET(装备产出!$F$186,0,0,W717))))+1</f>
        <v>407</v>
      </c>
      <c r="AF717" s="154">
        <f t="shared" si="87"/>
        <v>85.6229894917435</v>
      </c>
    </row>
    <row r="718" ht="17.25" spans="4:32">
      <c r="D718" s="151">
        <v>199</v>
      </c>
      <c r="E718" s="161" t="str">
        <f>IFERROR((INT(_xlfn.XLOOKUP(D718,养成规划!$G$6:$G$38,养成规划!$J$6:$J$38)/6)),"")</f>
        <v/>
      </c>
      <c r="F718" s="156" t="str">
        <f t="shared" si="81"/>
        <v/>
      </c>
      <c r="G718" s="157">
        <f t="shared" si="82"/>
        <v>75</v>
      </c>
      <c r="H718" s="151">
        <f t="shared" si="83"/>
        <v>59280</v>
      </c>
      <c r="I718" s="158">
        <f t="shared" si="88"/>
        <v>5928</v>
      </c>
      <c r="J718" s="159">
        <f ca="1" t="shared" si="89"/>
        <v>0.020234597778452</v>
      </c>
      <c r="K718" s="157">
        <f t="shared" si="84"/>
        <v>3589</v>
      </c>
      <c r="L718" s="160">
        <f ca="1" t="shared" si="90"/>
        <v>177369.475751179</v>
      </c>
      <c r="M718" s="157">
        <f t="shared" si="91"/>
        <v>47.8533333333333</v>
      </c>
      <c r="U718" s="151">
        <v>199</v>
      </c>
      <c r="V718" s="157">
        <f ca="1">OFFSET(养成规划!$D$5,IFERROR(MATCH(U718,养成规划!$G$6:$G$38,1)+1,1),0)</f>
        <v>560</v>
      </c>
      <c r="W718" s="152">
        <f ca="1">((V718-_xlfn.MAXIFS($V$519:V717,$V$519:V717,"&lt;"&amp;V718))*$D$475)/COUNTIF($V$520:$V$819,V718)/6</f>
        <v>54.2005420054201</v>
      </c>
      <c r="X718" s="157">
        <f t="shared" si="85"/>
        <v>8</v>
      </c>
      <c r="Y718" s="151">
        <f t="shared" si="92"/>
        <v>1183</v>
      </c>
      <c r="Z718" s="156">
        <f ca="1">(SUM($W$520:W718)-SUM($Y$520:Y718))/SUM($W$520:W718)</f>
        <v>-0.0536505923284907</v>
      </c>
      <c r="AA718" s="151">
        <f t="shared" si="86"/>
        <v>800</v>
      </c>
      <c r="AB718" s="153">
        <f t="shared" si="93"/>
        <v>110200</v>
      </c>
      <c r="AC718" s="153">
        <f>SUM(Y$520:Y718)</f>
        <v>94443</v>
      </c>
      <c r="AD718" s="153">
        <f>INT(SUM(AB$520:AB718))</f>
        <v>8095400</v>
      </c>
      <c r="AE718" s="153">
        <f ca="1">INT(AC718*6/($D$475+AVERAGE(OFFSET(装备产出!$F$186,0,0,W718))))+1</f>
        <v>412</v>
      </c>
      <c r="AF718" s="154">
        <f t="shared" si="87"/>
        <v>85.7173109706384</v>
      </c>
    </row>
    <row r="719" ht="17.25" spans="4:32">
      <c r="D719" s="151">
        <v>200</v>
      </c>
      <c r="E719" s="161" t="str">
        <f>IFERROR((INT(_xlfn.XLOOKUP(D719,养成规划!$G$6:$G$38,养成规划!$J$6:$J$38)/6)),"")</f>
        <v/>
      </c>
      <c r="F719" s="156" t="str">
        <f t="shared" si="81"/>
        <v/>
      </c>
      <c r="G719" s="157">
        <f t="shared" si="82"/>
        <v>75</v>
      </c>
      <c r="H719" s="151">
        <f t="shared" si="83"/>
        <v>60030</v>
      </c>
      <c r="I719" s="158">
        <f t="shared" si="88"/>
        <v>6003</v>
      </c>
      <c r="J719" s="159">
        <f ca="1" t="shared" si="89"/>
        <v>0.0195908944354127</v>
      </c>
      <c r="K719" s="157">
        <f t="shared" si="84"/>
        <v>3613</v>
      </c>
      <c r="L719" s="160">
        <f ca="1" t="shared" si="90"/>
        <v>184422.411743953</v>
      </c>
      <c r="M719" s="157">
        <f t="shared" si="91"/>
        <v>48.1733333333333</v>
      </c>
      <c r="U719" s="151">
        <v>200</v>
      </c>
      <c r="V719" s="157">
        <f ca="1">OFFSET(养成规划!$D$5,IFERROR(MATCH(U719,养成规划!$G$6:$G$38,1)+1,1),0)</f>
        <v>560</v>
      </c>
      <c r="W719" s="152">
        <f ca="1">((V719-_xlfn.MAXIFS($V$519:V718,$V$519:V718,"&lt;"&amp;V719))*$D$475)/COUNTIF($V$520:$V$819,V719)/6</f>
        <v>54.2005420054201</v>
      </c>
      <c r="X719" s="157">
        <f t="shared" si="85"/>
        <v>8</v>
      </c>
      <c r="Y719" s="151">
        <f t="shared" si="92"/>
        <v>1191</v>
      </c>
      <c r="Z719" s="156">
        <f ca="1">(SUM($W$520:W719)-SUM($Y$520:Y719))/SUM($W$520:W719)</f>
        <v>-0.0662931759277662</v>
      </c>
      <c r="AA719" s="151">
        <f t="shared" si="86"/>
        <v>800</v>
      </c>
      <c r="AB719" s="153">
        <f t="shared" si="93"/>
        <v>111000</v>
      </c>
      <c r="AC719" s="153">
        <f>SUM(Y$520:Y719)</f>
        <v>95634</v>
      </c>
      <c r="AD719" s="153">
        <f>INT(SUM(AB$520:AB719))</f>
        <v>8206400</v>
      </c>
      <c r="AE719" s="153">
        <f ca="1">INT(AC719*6/($D$475+AVERAGE(OFFSET(装备产出!$F$186,0,0,W719))))+1</f>
        <v>418</v>
      </c>
      <c r="AF719" s="154">
        <f t="shared" si="87"/>
        <v>85.8104858104858</v>
      </c>
    </row>
    <row r="720" ht="17.25" spans="4:32">
      <c r="D720" s="151">
        <f t="shared" ref="D720:D783" si="94">D719+1</f>
        <v>201</v>
      </c>
      <c r="E720" s="161" t="str">
        <f>IFERROR((INT(_xlfn.XLOOKUP(D720,养成规划!$G$6:$G$38,养成规划!$J$6:$J$38)/6)),"")</f>
        <v/>
      </c>
      <c r="F720" s="156" t="str">
        <f t="shared" si="81"/>
        <v/>
      </c>
      <c r="G720" s="157">
        <f t="shared" si="82"/>
        <v>75</v>
      </c>
      <c r="H720" s="151">
        <f t="shared" si="83"/>
        <v>60780</v>
      </c>
      <c r="I720" s="158">
        <f t="shared" si="88"/>
        <v>6078</v>
      </c>
      <c r="J720" s="159">
        <f ca="1" t="shared" si="89"/>
        <v>0.0194363173601595</v>
      </c>
      <c r="K720" s="157">
        <f t="shared" si="84"/>
        <v>3637</v>
      </c>
      <c r="L720" s="160">
        <f ca="1" t="shared" si="90"/>
        <v>187123.925412697</v>
      </c>
      <c r="M720" s="157">
        <f t="shared" si="91"/>
        <v>48.4933333333333</v>
      </c>
      <c r="U720" s="151">
        <f t="shared" ref="U720:U783" si="95">U719+1</f>
        <v>201</v>
      </c>
      <c r="V720" s="157">
        <f ca="1">OFFSET(养成规划!$D$5,IFERROR(MATCH(U720,养成规划!$G$6:$G$38,1)+1,1),0)</f>
        <v>560</v>
      </c>
      <c r="W720" s="152">
        <f ca="1">((V720-_xlfn.MAXIFS($V$519:V719,$V$519:V719,"&lt;"&amp;V720))*$D$475)/COUNTIF($V$520:$V$819,V720)/6</f>
        <v>54.2005420054201</v>
      </c>
      <c r="X720" s="157">
        <f t="shared" si="85"/>
        <v>8</v>
      </c>
      <c r="Y720" s="151">
        <f t="shared" si="92"/>
        <v>1199</v>
      </c>
      <c r="Z720" s="156">
        <f ca="1">(SUM($W$520:W720)-SUM($Y$520:Y720))/SUM($W$520:W720)</f>
        <v>-0.0790096323491116</v>
      </c>
      <c r="AA720" s="151">
        <f t="shared" si="86"/>
        <v>800</v>
      </c>
      <c r="AB720" s="153">
        <f t="shared" si="93"/>
        <v>111800</v>
      </c>
      <c r="AC720" s="153">
        <f>SUM(Y$520:Y720)</f>
        <v>96833</v>
      </c>
      <c r="AD720" s="153">
        <f>INT(SUM(AB$520:AB720))</f>
        <v>8318200</v>
      </c>
      <c r="AE720" s="153">
        <f ca="1">INT(AC720*6/($D$475+AVERAGE(OFFSET(装备产出!$F$186,0,0,W720))))+1</f>
        <v>423</v>
      </c>
      <c r="AF720" s="154">
        <f t="shared" si="87"/>
        <v>85.9025332273089</v>
      </c>
    </row>
    <row r="721" ht="17.25" spans="4:32">
      <c r="D721" s="151">
        <f t="shared" si="94"/>
        <v>202</v>
      </c>
      <c r="E721" s="161" t="str">
        <f>IFERROR((INT(_xlfn.XLOOKUP(D721,养成规划!$G$6:$G$38,养成规划!$J$6:$J$38)/6)),"")</f>
        <v/>
      </c>
      <c r="F721" s="156" t="str">
        <f t="shared" si="81"/>
        <v/>
      </c>
      <c r="G721" s="157">
        <f t="shared" si="82"/>
        <v>75</v>
      </c>
      <c r="H721" s="151">
        <f t="shared" si="83"/>
        <v>61530</v>
      </c>
      <c r="I721" s="158">
        <f t="shared" si="88"/>
        <v>6153</v>
      </c>
      <c r="J721" s="159">
        <f ca="1" t="shared" si="89"/>
        <v>0.0192841605050777</v>
      </c>
      <c r="K721" s="157">
        <f t="shared" si="84"/>
        <v>3661</v>
      </c>
      <c r="L721" s="160">
        <f ca="1" t="shared" si="90"/>
        <v>189844.924752416</v>
      </c>
      <c r="M721" s="157">
        <f t="shared" si="91"/>
        <v>48.8133333333333</v>
      </c>
      <c r="U721" s="151">
        <f t="shared" si="95"/>
        <v>202</v>
      </c>
      <c r="V721" s="157">
        <f ca="1">OFFSET(养成规划!$D$5,IFERROR(MATCH(U721,养成规划!$G$6:$G$38,1)+1,1),0)</f>
        <v>560</v>
      </c>
      <c r="W721" s="152">
        <f ca="1">((V721-_xlfn.MAXIFS($V$519:V720,$V$519:V720,"&lt;"&amp;V721))*$D$475)/COUNTIF($V$520:$V$819,V721)/6</f>
        <v>54.2005420054201</v>
      </c>
      <c r="X721" s="157">
        <f t="shared" si="85"/>
        <v>8</v>
      </c>
      <c r="Y721" s="151">
        <f t="shared" si="92"/>
        <v>1207</v>
      </c>
      <c r="Z721" s="156">
        <f ca="1">(SUM($W$520:W721)-SUM($Y$520:Y721))/SUM($W$520:W721)</f>
        <v>-0.0917998278254329</v>
      </c>
      <c r="AA721" s="151">
        <f t="shared" si="86"/>
        <v>800</v>
      </c>
      <c r="AB721" s="153">
        <f t="shared" si="93"/>
        <v>112600</v>
      </c>
      <c r="AC721" s="153">
        <f>SUM(Y$520:Y721)</f>
        <v>98040</v>
      </c>
      <c r="AD721" s="153">
        <f>INT(SUM(AB$520:AB721))</f>
        <v>8430800</v>
      </c>
      <c r="AE721" s="153">
        <f ca="1">INT(AC721*6/($D$475+AVERAGE(OFFSET(装备产出!$F$186,0,0,W721))))+1</f>
        <v>428</v>
      </c>
      <c r="AF721" s="154">
        <f t="shared" si="87"/>
        <v>85.9934720522236</v>
      </c>
    </row>
    <row r="722" ht="17.25" spans="4:32">
      <c r="D722" s="151">
        <f t="shared" si="94"/>
        <v>203</v>
      </c>
      <c r="E722" s="161" t="str">
        <f>IFERROR((INT(_xlfn.XLOOKUP(D722,养成规划!$G$6:$G$38,养成规划!$J$6:$J$38)/6)),"")</f>
        <v/>
      </c>
      <c r="F722" s="156" t="str">
        <f t="shared" si="81"/>
        <v/>
      </c>
      <c r="G722" s="157">
        <f t="shared" si="82"/>
        <v>75</v>
      </c>
      <c r="H722" s="151">
        <f t="shared" si="83"/>
        <v>62280</v>
      </c>
      <c r="I722" s="158">
        <f t="shared" si="88"/>
        <v>6228</v>
      </c>
      <c r="J722" s="159">
        <f ca="1" t="shared" si="89"/>
        <v>0.0191343674711596</v>
      </c>
      <c r="K722" s="157">
        <f t="shared" si="84"/>
        <v>3685</v>
      </c>
      <c r="L722" s="160">
        <f ca="1" t="shared" si="90"/>
        <v>192585.40976357</v>
      </c>
      <c r="M722" s="157">
        <f t="shared" si="91"/>
        <v>49.1333333333333</v>
      </c>
      <c r="U722" s="151">
        <f t="shared" si="95"/>
        <v>203</v>
      </c>
      <c r="V722" s="157">
        <f ca="1">OFFSET(养成规划!$D$5,IFERROR(MATCH(U722,养成规划!$G$6:$G$38,1)+1,1),0)</f>
        <v>560</v>
      </c>
      <c r="W722" s="152">
        <f ca="1">((V722-_xlfn.MAXIFS($V$519:V721,$V$519:V721,"&lt;"&amp;V722))*$D$475)/COUNTIF($V$520:$V$819,V722)/6</f>
        <v>54.2005420054201</v>
      </c>
      <c r="X722" s="157">
        <f t="shared" si="85"/>
        <v>8</v>
      </c>
      <c r="Y722" s="151">
        <f t="shared" si="92"/>
        <v>1215</v>
      </c>
      <c r="Z722" s="156">
        <f ca="1">(SUM($W$520:W722)-SUM($Y$520:Y722))/SUM($W$520:W722)</f>
        <v>-0.104663628912404</v>
      </c>
      <c r="AA722" s="151">
        <f t="shared" si="86"/>
        <v>800</v>
      </c>
      <c r="AB722" s="153">
        <f t="shared" si="93"/>
        <v>113400</v>
      </c>
      <c r="AC722" s="153">
        <f>SUM(Y$520:Y722)</f>
        <v>99255</v>
      </c>
      <c r="AD722" s="153">
        <f>INT(SUM(AB$520:AB722))</f>
        <v>8544200</v>
      </c>
      <c r="AE722" s="153">
        <f ca="1">INT(AC722*6/($D$475+AVERAGE(OFFSET(装备产出!$F$186,0,0,W722))))+1</f>
        <v>433</v>
      </c>
      <c r="AF722" s="154">
        <f t="shared" si="87"/>
        <v>86.0833207395093</v>
      </c>
    </row>
    <row r="723" ht="17.25" spans="4:32">
      <c r="D723" s="151">
        <f t="shared" si="94"/>
        <v>204</v>
      </c>
      <c r="E723" s="161" t="str">
        <f>IFERROR((INT(_xlfn.XLOOKUP(D723,养成规划!$G$6:$G$38,养成规划!$J$6:$J$38)/6)),"")</f>
        <v/>
      </c>
      <c r="F723" s="156" t="str">
        <f t="shared" ref="F723:F786" si="96">IF(E723="","",(I723-E723)/E723)</f>
        <v/>
      </c>
      <c r="G723" s="157">
        <f t="shared" si="82"/>
        <v>75</v>
      </c>
      <c r="H723" s="151">
        <f t="shared" si="83"/>
        <v>63030</v>
      </c>
      <c r="I723" s="158">
        <f t="shared" si="88"/>
        <v>6303</v>
      </c>
      <c r="J723" s="159">
        <f ca="1" t="shared" si="89"/>
        <v>0.0189868835982728</v>
      </c>
      <c r="K723" s="157">
        <f t="shared" si="84"/>
        <v>3709</v>
      </c>
      <c r="L723" s="160">
        <f ca="1" t="shared" si="90"/>
        <v>195345.380446605</v>
      </c>
      <c r="M723" s="157">
        <f t="shared" si="91"/>
        <v>49.4533333333333</v>
      </c>
      <c r="U723" s="151">
        <f t="shared" si="95"/>
        <v>204</v>
      </c>
      <c r="V723" s="157">
        <f ca="1">OFFSET(养成规划!$D$5,IFERROR(MATCH(U723,养成规划!$G$6:$G$38,1)+1,1),0)</f>
        <v>560</v>
      </c>
      <c r="W723" s="152">
        <f ca="1">((V723-_xlfn.MAXIFS($V$519:V722,$V$519:V722,"&lt;"&amp;V723))*$D$475)/COUNTIF($V$520:$V$819,V723)/6</f>
        <v>54.2005420054201</v>
      </c>
      <c r="X723" s="157">
        <f t="shared" si="85"/>
        <v>8</v>
      </c>
      <c r="Y723" s="151">
        <f t="shared" si="92"/>
        <v>1223</v>
      </c>
      <c r="Z723" s="156">
        <f ca="1">(SUM($W$520:W723)-SUM($Y$520:Y723))/SUM($W$520:W723)</f>
        <v>-0.117600902487493</v>
      </c>
      <c r="AA723" s="151">
        <f t="shared" si="86"/>
        <v>800</v>
      </c>
      <c r="AB723" s="153">
        <f t="shared" si="93"/>
        <v>114200</v>
      </c>
      <c r="AC723" s="153">
        <f>SUM(Y$520:Y723)</f>
        <v>100478</v>
      </c>
      <c r="AD723" s="153">
        <f>INT(SUM(AB$520:AB723))</f>
        <v>8658400</v>
      </c>
      <c r="AE723" s="153">
        <f ca="1">INT(AC723*6/($D$475+AVERAGE(OFFSET(装备产出!$F$186,0,0,W723))))+1</f>
        <v>439</v>
      </c>
      <c r="AF723" s="154">
        <f t="shared" si="87"/>
        <v>86.1720973745497</v>
      </c>
    </row>
    <row r="724" ht="17.25" spans="4:32">
      <c r="D724" s="151">
        <f t="shared" si="94"/>
        <v>205</v>
      </c>
      <c r="E724" s="161" t="str">
        <f>IFERROR((INT(_xlfn.XLOOKUP(D724,养成规划!$G$6:$G$38,养成规划!$J$6:$J$38)/6)),"")</f>
        <v/>
      </c>
      <c r="F724" s="156" t="str">
        <f t="shared" si="96"/>
        <v/>
      </c>
      <c r="G724" s="157">
        <f t="shared" si="82"/>
        <v>75</v>
      </c>
      <c r="H724" s="151">
        <f t="shared" si="83"/>
        <v>63780</v>
      </c>
      <c r="I724" s="158">
        <f t="shared" si="88"/>
        <v>6378</v>
      </c>
      <c r="J724" s="159">
        <f ca="1" t="shared" si="89"/>
        <v>0.0188416558986568</v>
      </c>
      <c r="K724" s="157">
        <f t="shared" si="84"/>
        <v>3733</v>
      </c>
      <c r="L724" s="160">
        <f ca="1" t="shared" si="90"/>
        <v>198124.836801956</v>
      </c>
      <c r="M724" s="157">
        <f t="shared" si="91"/>
        <v>49.7733333333333</v>
      </c>
      <c r="U724" s="151">
        <f t="shared" si="95"/>
        <v>205</v>
      </c>
      <c r="V724" s="157">
        <f ca="1">OFFSET(养成规划!$D$5,IFERROR(MATCH(U724,养成规划!$G$6:$G$38,1)+1,1),0)</f>
        <v>560</v>
      </c>
      <c r="W724" s="152">
        <f ca="1">((V724-_xlfn.MAXIFS($V$519:V723,$V$519:V723,"&lt;"&amp;V724))*$D$475)/COUNTIF($V$520:$V$819,V724)/6</f>
        <v>54.2005420054201</v>
      </c>
      <c r="X724" s="157">
        <f t="shared" si="85"/>
        <v>8</v>
      </c>
      <c r="Y724" s="151">
        <f t="shared" si="92"/>
        <v>1231</v>
      </c>
      <c r="Z724" s="156">
        <f ca="1">(SUM($W$520:W724)-SUM($Y$520:Y724))/SUM($W$520:W724)</f>
        <v>-0.130611515748996</v>
      </c>
      <c r="AA724" s="151">
        <f t="shared" si="86"/>
        <v>800</v>
      </c>
      <c r="AB724" s="153">
        <f t="shared" si="93"/>
        <v>115000</v>
      </c>
      <c r="AC724" s="153">
        <f>SUM(Y$520:Y724)</f>
        <v>101709</v>
      </c>
      <c r="AD724" s="153">
        <f>INT(SUM(AB$520:AB724))</f>
        <v>8773400</v>
      </c>
      <c r="AE724" s="153">
        <f ca="1">INT(AC724*6/($D$475+AVERAGE(OFFSET(装备产出!$F$186,0,0,W724))))+1</f>
        <v>444</v>
      </c>
      <c r="AF724" s="154">
        <f t="shared" si="87"/>
        <v>86.2598196816408</v>
      </c>
    </row>
    <row r="725" ht="17.25" spans="4:32">
      <c r="D725" s="151">
        <f t="shared" si="94"/>
        <v>206</v>
      </c>
      <c r="E725" s="161" t="str">
        <f>IFERROR((INT(_xlfn.XLOOKUP(D725,养成规划!$G$6:$G$38,养成规划!$J$6:$J$38)/6)),"")</f>
        <v/>
      </c>
      <c r="F725" s="156" t="str">
        <f t="shared" si="96"/>
        <v/>
      </c>
      <c r="G725" s="157">
        <f t="shared" si="82"/>
        <v>80</v>
      </c>
      <c r="H725" s="151">
        <f t="shared" si="83"/>
        <v>64580</v>
      </c>
      <c r="I725" s="158">
        <f t="shared" si="88"/>
        <v>6458</v>
      </c>
      <c r="J725" s="159">
        <f ca="1" t="shared" si="89"/>
        <v>0.0199401763303105</v>
      </c>
      <c r="K725" s="157">
        <f t="shared" si="84"/>
        <v>3757</v>
      </c>
      <c r="L725" s="160">
        <f ca="1" t="shared" si="90"/>
        <v>188413.579587513</v>
      </c>
      <c r="M725" s="157">
        <f t="shared" si="91"/>
        <v>46.9625</v>
      </c>
      <c r="U725" s="151">
        <f t="shared" si="95"/>
        <v>206</v>
      </c>
      <c r="V725" s="157">
        <f ca="1">OFFSET(养成规划!$D$5,IFERROR(MATCH(U725,养成规划!$G$6:$G$38,1)+1,1),0)</f>
        <v>560</v>
      </c>
      <c r="W725" s="152">
        <f ca="1">((V725-_xlfn.MAXIFS($V$519:V724,$V$519:V724,"&lt;"&amp;V725))*$D$475)/COUNTIF($V$520:$V$819,V725)/6</f>
        <v>54.2005420054201</v>
      </c>
      <c r="X725" s="157">
        <f t="shared" si="85"/>
        <v>8</v>
      </c>
      <c r="Y725" s="151">
        <f t="shared" si="92"/>
        <v>1239</v>
      </c>
      <c r="Z725" s="156">
        <f ca="1">(SUM($W$520:W725)-SUM($Y$520:Y725))/SUM($W$520:W725)</f>
        <v>-0.143695336215066</v>
      </c>
      <c r="AA725" s="151">
        <f t="shared" si="86"/>
        <v>800</v>
      </c>
      <c r="AB725" s="153">
        <f t="shared" si="93"/>
        <v>115800</v>
      </c>
      <c r="AC725" s="153">
        <f>SUM(Y$520:Y725)</f>
        <v>102948</v>
      </c>
      <c r="AD725" s="153">
        <f>INT(SUM(AB$520:AB725))</f>
        <v>8889200</v>
      </c>
      <c r="AE725" s="153">
        <f ca="1">INT(AC725*6/($D$475+AVERAGE(OFFSET(装备产出!$F$186,0,0,W725))))+1</f>
        <v>450</v>
      </c>
      <c r="AF725" s="154">
        <f t="shared" si="87"/>
        <v>86.3465050316665</v>
      </c>
    </row>
    <row r="726" ht="17.25" spans="4:32">
      <c r="D726" s="151">
        <f t="shared" si="94"/>
        <v>207</v>
      </c>
      <c r="E726" s="161" t="str">
        <f>IFERROR((INT(_xlfn.XLOOKUP(D726,养成规划!$G$6:$G$38,养成规划!$J$6:$J$38)/6)),"")</f>
        <v/>
      </c>
      <c r="F726" s="156" t="str">
        <f t="shared" si="96"/>
        <v/>
      </c>
      <c r="G726" s="157">
        <f t="shared" si="82"/>
        <v>80</v>
      </c>
      <c r="H726" s="151">
        <f t="shared" si="83"/>
        <v>65380</v>
      </c>
      <c r="I726" s="158">
        <f t="shared" si="88"/>
        <v>6538</v>
      </c>
      <c r="J726" s="159">
        <f ca="1" t="shared" si="89"/>
        <v>0.0197800607709125</v>
      </c>
      <c r="K726" s="157">
        <f t="shared" si="84"/>
        <v>3781</v>
      </c>
      <c r="L726" s="160">
        <f ca="1" t="shared" si="90"/>
        <v>191152.092189733</v>
      </c>
      <c r="M726" s="157">
        <f t="shared" si="91"/>
        <v>47.2625</v>
      </c>
      <c r="U726" s="151">
        <f t="shared" si="95"/>
        <v>207</v>
      </c>
      <c r="V726" s="157">
        <f ca="1">OFFSET(养成规划!$D$5,IFERROR(MATCH(U726,养成规划!$G$6:$G$38,1)+1,1),0)</f>
        <v>560</v>
      </c>
      <c r="W726" s="152">
        <f ca="1">((V726-_xlfn.MAXIFS($V$519:V725,$V$519:V725,"&lt;"&amp;V726))*$D$475)/COUNTIF($V$520:$V$819,V726)/6</f>
        <v>54.2005420054201</v>
      </c>
      <c r="X726" s="157">
        <f t="shared" si="85"/>
        <v>8</v>
      </c>
      <c r="Y726" s="151">
        <f t="shared" si="92"/>
        <v>1247</v>
      </c>
      <c r="Z726" s="156">
        <f ca="1">(SUM($W$520:W726)-SUM($Y$520:Y726))/SUM($W$520:W726)</f>
        <v>-0.156852231722757</v>
      </c>
      <c r="AA726" s="151">
        <f t="shared" si="86"/>
        <v>800</v>
      </c>
      <c r="AB726" s="153">
        <f t="shared" si="93"/>
        <v>116600</v>
      </c>
      <c r="AC726" s="153">
        <f>SUM(Y$520:Y726)</f>
        <v>104195</v>
      </c>
      <c r="AD726" s="153">
        <f>INT(SUM(AB$520:AB726))</f>
        <v>9005800</v>
      </c>
      <c r="AE726" s="153">
        <f ca="1">INT(AC726*6/($D$475+AVERAGE(OFFSET(装备产出!$F$186,0,0,W726))))+1</f>
        <v>455</v>
      </c>
      <c r="AF726" s="154">
        <f t="shared" si="87"/>
        <v>86.4321704496377</v>
      </c>
    </row>
    <row r="727" ht="17.25" spans="4:32">
      <c r="D727" s="151">
        <f t="shared" si="94"/>
        <v>208</v>
      </c>
      <c r="E727" s="161" t="str">
        <f>IFERROR((INT(_xlfn.XLOOKUP(D727,养成规划!$G$6:$G$38,养成规划!$J$6:$J$38)/6)),"")</f>
        <v/>
      </c>
      <c r="F727" s="156" t="str">
        <f t="shared" si="96"/>
        <v/>
      </c>
      <c r="G727" s="157">
        <f t="shared" si="82"/>
        <v>80</v>
      </c>
      <c r="H727" s="151">
        <f t="shared" si="83"/>
        <v>66180</v>
      </c>
      <c r="I727" s="158">
        <f t="shared" si="88"/>
        <v>6618</v>
      </c>
      <c r="J727" s="159">
        <f ca="1" t="shared" si="89"/>
        <v>0.0196224961324731</v>
      </c>
      <c r="K727" s="157">
        <f t="shared" si="84"/>
        <v>3805</v>
      </c>
      <c r="L727" s="160">
        <f ca="1" t="shared" si="90"/>
        <v>193910.090454962</v>
      </c>
      <c r="M727" s="157">
        <f t="shared" si="91"/>
        <v>47.5625</v>
      </c>
      <c r="U727" s="151">
        <f t="shared" si="95"/>
        <v>208</v>
      </c>
      <c r="V727" s="157">
        <f ca="1">OFFSET(养成规划!$D$5,IFERROR(MATCH(U727,养成规划!$G$6:$G$38,1)+1,1),0)</f>
        <v>560</v>
      </c>
      <c r="W727" s="152">
        <f ca="1">((V727-_xlfn.MAXIFS($V$519:V726,$V$519:V726,"&lt;"&amp;V727))*$D$475)/COUNTIF($V$520:$V$819,V727)/6</f>
        <v>54.2005420054201</v>
      </c>
      <c r="X727" s="157">
        <f t="shared" si="85"/>
        <v>8</v>
      </c>
      <c r="Y727" s="151">
        <f t="shared" si="92"/>
        <v>1255</v>
      </c>
      <c r="Z727" s="156">
        <f ca="1">(SUM($W$520:W727)-SUM($Y$520:Y727))/SUM($W$520:W727)</f>
        <v>-0.170082070427057</v>
      </c>
      <c r="AA727" s="151">
        <f t="shared" si="86"/>
        <v>800</v>
      </c>
      <c r="AB727" s="153">
        <f t="shared" si="93"/>
        <v>117400</v>
      </c>
      <c r="AC727" s="153">
        <f>SUM(Y$520:Y727)</f>
        <v>105450</v>
      </c>
      <c r="AD727" s="153">
        <f>INT(SUM(AB$520:AB727))</f>
        <v>9123200</v>
      </c>
      <c r="AE727" s="153">
        <f ca="1">INT(AC727*6/($D$475+AVERAGE(OFFSET(装备产出!$F$186,0,0,W727))))+1</f>
        <v>460</v>
      </c>
      <c r="AF727" s="154">
        <f t="shared" si="87"/>
        <v>86.5168326220958</v>
      </c>
    </row>
    <row r="728" ht="17.25" spans="4:32">
      <c r="D728" s="151">
        <f t="shared" si="94"/>
        <v>209</v>
      </c>
      <c r="E728" s="161" t="str">
        <f>IFERROR((INT(_xlfn.XLOOKUP(D728,养成规划!$G$6:$G$38,养成规划!$J$6:$J$38)/6)),"")</f>
        <v/>
      </c>
      <c r="F728" s="156" t="str">
        <f t="shared" si="96"/>
        <v/>
      </c>
      <c r="G728" s="157">
        <f t="shared" si="82"/>
        <v>80</v>
      </c>
      <c r="H728" s="151">
        <f t="shared" si="83"/>
        <v>66980</v>
      </c>
      <c r="I728" s="158">
        <f t="shared" si="88"/>
        <v>6698</v>
      </c>
      <c r="J728" s="159">
        <f ca="1" t="shared" si="89"/>
        <v>0.0194674219354966</v>
      </c>
      <c r="K728" s="157">
        <f t="shared" si="84"/>
        <v>3829</v>
      </c>
      <c r="L728" s="160">
        <f ca="1" t="shared" si="90"/>
        <v>196687.574383861</v>
      </c>
      <c r="M728" s="157">
        <f t="shared" si="91"/>
        <v>47.8625</v>
      </c>
      <c r="U728" s="151">
        <f t="shared" si="95"/>
        <v>209</v>
      </c>
      <c r="V728" s="157">
        <f ca="1">OFFSET(养成规划!$D$5,IFERROR(MATCH(U728,养成规划!$G$6:$G$38,1)+1,1),0)</f>
        <v>560</v>
      </c>
      <c r="W728" s="152">
        <f ca="1">((V728-_xlfn.MAXIFS($V$519:V727,$V$519:V727,"&lt;"&amp;V728))*$D$475)/COUNTIF($V$520:$V$819,V728)/6</f>
        <v>54.2005420054201</v>
      </c>
      <c r="X728" s="157">
        <f t="shared" si="85"/>
        <v>8</v>
      </c>
      <c r="Y728" s="151">
        <f t="shared" si="92"/>
        <v>1263</v>
      </c>
      <c r="Z728" s="156">
        <f ca="1">(SUM($W$520:W728)-SUM($Y$520:Y728))/SUM($W$520:W728)</f>
        <v>-0.183384720799941</v>
      </c>
      <c r="AA728" s="151">
        <f t="shared" si="86"/>
        <v>800</v>
      </c>
      <c r="AB728" s="153">
        <f t="shared" si="93"/>
        <v>118200</v>
      </c>
      <c r="AC728" s="153">
        <f>SUM(Y$520:Y728)</f>
        <v>106713</v>
      </c>
      <c r="AD728" s="153">
        <f>INT(SUM(AB$520:AB728))</f>
        <v>9241400</v>
      </c>
      <c r="AE728" s="153">
        <f ca="1">INT(AC728*6/($D$475+AVERAGE(OFFSET(装备产出!$F$186,0,0,W728))))+1</f>
        <v>466</v>
      </c>
      <c r="AF728" s="154">
        <f t="shared" si="87"/>
        <v>86.600507904379</v>
      </c>
    </row>
    <row r="729" ht="17.25" spans="4:32">
      <c r="D729" s="151">
        <f t="shared" si="94"/>
        <v>210</v>
      </c>
      <c r="E729" s="161" t="str">
        <f>IFERROR((INT(_xlfn.XLOOKUP(D729,养成规划!$G$6:$G$38,养成规划!$J$6:$J$38)/6)),"")</f>
        <v/>
      </c>
      <c r="F729" s="156" t="str">
        <f t="shared" si="96"/>
        <v/>
      </c>
      <c r="G729" s="157">
        <f t="shared" si="82"/>
        <v>80</v>
      </c>
      <c r="H729" s="151">
        <f t="shared" si="83"/>
        <v>67780</v>
      </c>
      <c r="I729" s="158">
        <f t="shared" si="88"/>
        <v>6778</v>
      </c>
      <c r="J729" s="159">
        <f ca="1" t="shared" si="89"/>
        <v>0.0188370632931314</v>
      </c>
      <c r="K729" s="157">
        <f t="shared" si="84"/>
        <v>3853</v>
      </c>
      <c r="L729" s="160">
        <f ca="1" t="shared" si="90"/>
        <v>204543.560747335</v>
      </c>
      <c r="M729" s="157">
        <f t="shared" si="91"/>
        <v>48.1625</v>
      </c>
      <c r="U729" s="151">
        <f t="shared" si="95"/>
        <v>210</v>
      </c>
      <c r="V729" s="157">
        <f ca="1">OFFSET(养成规划!$D$5,IFERROR(MATCH(U729,养成规划!$G$6:$G$38,1)+1,1),0)</f>
        <v>560</v>
      </c>
      <c r="W729" s="152">
        <f ca="1">((V729-_xlfn.MAXIFS($V$519:V728,$V$519:V728,"&lt;"&amp;V729))*$D$475)/COUNTIF($V$520:$V$819,V729)/6</f>
        <v>54.2005420054201</v>
      </c>
      <c r="X729" s="157">
        <f t="shared" si="85"/>
        <v>8</v>
      </c>
      <c r="Y729" s="151">
        <f t="shared" si="92"/>
        <v>1271</v>
      </c>
      <c r="Z729" s="156">
        <f ca="1">(SUM($W$520:W729)-SUM($Y$520:Y729))/SUM($W$520:W729)</f>
        <v>-0.196760051629413</v>
      </c>
      <c r="AA729" s="151">
        <f t="shared" si="86"/>
        <v>800</v>
      </c>
      <c r="AB729" s="153">
        <f t="shared" si="93"/>
        <v>119000</v>
      </c>
      <c r="AC729" s="153">
        <f>SUM(Y$520:Y729)</f>
        <v>107984</v>
      </c>
      <c r="AD729" s="153">
        <f>INT(SUM(AB$520:AB729))</f>
        <v>9360400</v>
      </c>
      <c r="AE729" s="153">
        <f ca="1">INT(AC729*6/($D$475+AVERAGE(OFFSET(装备产出!$F$186,0,0,W729))))+1</f>
        <v>472</v>
      </c>
      <c r="AF729" s="154">
        <f t="shared" si="87"/>
        <v>86.6832123277523</v>
      </c>
    </row>
    <row r="730" ht="17.25" spans="4:32">
      <c r="D730" s="151">
        <f t="shared" si="94"/>
        <v>211</v>
      </c>
      <c r="E730" s="161" t="str">
        <f>IFERROR((INT(_xlfn.XLOOKUP(D730,养成规划!$G$6:$G$38,养成规划!$J$6:$J$38)/6)),"")</f>
        <v/>
      </c>
      <c r="F730" s="156" t="str">
        <f t="shared" si="96"/>
        <v/>
      </c>
      <c r="G730" s="157">
        <f t="shared" si="82"/>
        <v>80</v>
      </c>
      <c r="H730" s="151">
        <f t="shared" si="83"/>
        <v>68580</v>
      </c>
      <c r="I730" s="158">
        <f t="shared" si="88"/>
        <v>6858</v>
      </c>
      <c r="J730" s="159">
        <f ca="1" t="shared" si="89"/>
        <v>0.0186941098381981</v>
      </c>
      <c r="K730" s="157">
        <f t="shared" si="84"/>
        <v>3877</v>
      </c>
      <c r="L730" s="160">
        <f ca="1" t="shared" si="90"/>
        <v>207391.527789039</v>
      </c>
      <c r="M730" s="157">
        <f t="shared" si="91"/>
        <v>48.4625</v>
      </c>
      <c r="U730" s="151">
        <f t="shared" si="95"/>
        <v>211</v>
      </c>
      <c r="V730" s="157">
        <f ca="1">OFFSET(养成规划!$D$5,IFERROR(MATCH(U730,养成规划!$G$6:$G$38,1)+1,1),0)</f>
        <v>560</v>
      </c>
      <c r="W730" s="152">
        <f ca="1">((V730-_xlfn.MAXIFS($V$519:V729,$V$519:V729,"&lt;"&amp;V730))*$D$475)/COUNTIF($V$520:$V$819,V730)/6</f>
        <v>54.2005420054201</v>
      </c>
      <c r="X730" s="157">
        <f t="shared" si="85"/>
        <v>8</v>
      </c>
      <c r="Y730" s="151">
        <f t="shared" si="92"/>
        <v>1279</v>
      </c>
      <c r="Z730" s="156">
        <f ca="1">(SUM($W$520:W730)-SUM($Y$520:Y730))/SUM($W$520:W730)</f>
        <v>-0.21020793201856</v>
      </c>
      <c r="AA730" s="151">
        <f t="shared" si="86"/>
        <v>800</v>
      </c>
      <c r="AB730" s="153">
        <f t="shared" si="93"/>
        <v>119800</v>
      </c>
      <c r="AC730" s="153">
        <f>SUM(Y$520:Y730)</f>
        <v>109263</v>
      </c>
      <c r="AD730" s="153">
        <f>INT(SUM(AB$520:AB730))</f>
        <v>9480200</v>
      </c>
      <c r="AE730" s="153">
        <f ca="1">INT(AC730*6/($D$475+AVERAGE(OFFSET(装备产出!$F$186,0,0,W730))))+1</f>
        <v>477</v>
      </c>
      <c r="AF730" s="154">
        <f t="shared" si="87"/>
        <v>86.7649616063992</v>
      </c>
    </row>
    <row r="731" ht="17.25" spans="4:32">
      <c r="D731" s="151">
        <f t="shared" si="94"/>
        <v>212</v>
      </c>
      <c r="E731" s="161" t="str">
        <f>IFERROR((INT(_xlfn.XLOOKUP(D731,养成规划!$G$6:$G$38,养成规划!$J$6:$J$38)/6)),"")</f>
        <v/>
      </c>
      <c r="F731" s="156" t="str">
        <f t="shared" si="96"/>
        <v/>
      </c>
      <c r="G731" s="157">
        <f t="shared" si="82"/>
        <v>80</v>
      </c>
      <c r="H731" s="151">
        <f t="shared" si="83"/>
        <v>69380</v>
      </c>
      <c r="I731" s="158">
        <f t="shared" si="88"/>
        <v>6938</v>
      </c>
      <c r="J731" s="159">
        <f ca="1" t="shared" si="89"/>
        <v>0.0185533097835655</v>
      </c>
      <c r="K731" s="157">
        <f t="shared" si="84"/>
        <v>3901</v>
      </c>
      <c r="L731" s="160">
        <f ca="1" t="shared" si="90"/>
        <v>210258.980500368</v>
      </c>
      <c r="M731" s="157">
        <f t="shared" si="91"/>
        <v>48.7625</v>
      </c>
      <c r="U731" s="151">
        <f t="shared" si="95"/>
        <v>212</v>
      </c>
      <c r="V731" s="157">
        <f ca="1">OFFSET(养成规划!$D$5,IFERROR(MATCH(U731,养成规划!$G$6:$G$38,1)+1,1),0)</f>
        <v>560</v>
      </c>
      <c r="W731" s="152">
        <f ca="1">((V731-_xlfn.MAXIFS($V$519:V730,$V$519:V730,"&lt;"&amp;V731))*$D$475)/COUNTIF($V$520:$V$819,V731)/6</f>
        <v>54.2005420054201</v>
      </c>
      <c r="X731" s="157">
        <f t="shared" si="85"/>
        <v>8</v>
      </c>
      <c r="Y731" s="151">
        <f t="shared" si="92"/>
        <v>1287</v>
      </c>
      <c r="Z731" s="156">
        <f ca="1">(SUM($W$520:W731)-SUM($Y$520:Y731))/SUM($W$520:W731)</f>
        <v>-0.223728231384605</v>
      </c>
      <c r="AA731" s="151">
        <f t="shared" si="86"/>
        <v>800</v>
      </c>
      <c r="AB731" s="153">
        <f t="shared" si="93"/>
        <v>120600</v>
      </c>
      <c r="AC731" s="153">
        <f>SUM(Y$520:Y731)</f>
        <v>110550</v>
      </c>
      <c r="AD731" s="153">
        <f>INT(SUM(AB$520:AB731))</f>
        <v>9600800</v>
      </c>
      <c r="AE731" s="153">
        <f ca="1">INT(AC731*6/($D$475+AVERAGE(OFFSET(装备产出!$F$186,0,0,W731))))+1</f>
        <v>483</v>
      </c>
      <c r="AF731" s="154">
        <f t="shared" si="87"/>
        <v>86.8457711442786</v>
      </c>
    </row>
    <row r="732" ht="17.25" spans="4:32">
      <c r="D732" s="151">
        <f t="shared" si="94"/>
        <v>213</v>
      </c>
      <c r="E732" s="161" t="str">
        <f>IFERROR((INT(_xlfn.XLOOKUP(D732,养成规划!$G$6:$G$38,养成规划!$J$6:$J$38)/6)),"")</f>
        <v/>
      </c>
      <c r="F732" s="156" t="str">
        <f t="shared" si="96"/>
        <v/>
      </c>
      <c r="G732" s="157">
        <f t="shared" si="82"/>
        <v>80</v>
      </c>
      <c r="H732" s="151">
        <f t="shared" si="83"/>
        <v>70180</v>
      </c>
      <c r="I732" s="158">
        <f t="shared" si="88"/>
        <v>7018</v>
      </c>
      <c r="J732" s="159">
        <f ca="1" t="shared" si="89"/>
        <v>0.018414614835654</v>
      </c>
      <c r="K732" s="157">
        <f t="shared" si="84"/>
        <v>3925</v>
      </c>
      <c r="L732" s="160">
        <f ca="1" t="shared" si="90"/>
        <v>213145.918881806</v>
      </c>
      <c r="M732" s="157">
        <f t="shared" si="91"/>
        <v>49.0625</v>
      </c>
      <c r="U732" s="151">
        <f t="shared" si="95"/>
        <v>213</v>
      </c>
      <c r="V732" s="157">
        <f ca="1">OFFSET(养成规划!$D$5,IFERROR(MATCH(U732,养成规划!$G$6:$G$38,1)+1,1),0)</f>
        <v>560</v>
      </c>
      <c r="W732" s="152">
        <f ca="1">((V732-_xlfn.MAXIFS($V$519:V731,$V$519:V731,"&lt;"&amp;V732))*$D$475)/COUNTIF($V$520:$V$819,V732)/6</f>
        <v>54.2005420054201</v>
      </c>
      <c r="X732" s="157">
        <f t="shared" si="85"/>
        <v>8</v>
      </c>
      <c r="Y732" s="151">
        <f t="shared" si="92"/>
        <v>1295</v>
      </c>
      <c r="Z732" s="156">
        <f ca="1">(SUM($W$520:W732)-SUM($Y$520:Y732))/SUM($W$520:W732)</f>
        <v>-0.237320819457968</v>
      </c>
      <c r="AA732" s="151">
        <f t="shared" si="86"/>
        <v>800</v>
      </c>
      <c r="AB732" s="153">
        <f t="shared" si="93"/>
        <v>121400</v>
      </c>
      <c r="AC732" s="153">
        <f>SUM(Y$520:Y732)</f>
        <v>111845</v>
      </c>
      <c r="AD732" s="153">
        <f>INT(SUM(AB$520:AB732))</f>
        <v>9722200</v>
      </c>
      <c r="AE732" s="153">
        <f ca="1">INT(AC732*6/($D$475+AVERAGE(OFFSET(装备产出!$F$186,0,0,W732))))+1</f>
        <v>488</v>
      </c>
      <c r="AF732" s="154">
        <f t="shared" si="87"/>
        <v>86.9256560418436</v>
      </c>
    </row>
    <row r="733" ht="17.25" spans="4:32">
      <c r="D733" s="151">
        <f t="shared" si="94"/>
        <v>214</v>
      </c>
      <c r="E733" s="161" t="str">
        <f>IFERROR((INT(_xlfn.XLOOKUP(D733,养成规划!$G$6:$G$38,养成规划!$J$6:$J$38)/6)),"")</f>
        <v/>
      </c>
      <c r="F733" s="156" t="str">
        <f t="shared" si="96"/>
        <v/>
      </c>
      <c r="G733" s="157">
        <f t="shared" si="82"/>
        <v>80</v>
      </c>
      <c r="H733" s="151">
        <f t="shared" si="83"/>
        <v>70980</v>
      </c>
      <c r="I733" s="158">
        <f t="shared" si="88"/>
        <v>7098</v>
      </c>
      <c r="J733" s="159">
        <f ca="1" t="shared" si="89"/>
        <v>0.0182779781342617</v>
      </c>
      <c r="K733" s="157">
        <f t="shared" si="84"/>
        <v>3949</v>
      </c>
      <c r="L733" s="160">
        <f ca="1" t="shared" si="90"/>
        <v>216052.3429338</v>
      </c>
      <c r="M733" s="157">
        <f t="shared" si="91"/>
        <v>49.3625</v>
      </c>
      <c r="U733" s="151">
        <f t="shared" si="95"/>
        <v>214</v>
      </c>
      <c r="V733" s="157">
        <f ca="1">OFFSET(养成规划!$D$5,IFERROR(MATCH(U733,养成规划!$G$6:$G$38,1)+1,1),0)</f>
        <v>560</v>
      </c>
      <c r="W733" s="152">
        <f ca="1">((V733-_xlfn.MAXIFS($V$519:V732,$V$519:V732,"&lt;"&amp;V733))*$D$475)/COUNTIF($V$520:$V$819,V733)/6</f>
        <v>54.2005420054201</v>
      </c>
      <c r="X733" s="157">
        <f t="shared" si="85"/>
        <v>8</v>
      </c>
      <c r="Y733" s="151">
        <f t="shared" si="92"/>
        <v>1303</v>
      </c>
      <c r="Z733" s="156">
        <f ca="1">(SUM($W$520:W733)-SUM($Y$520:Y733))/SUM($W$520:W733)</f>
        <v>-0.250985566281324</v>
      </c>
      <c r="AA733" s="151">
        <f t="shared" si="86"/>
        <v>800</v>
      </c>
      <c r="AB733" s="153">
        <f t="shared" si="93"/>
        <v>122200</v>
      </c>
      <c r="AC733" s="153">
        <f>SUM(Y$520:Y733)</f>
        <v>113148</v>
      </c>
      <c r="AD733" s="153">
        <f>INT(SUM(AB$520:AB733))</f>
        <v>9844400</v>
      </c>
      <c r="AE733" s="153">
        <f ca="1">INT(AC733*6/($D$475+AVERAGE(OFFSET(装备产出!$F$186,0,0,W733))))+1</f>
        <v>494</v>
      </c>
      <c r="AF733" s="154">
        <f t="shared" si="87"/>
        <v>87.0046311026266</v>
      </c>
    </row>
    <row r="734" ht="17.25" spans="4:32">
      <c r="D734" s="151">
        <f t="shared" si="94"/>
        <v>215</v>
      </c>
      <c r="E734" s="161" t="str">
        <f>IFERROR((INT(_xlfn.XLOOKUP(D734,养成规划!$G$6:$G$38,养成规划!$J$6:$J$38)/6)),"")</f>
        <v/>
      </c>
      <c r="F734" s="156" t="str">
        <f t="shared" si="96"/>
        <v/>
      </c>
      <c r="G734" s="157">
        <f t="shared" si="82"/>
        <v>80</v>
      </c>
      <c r="H734" s="151">
        <f t="shared" si="83"/>
        <v>71780</v>
      </c>
      <c r="I734" s="158">
        <f t="shared" si="88"/>
        <v>7178</v>
      </c>
      <c r="J734" s="159">
        <f ca="1" t="shared" si="89"/>
        <v>0.0181433541997732</v>
      </c>
      <c r="K734" s="157">
        <f t="shared" si="84"/>
        <v>3973</v>
      </c>
      <c r="L734" s="160">
        <f ca="1" t="shared" si="90"/>
        <v>218978.252656813</v>
      </c>
      <c r="M734" s="157">
        <f t="shared" si="91"/>
        <v>49.6625</v>
      </c>
      <c r="U734" s="151">
        <f t="shared" si="95"/>
        <v>215</v>
      </c>
      <c r="V734" s="157">
        <f ca="1">OFFSET(养成规划!$D$5,IFERROR(MATCH(U734,养成规划!$G$6:$G$38,1)+1,1),0)</f>
        <v>560</v>
      </c>
      <c r="W734" s="152">
        <f ca="1">((V734-_xlfn.MAXIFS($V$519:V733,$V$519:V733,"&lt;"&amp;V734))*$D$475)/COUNTIF($V$520:$V$819,V734)/6</f>
        <v>54.2005420054201</v>
      </c>
      <c r="X734" s="157">
        <f t="shared" si="85"/>
        <v>8</v>
      </c>
      <c r="Y734" s="151">
        <f t="shared" si="92"/>
        <v>1311</v>
      </c>
      <c r="Z734" s="156">
        <f ca="1">(SUM($W$520:W734)-SUM($Y$520:Y734))/SUM($W$520:W734)</f>
        <v>-0.264722342208672</v>
      </c>
      <c r="AA734" s="151">
        <f t="shared" si="86"/>
        <v>800</v>
      </c>
      <c r="AB734" s="153">
        <f t="shared" si="93"/>
        <v>123000</v>
      </c>
      <c r="AC734" s="153">
        <f>SUM(Y$520:Y734)</f>
        <v>114459</v>
      </c>
      <c r="AD734" s="153">
        <f>INT(SUM(AB$520:AB734))</f>
        <v>9967400</v>
      </c>
      <c r="AE734" s="153">
        <f ca="1">INT(AC734*6/($D$475+AVERAGE(OFFSET(装备产出!$F$186,0,0,W734))))+1</f>
        <v>500</v>
      </c>
      <c r="AF734" s="154">
        <f t="shared" si="87"/>
        <v>87.0827108396893</v>
      </c>
    </row>
    <row r="735" ht="17.25" spans="4:32">
      <c r="D735" s="151">
        <f t="shared" si="94"/>
        <v>216</v>
      </c>
      <c r="E735" s="161" t="str">
        <f>IFERROR((INT(_xlfn.XLOOKUP(D735,养成规划!$G$6:$G$38,养成规划!$J$6:$J$38)/6)),"")</f>
        <v/>
      </c>
      <c r="F735" s="156" t="str">
        <f t="shared" si="96"/>
        <v/>
      </c>
      <c r="G735" s="157">
        <f t="shared" si="82"/>
        <v>85</v>
      </c>
      <c r="H735" s="151">
        <f t="shared" si="83"/>
        <v>72630</v>
      </c>
      <c r="I735" s="158">
        <f t="shared" si="88"/>
        <v>7263</v>
      </c>
      <c r="J735" s="159">
        <f ca="1" t="shared" si="89"/>
        <v>0.0191320071764114</v>
      </c>
      <c r="K735" s="157">
        <f t="shared" si="84"/>
        <v>3997</v>
      </c>
      <c r="L735" s="160">
        <f ca="1" t="shared" si="90"/>
        <v>208916.919335472</v>
      </c>
      <c r="M735" s="157">
        <f t="shared" si="91"/>
        <v>47.0235294117647</v>
      </c>
      <c r="U735" s="151">
        <f t="shared" si="95"/>
        <v>216</v>
      </c>
      <c r="V735" s="157">
        <f ca="1">OFFSET(养成规划!$D$5,IFERROR(MATCH(U735,养成规划!$G$6:$G$38,1)+1,1),0)</f>
        <v>560</v>
      </c>
      <c r="W735" s="152">
        <f ca="1">((V735-_xlfn.MAXIFS($V$519:V734,$V$519:V734,"&lt;"&amp;V735))*$D$475)/COUNTIF($V$520:$V$819,V735)/6</f>
        <v>54.2005420054201</v>
      </c>
      <c r="X735" s="157">
        <f t="shared" si="85"/>
        <v>8</v>
      </c>
      <c r="Y735" s="151">
        <f t="shared" si="92"/>
        <v>1319</v>
      </c>
      <c r="Z735" s="156">
        <f ca="1">(SUM($W$520:W735)-SUM($Y$520:Y735))/SUM($W$520:W735)</f>
        <v>-0.278531017904399</v>
      </c>
      <c r="AA735" s="151">
        <f t="shared" si="86"/>
        <v>800</v>
      </c>
      <c r="AB735" s="153">
        <f t="shared" si="93"/>
        <v>123800</v>
      </c>
      <c r="AC735" s="153">
        <f>SUM(Y$520:Y735)</f>
        <v>115778</v>
      </c>
      <c r="AD735" s="153">
        <f>INT(SUM(AB$520:AB735))</f>
        <v>10091200</v>
      </c>
      <c r="AE735" s="153">
        <f ca="1">INT(AC735*6/($D$475+AVERAGE(OFFSET(装备产出!$F$186,0,0,W735))))+1</f>
        <v>506</v>
      </c>
      <c r="AF735" s="154">
        <f t="shared" si="87"/>
        <v>87.1599094819396</v>
      </c>
    </row>
    <row r="736" ht="17.25" spans="4:32">
      <c r="D736" s="151">
        <f t="shared" si="94"/>
        <v>217</v>
      </c>
      <c r="E736" s="161" t="str">
        <f>IFERROR((INT(_xlfn.XLOOKUP(D736,养成规划!$G$6:$G$38,养成规划!$J$6:$J$38)/6)),"")</f>
        <v/>
      </c>
      <c r="F736" s="156" t="str">
        <f t="shared" si="96"/>
        <v/>
      </c>
      <c r="G736" s="157">
        <f t="shared" si="82"/>
        <v>85</v>
      </c>
      <c r="H736" s="151">
        <f t="shared" si="83"/>
        <v>73480</v>
      </c>
      <c r="I736" s="158">
        <f t="shared" si="88"/>
        <v>7348</v>
      </c>
      <c r="J736" s="159">
        <f ca="1" t="shared" si="89"/>
        <v>0.0189845595466269</v>
      </c>
      <c r="K736" s="157">
        <f t="shared" si="84"/>
        <v>4021</v>
      </c>
      <c r="L736" s="160">
        <f ca="1" t="shared" si="90"/>
        <v>211803.702378465</v>
      </c>
      <c r="M736" s="157">
        <f t="shared" si="91"/>
        <v>47.3058823529412</v>
      </c>
      <c r="U736" s="151">
        <f t="shared" si="95"/>
        <v>217</v>
      </c>
      <c r="V736" s="157">
        <f ca="1">OFFSET(养成规划!$D$5,IFERROR(MATCH(U736,养成规划!$G$6:$G$38,1)+1,1),0)</f>
        <v>560</v>
      </c>
      <c r="W736" s="152">
        <f ca="1">((V736-_xlfn.MAXIFS($V$519:V735,$V$519:V735,"&lt;"&amp;V736))*$D$475)/COUNTIF($V$520:$V$819,V736)/6</f>
        <v>54.2005420054201</v>
      </c>
      <c r="X736" s="157">
        <f t="shared" si="85"/>
        <v>8</v>
      </c>
      <c r="Y736" s="151">
        <f t="shared" si="92"/>
        <v>1327</v>
      </c>
      <c r="Z736" s="156">
        <f ca="1">(SUM($W$520:W736)-SUM($Y$520:Y736))/SUM($W$520:W736)</f>
        <v>-0.292411464342355</v>
      </c>
      <c r="AA736" s="151">
        <f t="shared" si="86"/>
        <v>800</v>
      </c>
      <c r="AB736" s="153">
        <f t="shared" si="93"/>
        <v>124600</v>
      </c>
      <c r="AC736" s="153">
        <f>SUM(Y$520:Y736)</f>
        <v>117105</v>
      </c>
      <c r="AD736" s="153">
        <f>INT(SUM(AB$520:AB736))</f>
        <v>10215800</v>
      </c>
      <c r="AE736" s="153">
        <f ca="1">INT(AC736*6/($D$475+AVERAGE(OFFSET(装备产出!$F$186,0,0,W736))))+1</f>
        <v>511</v>
      </c>
      <c r="AF736" s="154">
        <f t="shared" si="87"/>
        <v>87.2362409803168</v>
      </c>
    </row>
    <row r="737" ht="17.25" spans="4:32">
      <c r="D737" s="151">
        <f t="shared" si="94"/>
        <v>218</v>
      </c>
      <c r="E737" s="161" t="str">
        <f>IFERROR((INT(_xlfn.XLOOKUP(D737,养成规划!$G$6:$G$38,养成规划!$J$6:$J$38)/6)),"")</f>
        <v/>
      </c>
      <c r="F737" s="156" t="str">
        <f t="shared" si="96"/>
        <v/>
      </c>
      <c r="G737" s="157">
        <f t="shared" si="82"/>
        <v>85</v>
      </c>
      <c r="H737" s="151">
        <f t="shared" si="83"/>
        <v>74330</v>
      </c>
      <c r="I737" s="158">
        <f t="shared" si="88"/>
        <v>7433</v>
      </c>
      <c r="J737" s="159">
        <f ca="1" t="shared" si="89"/>
        <v>0.0188393672616869</v>
      </c>
      <c r="K737" s="157">
        <f t="shared" si="84"/>
        <v>4045</v>
      </c>
      <c r="L737" s="160">
        <f ca="1" t="shared" si="90"/>
        <v>214709.971084124</v>
      </c>
      <c r="M737" s="157">
        <f t="shared" si="91"/>
        <v>47.5882352941176</v>
      </c>
      <c r="U737" s="151">
        <f t="shared" si="95"/>
        <v>218</v>
      </c>
      <c r="V737" s="157">
        <f ca="1">OFFSET(养成规划!$D$5,IFERROR(MATCH(U737,养成规划!$G$6:$G$38,1)+1,1),0)</f>
        <v>560</v>
      </c>
      <c r="W737" s="152">
        <f ca="1">((V737-_xlfn.MAXIFS($V$519:V736,$V$519:V736,"&lt;"&amp;V737))*$D$475)/COUNTIF($V$520:$V$819,V737)/6</f>
        <v>54.2005420054201</v>
      </c>
      <c r="X737" s="157">
        <f t="shared" si="85"/>
        <v>8</v>
      </c>
      <c r="Y737" s="151">
        <f t="shared" si="92"/>
        <v>1335</v>
      </c>
      <c r="Z737" s="156">
        <f ca="1">(SUM($W$520:W737)-SUM($Y$520:Y737))/SUM($W$520:W737)</f>
        <v>-0.306363552804928</v>
      </c>
      <c r="AA737" s="151">
        <f t="shared" si="86"/>
        <v>800</v>
      </c>
      <c r="AB737" s="153">
        <f t="shared" si="93"/>
        <v>125400</v>
      </c>
      <c r="AC737" s="153">
        <f>SUM(Y$520:Y737)</f>
        <v>118440</v>
      </c>
      <c r="AD737" s="153">
        <f>INT(SUM(AB$520:AB737))</f>
        <v>10341200</v>
      </c>
      <c r="AE737" s="153">
        <f ca="1">INT(AC737*6/($D$475+AVERAGE(OFFSET(装备产出!$F$186,0,0,W737))))+1</f>
        <v>517</v>
      </c>
      <c r="AF737" s="154">
        <f t="shared" si="87"/>
        <v>87.3117190138467</v>
      </c>
    </row>
    <row r="738" ht="17.25" spans="4:32">
      <c r="D738" s="151">
        <f t="shared" si="94"/>
        <v>219</v>
      </c>
      <c r="E738" s="161" t="str">
        <f>IFERROR((INT(_xlfn.XLOOKUP(D738,养成规划!$G$6:$G$38,养成规划!$J$6:$J$38)/6)),"")</f>
        <v/>
      </c>
      <c r="F738" s="156" t="str">
        <f t="shared" si="96"/>
        <v/>
      </c>
      <c r="G738" s="157">
        <f t="shared" si="82"/>
        <v>85</v>
      </c>
      <c r="H738" s="151">
        <f t="shared" si="83"/>
        <v>75180</v>
      </c>
      <c r="I738" s="158">
        <f t="shared" si="88"/>
        <v>7518</v>
      </c>
      <c r="J738" s="159">
        <f ca="1" t="shared" si="89"/>
        <v>0.0186963789677851</v>
      </c>
      <c r="K738" s="157">
        <f t="shared" si="84"/>
        <v>4069</v>
      </c>
      <c r="L738" s="160">
        <f ca="1" t="shared" si="90"/>
        <v>217635.725453101</v>
      </c>
      <c r="M738" s="157">
        <f t="shared" si="91"/>
        <v>47.8705882352941</v>
      </c>
      <c r="U738" s="151">
        <f t="shared" si="95"/>
        <v>219</v>
      </c>
      <c r="V738" s="157">
        <f ca="1">OFFSET(养成规划!$D$5,IFERROR(MATCH(U738,养成规划!$G$6:$G$38,1)+1,1),0)</f>
        <v>560</v>
      </c>
      <c r="W738" s="152">
        <f ca="1">((V738-_xlfn.MAXIFS($V$519:V737,$V$519:V737,"&lt;"&amp;V738))*$D$475)/COUNTIF($V$520:$V$819,V738)/6</f>
        <v>54.2005420054201</v>
      </c>
      <c r="X738" s="157">
        <f t="shared" si="85"/>
        <v>8</v>
      </c>
      <c r="Y738" s="151">
        <f t="shared" si="92"/>
        <v>1343</v>
      </c>
      <c r="Z738" s="156">
        <f ca="1">(SUM($W$520:W738)-SUM($Y$520:Y738))/SUM($W$520:W738)</f>
        <v>-0.320387154882118</v>
      </c>
      <c r="AA738" s="151">
        <f t="shared" si="86"/>
        <v>800</v>
      </c>
      <c r="AB738" s="153">
        <f t="shared" si="93"/>
        <v>126200</v>
      </c>
      <c r="AC738" s="153">
        <f>SUM(Y$520:Y738)</f>
        <v>119783</v>
      </c>
      <c r="AD738" s="153">
        <f>INT(SUM(AB$520:AB738))</f>
        <v>10467400</v>
      </c>
      <c r="AE738" s="153">
        <f ca="1">INT(AC738*6/($D$475+AVERAGE(OFFSET(装备产出!$F$186,0,0,W738))))+1</f>
        <v>523</v>
      </c>
      <c r="AF738" s="154">
        <f t="shared" si="87"/>
        <v>87.386356995567</v>
      </c>
    </row>
    <row r="739" ht="17.25" spans="4:32">
      <c r="D739" s="151">
        <f t="shared" si="94"/>
        <v>220</v>
      </c>
      <c r="E739" s="161" t="str">
        <f>IFERROR((INT(_xlfn.XLOOKUP(D739,养成规划!$G$6:$G$38,养成规划!$J$6:$J$38)/6)),"")</f>
        <v/>
      </c>
      <c r="F739" s="156" t="str">
        <f t="shared" si="96"/>
        <v/>
      </c>
      <c r="G739" s="157">
        <f t="shared" si="82"/>
        <v>85</v>
      </c>
      <c r="H739" s="151">
        <f t="shared" si="83"/>
        <v>76030</v>
      </c>
      <c r="I739" s="158">
        <f t="shared" si="88"/>
        <v>7603</v>
      </c>
      <c r="J739" s="159">
        <f ca="1" t="shared" si="89"/>
        <v>0.0181395965676003</v>
      </c>
      <c r="K739" s="157">
        <f t="shared" si="84"/>
        <v>4093</v>
      </c>
      <c r="L739" s="160">
        <f ca="1" t="shared" si="90"/>
        <v>225638.976299541</v>
      </c>
      <c r="M739" s="157">
        <f t="shared" si="91"/>
        <v>48.1529411764706</v>
      </c>
      <c r="U739" s="151">
        <f t="shared" si="95"/>
        <v>220</v>
      </c>
      <c r="V739" s="157">
        <f ca="1">OFFSET(养成规划!$D$5,IFERROR(MATCH(U739,养成规划!$G$6:$G$38,1)+1,1),0)</f>
        <v>560</v>
      </c>
      <c r="W739" s="152">
        <f ca="1">((V739-_xlfn.MAXIFS($V$519:V738,$V$519:V738,"&lt;"&amp;V739))*$D$475)/COUNTIF($V$520:$V$819,V739)/6</f>
        <v>54.2005420054201</v>
      </c>
      <c r="X739" s="157">
        <f t="shared" si="85"/>
        <v>8</v>
      </c>
      <c r="Y739" s="151">
        <f t="shared" si="92"/>
        <v>1351</v>
      </c>
      <c r="Z739" s="156">
        <f ca="1">(SUM($W$520:W739)-SUM($Y$520:Y739))/SUM($W$520:W739)</f>
        <v>-0.334482142470625</v>
      </c>
      <c r="AA739" s="151">
        <f t="shared" si="86"/>
        <v>800</v>
      </c>
      <c r="AB739" s="153">
        <f t="shared" si="93"/>
        <v>127000</v>
      </c>
      <c r="AC739" s="153">
        <f>SUM(Y$520:Y739)</f>
        <v>121134</v>
      </c>
      <c r="AD739" s="153">
        <f>INT(SUM(AB$520:AB739))</f>
        <v>10594400</v>
      </c>
      <c r="AE739" s="153">
        <f ca="1">INT(AC739*6/($D$475+AVERAGE(OFFSET(装备产出!$F$186,0,0,W739))))+1</f>
        <v>529</v>
      </c>
      <c r="AF739" s="154">
        <f t="shared" si="87"/>
        <v>87.4601680783265</v>
      </c>
    </row>
    <row r="740" ht="17.25" spans="4:32">
      <c r="D740" s="151">
        <f t="shared" si="94"/>
        <v>221</v>
      </c>
      <c r="E740" s="161" t="str">
        <f>IFERROR((INT(_xlfn.XLOOKUP(D740,养成规划!$G$6:$G$38,养成规划!$J$6:$J$38)/6)),"")</f>
        <v/>
      </c>
      <c r="F740" s="156" t="str">
        <f t="shared" si="96"/>
        <v/>
      </c>
      <c r="G740" s="157">
        <f t="shared" si="82"/>
        <v>85</v>
      </c>
      <c r="H740" s="151">
        <f t="shared" si="83"/>
        <v>76880</v>
      </c>
      <c r="I740" s="158">
        <f t="shared" si="88"/>
        <v>7688</v>
      </c>
      <c r="J740" s="159">
        <f ca="1" t="shared" si="89"/>
        <v>0.0180069959922112</v>
      </c>
      <c r="K740" s="157">
        <f t="shared" si="84"/>
        <v>4117</v>
      </c>
      <c r="L740" s="160">
        <f ca="1" t="shared" si="90"/>
        <v>228633.360155174</v>
      </c>
      <c r="M740" s="157">
        <f t="shared" si="91"/>
        <v>48.4352941176471</v>
      </c>
      <c r="U740" s="151">
        <f t="shared" si="95"/>
        <v>221</v>
      </c>
      <c r="V740" s="157">
        <f ca="1">OFFSET(养成规划!$D$5,IFERROR(MATCH(U740,养成规划!$G$6:$G$38,1)+1,1),0)</f>
        <v>560</v>
      </c>
      <c r="W740" s="152">
        <f ca="1">((V740-_xlfn.MAXIFS($V$519:V739,$V$519:V739,"&lt;"&amp;V740))*$D$475)/COUNTIF($V$520:$V$819,V740)/6</f>
        <v>54.2005420054201</v>
      </c>
      <c r="X740" s="157">
        <f t="shared" si="85"/>
        <v>8</v>
      </c>
      <c r="Y740" s="151">
        <f t="shared" si="92"/>
        <v>1359</v>
      </c>
      <c r="Z740" s="156">
        <f ca="1">(SUM($W$520:W740)-SUM($Y$520:Y740))/SUM($W$520:W740)</f>
        <v>-0.348648387772929</v>
      </c>
      <c r="AA740" s="151">
        <f t="shared" si="86"/>
        <v>800</v>
      </c>
      <c r="AB740" s="153">
        <f t="shared" si="93"/>
        <v>127800</v>
      </c>
      <c r="AC740" s="153">
        <f>SUM(Y$520:Y740)</f>
        <v>122493</v>
      </c>
      <c r="AD740" s="153">
        <f>INT(SUM(AB$520:AB740))</f>
        <v>10722200</v>
      </c>
      <c r="AE740" s="153">
        <f ca="1">INT(AC740*6/($D$475+AVERAGE(OFFSET(装备产出!$F$186,0,0,W740))))+1</f>
        <v>535</v>
      </c>
      <c r="AF740" s="154">
        <f t="shared" si="87"/>
        <v>87.5331651604582</v>
      </c>
    </row>
    <row r="741" ht="17.25" spans="4:32">
      <c r="D741" s="151">
        <f t="shared" si="94"/>
        <v>222</v>
      </c>
      <c r="E741" s="161" t="str">
        <f>IFERROR((INT(_xlfn.XLOOKUP(D741,养成规划!$G$6:$G$38,养成规划!$J$6:$J$38)/6)),"")</f>
        <v/>
      </c>
      <c r="F741" s="156" t="str">
        <f t="shared" si="96"/>
        <v/>
      </c>
      <c r="G741" s="157">
        <f t="shared" si="82"/>
        <v>85</v>
      </c>
      <c r="H741" s="151">
        <f t="shared" si="83"/>
        <v>77730</v>
      </c>
      <c r="I741" s="158">
        <f t="shared" si="88"/>
        <v>7773</v>
      </c>
      <c r="J741" s="159">
        <f ca="1" t="shared" si="89"/>
        <v>0.0178763199789991</v>
      </c>
      <c r="K741" s="157">
        <f t="shared" si="84"/>
        <v>4141</v>
      </c>
      <c r="L741" s="160">
        <f ca="1" t="shared" si="90"/>
        <v>231647.229679531</v>
      </c>
      <c r="M741" s="157">
        <f t="shared" si="91"/>
        <v>48.7176470588235</v>
      </c>
      <c r="U741" s="151">
        <f t="shared" si="95"/>
        <v>222</v>
      </c>
      <c r="V741" s="157">
        <f ca="1">OFFSET(养成规划!$D$5,IFERROR(MATCH(U741,养成规划!$G$6:$G$38,1)+1,1),0)</f>
        <v>560</v>
      </c>
      <c r="W741" s="152">
        <f ca="1">((V741-_xlfn.MAXIFS($V$519:V740,$V$519:V740,"&lt;"&amp;V741))*$D$475)/COUNTIF($V$520:$V$819,V741)/6</f>
        <v>54.2005420054201</v>
      </c>
      <c r="X741" s="157">
        <f t="shared" si="85"/>
        <v>8</v>
      </c>
      <c r="Y741" s="151">
        <f t="shared" si="92"/>
        <v>1367</v>
      </c>
      <c r="Z741" s="156">
        <f ca="1">(SUM($W$520:W741)-SUM($Y$520:Y741))/SUM($W$520:W741)</f>
        <v>-0.362885763296381</v>
      </c>
      <c r="AA741" s="151">
        <f t="shared" si="86"/>
        <v>800</v>
      </c>
      <c r="AB741" s="153">
        <f t="shared" si="93"/>
        <v>128600</v>
      </c>
      <c r="AC741" s="153">
        <f>SUM(Y$520:Y741)</f>
        <v>123860</v>
      </c>
      <c r="AD741" s="153">
        <f>INT(SUM(AB$520:AB741))</f>
        <v>10850800</v>
      </c>
      <c r="AE741" s="153">
        <f ca="1">INT(AC741*6/($D$475+AVERAGE(OFFSET(装备产出!$F$186,0,0,W741))))+1</f>
        <v>541</v>
      </c>
      <c r="AF741" s="154">
        <f t="shared" si="87"/>
        <v>87.6053608913289</v>
      </c>
    </row>
    <row r="742" ht="17.25" spans="4:32">
      <c r="D742" s="151">
        <f t="shared" si="94"/>
        <v>223</v>
      </c>
      <c r="E742" s="161" t="str">
        <f>IFERROR((INT(_xlfn.XLOOKUP(D742,养成规划!$G$6:$G$38,养成规划!$J$6:$J$38)/6)),"")</f>
        <v/>
      </c>
      <c r="F742" s="156" t="str">
        <f t="shared" si="96"/>
        <v/>
      </c>
      <c r="G742" s="157">
        <f t="shared" si="82"/>
        <v>85</v>
      </c>
      <c r="H742" s="151">
        <f t="shared" si="83"/>
        <v>78580</v>
      </c>
      <c r="I742" s="158">
        <f t="shared" si="88"/>
        <v>7858</v>
      </c>
      <c r="J742" s="159">
        <f ca="1" t="shared" si="89"/>
        <v>0.0177475269300712</v>
      </c>
      <c r="K742" s="157">
        <f t="shared" si="84"/>
        <v>4165</v>
      </c>
      <c r="L742" s="160">
        <f ca="1" t="shared" si="90"/>
        <v>234680.584873088</v>
      </c>
      <c r="M742" s="157">
        <f t="shared" si="91"/>
        <v>49</v>
      </c>
      <c r="U742" s="151">
        <f t="shared" si="95"/>
        <v>223</v>
      </c>
      <c r="V742" s="157">
        <f ca="1">OFFSET(养成规划!$D$5,IFERROR(MATCH(U742,养成规划!$G$6:$G$38,1)+1,1),0)</f>
        <v>560</v>
      </c>
      <c r="W742" s="152">
        <f ca="1">((V742-_xlfn.MAXIFS($V$519:V741,$V$519:V741,"&lt;"&amp;V742))*$D$475)/COUNTIF($V$520:$V$819,V742)/6</f>
        <v>54.2005420054201</v>
      </c>
      <c r="X742" s="157">
        <f t="shared" si="85"/>
        <v>8</v>
      </c>
      <c r="Y742" s="151">
        <f t="shared" si="92"/>
        <v>1375</v>
      </c>
      <c r="Z742" s="156">
        <f ca="1">(SUM($W$520:W742)-SUM($Y$520:Y742))/SUM($W$520:W742)</f>
        <v>-0.37719414185229</v>
      </c>
      <c r="AA742" s="151">
        <f t="shared" si="86"/>
        <v>800</v>
      </c>
      <c r="AB742" s="153">
        <f t="shared" si="93"/>
        <v>129400</v>
      </c>
      <c r="AC742" s="153">
        <f>SUM(Y$520:Y742)</f>
        <v>125235</v>
      </c>
      <c r="AD742" s="153">
        <f>INT(SUM(AB$520:AB742))</f>
        <v>10980200</v>
      </c>
      <c r="AE742" s="153">
        <f ca="1">INT(AC742*6/($D$475+AVERAGE(OFFSET(装备产出!$F$186,0,0,W742))))+1</f>
        <v>547</v>
      </c>
      <c r="AF742" s="154">
        <f t="shared" si="87"/>
        <v>87.6767676767677</v>
      </c>
    </row>
    <row r="743" ht="17.25" spans="4:32">
      <c r="D743" s="151">
        <f t="shared" si="94"/>
        <v>224</v>
      </c>
      <c r="E743" s="161" t="str">
        <f>IFERROR((INT(_xlfn.XLOOKUP(D743,养成规划!$G$6:$G$38,养成规划!$J$6:$J$38)/6)),"")</f>
        <v/>
      </c>
      <c r="F743" s="156" t="str">
        <f t="shared" si="96"/>
        <v/>
      </c>
      <c r="G743" s="157">
        <f t="shared" si="82"/>
        <v>85</v>
      </c>
      <c r="H743" s="151">
        <f t="shared" si="83"/>
        <v>79430</v>
      </c>
      <c r="I743" s="158">
        <f t="shared" si="88"/>
        <v>7943</v>
      </c>
      <c r="J743" s="159">
        <f ca="1" t="shared" si="89"/>
        <v>0.0176205764377719</v>
      </c>
      <c r="K743" s="157">
        <f t="shared" si="84"/>
        <v>4189</v>
      </c>
      <c r="L743" s="160">
        <f ca="1" t="shared" si="90"/>
        <v>237733.42573631</v>
      </c>
      <c r="M743" s="157">
        <f t="shared" si="91"/>
        <v>49.2823529411765</v>
      </c>
      <c r="U743" s="151">
        <f t="shared" si="95"/>
        <v>224</v>
      </c>
      <c r="V743" s="157">
        <f ca="1">OFFSET(养成规划!$D$5,IFERROR(MATCH(U743,养成规划!$G$6:$G$38,1)+1,1),0)</f>
        <v>560</v>
      </c>
      <c r="W743" s="152">
        <f ca="1">((V743-_xlfn.MAXIFS($V$519:V742,$V$519:V742,"&lt;"&amp;V743))*$D$475)/COUNTIF($V$520:$V$819,V743)/6</f>
        <v>54.2005420054201</v>
      </c>
      <c r="X743" s="157">
        <f t="shared" si="85"/>
        <v>8</v>
      </c>
      <c r="Y743" s="151">
        <f t="shared" si="92"/>
        <v>1383</v>
      </c>
      <c r="Z743" s="156">
        <f ca="1">(SUM($W$520:W743)-SUM($Y$520:Y743))/SUM($W$520:W743)</f>
        <v>-0.391573396555025</v>
      </c>
      <c r="AA743" s="151">
        <f t="shared" si="86"/>
        <v>800</v>
      </c>
      <c r="AB743" s="153">
        <f t="shared" si="93"/>
        <v>130200</v>
      </c>
      <c r="AC743" s="153">
        <f>SUM(Y$520:Y743)</f>
        <v>126618</v>
      </c>
      <c r="AD743" s="153">
        <f>INT(SUM(AB$520:AB743))</f>
        <v>11110400</v>
      </c>
      <c r="AE743" s="153">
        <f ca="1">INT(AC743*6/($D$475+AVERAGE(OFFSET(装备产出!$F$186,0,0,W743))))+1</f>
        <v>553</v>
      </c>
      <c r="AF743" s="154">
        <f t="shared" si="87"/>
        <v>87.7473976843735</v>
      </c>
    </row>
    <row r="744" ht="17.25" spans="4:32">
      <c r="D744" s="151">
        <f t="shared" si="94"/>
        <v>225</v>
      </c>
      <c r="E744" s="161" t="str">
        <f>IFERROR((INT(_xlfn.XLOOKUP(D744,养成规划!$G$6:$G$38,养成规划!$J$6:$J$38)/6)),"")</f>
        <v/>
      </c>
      <c r="F744" s="156" t="str">
        <f t="shared" si="96"/>
        <v/>
      </c>
      <c r="G744" s="157">
        <f t="shared" si="82"/>
        <v>85</v>
      </c>
      <c r="H744" s="151">
        <f t="shared" si="83"/>
        <v>80280</v>
      </c>
      <c r="I744" s="158">
        <f t="shared" si="88"/>
        <v>8028</v>
      </c>
      <c r="J744" s="159">
        <f ca="1" t="shared" si="89"/>
        <v>0.0174954292424156</v>
      </c>
      <c r="K744" s="157">
        <f t="shared" si="84"/>
        <v>4213</v>
      </c>
      <c r="L744" s="160">
        <f ca="1" t="shared" si="90"/>
        <v>240805.752269631</v>
      </c>
      <c r="M744" s="157">
        <f t="shared" si="91"/>
        <v>49.5647058823529</v>
      </c>
      <c r="U744" s="151">
        <f t="shared" si="95"/>
        <v>225</v>
      </c>
      <c r="V744" s="157">
        <f ca="1">OFFSET(养成规划!$D$5,IFERROR(MATCH(U744,养成规划!$G$6:$G$38,1)+1,1),0)</f>
        <v>560</v>
      </c>
      <c r="W744" s="152">
        <f ca="1">((V744-_xlfn.MAXIFS($V$519:V743,$V$519:V743,"&lt;"&amp;V744))*$D$475)/COUNTIF($V$520:$V$819,V744)/6</f>
        <v>54.2005420054201</v>
      </c>
      <c r="X744" s="157">
        <f t="shared" si="85"/>
        <v>8</v>
      </c>
      <c r="Y744" s="151">
        <f t="shared" si="92"/>
        <v>1391</v>
      </c>
      <c r="Z744" s="156">
        <f ca="1">(SUM($W$520:W744)-SUM($Y$520:Y744))/SUM($W$520:W744)</f>
        <v>-0.406023400821106</v>
      </c>
      <c r="AA744" s="151">
        <f t="shared" si="86"/>
        <v>800</v>
      </c>
      <c r="AB744" s="153">
        <f t="shared" si="93"/>
        <v>131000</v>
      </c>
      <c r="AC744" s="153">
        <f>SUM(Y$520:Y744)</f>
        <v>128009</v>
      </c>
      <c r="AD744" s="153">
        <f>INT(SUM(AB$520:AB744))</f>
        <v>11241400</v>
      </c>
      <c r="AE744" s="153">
        <f ca="1">INT(AC744*6/($D$475+AVERAGE(OFFSET(装备产出!$F$186,0,0,W744))))+1</f>
        <v>559</v>
      </c>
      <c r="AF744" s="154">
        <f t="shared" si="87"/>
        <v>87.817262848706</v>
      </c>
    </row>
    <row r="745" ht="17.25" spans="4:32">
      <c r="D745" s="151">
        <f t="shared" si="94"/>
        <v>226</v>
      </c>
      <c r="E745" s="161" t="str">
        <f>IFERROR((INT(_xlfn.XLOOKUP(D745,养成规划!$G$6:$G$38,养成规划!$J$6:$J$38)/6)),"")</f>
        <v/>
      </c>
      <c r="F745" s="156" t="str">
        <f t="shared" si="96"/>
        <v/>
      </c>
      <c r="G745" s="157">
        <f t="shared" si="82"/>
        <v>90</v>
      </c>
      <c r="H745" s="151">
        <f t="shared" si="83"/>
        <v>81180</v>
      </c>
      <c r="I745" s="158">
        <f t="shared" si="88"/>
        <v>8118</v>
      </c>
      <c r="J745" s="159">
        <f ca="1" t="shared" si="89"/>
        <v>0.0183901270883099</v>
      </c>
      <c r="K745" s="157">
        <f t="shared" si="84"/>
        <v>4237</v>
      </c>
      <c r="L745" s="160">
        <f ca="1" t="shared" si="90"/>
        <v>230395.362666816</v>
      </c>
      <c r="M745" s="157">
        <f t="shared" si="91"/>
        <v>47.0777777777778</v>
      </c>
      <c r="U745" s="151">
        <f t="shared" si="95"/>
        <v>226</v>
      </c>
      <c r="V745" s="157">
        <f ca="1">OFFSET(养成规划!$D$5,IFERROR(MATCH(U745,养成规划!$G$6:$G$38,1)+1,1),0)</f>
        <v>560</v>
      </c>
      <c r="W745" s="152">
        <f ca="1">((V745-_xlfn.MAXIFS($V$519:V744,$V$519:V744,"&lt;"&amp;V745))*$D$475)/COUNTIF($V$520:$V$819,V745)/6</f>
        <v>54.2005420054201</v>
      </c>
      <c r="X745" s="157">
        <f t="shared" si="85"/>
        <v>8</v>
      </c>
      <c r="Y745" s="151">
        <f t="shared" si="92"/>
        <v>1399</v>
      </c>
      <c r="Z745" s="156">
        <f ca="1">(SUM($W$520:W745)-SUM($Y$520:Y745))/SUM($W$520:W745)</f>
        <v>-0.42054402836831</v>
      </c>
      <c r="AA745" s="151">
        <f t="shared" si="86"/>
        <v>800</v>
      </c>
      <c r="AB745" s="153">
        <f t="shared" si="93"/>
        <v>131800</v>
      </c>
      <c r="AC745" s="153">
        <f>SUM(Y$520:Y745)</f>
        <v>129408</v>
      </c>
      <c r="AD745" s="153">
        <f>INT(SUM(AB$520:AB745))</f>
        <v>11373200</v>
      </c>
      <c r="AE745" s="153">
        <f ca="1">INT(AC745*6/($D$475+AVERAGE(OFFSET(装备产出!$F$186,0,0,W745))))+1</f>
        <v>565</v>
      </c>
      <c r="AF745" s="154">
        <f t="shared" si="87"/>
        <v>87.88637487636</v>
      </c>
    </row>
    <row r="746" ht="17.25" spans="4:32">
      <c r="D746" s="151">
        <f t="shared" si="94"/>
        <v>227</v>
      </c>
      <c r="E746" s="161" t="str">
        <f>IFERROR((INT(_xlfn.XLOOKUP(D746,养成规划!$G$6:$G$38,养成规划!$J$6:$J$38)/6)),"")</f>
        <v/>
      </c>
      <c r="F746" s="156" t="str">
        <f t="shared" si="96"/>
        <v/>
      </c>
      <c r="G746" s="157">
        <f t="shared" si="82"/>
        <v>90</v>
      </c>
      <c r="H746" s="151">
        <f t="shared" si="83"/>
        <v>82080</v>
      </c>
      <c r="I746" s="158">
        <f t="shared" si="88"/>
        <v>8208</v>
      </c>
      <c r="J746" s="159">
        <f ca="1" t="shared" si="89"/>
        <v>0.0182538522011672</v>
      </c>
      <c r="K746" s="157">
        <f t="shared" si="84"/>
        <v>4261</v>
      </c>
      <c r="L746" s="160">
        <f ca="1" t="shared" si="90"/>
        <v>233430.179725436</v>
      </c>
      <c r="M746" s="157">
        <f t="shared" si="91"/>
        <v>47.3444444444444</v>
      </c>
      <c r="U746" s="151">
        <f t="shared" si="95"/>
        <v>227</v>
      </c>
      <c r="V746" s="157">
        <f ca="1">OFFSET(养成规划!$D$5,IFERROR(MATCH(U746,养成规划!$G$6:$G$38,1)+1,1),0)</f>
        <v>560</v>
      </c>
      <c r="W746" s="152">
        <f ca="1">((V746-_xlfn.MAXIFS($V$519:V745,$V$519:V745,"&lt;"&amp;V746))*$D$475)/COUNTIF($V$520:$V$819,V746)/6</f>
        <v>54.2005420054201</v>
      </c>
      <c r="X746" s="157">
        <f t="shared" si="85"/>
        <v>8</v>
      </c>
      <c r="Y746" s="151">
        <f t="shared" si="92"/>
        <v>1407</v>
      </c>
      <c r="Z746" s="156">
        <f ca="1">(SUM($W$520:W746)-SUM($Y$520:Y746))/SUM($W$520:W746)</f>
        <v>-0.435135153214772</v>
      </c>
      <c r="AA746" s="151">
        <f t="shared" si="86"/>
        <v>800</v>
      </c>
      <c r="AB746" s="153">
        <f t="shared" si="93"/>
        <v>132600</v>
      </c>
      <c r="AC746" s="153">
        <f>SUM(Y$520:Y746)</f>
        <v>130815</v>
      </c>
      <c r="AD746" s="153">
        <f>INT(SUM(AB$520:AB746))</f>
        <v>11505800</v>
      </c>
      <c r="AE746" s="153">
        <f ca="1">INT(AC746*6/($D$475+AVERAGE(OFFSET(装备产出!$F$186,0,0,W746))))+1</f>
        <v>571</v>
      </c>
      <c r="AF746" s="154">
        <f t="shared" si="87"/>
        <v>87.9547452509269</v>
      </c>
    </row>
    <row r="747" ht="17.25" spans="4:32">
      <c r="D747" s="151">
        <f t="shared" si="94"/>
        <v>228</v>
      </c>
      <c r="E747" s="161" t="str">
        <f>IFERROR((INT(_xlfn.XLOOKUP(D747,养成规划!$G$6:$G$38,养成规划!$J$6:$J$38)/6)),"")</f>
        <v/>
      </c>
      <c r="F747" s="156" t="str">
        <f t="shared" si="96"/>
        <v/>
      </c>
      <c r="G747" s="157">
        <f t="shared" si="82"/>
        <v>90</v>
      </c>
      <c r="H747" s="151">
        <f t="shared" si="83"/>
        <v>82980</v>
      </c>
      <c r="I747" s="158">
        <f t="shared" si="88"/>
        <v>8298</v>
      </c>
      <c r="J747" s="159">
        <f ca="1" t="shared" si="89"/>
        <v>0.0181195821208534</v>
      </c>
      <c r="K747" s="157">
        <f t="shared" si="84"/>
        <v>4285</v>
      </c>
      <c r="L747" s="160">
        <f ca="1" t="shared" si="90"/>
        <v>236484.482446672</v>
      </c>
      <c r="M747" s="157">
        <f t="shared" si="91"/>
        <v>47.6111111111111</v>
      </c>
      <c r="U747" s="151">
        <f t="shared" si="95"/>
        <v>228</v>
      </c>
      <c r="V747" s="157">
        <f ca="1">OFFSET(养成规划!$D$5,IFERROR(MATCH(U747,养成规划!$G$6:$G$38,1)+1,1),0)</f>
        <v>560</v>
      </c>
      <c r="W747" s="152">
        <f ca="1">((V747-_xlfn.MAXIFS($V$519:V746,$V$519:V746,"&lt;"&amp;V747))*$D$475)/COUNTIF($V$520:$V$819,V747)/6</f>
        <v>54.2005420054201</v>
      </c>
      <c r="X747" s="157">
        <f t="shared" si="85"/>
        <v>8</v>
      </c>
      <c r="Y747" s="151">
        <f t="shared" si="92"/>
        <v>1415</v>
      </c>
      <c r="Z747" s="156">
        <f ca="1">(SUM($W$520:W747)-SUM($Y$520:Y747))/SUM($W$520:W747)</f>
        <v>-0.449796649678095</v>
      </c>
      <c r="AA747" s="151">
        <f t="shared" si="86"/>
        <v>800</v>
      </c>
      <c r="AB747" s="153">
        <f t="shared" si="93"/>
        <v>133400</v>
      </c>
      <c r="AC747" s="153">
        <f>SUM(Y$520:Y747)</f>
        <v>132230</v>
      </c>
      <c r="AD747" s="153">
        <f>INT(SUM(AB$520:AB747))</f>
        <v>11639200</v>
      </c>
      <c r="AE747" s="153">
        <f ca="1">INT(AC747*6/($D$475+AVERAGE(OFFSET(装备产出!$F$186,0,0,W747))))+1</f>
        <v>577</v>
      </c>
      <c r="AF747" s="154">
        <f t="shared" si="87"/>
        <v>88.0223852378432</v>
      </c>
    </row>
    <row r="748" ht="17.25" spans="4:32">
      <c r="D748" s="151">
        <f t="shared" si="94"/>
        <v>229</v>
      </c>
      <c r="E748" s="161" t="str">
        <f>IFERROR((INT(_xlfn.XLOOKUP(D748,养成规划!$G$6:$G$38,养成规划!$J$6:$J$38)/6)),"")</f>
        <v/>
      </c>
      <c r="F748" s="156" t="str">
        <f t="shared" si="96"/>
        <v/>
      </c>
      <c r="G748" s="157">
        <f t="shared" si="82"/>
        <v>90</v>
      </c>
      <c r="H748" s="151">
        <f t="shared" si="83"/>
        <v>83880</v>
      </c>
      <c r="I748" s="158">
        <f t="shared" si="88"/>
        <v>8388</v>
      </c>
      <c r="J748" s="159">
        <f ca="1" t="shared" si="89"/>
        <v>0.0179872729296717</v>
      </c>
      <c r="K748" s="157">
        <f t="shared" si="84"/>
        <v>4309</v>
      </c>
      <c r="L748" s="160">
        <f ca="1" t="shared" si="90"/>
        <v>239558.270831144</v>
      </c>
      <c r="M748" s="157">
        <f t="shared" si="91"/>
        <v>47.8777777777778</v>
      </c>
      <c r="U748" s="151">
        <f t="shared" si="95"/>
        <v>229</v>
      </c>
      <c r="V748" s="157">
        <f ca="1">OFFSET(养成规划!$D$5,IFERROR(MATCH(U748,养成规划!$G$6:$G$38,1)+1,1),0)</f>
        <v>560</v>
      </c>
      <c r="W748" s="152">
        <f ca="1">((V748-_xlfn.MAXIFS($V$519:V747,$V$519:V747,"&lt;"&amp;V748))*$D$475)/COUNTIF($V$520:$V$819,V748)/6</f>
        <v>54.2005420054201</v>
      </c>
      <c r="X748" s="157">
        <f t="shared" si="85"/>
        <v>8</v>
      </c>
      <c r="Y748" s="151">
        <f t="shared" si="92"/>
        <v>1423</v>
      </c>
      <c r="Z748" s="156">
        <f ca="1">(SUM($W$520:W748)-SUM($Y$520:Y748))/SUM($W$520:W748)</f>
        <v>-0.464528392374457</v>
      </c>
      <c r="AA748" s="151">
        <f t="shared" si="86"/>
        <v>800</v>
      </c>
      <c r="AB748" s="153">
        <f t="shared" si="93"/>
        <v>134200</v>
      </c>
      <c r="AC748" s="153">
        <f>SUM(Y$520:Y748)</f>
        <v>133653</v>
      </c>
      <c r="AD748" s="153">
        <f>INT(SUM(AB$520:AB748))</f>
        <v>11773400</v>
      </c>
      <c r="AE748" s="153">
        <f ca="1">INT(AC748*6/($D$475+AVERAGE(OFFSET(装备产出!$F$186,0,0,W748))))+1</f>
        <v>583</v>
      </c>
      <c r="AF748" s="154">
        <f t="shared" si="87"/>
        <v>88.0893058891308</v>
      </c>
    </row>
    <row r="749" ht="17.25" spans="4:32">
      <c r="D749" s="151">
        <f t="shared" si="94"/>
        <v>230</v>
      </c>
      <c r="E749" s="161" t="str">
        <f>IFERROR((INT(_xlfn.XLOOKUP(D749,养成规划!$G$6:$G$38,养成规划!$J$6:$J$38)/6)),"")</f>
        <v/>
      </c>
      <c r="F749" s="156" t="str">
        <f t="shared" si="96"/>
        <v/>
      </c>
      <c r="G749" s="157">
        <f t="shared" si="82"/>
        <v>90</v>
      </c>
      <c r="H749" s="151">
        <f t="shared" si="83"/>
        <v>84780</v>
      </c>
      <c r="I749" s="158">
        <f t="shared" si="88"/>
        <v>8478</v>
      </c>
      <c r="J749" s="159">
        <f ca="1" t="shared" si="89"/>
        <v>0.0174390052197347</v>
      </c>
      <c r="K749" s="157">
        <f t="shared" si="84"/>
        <v>4333</v>
      </c>
      <c r="L749" s="160">
        <f ca="1" t="shared" si="90"/>
        <v>248466.00740142</v>
      </c>
      <c r="M749" s="157">
        <f t="shared" si="91"/>
        <v>48.1444444444444</v>
      </c>
      <c r="U749" s="151">
        <f t="shared" si="95"/>
        <v>230</v>
      </c>
      <c r="V749" s="157">
        <f ca="1">OFFSET(养成规划!$D$5,IFERROR(MATCH(U749,养成规划!$G$6:$G$38,1)+1,1),0)</f>
        <v>560</v>
      </c>
      <c r="W749" s="152">
        <f ca="1">((V749-_xlfn.MAXIFS($V$519:V748,$V$519:V748,"&lt;"&amp;V749))*$D$475)/COUNTIF($V$520:$V$819,V749)/6</f>
        <v>54.2005420054201</v>
      </c>
      <c r="X749" s="157">
        <f t="shared" si="85"/>
        <v>8</v>
      </c>
      <c r="Y749" s="151">
        <f t="shared" si="92"/>
        <v>1431</v>
      </c>
      <c r="Z749" s="156">
        <f ca="1">(SUM($W$520:W749)-SUM($Y$520:Y749))/SUM($W$520:W749)</f>
        <v>-0.479330256217731</v>
      </c>
      <c r="AA749" s="151">
        <f t="shared" si="86"/>
        <v>800</v>
      </c>
      <c r="AB749" s="153">
        <f t="shared" si="93"/>
        <v>135000</v>
      </c>
      <c r="AC749" s="153">
        <f>SUM(Y$520:Y749)</f>
        <v>135084</v>
      </c>
      <c r="AD749" s="153">
        <f>INT(SUM(AB$520:AB749))</f>
        <v>11908400</v>
      </c>
      <c r="AE749" s="153">
        <f ca="1">INT(AC749*6/($D$475+AVERAGE(OFFSET(装备产出!$F$186,0,0,W749))))+1</f>
        <v>590</v>
      </c>
      <c r="AF749" s="154">
        <f t="shared" si="87"/>
        <v>88.1555180480294</v>
      </c>
    </row>
    <row r="750" ht="17.25" spans="4:32">
      <c r="D750" s="151">
        <f t="shared" si="94"/>
        <v>231</v>
      </c>
      <c r="E750" s="161" t="str">
        <f>IFERROR((INT(_xlfn.XLOOKUP(D750,养成规划!$G$6:$G$38,养成规划!$J$6:$J$38)/6)),"")</f>
        <v/>
      </c>
      <c r="F750" s="156" t="str">
        <f t="shared" si="96"/>
        <v/>
      </c>
      <c r="G750" s="157">
        <f t="shared" si="82"/>
        <v>90</v>
      </c>
      <c r="H750" s="151">
        <f t="shared" si="83"/>
        <v>85680</v>
      </c>
      <c r="I750" s="158">
        <f t="shared" si="88"/>
        <v>8568</v>
      </c>
      <c r="J750" s="159">
        <f ca="1" t="shared" si="89"/>
        <v>0.0173164149329285</v>
      </c>
      <c r="K750" s="157">
        <f t="shared" si="84"/>
        <v>4357</v>
      </c>
      <c r="L750" s="160">
        <f ca="1" t="shared" si="90"/>
        <v>251610.97241409</v>
      </c>
      <c r="M750" s="157">
        <f t="shared" si="91"/>
        <v>48.4111111111111</v>
      </c>
      <c r="U750" s="151">
        <f t="shared" si="95"/>
        <v>231</v>
      </c>
      <c r="V750" s="157">
        <f ca="1">OFFSET(养成规划!$D$5,IFERROR(MATCH(U750,养成规划!$G$6:$G$38,1)+1,1),0)</f>
        <v>560</v>
      </c>
      <c r="W750" s="152">
        <f ca="1">((V750-_xlfn.MAXIFS($V$519:V749,$V$519:V749,"&lt;"&amp;V750))*$D$475)/COUNTIF($V$520:$V$819,V750)/6</f>
        <v>54.2005420054201</v>
      </c>
      <c r="X750" s="157">
        <f t="shared" si="85"/>
        <v>8</v>
      </c>
      <c r="Y750" s="151">
        <f t="shared" si="92"/>
        <v>1439</v>
      </c>
      <c r="Z750" s="156">
        <f ca="1">(SUM($W$520:W750)-SUM($Y$520:Y750))/SUM($W$520:W750)</f>
        <v>-0.494202116418596</v>
      </c>
      <c r="AA750" s="151">
        <f t="shared" si="86"/>
        <v>800</v>
      </c>
      <c r="AB750" s="153">
        <f t="shared" si="93"/>
        <v>135800</v>
      </c>
      <c r="AC750" s="153">
        <f>SUM(Y$520:Y750)</f>
        <v>136523</v>
      </c>
      <c r="AD750" s="153">
        <f>INT(SUM(AB$520:AB750))</f>
        <v>12044200</v>
      </c>
      <c r="AE750" s="153">
        <f ca="1">INT(AC750*6/($D$475+AVERAGE(OFFSET(装备产出!$F$186,0,0,W750))))+1</f>
        <v>596</v>
      </c>
      <c r="AF750" s="154">
        <f t="shared" si="87"/>
        <v>88.2210323535228</v>
      </c>
    </row>
    <row r="751" ht="17.25" spans="4:32">
      <c r="D751" s="151">
        <f t="shared" si="94"/>
        <v>232</v>
      </c>
      <c r="E751" s="161" t="str">
        <f>IFERROR((INT(_xlfn.XLOOKUP(D751,养成规划!$G$6:$G$38,养成规划!$J$6:$J$38)/6)),"")</f>
        <v/>
      </c>
      <c r="F751" s="156" t="str">
        <f t="shared" si="96"/>
        <v/>
      </c>
      <c r="G751" s="157">
        <f t="shared" si="82"/>
        <v>90</v>
      </c>
      <c r="H751" s="151">
        <f t="shared" si="83"/>
        <v>86580</v>
      </c>
      <c r="I751" s="158">
        <f t="shared" si="88"/>
        <v>8658</v>
      </c>
      <c r="J751" s="159">
        <f ca="1" t="shared" si="89"/>
        <v>0.0171955361579767</v>
      </c>
      <c r="K751" s="157">
        <f t="shared" si="84"/>
        <v>4381</v>
      </c>
      <c r="L751" s="160">
        <f ca="1" t="shared" si="90"/>
        <v>254775.423095356</v>
      </c>
      <c r="M751" s="157">
        <f t="shared" si="91"/>
        <v>48.6777777777778</v>
      </c>
      <c r="U751" s="151">
        <f t="shared" si="95"/>
        <v>232</v>
      </c>
      <c r="V751" s="157">
        <f ca="1">OFFSET(养成规划!$D$5,IFERROR(MATCH(U751,养成规划!$G$6:$G$38,1)+1,1),0)</f>
        <v>560</v>
      </c>
      <c r="W751" s="152">
        <f ca="1">((V751-_xlfn.MAXIFS($V$519:V750,$V$519:V750,"&lt;"&amp;V751))*$D$475)/COUNTIF($V$520:$V$819,V751)/6</f>
        <v>54.2005420054201</v>
      </c>
      <c r="X751" s="157">
        <f t="shared" si="85"/>
        <v>8</v>
      </c>
      <c r="Y751" s="151">
        <f t="shared" si="92"/>
        <v>1447</v>
      </c>
      <c r="Z751" s="156">
        <f ca="1">(SUM($W$520:W751)-SUM($Y$520:Y751))/SUM($W$520:W751)</f>
        <v>-0.50914384848366</v>
      </c>
      <c r="AA751" s="151">
        <f t="shared" si="86"/>
        <v>800</v>
      </c>
      <c r="AB751" s="153">
        <f t="shared" si="93"/>
        <v>136600</v>
      </c>
      <c r="AC751" s="153">
        <f>SUM(Y$520:Y751)</f>
        <v>137970</v>
      </c>
      <c r="AD751" s="153">
        <f>INT(SUM(AB$520:AB751))</f>
        <v>12180800</v>
      </c>
      <c r="AE751" s="153">
        <f ca="1">INT(AC751*6/($D$475+AVERAGE(OFFSET(装备产出!$F$186,0,0,W751))))+1</f>
        <v>602</v>
      </c>
      <c r="AF751" s="154">
        <f t="shared" si="87"/>
        <v>88.2858592447634</v>
      </c>
    </row>
    <row r="752" ht="17.25" spans="4:32">
      <c r="D752" s="151">
        <f t="shared" si="94"/>
        <v>233</v>
      </c>
      <c r="E752" s="161" t="str">
        <f>IFERROR((INT(_xlfn.XLOOKUP(D752,养成规划!$G$6:$G$38,养成规划!$J$6:$J$38)/6)),"")</f>
        <v/>
      </c>
      <c r="F752" s="156" t="str">
        <f t="shared" si="96"/>
        <v/>
      </c>
      <c r="G752" s="157">
        <f t="shared" si="82"/>
        <v>90</v>
      </c>
      <c r="H752" s="151">
        <f t="shared" si="83"/>
        <v>87480</v>
      </c>
      <c r="I752" s="158">
        <f t="shared" si="88"/>
        <v>8748</v>
      </c>
      <c r="J752" s="159">
        <f ca="1" t="shared" si="89"/>
        <v>0.0170763333009727</v>
      </c>
      <c r="K752" s="157">
        <f t="shared" si="84"/>
        <v>4405</v>
      </c>
      <c r="L752" s="160">
        <f ca="1" t="shared" si="90"/>
        <v>257959.359445689</v>
      </c>
      <c r="M752" s="157">
        <f t="shared" si="91"/>
        <v>48.9444444444444</v>
      </c>
      <c r="U752" s="151">
        <f t="shared" si="95"/>
        <v>233</v>
      </c>
      <c r="V752" s="157">
        <f ca="1">OFFSET(养成规划!$D$5,IFERROR(MATCH(U752,养成规划!$G$6:$G$38,1)+1,1),0)</f>
        <v>560</v>
      </c>
      <c r="W752" s="152">
        <f ca="1">((V752-_xlfn.MAXIFS($V$519:V751,$V$519:V751,"&lt;"&amp;V752))*$D$475)/COUNTIF($V$520:$V$819,V752)/6</f>
        <v>54.2005420054201</v>
      </c>
      <c r="X752" s="157">
        <f t="shared" si="85"/>
        <v>8</v>
      </c>
      <c r="Y752" s="151">
        <f t="shared" si="92"/>
        <v>1455</v>
      </c>
      <c r="Z752" s="156">
        <f ca="1">(SUM($W$520:W752)-SUM($Y$520:Y752))/SUM($W$520:W752)</f>
        <v>-0.524155328214583</v>
      </c>
      <c r="AA752" s="151">
        <f t="shared" si="86"/>
        <v>800</v>
      </c>
      <c r="AB752" s="153">
        <f t="shared" si="93"/>
        <v>137400</v>
      </c>
      <c r="AC752" s="153">
        <f>SUM(Y$520:Y752)</f>
        <v>139425</v>
      </c>
      <c r="AD752" s="153">
        <f>INT(SUM(AB$520:AB752))</f>
        <v>12318200</v>
      </c>
      <c r="AE752" s="153">
        <f ca="1">INT(AC752*6/($D$475+AVERAGE(OFFSET(装备产出!$F$186,0,0,W752))))+1</f>
        <v>609</v>
      </c>
      <c r="AF752" s="154">
        <f t="shared" si="87"/>
        <v>88.3500089653936</v>
      </c>
    </row>
    <row r="753" ht="17.25" spans="4:32">
      <c r="D753" s="151">
        <f t="shared" si="94"/>
        <v>234</v>
      </c>
      <c r="E753" s="161" t="str">
        <f>IFERROR((INT(_xlfn.XLOOKUP(D753,养成规划!$G$6:$G$38,养成规划!$J$6:$J$38)/6)),"")</f>
        <v/>
      </c>
      <c r="F753" s="156" t="str">
        <f t="shared" si="96"/>
        <v/>
      </c>
      <c r="G753" s="157">
        <f t="shared" si="82"/>
        <v>90</v>
      </c>
      <c r="H753" s="151">
        <f t="shared" si="83"/>
        <v>88380</v>
      </c>
      <c r="I753" s="158">
        <f t="shared" si="88"/>
        <v>8838</v>
      </c>
      <c r="J753" s="159">
        <f ca="1" t="shared" si="89"/>
        <v>0.0169587717482049</v>
      </c>
      <c r="K753" s="157">
        <f t="shared" si="84"/>
        <v>4429</v>
      </c>
      <c r="L753" s="160">
        <f ca="1" t="shared" si="90"/>
        <v>261162.781465516</v>
      </c>
      <c r="M753" s="157">
        <f t="shared" si="91"/>
        <v>49.2111111111111</v>
      </c>
      <c r="U753" s="151">
        <f t="shared" si="95"/>
        <v>234</v>
      </c>
      <c r="V753" s="157">
        <f ca="1">OFFSET(养成规划!$D$5,IFERROR(MATCH(U753,养成规划!$G$6:$G$38,1)+1,1),0)</f>
        <v>560</v>
      </c>
      <c r="W753" s="152">
        <f ca="1">((V753-_xlfn.MAXIFS($V$519:V752,$V$519:V752,"&lt;"&amp;V753))*$D$475)/COUNTIF($V$520:$V$819,V753)/6</f>
        <v>54.2005420054201</v>
      </c>
      <c r="X753" s="157">
        <f t="shared" si="85"/>
        <v>8</v>
      </c>
      <c r="Y753" s="151">
        <f t="shared" si="92"/>
        <v>1463</v>
      </c>
      <c r="Z753" s="156">
        <f ca="1">(SUM($W$520:W753)-SUM($Y$520:Y753))/SUM($W$520:W753)</f>
        <v>-0.539236431707205</v>
      </c>
      <c r="AA753" s="151">
        <f t="shared" si="86"/>
        <v>800</v>
      </c>
      <c r="AB753" s="153">
        <f t="shared" si="93"/>
        <v>138200</v>
      </c>
      <c r="AC753" s="153">
        <f>SUM(Y$520:Y753)</f>
        <v>140888</v>
      </c>
      <c r="AD753" s="153">
        <f>INT(SUM(AB$520:AB753))</f>
        <v>12456400</v>
      </c>
      <c r="AE753" s="153">
        <f ca="1">INT(AC753*6/($D$475+AVERAGE(OFFSET(装备产出!$F$186,0,0,W753))))+1</f>
        <v>615</v>
      </c>
      <c r="AF753" s="154">
        <f t="shared" si="87"/>
        <v>88.4134915677701</v>
      </c>
    </row>
    <row r="754" ht="17.25" spans="4:32">
      <c r="D754" s="151">
        <f t="shared" si="94"/>
        <v>235</v>
      </c>
      <c r="E754" s="161" t="str">
        <f>IFERROR((INT(_xlfn.XLOOKUP(D754,养成规划!$G$6:$G$38,养成规划!$J$6:$J$38)/6)),"")</f>
        <v/>
      </c>
      <c r="F754" s="156" t="str">
        <f t="shared" si="96"/>
        <v/>
      </c>
      <c r="G754" s="157">
        <f t="shared" si="82"/>
        <v>90</v>
      </c>
      <c r="H754" s="151">
        <f t="shared" si="83"/>
        <v>89280</v>
      </c>
      <c r="I754" s="158">
        <f t="shared" si="88"/>
        <v>8928</v>
      </c>
      <c r="J754" s="159">
        <f ca="1" t="shared" si="89"/>
        <v>0.0168428178326416</v>
      </c>
      <c r="K754" s="157">
        <f t="shared" si="84"/>
        <v>4453</v>
      </c>
      <c r="L754" s="160">
        <f ca="1" t="shared" si="90"/>
        <v>264385.689155292</v>
      </c>
      <c r="M754" s="157">
        <f t="shared" si="91"/>
        <v>49.4777777777778</v>
      </c>
      <c r="U754" s="151">
        <f t="shared" si="95"/>
        <v>235</v>
      </c>
      <c r="V754" s="157">
        <f ca="1">OFFSET(养成规划!$D$5,IFERROR(MATCH(U754,养成规划!$G$6:$G$38,1)+1,1),0)</f>
        <v>560</v>
      </c>
      <c r="W754" s="152">
        <f ca="1">((V754-_xlfn.MAXIFS($V$519:V753,$V$519:V753,"&lt;"&amp;V754))*$D$475)/COUNTIF($V$520:$V$819,V754)/6</f>
        <v>54.2005420054201</v>
      </c>
      <c r="X754" s="157">
        <f t="shared" si="85"/>
        <v>8</v>
      </c>
      <c r="Y754" s="151">
        <f t="shared" si="92"/>
        <v>1471</v>
      </c>
      <c r="Z754" s="156">
        <f ca="1">(SUM($W$520:W754)-SUM($Y$520:Y754))/SUM($W$520:W754)</f>
        <v>-0.554387035350671</v>
      </c>
      <c r="AA754" s="151">
        <f t="shared" si="86"/>
        <v>800</v>
      </c>
      <c r="AB754" s="153">
        <f t="shared" si="93"/>
        <v>139000</v>
      </c>
      <c r="AC754" s="153">
        <f>SUM(Y$520:Y754)</f>
        <v>142359</v>
      </c>
      <c r="AD754" s="153">
        <f>INT(SUM(AB$520:AB754))</f>
        <v>12595400</v>
      </c>
      <c r="AE754" s="153">
        <f ca="1">INT(AC754*6/($D$475+AVERAGE(OFFSET(装备产出!$F$186,0,0,W754))))+1</f>
        <v>621</v>
      </c>
      <c r="AF754" s="154">
        <f t="shared" si="87"/>
        <v>88.4763169170899</v>
      </c>
    </row>
    <row r="755" ht="17.25" spans="4:32">
      <c r="D755" s="151">
        <f t="shared" si="94"/>
        <v>236</v>
      </c>
      <c r="E755" s="161" t="str">
        <f>IFERROR((INT(_xlfn.XLOOKUP(D755,养成规划!$G$6:$G$38,养成规划!$J$6:$J$38)/6)),"")</f>
        <v/>
      </c>
      <c r="F755" s="156" t="str">
        <f t="shared" si="96"/>
        <v/>
      </c>
      <c r="G755" s="157">
        <f t="shared" si="82"/>
        <v>95</v>
      </c>
      <c r="H755" s="151">
        <f t="shared" si="83"/>
        <v>90230</v>
      </c>
      <c r="I755" s="158">
        <f t="shared" si="88"/>
        <v>9023</v>
      </c>
      <c r="J755" s="159">
        <f ca="1" t="shared" si="89"/>
        <v>0.0176544739551797</v>
      </c>
      <c r="K755" s="157">
        <f t="shared" si="84"/>
        <v>4477</v>
      </c>
      <c r="L755" s="160">
        <f ca="1" t="shared" si="90"/>
        <v>253590.110436935</v>
      </c>
      <c r="M755" s="157">
        <f t="shared" si="91"/>
        <v>47.1263157894737</v>
      </c>
      <c r="U755" s="151">
        <f t="shared" si="95"/>
        <v>236</v>
      </c>
      <c r="V755" s="157">
        <f ca="1">OFFSET(养成规划!$D$5,IFERROR(MATCH(U755,养成规划!$G$6:$G$38,1)+1,1),0)</f>
        <v>560</v>
      </c>
      <c r="W755" s="152">
        <f ca="1">((V755-_xlfn.MAXIFS($V$519:V754,$V$519:V754,"&lt;"&amp;V755))*$D$475)/COUNTIF($V$520:$V$819,V755)/6</f>
        <v>54.2005420054201</v>
      </c>
      <c r="X755" s="157">
        <f t="shared" si="85"/>
        <v>8</v>
      </c>
      <c r="Y755" s="151">
        <f t="shared" si="92"/>
        <v>1479</v>
      </c>
      <c r="Z755" s="156">
        <f ca="1">(SUM($W$520:W755)-SUM($Y$520:Y755))/SUM($W$520:W755)</f>
        <v>-0.569607015826569</v>
      </c>
      <c r="AA755" s="151">
        <f t="shared" si="86"/>
        <v>800</v>
      </c>
      <c r="AB755" s="153">
        <f t="shared" si="93"/>
        <v>139800</v>
      </c>
      <c r="AC755" s="153">
        <f>SUM(Y$520:Y755)</f>
        <v>143838</v>
      </c>
      <c r="AD755" s="153">
        <f>INT(SUM(AB$520:AB755))</f>
        <v>12735200</v>
      </c>
      <c r="AE755" s="153">
        <f ca="1">INT(AC755*6/($D$475+AVERAGE(OFFSET(装备产出!$F$186,0,0,W755))))+1</f>
        <v>628</v>
      </c>
      <c r="AF755" s="154">
        <f t="shared" si="87"/>
        <v>88.5384946954212</v>
      </c>
    </row>
    <row r="756" ht="17.25" spans="4:32">
      <c r="D756" s="151">
        <f t="shared" si="94"/>
        <v>237</v>
      </c>
      <c r="E756" s="161" t="str">
        <f>IFERROR((INT(_xlfn.XLOOKUP(D756,养成规划!$G$6:$G$38,养成规划!$J$6:$J$38)/6)),"")</f>
        <v/>
      </c>
      <c r="F756" s="156" t="str">
        <f t="shared" si="96"/>
        <v/>
      </c>
      <c r="G756" s="157">
        <f t="shared" si="82"/>
        <v>95</v>
      </c>
      <c r="H756" s="151">
        <f t="shared" si="83"/>
        <v>91180</v>
      </c>
      <c r="I756" s="158">
        <f t="shared" si="88"/>
        <v>9118</v>
      </c>
      <c r="J756" s="159">
        <f ca="1" t="shared" si="89"/>
        <v>0.0175288465082211</v>
      </c>
      <c r="K756" s="157">
        <f t="shared" si="84"/>
        <v>4501</v>
      </c>
      <c r="L756" s="160">
        <f ca="1" t="shared" si="90"/>
        <v>256776.736443498</v>
      </c>
      <c r="M756" s="157">
        <f t="shared" si="91"/>
        <v>47.3789473684211</v>
      </c>
      <c r="U756" s="151">
        <f t="shared" si="95"/>
        <v>237</v>
      </c>
      <c r="V756" s="157">
        <f ca="1">OFFSET(养成规划!$D$5,IFERROR(MATCH(U756,养成规划!$G$6:$G$38,1)+1,1),0)</f>
        <v>560</v>
      </c>
      <c r="W756" s="152">
        <f ca="1">((V756-_xlfn.MAXIFS($V$519:V755,$V$519:V755,"&lt;"&amp;V756))*$D$475)/COUNTIF($V$520:$V$819,V756)/6</f>
        <v>54.2005420054201</v>
      </c>
      <c r="X756" s="157">
        <f t="shared" si="85"/>
        <v>8</v>
      </c>
      <c r="Y756" s="151">
        <f t="shared" si="92"/>
        <v>1487</v>
      </c>
      <c r="Z756" s="156">
        <f ca="1">(SUM($W$520:W756)-SUM($Y$520:Y756))/SUM($W$520:W756)</f>
        <v>-0.584896250108063</v>
      </c>
      <c r="AA756" s="151">
        <f t="shared" si="86"/>
        <v>800</v>
      </c>
      <c r="AB756" s="153">
        <f t="shared" si="93"/>
        <v>140600</v>
      </c>
      <c r="AC756" s="153">
        <f>SUM(Y$520:Y756)</f>
        <v>145325</v>
      </c>
      <c r="AD756" s="153">
        <f>INT(SUM(AB$520:AB756))</f>
        <v>12875800</v>
      </c>
      <c r="AE756" s="153">
        <f ca="1">INT(AC756*6/($D$475+AVERAGE(OFFSET(装备产出!$F$186,0,0,W756))))+1</f>
        <v>634</v>
      </c>
      <c r="AF756" s="154">
        <f t="shared" si="87"/>
        <v>88.6000344056425</v>
      </c>
    </row>
    <row r="757" ht="17.25" spans="4:32">
      <c r="D757" s="151">
        <f t="shared" si="94"/>
        <v>238</v>
      </c>
      <c r="E757" s="161" t="str">
        <f>IFERROR((INT(_xlfn.XLOOKUP(D757,养成规划!$G$6:$G$38,养成规划!$J$6:$J$38)/6)),"")</f>
        <v/>
      </c>
      <c r="F757" s="156" t="str">
        <f t="shared" si="96"/>
        <v/>
      </c>
      <c r="G757" s="157">
        <f t="shared" si="82"/>
        <v>95</v>
      </c>
      <c r="H757" s="151">
        <f t="shared" si="83"/>
        <v>92130</v>
      </c>
      <c r="I757" s="158">
        <f t="shared" si="88"/>
        <v>9213</v>
      </c>
      <c r="J757" s="159">
        <f ca="1" t="shared" si="89"/>
        <v>0.0174049943403489</v>
      </c>
      <c r="K757" s="157">
        <f t="shared" si="84"/>
        <v>4525</v>
      </c>
      <c r="L757" s="160">
        <f ca="1" t="shared" si="90"/>
        <v>259982.848113313</v>
      </c>
      <c r="M757" s="157">
        <f t="shared" si="91"/>
        <v>47.6315789473684</v>
      </c>
      <c r="U757" s="151">
        <f t="shared" si="95"/>
        <v>238</v>
      </c>
      <c r="V757" s="157">
        <f ca="1">OFFSET(养成规划!$D$5,IFERROR(MATCH(U757,养成规划!$G$6:$G$38,1)+1,1),0)</f>
        <v>560</v>
      </c>
      <c r="W757" s="152">
        <f ca="1">((V757-_xlfn.MAXIFS($V$519:V756,$V$519:V756,"&lt;"&amp;V757))*$D$475)/COUNTIF($V$520:$V$819,V757)/6</f>
        <v>54.2005420054201</v>
      </c>
      <c r="X757" s="157">
        <f t="shared" si="85"/>
        <v>8</v>
      </c>
      <c r="Y757" s="151">
        <f t="shared" si="92"/>
        <v>1495</v>
      </c>
      <c r="Z757" s="156">
        <f ca="1">(SUM($W$520:W757)-SUM($Y$520:Y757))/SUM($W$520:W757)</f>
        <v>-0.600254615459029</v>
      </c>
      <c r="AA757" s="151">
        <f t="shared" si="86"/>
        <v>800</v>
      </c>
      <c r="AB757" s="153">
        <f t="shared" si="93"/>
        <v>141400</v>
      </c>
      <c r="AC757" s="153">
        <f>SUM(Y$520:Y757)</f>
        <v>146820</v>
      </c>
      <c r="AD757" s="153">
        <f>INT(SUM(AB$520:AB757))</f>
        <v>13017200</v>
      </c>
      <c r="AE757" s="153">
        <f ca="1">INT(AC757*6/($D$475+AVERAGE(OFFSET(装备产出!$F$186,0,0,W757))))+1</f>
        <v>641</v>
      </c>
      <c r="AF757" s="154">
        <f t="shared" si="87"/>
        <v>88.6609453752895</v>
      </c>
    </row>
    <row r="758" ht="17.25" spans="4:32">
      <c r="D758" s="151">
        <f t="shared" si="94"/>
        <v>239</v>
      </c>
      <c r="E758" s="161" t="str">
        <f>IFERROR((INT(_xlfn.XLOOKUP(D758,养成规划!$G$6:$G$38,养成规划!$J$6:$J$38)/6)),"")</f>
        <v/>
      </c>
      <c r="F758" s="156" t="str">
        <f t="shared" si="96"/>
        <v/>
      </c>
      <c r="G758" s="157">
        <f t="shared" si="82"/>
        <v>95</v>
      </c>
      <c r="H758" s="151">
        <f t="shared" si="83"/>
        <v>93080</v>
      </c>
      <c r="I758" s="158">
        <f t="shared" si="88"/>
        <v>9308</v>
      </c>
      <c r="J758" s="159">
        <f ca="1" t="shared" si="89"/>
        <v>0.0172828800849277</v>
      </c>
      <c r="K758" s="157">
        <f t="shared" si="84"/>
        <v>4549</v>
      </c>
      <c r="L758" s="160">
        <f ca="1" t="shared" si="90"/>
        <v>263208.445446957</v>
      </c>
      <c r="M758" s="157">
        <f t="shared" si="91"/>
        <v>47.8842105263158</v>
      </c>
      <c r="U758" s="151">
        <f t="shared" si="95"/>
        <v>239</v>
      </c>
      <c r="V758" s="157">
        <f ca="1">OFFSET(养成规划!$D$5,IFERROR(MATCH(U758,养成规划!$G$6:$G$38,1)+1,1),0)</f>
        <v>560</v>
      </c>
      <c r="W758" s="152">
        <f ca="1">((V758-_xlfn.MAXIFS($V$519:V757,$V$519:V757,"&lt;"&amp;V758))*$D$475)/COUNTIF($V$520:$V$819,V758)/6</f>
        <v>54.2005420054201</v>
      </c>
      <c r="X758" s="157">
        <f t="shared" si="85"/>
        <v>8</v>
      </c>
      <c r="Y758" s="151">
        <f t="shared" si="92"/>
        <v>1503</v>
      </c>
      <c r="Z758" s="156">
        <f ca="1">(SUM($W$520:W758)-SUM($Y$520:Y758))/SUM($W$520:W758)</f>
        <v>-0.615681989433204</v>
      </c>
      <c r="AA758" s="151">
        <f t="shared" si="86"/>
        <v>800</v>
      </c>
      <c r="AB758" s="153">
        <f t="shared" si="93"/>
        <v>142200</v>
      </c>
      <c r="AC758" s="153">
        <f>SUM(Y$520:Y758)</f>
        <v>148323</v>
      </c>
      <c r="AD758" s="153">
        <f>INT(SUM(AB$520:AB758))</f>
        <v>13159400</v>
      </c>
      <c r="AE758" s="153">
        <f ca="1">INT(AC758*6/($D$475+AVERAGE(OFFSET(装备产出!$F$186,0,0,W758))))+1</f>
        <v>647</v>
      </c>
      <c r="AF758" s="154">
        <f t="shared" si="87"/>
        <v>88.7212367603136</v>
      </c>
    </row>
    <row r="759" ht="17.25" spans="4:32">
      <c r="D759" s="151">
        <f t="shared" si="94"/>
        <v>240</v>
      </c>
      <c r="E759" s="161" t="str">
        <f>IFERROR((INT(_xlfn.XLOOKUP(D759,养成规划!$G$6:$G$38,养成规划!$J$6:$J$38)/6)),"")</f>
        <v/>
      </c>
      <c r="F759" s="156" t="str">
        <f t="shared" si="96"/>
        <v/>
      </c>
      <c r="G759" s="157">
        <f t="shared" si="82"/>
        <v>95</v>
      </c>
      <c r="H759" s="151">
        <f t="shared" si="83"/>
        <v>94030</v>
      </c>
      <c r="I759" s="158">
        <f t="shared" si="88"/>
        <v>9403</v>
      </c>
      <c r="J759" s="159">
        <f ca="1" t="shared" si="89"/>
        <v>0.0167960083590584</v>
      </c>
      <c r="K759" s="157">
        <f t="shared" si="84"/>
        <v>4573</v>
      </c>
      <c r="L759" s="160">
        <f ca="1" t="shared" si="90"/>
        <v>272267.070975449</v>
      </c>
      <c r="M759" s="157">
        <f t="shared" si="91"/>
        <v>48.1368421052632</v>
      </c>
      <c r="U759" s="151">
        <f t="shared" si="95"/>
        <v>240</v>
      </c>
      <c r="V759" s="157">
        <f ca="1">OFFSET(养成规划!$D$5,IFERROR(MATCH(U759,养成规划!$G$6:$G$38,1)+1,1),0)</f>
        <v>560</v>
      </c>
      <c r="W759" s="152">
        <f ca="1">((V759-_xlfn.MAXIFS($V$519:V758,$V$519:V758,"&lt;"&amp;V759))*$D$475)/COUNTIF($V$520:$V$819,V759)/6</f>
        <v>54.2005420054201</v>
      </c>
      <c r="X759" s="157">
        <f t="shared" si="85"/>
        <v>8</v>
      </c>
      <c r="Y759" s="151">
        <f t="shared" si="92"/>
        <v>1511</v>
      </c>
      <c r="Z759" s="156">
        <f ca="1">(SUM($W$520:W759)-SUM($Y$520:Y759))/SUM($W$520:W759)</f>
        <v>-0.631178249873323</v>
      </c>
      <c r="AA759" s="151">
        <f t="shared" si="86"/>
        <v>800</v>
      </c>
      <c r="AB759" s="153">
        <f t="shared" si="93"/>
        <v>143000</v>
      </c>
      <c r="AC759" s="153">
        <f>SUM(Y$520:Y759)</f>
        <v>149834</v>
      </c>
      <c r="AD759" s="153">
        <f>INT(SUM(AB$520:AB759))</f>
        <v>13302400</v>
      </c>
      <c r="AE759" s="153">
        <f ca="1">INT(AC759*6/($D$475+AVERAGE(OFFSET(装备产出!$F$186,0,0,W759))))+1</f>
        <v>654</v>
      </c>
      <c r="AF759" s="154">
        <f t="shared" si="87"/>
        <v>88.7809175487539</v>
      </c>
    </row>
    <row r="760" ht="17.25" spans="4:32">
      <c r="D760" s="151">
        <f t="shared" si="94"/>
        <v>241</v>
      </c>
      <c r="E760" s="161" t="str">
        <f>IFERROR((INT(_xlfn.XLOOKUP(D760,养成规划!$G$6:$G$38,养成规划!$J$6:$J$38)/6)),"")</f>
        <v/>
      </c>
      <c r="F760" s="156" t="str">
        <f t="shared" si="96"/>
        <v/>
      </c>
      <c r="G760" s="157">
        <f t="shared" si="82"/>
        <v>95</v>
      </c>
      <c r="H760" s="151">
        <f t="shared" si="83"/>
        <v>94980</v>
      </c>
      <c r="I760" s="158">
        <f t="shared" si="88"/>
        <v>9498</v>
      </c>
      <c r="J760" s="159">
        <f ca="1" t="shared" si="89"/>
        <v>0.0166822620636293</v>
      </c>
      <c r="K760" s="157">
        <f t="shared" si="84"/>
        <v>4597</v>
      </c>
      <c r="L760" s="160">
        <f ca="1" t="shared" si="90"/>
        <v>275562.149933035</v>
      </c>
      <c r="M760" s="157">
        <f t="shared" si="91"/>
        <v>48.3894736842105</v>
      </c>
      <c r="U760" s="151">
        <f t="shared" si="95"/>
        <v>241</v>
      </c>
      <c r="V760" s="157">
        <f ca="1">OFFSET(养成规划!$D$5,IFERROR(MATCH(U760,养成规划!$G$6:$G$38,1)+1,1),0)</f>
        <v>560</v>
      </c>
      <c r="W760" s="152">
        <f ca="1">((V760-_xlfn.MAXIFS($V$519:V759,$V$519:V759,"&lt;"&amp;V760))*$D$475)/COUNTIF($V$520:$V$819,V760)/6</f>
        <v>54.2005420054201</v>
      </c>
      <c r="X760" s="157">
        <f t="shared" si="85"/>
        <v>8</v>
      </c>
      <c r="Y760" s="151">
        <f t="shared" si="92"/>
        <v>1519</v>
      </c>
      <c r="Z760" s="156">
        <f ca="1">(SUM($W$520:W760)-SUM($Y$520:Y760))/SUM($W$520:W760)</f>
        <v>-0.646743274910274</v>
      </c>
      <c r="AA760" s="151">
        <f t="shared" si="86"/>
        <v>800</v>
      </c>
      <c r="AB760" s="153">
        <f t="shared" si="93"/>
        <v>143800</v>
      </c>
      <c r="AC760" s="153">
        <f>SUM(Y$520:Y760)</f>
        <v>151353</v>
      </c>
      <c r="AD760" s="153">
        <f>INT(SUM(AB$520:AB760))</f>
        <v>13446200</v>
      </c>
      <c r="AE760" s="153">
        <f ca="1">INT(AC760*6/($D$475+AVERAGE(OFFSET(装备产出!$F$186,0,0,W760))))+1</f>
        <v>661</v>
      </c>
      <c r="AF760" s="154">
        <f t="shared" si="87"/>
        <v>88.8399965643231</v>
      </c>
    </row>
    <row r="761" ht="17.25" spans="4:32">
      <c r="D761" s="151">
        <f t="shared" si="94"/>
        <v>242</v>
      </c>
      <c r="E761" s="161" t="str">
        <f>IFERROR((INT(_xlfn.XLOOKUP(D761,养成规划!$G$6:$G$38,养成规划!$J$6:$J$38)/6)),"")</f>
        <v/>
      </c>
      <c r="F761" s="156" t="str">
        <f t="shared" si="96"/>
        <v/>
      </c>
      <c r="G761" s="157">
        <f t="shared" si="82"/>
        <v>95</v>
      </c>
      <c r="H761" s="151">
        <f t="shared" si="83"/>
        <v>95930</v>
      </c>
      <c r="I761" s="158">
        <f t="shared" si="88"/>
        <v>9593</v>
      </c>
      <c r="J761" s="159">
        <f ca="1" t="shared" si="89"/>
        <v>0.0165700460409655</v>
      </c>
      <c r="K761" s="157">
        <f t="shared" si="84"/>
        <v>4621</v>
      </c>
      <c r="L761" s="160">
        <f ca="1" t="shared" si="90"/>
        <v>278876.714559252</v>
      </c>
      <c r="M761" s="157">
        <f t="shared" si="91"/>
        <v>48.6421052631579</v>
      </c>
      <c r="U761" s="151">
        <f t="shared" si="95"/>
        <v>242</v>
      </c>
      <c r="V761" s="157">
        <f ca="1">OFFSET(养成规划!$D$5,IFERROR(MATCH(U761,养成规划!$G$6:$G$38,1)+1,1),0)</f>
        <v>560</v>
      </c>
      <c r="W761" s="152">
        <f ca="1">((V761-_xlfn.MAXIFS($V$519:V760,$V$519:V760,"&lt;"&amp;V761))*$D$475)/COUNTIF($V$520:$V$819,V761)/6</f>
        <v>54.2005420054201</v>
      </c>
      <c r="X761" s="157">
        <f t="shared" si="85"/>
        <v>8</v>
      </c>
      <c r="Y761" s="151">
        <f t="shared" si="92"/>
        <v>1527</v>
      </c>
      <c r="Z761" s="156">
        <f ca="1">(SUM($W$520:W761)-SUM($Y$520:Y761))/SUM($W$520:W761)</f>
        <v>-0.66237694296224</v>
      </c>
      <c r="AA761" s="151">
        <f t="shared" si="86"/>
        <v>800</v>
      </c>
      <c r="AB761" s="153">
        <f t="shared" si="93"/>
        <v>144600</v>
      </c>
      <c r="AC761" s="153">
        <f>SUM(Y$520:Y761)</f>
        <v>152880</v>
      </c>
      <c r="AD761" s="153">
        <f>INT(SUM(AB$520:AB761))</f>
        <v>13590800</v>
      </c>
      <c r="AE761" s="153">
        <f ca="1">INT(AC761*6/($D$475+AVERAGE(OFFSET(装备产出!$F$186,0,0,W761))))+1</f>
        <v>667</v>
      </c>
      <c r="AF761" s="154">
        <f t="shared" si="87"/>
        <v>88.898482469911</v>
      </c>
    </row>
    <row r="762" ht="17.25" spans="4:32">
      <c r="D762" s="151">
        <f t="shared" si="94"/>
        <v>243</v>
      </c>
      <c r="E762" s="161" t="str">
        <f>IFERROR((INT(_xlfn.XLOOKUP(D762,养成规划!$G$6:$G$38,养成规划!$J$6:$J$38)/6)),"")</f>
        <v/>
      </c>
      <c r="F762" s="156" t="str">
        <f t="shared" si="96"/>
        <v/>
      </c>
      <c r="G762" s="157">
        <f t="shared" si="82"/>
        <v>95</v>
      </c>
      <c r="H762" s="151">
        <f t="shared" si="83"/>
        <v>96880</v>
      </c>
      <c r="I762" s="158">
        <f t="shared" si="88"/>
        <v>9688</v>
      </c>
      <c r="J762" s="159">
        <f ca="1" t="shared" si="89"/>
        <v>0.0164593296162677</v>
      </c>
      <c r="K762" s="157">
        <f t="shared" si="84"/>
        <v>4645</v>
      </c>
      <c r="L762" s="160">
        <f ca="1" t="shared" si="90"/>
        <v>282210.764854547</v>
      </c>
      <c r="M762" s="157">
        <f t="shared" si="91"/>
        <v>48.8947368421053</v>
      </c>
      <c r="U762" s="151">
        <f t="shared" si="95"/>
        <v>243</v>
      </c>
      <c r="V762" s="157">
        <f ca="1">OFFSET(养成规划!$D$5,IFERROR(MATCH(U762,养成规划!$G$6:$G$38,1)+1,1),0)</f>
        <v>560</v>
      </c>
      <c r="W762" s="152">
        <f ca="1">((V762-_xlfn.MAXIFS($V$519:V761,$V$519:V761,"&lt;"&amp;V762))*$D$475)/COUNTIF($V$520:$V$819,V762)/6</f>
        <v>54.2005420054201</v>
      </c>
      <c r="X762" s="157">
        <f t="shared" si="85"/>
        <v>8</v>
      </c>
      <c r="Y762" s="151">
        <f t="shared" si="92"/>
        <v>1535</v>
      </c>
      <c r="Z762" s="156">
        <f ca="1">(SUM($W$520:W762)-SUM($Y$520:Y762))/SUM($W$520:W762)</f>
        <v>-0.678079132733865</v>
      </c>
      <c r="AA762" s="151">
        <f t="shared" si="86"/>
        <v>800</v>
      </c>
      <c r="AB762" s="153">
        <f t="shared" si="93"/>
        <v>145400</v>
      </c>
      <c r="AC762" s="153">
        <f>SUM(Y$520:Y762)</f>
        <v>154415</v>
      </c>
      <c r="AD762" s="153">
        <f>INT(SUM(AB$520:AB762))</f>
        <v>13736200</v>
      </c>
      <c r="AE762" s="153">
        <f ca="1">INT(AC762*6/($D$475+AVERAGE(OFFSET(装备产出!$F$186,0,0,W762))))+1</f>
        <v>674</v>
      </c>
      <c r="AF762" s="154">
        <f t="shared" si="87"/>
        <v>88.9563837710067</v>
      </c>
    </row>
    <row r="763" ht="17.25" spans="4:32">
      <c r="D763" s="151">
        <f t="shared" si="94"/>
        <v>244</v>
      </c>
      <c r="E763" s="161" t="str">
        <f>IFERROR((INT(_xlfn.XLOOKUP(D763,养成规划!$G$6:$G$38,养成规划!$J$6:$J$38)/6)),"")</f>
        <v/>
      </c>
      <c r="F763" s="156" t="str">
        <f t="shared" si="96"/>
        <v/>
      </c>
      <c r="G763" s="157">
        <f t="shared" si="82"/>
        <v>95</v>
      </c>
      <c r="H763" s="151">
        <f t="shared" si="83"/>
        <v>97830</v>
      </c>
      <c r="I763" s="158">
        <f t="shared" si="88"/>
        <v>9783</v>
      </c>
      <c r="J763" s="159">
        <f ca="1" t="shared" si="89"/>
        <v>0.0163500829291467</v>
      </c>
      <c r="K763" s="157">
        <f t="shared" si="84"/>
        <v>4669</v>
      </c>
      <c r="L763" s="160">
        <f ca="1" t="shared" si="90"/>
        <v>285564.30081934</v>
      </c>
      <c r="M763" s="157">
        <f t="shared" si="91"/>
        <v>49.1473684210526</v>
      </c>
      <c r="U763" s="151">
        <f t="shared" si="95"/>
        <v>244</v>
      </c>
      <c r="V763" s="157">
        <f ca="1">OFFSET(养成规划!$D$5,IFERROR(MATCH(U763,养成规划!$G$6:$G$38,1)+1,1),0)</f>
        <v>560</v>
      </c>
      <c r="W763" s="152">
        <f ca="1">((V763-_xlfn.MAXIFS($V$519:V762,$V$519:V762,"&lt;"&amp;V763))*$D$475)/COUNTIF($V$520:$V$819,V763)/6</f>
        <v>54.2005420054201</v>
      </c>
      <c r="X763" s="157">
        <f t="shared" si="85"/>
        <v>8</v>
      </c>
      <c r="Y763" s="151">
        <f t="shared" si="92"/>
        <v>1543</v>
      </c>
      <c r="Z763" s="156">
        <f ca="1">(SUM($W$520:W763)-SUM($Y$520:Y763))/SUM($W$520:W763)</f>
        <v>-0.693849723215398</v>
      </c>
      <c r="AA763" s="151">
        <f t="shared" si="86"/>
        <v>800</v>
      </c>
      <c r="AB763" s="153">
        <f t="shared" si="93"/>
        <v>146200</v>
      </c>
      <c r="AC763" s="153">
        <f>SUM(Y$520:Y763)</f>
        <v>155958</v>
      </c>
      <c r="AD763" s="153">
        <f>INT(SUM(AB$520:AB763))</f>
        <v>13882400</v>
      </c>
      <c r="AE763" s="153">
        <f ca="1">INT(AC763*6/($D$475+AVERAGE(OFFSET(装备产出!$F$186,0,0,W763))))+1</f>
        <v>681</v>
      </c>
      <c r="AF763" s="154">
        <f t="shared" si="87"/>
        <v>89.013708819041</v>
      </c>
    </row>
    <row r="764" ht="17.25" spans="4:32">
      <c r="D764" s="151">
        <f t="shared" si="94"/>
        <v>245</v>
      </c>
      <c r="E764" s="161" t="str">
        <f>IFERROR((INT(_xlfn.XLOOKUP(D764,养成规划!$G$6:$G$38,养成规划!$J$6:$J$38)/6)),"")</f>
        <v/>
      </c>
      <c r="F764" s="156" t="str">
        <f t="shared" si="96"/>
        <v/>
      </c>
      <c r="G764" s="157">
        <f t="shared" si="82"/>
        <v>95</v>
      </c>
      <c r="H764" s="151">
        <f t="shared" si="83"/>
        <v>98780</v>
      </c>
      <c r="I764" s="158">
        <f t="shared" si="88"/>
        <v>9878</v>
      </c>
      <c r="J764" s="159">
        <f ca="1" t="shared" si="89"/>
        <v>0.0162422769067714</v>
      </c>
      <c r="K764" s="157">
        <f t="shared" si="84"/>
        <v>4693</v>
      </c>
      <c r="L764" s="160">
        <f ca="1" t="shared" si="90"/>
        <v>288937.322454064</v>
      </c>
      <c r="M764" s="157">
        <f t="shared" si="91"/>
        <v>49.4</v>
      </c>
      <c r="U764" s="151">
        <f t="shared" si="95"/>
        <v>245</v>
      </c>
      <c r="V764" s="157">
        <f ca="1">OFFSET(养成规划!$D$5,IFERROR(MATCH(U764,养成规划!$G$6:$G$38,1)+1,1),0)</f>
        <v>560</v>
      </c>
      <c r="W764" s="152">
        <f ca="1">((V764-_xlfn.MAXIFS($V$519:V763,$V$519:V763,"&lt;"&amp;V764))*$D$475)/COUNTIF($V$520:$V$819,V764)/6</f>
        <v>54.2005420054201</v>
      </c>
      <c r="X764" s="157">
        <f t="shared" si="85"/>
        <v>8</v>
      </c>
      <c r="Y764" s="151">
        <f t="shared" si="92"/>
        <v>1551</v>
      </c>
      <c r="Z764" s="156">
        <f ca="1">(SUM($W$520:W764)-SUM($Y$520:Y764))/SUM($W$520:W764)</f>
        <v>-0.709688593681862</v>
      </c>
      <c r="AA764" s="151">
        <f t="shared" si="86"/>
        <v>800</v>
      </c>
      <c r="AB764" s="153">
        <f t="shared" si="93"/>
        <v>147000</v>
      </c>
      <c r="AC764" s="153">
        <f>SUM(Y$520:Y764)</f>
        <v>157509</v>
      </c>
      <c r="AD764" s="153">
        <f>INT(SUM(AB$520:AB764))</f>
        <v>14029400</v>
      </c>
      <c r="AE764" s="153">
        <f ca="1">INT(AC764*6/($D$475+AVERAGE(OFFSET(装备产出!$F$186,0,0,W764))))+1</f>
        <v>688</v>
      </c>
      <c r="AF764" s="154">
        <f t="shared" si="87"/>
        <v>89.0704658146519</v>
      </c>
    </row>
    <row r="765" ht="17.25" spans="4:32">
      <c r="D765" s="151">
        <f t="shared" si="94"/>
        <v>246</v>
      </c>
      <c r="E765" s="161" t="str">
        <f>IFERROR((INT(_xlfn.XLOOKUP(D765,养成规划!$G$6:$G$38,养成规划!$J$6:$J$38)/6)),"")</f>
        <v/>
      </c>
      <c r="F765" s="156" t="str">
        <f t="shared" si="96"/>
        <v/>
      </c>
      <c r="G765" s="157">
        <f t="shared" si="82"/>
        <v>100</v>
      </c>
      <c r="H765" s="151">
        <f t="shared" si="83"/>
        <v>99780</v>
      </c>
      <c r="I765" s="158">
        <f t="shared" si="88"/>
        <v>9978</v>
      </c>
      <c r="J765" s="159">
        <f ca="1" t="shared" si="89"/>
        <v>0.0169822194253762</v>
      </c>
      <c r="K765" s="157">
        <f t="shared" si="84"/>
        <v>4717</v>
      </c>
      <c r="L765" s="160">
        <f ca="1" t="shared" si="90"/>
        <v>277761.103060032</v>
      </c>
      <c r="M765" s="157">
        <f t="shared" si="91"/>
        <v>47.17</v>
      </c>
      <c r="U765" s="151">
        <f t="shared" si="95"/>
        <v>246</v>
      </c>
      <c r="V765" s="157">
        <f ca="1">OFFSET(养成规划!$D$5,IFERROR(MATCH(U765,养成规划!$G$6:$G$38,1)+1,1),0)</f>
        <v>560</v>
      </c>
      <c r="W765" s="152">
        <f ca="1">((V765-_xlfn.MAXIFS($V$519:V764,$V$519:V764,"&lt;"&amp;V765))*$D$475)/COUNTIF($V$520:$V$819,V765)/6</f>
        <v>54.2005420054201</v>
      </c>
      <c r="X765" s="157">
        <f t="shared" si="85"/>
        <v>8</v>
      </c>
      <c r="Y765" s="151">
        <f t="shared" si="92"/>
        <v>1559</v>
      </c>
      <c r="Z765" s="156">
        <f ca="1">(SUM($W$520:W765)-SUM($Y$520:Y765))/SUM($W$520:W765)</f>
        <v>-0.725595623692214</v>
      </c>
      <c r="AA765" s="151">
        <f t="shared" si="86"/>
        <v>800</v>
      </c>
      <c r="AB765" s="153">
        <f t="shared" si="93"/>
        <v>147800</v>
      </c>
      <c r="AC765" s="153">
        <f>SUM(Y$520:Y765)</f>
        <v>159068</v>
      </c>
      <c r="AD765" s="153">
        <f>INT(SUM(AB$520:AB765))</f>
        <v>14177200</v>
      </c>
      <c r="AE765" s="153">
        <f ca="1">INT(AC765*6/($D$475+AVERAGE(OFFSET(装备产出!$F$186,0,0,W765))))+1</f>
        <v>694</v>
      </c>
      <c r="AF765" s="154">
        <f t="shared" si="87"/>
        <v>89.1266628108733</v>
      </c>
    </row>
    <row r="766" ht="17.25" spans="4:32">
      <c r="D766" s="151">
        <f t="shared" si="94"/>
        <v>247</v>
      </c>
      <c r="E766" s="161" t="str">
        <f>IFERROR((INT(_xlfn.XLOOKUP(D766,养成规划!$G$6:$G$38,养成规划!$J$6:$J$38)/6)),"")</f>
        <v/>
      </c>
      <c r="F766" s="156" t="str">
        <f t="shared" si="96"/>
        <v/>
      </c>
      <c r="G766" s="157">
        <f t="shared" si="82"/>
        <v>100</v>
      </c>
      <c r="H766" s="151">
        <f t="shared" si="83"/>
        <v>100780</v>
      </c>
      <c r="I766" s="158">
        <f t="shared" si="88"/>
        <v>10078</v>
      </c>
      <c r="J766" s="159">
        <f ca="1" t="shared" si="89"/>
        <v>0.0168659457437796</v>
      </c>
      <c r="K766" s="157">
        <f t="shared" si="84"/>
        <v>4741</v>
      </c>
      <c r="L766" s="160">
        <f ca="1" t="shared" si="90"/>
        <v>281098.971384309</v>
      </c>
      <c r="M766" s="157">
        <f t="shared" si="91"/>
        <v>47.41</v>
      </c>
      <c r="U766" s="151">
        <f t="shared" si="95"/>
        <v>247</v>
      </c>
      <c r="V766" s="157">
        <f ca="1">OFFSET(养成规划!$D$5,IFERROR(MATCH(U766,养成规划!$G$6:$G$38,1)+1,1),0)</f>
        <v>560</v>
      </c>
      <c r="W766" s="152">
        <f ca="1">((V766-_xlfn.MAXIFS($V$519:V765,$V$519:V765,"&lt;"&amp;V766))*$D$475)/COUNTIF($V$520:$V$819,V766)/6</f>
        <v>54.2005420054201</v>
      </c>
      <c r="X766" s="157">
        <f t="shared" si="85"/>
        <v>8</v>
      </c>
      <c r="Y766" s="151">
        <f t="shared" si="92"/>
        <v>1567</v>
      </c>
      <c r="Z766" s="156">
        <f ca="1">(SUM($W$520:W766)-SUM($Y$520:Y766))/SUM($W$520:W766)</f>
        <v>-0.741570693088509</v>
      </c>
      <c r="AA766" s="151">
        <f t="shared" si="86"/>
        <v>800</v>
      </c>
      <c r="AB766" s="153">
        <f t="shared" si="93"/>
        <v>148600</v>
      </c>
      <c r="AC766" s="153">
        <f>SUM(Y$520:Y766)</f>
        <v>160635</v>
      </c>
      <c r="AD766" s="153">
        <f>INT(SUM(AB$520:AB766))</f>
        <v>14325800</v>
      </c>
      <c r="AE766" s="153">
        <f ca="1">INT(AC766*6/($D$475+AVERAGE(OFFSET(装备产出!$F$186,0,0,W766))))+1</f>
        <v>701</v>
      </c>
      <c r="AF766" s="154">
        <f t="shared" si="87"/>
        <v>89.1823077162511</v>
      </c>
    </row>
    <row r="767" ht="17.25" spans="4:32">
      <c r="D767" s="151">
        <f t="shared" si="94"/>
        <v>248</v>
      </c>
      <c r="E767" s="161" t="str">
        <f>IFERROR((INT(_xlfn.XLOOKUP(D767,养成规划!$G$6:$G$38,养成规划!$J$6:$J$38)/6)),"")</f>
        <v/>
      </c>
      <c r="F767" s="156" t="str">
        <f t="shared" si="96"/>
        <v/>
      </c>
      <c r="G767" s="157">
        <f t="shared" si="82"/>
        <v>100</v>
      </c>
      <c r="H767" s="151">
        <f t="shared" si="83"/>
        <v>101780</v>
      </c>
      <c r="I767" s="158">
        <f t="shared" si="88"/>
        <v>10178</v>
      </c>
      <c r="J767" s="159">
        <f ca="1" t="shared" si="89"/>
        <v>0.016751253443776</v>
      </c>
      <c r="K767" s="157">
        <f t="shared" si="84"/>
        <v>4765</v>
      </c>
      <c r="L767" s="160">
        <f ca="1" t="shared" si="90"/>
        <v>284456.325372503</v>
      </c>
      <c r="M767" s="157">
        <f t="shared" si="91"/>
        <v>47.65</v>
      </c>
      <c r="U767" s="151">
        <f t="shared" si="95"/>
        <v>248</v>
      </c>
      <c r="V767" s="157">
        <f ca="1">OFFSET(养成规划!$D$5,IFERROR(MATCH(U767,养成规划!$G$6:$G$38,1)+1,1),0)</f>
        <v>560</v>
      </c>
      <c r="W767" s="152">
        <f ca="1">((V767-_xlfn.MAXIFS($V$519:V766,$V$519:V766,"&lt;"&amp;V767))*$D$475)/COUNTIF($V$520:$V$819,V767)/6</f>
        <v>54.2005420054201</v>
      </c>
      <c r="X767" s="157">
        <f t="shared" si="85"/>
        <v>8</v>
      </c>
      <c r="Y767" s="151">
        <f t="shared" si="92"/>
        <v>1575</v>
      </c>
      <c r="Z767" s="156">
        <f ca="1">(SUM($W$520:W767)-SUM($Y$520:Y767))/SUM($W$520:W767)</f>
        <v>-0.75761368199507</v>
      </c>
      <c r="AA767" s="151">
        <f t="shared" si="86"/>
        <v>800</v>
      </c>
      <c r="AB767" s="153">
        <f t="shared" si="93"/>
        <v>149400</v>
      </c>
      <c r="AC767" s="153">
        <f>SUM(Y$520:Y767)</f>
        <v>162210</v>
      </c>
      <c r="AD767" s="153">
        <f>INT(SUM(AB$520:AB767))</f>
        <v>14475200</v>
      </c>
      <c r="AE767" s="153">
        <f ca="1">INT(AC767*6/($D$475+AVERAGE(OFFSET(装备产出!$F$186,0,0,W767))))+1</f>
        <v>708</v>
      </c>
      <c r="AF767" s="154">
        <f t="shared" si="87"/>
        <v>89.2374082978855</v>
      </c>
    </row>
    <row r="768" ht="17.25" spans="4:32">
      <c r="D768" s="151">
        <f t="shared" si="94"/>
        <v>249</v>
      </c>
      <c r="E768" s="161" t="str">
        <f>IFERROR((INT(_xlfn.XLOOKUP(D768,养成规划!$G$6:$G$38,养成规划!$J$6:$J$38)/6)),"")</f>
        <v/>
      </c>
      <c r="F768" s="156" t="str">
        <f t="shared" si="96"/>
        <v/>
      </c>
      <c r="G768" s="157">
        <f t="shared" si="82"/>
        <v>100</v>
      </c>
      <c r="H768" s="151">
        <f t="shared" si="83"/>
        <v>102780</v>
      </c>
      <c r="I768" s="158">
        <f t="shared" si="88"/>
        <v>10278</v>
      </c>
      <c r="J768" s="159">
        <f ca="1" t="shared" si="89"/>
        <v>0.0166381104817477</v>
      </c>
      <c r="K768" s="157">
        <f t="shared" si="84"/>
        <v>4789</v>
      </c>
      <c r="L768" s="160">
        <f ca="1" t="shared" si="90"/>
        <v>287833.165025176</v>
      </c>
      <c r="M768" s="157">
        <f t="shared" si="91"/>
        <v>47.89</v>
      </c>
      <c r="U768" s="151">
        <f t="shared" si="95"/>
        <v>249</v>
      </c>
      <c r="V768" s="157">
        <f ca="1">OFFSET(养成规划!$D$5,IFERROR(MATCH(U768,养成规划!$G$6:$G$38,1)+1,1),0)</f>
        <v>560</v>
      </c>
      <c r="W768" s="152">
        <f ca="1">((V768-_xlfn.MAXIFS($V$519:V767,$V$519:V767,"&lt;"&amp;V768))*$D$475)/COUNTIF($V$520:$V$819,V768)/6</f>
        <v>54.2005420054201</v>
      </c>
      <c r="X768" s="157">
        <f t="shared" si="85"/>
        <v>8</v>
      </c>
      <c r="Y768" s="151">
        <f t="shared" si="92"/>
        <v>1583</v>
      </c>
      <c r="Z768" s="156">
        <f ca="1">(SUM($W$520:W768)-SUM($Y$520:Y768))/SUM($W$520:W768)</f>
        <v>-0.773724470817662</v>
      </c>
      <c r="AA768" s="151">
        <f t="shared" si="86"/>
        <v>800</v>
      </c>
      <c r="AB768" s="153">
        <f t="shared" si="93"/>
        <v>150200</v>
      </c>
      <c r="AC768" s="153">
        <f>SUM(Y$520:Y768)</f>
        <v>163793</v>
      </c>
      <c r="AD768" s="153">
        <f>INT(SUM(AB$520:AB768))</f>
        <v>14625400</v>
      </c>
      <c r="AE768" s="153">
        <f ca="1">INT(AC768*6/($D$475+AVERAGE(OFFSET(装备产出!$F$186,0,0,W768))))+1</f>
        <v>715</v>
      </c>
      <c r="AF768" s="154">
        <f t="shared" si="87"/>
        <v>89.2919721844035</v>
      </c>
    </row>
    <row r="769" ht="17.25" spans="4:32">
      <c r="D769" s="151">
        <f t="shared" si="94"/>
        <v>250</v>
      </c>
      <c r="E769" s="161" t="str">
        <f>IFERROR((INT(_xlfn.XLOOKUP(D769,养成规划!$G$6:$G$38,养成规划!$J$6:$J$38)/6)),"")</f>
        <v/>
      </c>
      <c r="F769" s="156" t="str">
        <f t="shared" si="96"/>
        <v/>
      </c>
      <c r="G769" s="157">
        <f t="shared" si="82"/>
        <v>100</v>
      </c>
      <c r="H769" s="151">
        <f t="shared" si="83"/>
        <v>103780</v>
      </c>
      <c r="I769" s="158">
        <f t="shared" si="88"/>
        <v>10378</v>
      </c>
      <c r="J769" s="159">
        <f ca="1" t="shared" si="89"/>
        <v>0.0165264856740095</v>
      </c>
      <c r="K769" s="157">
        <f t="shared" si="84"/>
        <v>4813</v>
      </c>
      <c r="L769" s="160">
        <f ca="1" t="shared" si="90"/>
        <v>291229.490342839</v>
      </c>
      <c r="M769" s="157">
        <f t="shared" si="91"/>
        <v>48.13</v>
      </c>
      <c r="U769" s="151">
        <f t="shared" si="95"/>
        <v>250</v>
      </c>
      <c r="V769" s="157">
        <f ca="1">OFFSET(养成规划!$D$5,IFERROR(MATCH(U769,养成规划!$G$6:$G$38,1)+1,1),0)</f>
        <v>560</v>
      </c>
      <c r="W769" s="152">
        <f ca="1">((V769-_xlfn.MAXIFS($V$519:V768,$V$519:V768,"&lt;"&amp;V769))*$D$475)/COUNTIF($V$520:$V$819,V769)/6</f>
        <v>54.2005420054201</v>
      </c>
      <c r="X769" s="157">
        <f t="shared" si="85"/>
        <v>8</v>
      </c>
      <c r="Y769" s="151">
        <f t="shared" si="92"/>
        <v>1591</v>
      </c>
      <c r="Z769" s="156">
        <f ca="1">(SUM($W$520:W769)-SUM($Y$520:Y769))/SUM($W$520:W769)</f>
        <v>-0.789902940242662</v>
      </c>
      <c r="AA769" s="151">
        <f t="shared" si="86"/>
        <v>800</v>
      </c>
      <c r="AB769" s="153">
        <f t="shared" si="93"/>
        <v>151000</v>
      </c>
      <c r="AC769" s="153">
        <f>SUM(Y$520:Y769)</f>
        <v>165384</v>
      </c>
      <c r="AD769" s="153">
        <f>INT(SUM(AB$520:AB769))</f>
        <v>14776400</v>
      </c>
      <c r="AE769" s="153">
        <f ca="1">INT(AC769*6/($D$475+AVERAGE(OFFSET(装备产出!$F$186,0,0,W769))))+1</f>
        <v>722</v>
      </c>
      <c r="AF769" s="154">
        <f t="shared" si="87"/>
        <v>89.3460068688628</v>
      </c>
    </row>
    <row r="770" ht="17.25" spans="4:32">
      <c r="D770" s="151">
        <f t="shared" si="94"/>
        <v>251</v>
      </c>
      <c r="E770" s="161" t="str">
        <f>IFERROR((INT(_xlfn.XLOOKUP(D770,养成规划!$G$6:$G$38,养成规划!$J$6:$J$38)/6)),"")</f>
        <v/>
      </c>
      <c r="F770" s="156" t="str">
        <f t="shared" si="96"/>
        <v/>
      </c>
      <c r="G770" s="157">
        <f t="shared" si="82"/>
        <v>100</v>
      </c>
      <c r="H770" s="151">
        <f t="shared" si="83"/>
        <v>104780</v>
      </c>
      <c r="I770" s="158">
        <f t="shared" si="88"/>
        <v>10478</v>
      </c>
      <c r="J770" s="159">
        <f ca="1" t="shared" si="89"/>
        <v>0.0164163486681504</v>
      </c>
      <c r="K770" s="157">
        <f t="shared" si="84"/>
        <v>4837</v>
      </c>
      <c r="L770" s="160">
        <f ca="1" t="shared" si="90"/>
        <v>294645.301326008</v>
      </c>
      <c r="M770" s="157">
        <f t="shared" si="91"/>
        <v>48.37</v>
      </c>
      <c r="U770" s="151">
        <f t="shared" si="95"/>
        <v>251</v>
      </c>
      <c r="V770" s="157">
        <f ca="1">OFFSET(养成规划!$D$5,IFERROR(MATCH(U770,养成规划!$G$6:$G$38,1)+1,1),0)</f>
        <v>560</v>
      </c>
      <c r="W770" s="152">
        <f ca="1">((V770-_xlfn.MAXIFS($V$519:V769,$V$519:V769,"&lt;"&amp;V770))*$D$475)/COUNTIF($V$520:$V$819,V770)/6</f>
        <v>54.2005420054201</v>
      </c>
      <c r="X770" s="157">
        <f t="shared" si="85"/>
        <v>8</v>
      </c>
      <c r="Y770" s="151">
        <f t="shared" si="92"/>
        <v>1599</v>
      </c>
      <c r="Z770" s="156">
        <f ca="1">(SUM($W$520:W770)-SUM($Y$520:Y770))/SUM($W$520:W770)</f>
        <v>-0.806148971236241</v>
      </c>
      <c r="AA770" s="151">
        <f t="shared" si="86"/>
        <v>800</v>
      </c>
      <c r="AB770" s="153">
        <f t="shared" si="93"/>
        <v>151800</v>
      </c>
      <c r="AC770" s="153">
        <f>SUM(Y$520:Y770)</f>
        <v>166983</v>
      </c>
      <c r="AD770" s="153">
        <f>INT(SUM(AB$520:AB770))</f>
        <v>14928200</v>
      </c>
      <c r="AE770" s="153">
        <f ca="1">INT(AC770*6/($D$475+AVERAGE(OFFSET(装备产出!$F$186,0,0,W770))))+1</f>
        <v>729</v>
      </c>
      <c r="AF770" s="154">
        <f t="shared" si="87"/>
        <v>89.3995197115874</v>
      </c>
    </row>
    <row r="771" ht="17.25" spans="4:32">
      <c r="D771" s="151">
        <f t="shared" si="94"/>
        <v>252</v>
      </c>
      <c r="E771" s="161" t="str">
        <f>IFERROR((INT(_xlfn.XLOOKUP(D771,养成规划!$G$6:$G$38,养成规划!$J$6:$J$38)/6)),"")</f>
        <v/>
      </c>
      <c r="F771" s="156" t="str">
        <f t="shared" si="96"/>
        <v/>
      </c>
      <c r="G771" s="157">
        <f t="shared" si="82"/>
        <v>100</v>
      </c>
      <c r="H771" s="151">
        <f t="shared" si="83"/>
        <v>105780</v>
      </c>
      <c r="I771" s="158">
        <f t="shared" si="88"/>
        <v>10578</v>
      </c>
      <c r="J771" s="159">
        <f ca="1" t="shared" si="89"/>
        <v>0.0163076699155189</v>
      </c>
      <c r="K771" s="157">
        <f t="shared" si="84"/>
        <v>4861</v>
      </c>
      <c r="L771" s="160">
        <f ca="1" t="shared" si="90"/>
        <v>298080.597975197</v>
      </c>
      <c r="M771" s="157">
        <f t="shared" si="91"/>
        <v>48.61</v>
      </c>
      <c r="U771" s="151">
        <f t="shared" si="95"/>
        <v>252</v>
      </c>
      <c r="V771" s="157">
        <f ca="1">OFFSET(养成规划!$D$5,IFERROR(MATCH(U771,养成规划!$G$6:$G$38,1)+1,1),0)</f>
        <v>560</v>
      </c>
      <c r="W771" s="152">
        <f ca="1">((V771-_xlfn.MAXIFS($V$519:V770,$V$519:V770,"&lt;"&amp;V771))*$D$475)/COUNTIF($V$520:$V$819,V771)/6</f>
        <v>54.2005420054201</v>
      </c>
      <c r="X771" s="157">
        <f t="shared" si="85"/>
        <v>8</v>
      </c>
      <c r="Y771" s="151">
        <f t="shared" si="92"/>
        <v>1607</v>
      </c>
      <c r="Z771" s="156">
        <f ca="1">(SUM($W$520:W771)-SUM($Y$520:Y771))/SUM($W$520:W771)</f>
        <v>-0.822462445043539</v>
      </c>
      <c r="AA771" s="151">
        <f t="shared" si="86"/>
        <v>800</v>
      </c>
      <c r="AB771" s="153">
        <f t="shared" si="93"/>
        <v>152600</v>
      </c>
      <c r="AC771" s="153">
        <f>SUM(Y$520:Y771)</f>
        <v>168590</v>
      </c>
      <c r="AD771" s="153">
        <f>INT(SUM(AB$520:AB771))</f>
        <v>15080800</v>
      </c>
      <c r="AE771" s="153">
        <f ca="1">INT(AC771*6/($D$475+AVERAGE(OFFSET(装备产出!$F$186,0,0,W771))))+1</f>
        <v>736</v>
      </c>
      <c r="AF771" s="154">
        <f t="shared" si="87"/>
        <v>89.4525179429385</v>
      </c>
    </row>
    <row r="772" ht="17.25" spans="4:32">
      <c r="D772" s="151">
        <f t="shared" si="94"/>
        <v>253</v>
      </c>
      <c r="E772" s="161" t="str">
        <f>IFERROR((INT(_xlfn.XLOOKUP(D772,养成规划!$G$6:$G$38,养成规划!$J$6:$J$38)/6)),"")</f>
        <v/>
      </c>
      <c r="F772" s="156" t="str">
        <f t="shared" si="96"/>
        <v/>
      </c>
      <c r="G772" s="157">
        <f t="shared" si="82"/>
        <v>100</v>
      </c>
      <c r="H772" s="151">
        <f t="shared" si="83"/>
        <v>106780</v>
      </c>
      <c r="I772" s="158">
        <f t="shared" si="88"/>
        <v>10678</v>
      </c>
      <c r="J772" s="159">
        <f ca="1" t="shared" si="89"/>
        <v>0.0162004206447926</v>
      </c>
      <c r="K772" s="157">
        <f t="shared" si="84"/>
        <v>4885</v>
      </c>
      <c r="L772" s="160">
        <f ca="1" t="shared" si="90"/>
        <v>301535.380290895</v>
      </c>
      <c r="M772" s="157">
        <f t="shared" si="91"/>
        <v>48.85</v>
      </c>
      <c r="U772" s="151">
        <f t="shared" si="95"/>
        <v>253</v>
      </c>
      <c r="V772" s="157">
        <f ca="1">OFFSET(养成规划!$D$5,IFERROR(MATCH(U772,养成规划!$G$6:$G$38,1)+1,1),0)</f>
        <v>560</v>
      </c>
      <c r="W772" s="152">
        <f ca="1">((V772-_xlfn.MAXIFS($V$519:V771,$V$519:V771,"&lt;"&amp;V772))*$D$475)/COUNTIF($V$520:$V$819,V772)/6</f>
        <v>54.2005420054201</v>
      </c>
      <c r="X772" s="157">
        <f t="shared" si="85"/>
        <v>8</v>
      </c>
      <c r="Y772" s="151">
        <f t="shared" si="92"/>
        <v>1615</v>
      </c>
      <c r="Z772" s="156">
        <f ca="1">(SUM($W$520:W772)-SUM($Y$520:Y772))/SUM($W$520:W772)</f>
        <v>-0.838843243187854</v>
      </c>
      <c r="AA772" s="151">
        <f t="shared" si="86"/>
        <v>800</v>
      </c>
      <c r="AB772" s="153">
        <f t="shared" si="93"/>
        <v>153400</v>
      </c>
      <c r="AC772" s="153">
        <f>SUM(Y$520:Y772)</f>
        <v>170205</v>
      </c>
      <c r="AD772" s="153">
        <f>INT(SUM(AB$520:AB772))</f>
        <v>15234200</v>
      </c>
      <c r="AE772" s="153">
        <f ca="1">INT(AC772*6/($D$475+AVERAGE(OFFSET(装备产出!$F$186,0,0,W772))))+1</f>
        <v>743</v>
      </c>
      <c r="AF772" s="154">
        <f t="shared" si="87"/>
        <v>89.5050086660204</v>
      </c>
    </row>
    <row r="773" ht="17.25" spans="4:32">
      <c r="D773" s="151">
        <f t="shared" si="94"/>
        <v>254</v>
      </c>
      <c r="E773" s="161" t="str">
        <f>IFERROR((INT(_xlfn.XLOOKUP(D773,养成规划!$G$6:$G$38,养成规划!$J$6:$J$38)/6)),"")</f>
        <v/>
      </c>
      <c r="F773" s="156" t="str">
        <f t="shared" si="96"/>
        <v/>
      </c>
      <c r="G773" s="157">
        <f t="shared" si="82"/>
        <v>100</v>
      </c>
      <c r="H773" s="151">
        <f t="shared" si="83"/>
        <v>107780</v>
      </c>
      <c r="I773" s="158">
        <f t="shared" si="88"/>
        <v>10778</v>
      </c>
      <c r="J773" s="159">
        <f ca="1" t="shared" si="89"/>
        <v>0.0160945728365846</v>
      </c>
      <c r="K773" s="157">
        <f t="shared" si="84"/>
        <v>4909</v>
      </c>
      <c r="L773" s="160">
        <f ca="1" t="shared" si="90"/>
        <v>305009.648273568</v>
      </c>
      <c r="M773" s="157">
        <f t="shared" si="91"/>
        <v>49.09</v>
      </c>
      <c r="U773" s="151">
        <f t="shared" si="95"/>
        <v>254</v>
      </c>
      <c r="V773" s="157">
        <f ca="1">OFFSET(养成规划!$D$5,IFERROR(MATCH(U773,养成规划!$G$6:$G$38,1)+1,1),0)</f>
        <v>560</v>
      </c>
      <c r="W773" s="152">
        <f ca="1">((V773-_xlfn.MAXIFS($V$519:V772,$V$519:V772,"&lt;"&amp;V773))*$D$475)/COUNTIF($V$520:$V$819,V773)/6</f>
        <v>54.2005420054201</v>
      </c>
      <c r="X773" s="157">
        <f t="shared" si="85"/>
        <v>8</v>
      </c>
      <c r="Y773" s="151">
        <f t="shared" si="92"/>
        <v>1623</v>
      </c>
      <c r="Z773" s="156">
        <f ca="1">(SUM($W$520:W773)-SUM($Y$520:Y773))/SUM($W$520:W773)</f>
        <v>-0.855291247469825</v>
      </c>
      <c r="AA773" s="151">
        <f t="shared" si="86"/>
        <v>800</v>
      </c>
      <c r="AB773" s="153">
        <f t="shared" si="93"/>
        <v>154200</v>
      </c>
      <c r="AC773" s="153">
        <f>SUM(Y$520:Y773)</f>
        <v>171828</v>
      </c>
      <c r="AD773" s="153">
        <f>INT(SUM(AB$520:AB773))</f>
        <v>15388400</v>
      </c>
      <c r="AE773" s="153">
        <f ca="1">INT(AC773*6/($D$475+AVERAGE(OFFSET(装备产出!$F$186,0,0,W773))))+1</f>
        <v>750</v>
      </c>
      <c r="AF773" s="154">
        <f t="shared" si="87"/>
        <v>89.5569988593244</v>
      </c>
    </row>
    <row r="774" ht="17.25" spans="4:32">
      <c r="D774" s="151">
        <f t="shared" si="94"/>
        <v>255</v>
      </c>
      <c r="E774" s="161" t="str">
        <f>IFERROR((INT(_xlfn.XLOOKUP(D774,养成规划!$G$6:$G$38,养成规划!$J$6:$J$38)/6)),"")</f>
        <v/>
      </c>
      <c r="F774" s="156" t="str">
        <f t="shared" si="96"/>
        <v/>
      </c>
      <c r="G774" s="157">
        <f t="shared" si="82"/>
        <v>100</v>
      </c>
      <c r="H774" s="151">
        <f t="shared" si="83"/>
        <v>108780</v>
      </c>
      <c r="I774" s="158">
        <f t="shared" si="88"/>
        <v>10878</v>
      </c>
      <c r="J774" s="159">
        <f ca="1" t="shared" si="89"/>
        <v>0.0159900991990375</v>
      </c>
      <c r="K774" s="157">
        <f t="shared" si="84"/>
        <v>4933</v>
      </c>
      <c r="L774" s="160">
        <f ca="1" t="shared" si="90"/>
        <v>308503.401923669</v>
      </c>
      <c r="M774" s="157">
        <f t="shared" si="91"/>
        <v>49.33</v>
      </c>
      <c r="U774" s="151">
        <f t="shared" si="95"/>
        <v>255</v>
      </c>
      <c r="V774" s="157">
        <f ca="1">OFFSET(养成规划!$D$5,IFERROR(MATCH(U774,养成规划!$G$6:$G$38,1)+1,1),0)</f>
        <v>560</v>
      </c>
      <c r="W774" s="152">
        <f ca="1">((V774-_xlfn.MAXIFS($V$519:V773,$V$519:V773,"&lt;"&amp;V774))*$D$475)/COUNTIF($V$520:$V$819,V774)/6</f>
        <v>54.2005420054201</v>
      </c>
      <c r="X774" s="157">
        <f t="shared" si="85"/>
        <v>8</v>
      </c>
      <c r="Y774" s="151">
        <f t="shared" si="92"/>
        <v>1631</v>
      </c>
      <c r="Z774" s="156">
        <f ca="1">(SUM($W$520:W774)-SUM($Y$520:Y774))/SUM($W$520:W774)</f>
        <v>-0.87180633996662</v>
      </c>
      <c r="AA774" s="151">
        <f t="shared" si="86"/>
        <v>800</v>
      </c>
      <c r="AB774" s="153">
        <f t="shared" si="93"/>
        <v>155000</v>
      </c>
      <c r="AC774" s="153">
        <f>SUM(Y$520:Y774)</f>
        <v>173459</v>
      </c>
      <c r="AD774" s="153">
        <f>INT(SUM(AB$520:AB774))</f>
        <v>15543400</v>
      </c>
      <c r="AE774" s="153">
        <f ca="1">INT(AC774*6/($D$475+AVERAGE(OFFSET(装备产出!$F$186,0,0,W774))))+1</f>
        <v>757</v>
      </c>
      <c r="AF774" s="154">
        <f t="shared" si="87"/>
        <v>89.6084953793115</v>
      </c>
    </row>
    <row r="775" ht="17.25" spans="4:32">
      <c r="D775" s="151">
        <f t="shared" si="94"/>
        <v>256</v>
      </c>
      <c r="E775" s="161" t="str">
        <f>IFERROR((INT(_xlfn.XLOOKUP(D775,养成规划!$G$6:$G$38,养成规划!$J$6:$J$38)/6)),"")</f>
        <v/>
      </c>
      <c r="F775" s="156" t="str">
        <f t="shared" si="96"/>
        <v/>
      </c>
      <c r="G775" s="157">
        <f t="shared" si="82"/>
        <v>105</v>
      </c>
      <c r="H775" s="151">
        <f t="shared" si="83"/>
        <v>109830</v>
      </c>
      <c r="I775" s="158">
        <f t="shared" si="88"/>
        <v>10983</v>
      </c>
      <c r="J775" s="159">
        <f ca="1" t="shared" si="89"/>
        <v>0.016678638558849</v>
      </c>
      <c r="K775" s="157">
        <f t="shared" si="84"/>
        <v>4957</v>
      </c>
      <c r="L775" s="160">
        <f ca="1" t="shared" si="90"/>
        <v>297206.512540559</v>
      </c>
      <c r="M775" s="157">
        <f t="shared" si="91"/>
        <v>47.2095238095238</v>
      </c>
      <c r="U775" s="151">
        <f t="shared" si="95"/>
        <v>256</v>
      </c>
      <c r="V775" s="157">
        <f ca="1">OFFSET(养成规划!$D$5,IFERROR(MATCH(U775,养成规划!$G$6:$G$38,1)+1,1),0)</f>
        <v>560</v>
      </c>
      <c r="W775" s="152">
        <f ca="1">((V775-_xlfn.MAXIFS($V$519:V774,$V$519:V774,"&lt;"&amp;V775))*$D$475)/COUNTIF($V$520:$V$819,V775)/6</f>
        <v>54.2005420054201</v>
      </c>
      <c r="X775" s="157">
        <f t="shared" si="85"/>
        <v>8</v>
      </c>
      <c r="Y775" s="151">
        <f t="shared" si="92"/>
        <v>1639</v>
      </c>
      <c r="Z775" s="156">
        <f ca="1">(SUM($W$520:W775)-SUM($Y$520:Y775))/SUM($W$520:W775)</f>
        <v>-0.888388403031131</v>
      </c>
      <c r="AA775" s="151">
        <f t="shared" si="86"/>
        <v>800</v>
      </c>
      <c r="AB775" s="153">
        <f t="shared" si="93"/>
        <v>155800</v>
      </c>
      <c r="AC775" s="153">
        <f>SUM(Y$520:Y775)</f>
        <v>175098</v>
      </c>
      <c r="AD775" s="153">
        <f>INT(SUM(AB$520:AB775))</f>
        <v>15699200</v>
      </c>
      <c r="AE775" s="153">
        <f ca="1">INT(AC775*6/($D$475+AVERAGE(OFFSET(装备产出!$F$186,0,0,W775))))+1</f>
        <v>764</v>
      </c>
      <c r="AF775" s="154">
        <f t="shared" si="87"/>
        <v>89.659504962935</v>
      </c>
    </row>
    <row r="776" ht="17.25" spans="4:32">
      <c r="D776" s="151">
        <f t="shared" si="94"/>
        <v>257</v>
      </c>
      <c r="E776" s="161" t="str">
        <f>IFERROR((INT(_xlfn.XLOOKUP(D776,养成规划!$G$6:$G$38,养成规划!$J$6:$J$38)/6)),"")</f>
        <v/>
      </c>
      <c r="F776" s="156" t="str">
        <f t="shared" si="96"/>
        <v/>
      </c>
      <c r="G776" s="157">
        <f t="shared" ref="G776:G819" si="97">_xlfn.XLOOKUP(_xlfn.MINIFS($E$481:$E$512,$E$481:$E$512,"&gt;="&amp;D776),$E$481:$E$512,$F$481:$F$512,0,0,1)</f>
        <v>105</v>
      </c>
      <c r="H776" s="151">
        <f t="shared" ref="H776:H819" si="98">I776*10</f>
        <v>110880</v>
      </c>
      <c r="I776" s="158">
        <f t="shared" si="88"/>
        <v>11088</v>
      </c>
      <c r="J776" s="159">
        <f ca="1" t="shared" si="89"/>
        <v>0.0165664711154092</v>
      </c>
      <c r="K776" s="157">
        <f t="shared" ref="K776:K819" si="99">AA776*0.05+Y776*3</f>
        <v>4981</v>
      </c>
      <c r="L776" s="160">
        <f ca="1" t="shared" si="90"/>
        <v>300667.532952564</v>
      </c>
      <c r="M776" s="157">
        <f t="shared" si="91"/>
        <v>47.4380952380952</v>
      </c>
      <c r="U776" s="151">
        <f t="shared" si="95"/>
        <v>257</v>
      </c>
      <c r="V776" s="157">
        <f ca="1">OFFSET(养成规划!$D$5,IFERROR(MATCH(U776,养成规划!$G$6:$G$38,1)+1,1),0)</f>
        <v>560</v>
      </c>
      <c r="W776" s="152">
        <f ca="1">((V776-_xlfn.MAXIFS($V$519:V775,$V$519:V775,"&lt;"&amp;V776))*$D$475)/COUNTIF($V$520:$V$819,V776)/6</f>
        <v>54.2005420054201</v>
      </c>
      <c r="X776" s="157">
        <f t="shared" ref="X776:X819" si="100">_xlfn.XLOOKUP(_xlfn.MINIFS($V$482:$V$500,$V$482:$V$500,"&gt;="&amp;U776),$V$482:$V$500,$W$482:$W$500,0,0,1)</f>
        <v>8</v>
      </c>
      <c r="Y776" s="151">
        <f t="shared" si="92"/>
        <v>1647</v>
      </c>
      <c r="Z776" s="156">
        <f ca="1">(SUM($W$520:W776)-SUM($Y$520:Y776))/SUM($W$520:W776)</f>
        <v>-0.905037319291166</v>
      </c>
      <c r="AA776" s="151">
        <f t="shared" ref="AA776:AA819" si="101">_xlfn.XLOOKUP(U776,$AA$482:$AA$516,$AB$482:$AB$516,0,0,1)+_xlfn.XLOOKUP(_xlfn.MINIFS($AA$482:$AA$516,$AA$482:$AA$516,"&gt;="&amp;U776),$AA$482:$AA$516,$AC$482:$AC$516,0,0,1)</f>
        <v>800</v>
      </c>
      <c r="AB776" s="153">
        <f t="shared" si="93"/>
        <v>156600</v>
      </c>
      <c r="AC776" s="153">
        <f>SUM(Y$520:Y776)</f>
        <v>176745</v>
      </c>
      <c r="AD776" s="153">
        <f>INT(SUM(AB$520:AB776))</f>
        <v>15855800</v>
      </c>
      <c r="AE776" s="153">
        <f ca="1">INT(AC776*6/($D$475+AVERAGE(OFFSET(装备产出!$F$186,0,0,W776))))+1</f>
        <v>771</v>
      </c>
      <c r="AF776" s="154">
        <f t="shared" ref="AF776:AF819" si="102">AD776/AC776</f>
        <v>89.7100342301055</v>
      </c>
    </row>
    <row r="777" ht="17.25" spans="4:32">
      <c r="D777" s="151">
        <f t="shared" si="94"/>
        <v>258</v>
      </c>
      <c r="E777" s="161" t="str">
        <f>IFERROR((INT(_xlfn.XLOOKUP(D777,养成规划!$G$6:$G$38,养成规划!$J$6:$J$38)/6)),"")</f>
        <v/>
      </c>
      <c r="F777" s="156" t="str">
        <f t="shared" si="96"/>
        <v/>
      </c>
      <c r="G777" s="157">
        <f t="shared" si="97"/>
        <v>105</v>
      </c>
      <c r="H777" s="151">
        <f t="shared" si="98"/>
        <v>111930</v>
      </c>
      <c r="I777" s="158">
        <f t="shared" ref="I777:I819" si="103">G777+I776</f>
        <v>11193</v>
      </c>
      <c r="J777" s="159">
        <f ca="1" t="shared" ref="J777:J819" si="104">LOG(G777/(I776+OFFSET($L$14,MIN(INT(D777/10)+1,25),0))+1,1.07)/6</f>
        <v>0.0164558022995102</v>
      </c>
      <c r="K777" s="157">
        <f t="shared" si="99"/>
        <v>5005</v>
      </c>
      <c r="L777" s="160">
        <f ca="1" t="shared" ref="L777:L819" si="105">K777/J777</f>
        <v>304148.03902627</v>
      </c>
      <c r="M777" s="157">
        <f t="shared" ref="M777:M819" si="106">K777/G777</f>
        <v>47.6666666666667</v>
      </c>
      <c r="U777" s="151">
        <f t="shared" si="95"/>
        <v>258</v>
      </c>
      <c r="V777" s="157">
        <f ca="1">OFFSET(养成规划!$D$5,IFERROR(MATCH(U777,养成规划!$G$6:$G$38,1)+1,1),0)</f>
        <v>560</v>
      </c>
      <c r="W777" s="152">
        <f ca="1">((V777-_xlfn.MAXIFS($V$519:V776,$V$519:V776,"&lt;"&amp;V777))*$D$475)/COUNTIF($V$520:$V$819,V777)/6</f>
        <v>54.2005420054201</v>
      </c>
      <c r="X777" s="157">
        <f t="shared" si="100"/>
        <v>8</v>
      </c>
      <c r="Y777" s="151">
        <f t="shared" ref="Y777:Y819" si="107">Y776+X777</f>
        <v>1655</v>
      </c>
      <c r="Z777" s="156">
        <f ca="1">(SUM($W$520:W777)-SUM($Y$520:Y777))/SUM($W$520:W777)</f>
        <v>-0.921752971648646</v>
      </c>
      <c r="AA777" s="151">
        <f t="shared" si="101"/>
        <v>800</v>
      </c>
      <c r="AB777" s="153">
        <f t="shared" ref="AB777:AB819" si="108">AB776+AA777</f>
        <v>157400</v>
      </c>
      <c r="AC777" s="153">
        <f>SUM(Y$520:Y777)</f>
        <v>178400</v>
      </c>
      <c r="AD777" s="153">
        <f>INT(SUM(AB$520:AB777))</f>
        <v>16013200</v>
      </c>
      <c r="AE777" s="153">
        <f ca="1">INT(AC777*6/($D$475+AVERAGE(OFFSET(装备产出!$F$186,0,0,W777))))+1</f>
        <v>779</v>
      </c>
      <c r="AF777" s="154">
        <f t="shared" si="102"/>
        <v>89.7600896860987</v>
      </c>
    </row>
    <row r="778" ht="17.25" spans="4:32">
      <c r="D778" s="151">
        <f t="shared" si="94"/>
        <v>259</v>
      </c>
      <c r="E778" s="161" t="str">
        <f>IFERROR((INT(_xlfn.XLOOKUP(D778,养成规划!$G$6:$G$38,养成规划!$J$6:$J$38)/6)),"")</f>
        <v/>
      </c>
      <c r="F778" s="156" t="str">
        <f t="shared" si="96"/>
        <v/>
      </c>
      <c r="G778" s="157">
        <f t="shared" si="97"/>
        <v>105</v>
      </c>
      <c r="H778" s="151">
        <f t="shared" si="98"/>
        <v>112980</v>
      </c>
      <c r="I778" s="158">
        <f t="shared" si="103"/>
        <v>11298</v>
      </c>
      <c r="J778" s="159">
        <f ca="1" t="shared" si="104"/>
        <v>0.0163466022764386</v>
      </c>
      <c r="K778" s="157">
        <f t="shared" si="99"/>
        <v>5029</v>
      </c>
      <c r="L778" s="160">
        <f ca="1" t="shared" si="105"/>
        <v>307648.030762248</v>
      </c>
      <c r="M778" s="157">
        <f t="shared" si="106"/>
        <v>47.8952380952381</v>
      </c>
      <c r="U778" s="151">
        <f t="shared" si="95"/>
        <v>259</v>
      </c>
      <c r="V778" s="157">
        <f ca="1">OFFSET(养成规划!$D$5,IFERROR(MATCH(U778,养成规划!$G$6:$G$38,1)+1,1),0)</f>
        <v>560</v>
      </c>
      <c r="W778" s="152">
        <f ca="1">((V778-_xlfn.MAXIFS($V$519:V777,$V$519:V777,"&lt;"&amp;V778))*$D$475)/COUNTIF($V$520:$V$819,V778)/6</f>
        <v>54.2005420054201</v>
      </c>
      <c r="X778" s="157">
        <f t="shared" si="100"/>
        <v>8</v>
      </c>
      <c r="Y778" s="151">
        <f t="shared" si="107"/>
        <v>1663</v>
      </c>
      <c r="Z778" s="156">
        <f ca="1">(SUM($W$520:W778)-SUM($Y$520:Y778))/SUM($W$520:W778)</f>
        <v>-0.938535243278808</v>
      </c>
      <c r="AA778" s="151">
        <f t="shared" si="101"/>
        <v>800</v>
      </c>
      <c r="AB778" s="153">
        <f t="shared" si="108"/>
        <v>158200</v>
      </c>
      <c r="AC778" s="153">
        <f>SUM(Y$520:Y778)</f>
        <v>180063</v>
      </c>
      <c r="AD778" s="153">
        <f>INT(SUM(AB$520:AB778))</f>
        <v>16171400</v>
      </c>
      <c r="AE778" s="153">
        <f ca="1">INT(AC778*6/($D$475+AVERAGE(OFFSET(装备产出!$F$186,0,0,W778))))+1</f>
        <v>786</v>
      </c>
      <c r="AF778" s="154">
        <f t="shared" si="102"/>
        <v>89.8096777239077</v>
      </c>
    </row>
    <row r="779" ht="17.25" spans="4:32">
      <c r="D779" s="151">
        <f t="shared" si="94"/>
        <v>260</v>
      </c>
      <c r="E779" s="161" t="str">
        <f>IFERROR((INT(_xlfn.XLOOKUP(D779,养成规划!$G$6:$G$38,养成规划!$J$6:$J$38)/6)),"")</f>
        <v/>
      </c>
      <c r="F779" s="156" t="str">
        <f t="shared" si="96"/>
        <v/>
      </c>
      <c r="G779" s="157">
        <f t="shared" si="97"/>
        <v>105</v>
      </c>
      <c r="H779" s="151">
        <f t="shared" si="98"/>
        <v>114030</v>
      </c>
      <c r="I779" s="158">
        <f t="shared" si="103"/>
        <v>11403</v>
      </c>
      <c r="J779" s="159">
        <f ca="1" t="shared" si="104"/>
        <v>0.016238841998197</v>
      </c>
      <c r="K779" s="157">
        <f t="shared" si="99"/>
        <v>5053</v>
      </c>
      <c r="L779" s="160">
        <f ca="1" t="shared" si="105"/>
        <v>311167.508161052</v>
      </c>
      <c r="M779" s="157">
        <f t="shared" si="106"/>
        <v>48.1238095238095</v>
      </c>
      <c r="U779" s="151">
        <f t="shared" si="95"/>
        <v>260</v>
      </c>
      <c r="V779" s="157">
        <f ca="1">OFFSET(养成规划!$D$5,IFERROR(MATCH(U779,养成规划!$G$6:$G$38,1)+1,1),0)</f>
        <v>560</v>
      </c>
      <c r="W779" s="152">
        <f ca="1">((V779-_xlfn.MAXIFS($V$519:V778,$V$519:V778,"&lt;"&amp;V779))*$D$475)/COUNTIF($V$520:$V$819,V779)/6</f>
        <v>54.2005420054201</v>
      </c>
      <c r="X779" s="157">
        <f t="shared" si="100"/>
        <v>8</v>
      </c>
      <c r="Y779" s="151">
        <f t="shared" si="107"/>
        <v>1671</v>
      </c>
      <c r="Z779" s="156">
        <f ca="1">(SUM($W$520:W779)-SUM($Y$520:Y779))/SUM($W$520:W779)</f>
        <v>-0.955384017629407</v>
      </c>
      <c r="AA779" s="151">
        <f t="shared" si="101"/>
        <v>800</v>
      </c>
      <c r="AB779" s="153">
        <f t="shared" si="108"/>
        <v>159000</v>
      </c>
      <c r="AC779" s="153">
        <f>SUM(Y$520:Y779)</f>
        <v>181734</v>
      </c>
      <c r="AD779" s="153">
        <f>INT(SUM(AB$520:AB779))</f>
        <v>16330400</v>
      </c>
      <c r="AE779" s="153">
        <f ca="1">INT(AC779*6/($D$475+AVERAGE(OFFSET(装备产出!$F$186,0,0,W779))))+1</f>
        <v>793</v>
      </c>
      <c r="AF779" s="154">
        <f t="shared" si="102"/>
        <v>89.8588046265421</v>
      </c>
    </row>
    <row r="780" ht="17.25" spans="4:32">
      <c r="D780" s="151">
        <f t="shared" si="94"/>
        <v>261</v>
      </c>
      <c r="E780" s="161" t="str">
        <f>IFERROR((INT(_xlfn.XLOOKUP(D780,养成规划!$G$6:$G$38,养成规划!$J$6:$J$38)/6)),"")</f>
        <v/>
      </c>
      <c r="F780" s="156" t="str">
        <f t="shared" si="96"/>
        <v/>
      </c>
      <c r="G780" s="157">
        <f t="shared" si="97"/>
        <v>105</v>
      </c>
      <c r="H780" s="151">
        <f t="shared" si="98"/>
        <v>115080</v>
      </c>
      <c r="I780" s="158">
        <f t="shared" si="103"/>
        <v>11508</v>
      </c>
      <c r="J780" s="159">
        <f ca="1" t="shared" si="104"/>
        <v>0.0161324931777411</v>
      </c>
      <c r="K780" s="157">
        <f t="shared" si="99"/>
        <v>5077</v>
      </c>
      <c r="L780" s="160">
        <f ca="1" t="shared" si="105"/>
        <v>314706.471223246</v>
      </c>
      <c r="M780" s="157">
        <f t="shared" si="106"/>
        <v>48.352380952381</v>
      </c>
      <c r="U780" s="151">
        <f t="shared" si="95"/>
        <v>261</v>
      </c>
      <c r="V780" s="157">
        <f ca="1">OFFSET(养成规划!$D$5,IFERROR(MATCH(U780,养成规划!$G$6:$G$38,1)+1,1),0)</f>
        <v>560</v>
      </c>
      <c r="W780" s="152">
        <f ca="1">((V780-_xlfn.MAXIFS($V$519:V779,$V$519:V779,"&lt;"&amp;V780))*$D$475)/COUNTIF($V$520:$V$819,V780)/6</f>
        <v>54.2005420054201</v>
      </c>
      <c r="X780" s="157">
        <f t="shared" si="100"/>
        <v>8</v>
      </c>
      <c r="Y780" s="151">
        <f t="shared" si="107"/>
        <v>1679</v>
      </c>
      <c r="Z780" s="156">
        <f ca="1">(SUM($W$520:W780)-SUM($Y$520:Y780))/SUM($W$520:W780)</f>
        <v>-0.97229917841992</v>
      </c>
      <c r="AA780" s="151">
        <f t="shared" si="101"/>
        <v>800</v>
      </c>
      <c r="AB780" s="153">
        <f t="shared" si="108"/>
        <v>159800</v>
      </c>
      <c r="AC780" s="153">
        <f>SUM(Y$520:Y780)</f>
        <v>183413</v>
      </c>
      <c r="AD780" s="153">
        <f>INT(SUM(AB$520:AB780))</f>
        <v>16490200</v>
      </c>
      <c r="AE780" s="153">
        <f ca="1">INT(AC780*6/($D$475+AVERAGE(OFFSET(装备产出!$F$186,0,0,W780))))+1</f>
        <v>801</v>
      </c>
      <c r="AF780" s="154">
        <f t="shared" si="102"/>
        <v>89.9074765692726</v>
      </c>
    </row>
    <row r="781" ht="17.25" spans="4:32">
      <c r="D781" s="151">
        <f t="shared" si="94"/>
        <v>262</v>
      </c>
      <c r="E781" s="161" t="str">
        <f>IFERROR((INT(_xlfn.XLOOKUP(D781,养成规划!$G$6:$G$38,养成规划!$J$6:$J$38)/6)),"")</f>
        <v/>
      </c>
      <c r="F781" s="156" t="str">
        <f t="shared" si="96"/>
        <v/>
      </c>
      <c r="G781" s="157">
        <f t="shared" si="97"/>
        <v>105</v>
      </c>
      <c r="H781" s="151">
        <f t="shared" si="98"/>
        <v>116130</v>
      </c>
      <c r="I781" s="158">
        <f t="shared" si="103"/>
        <v>11613</v>
      </c>
      <c r="J781" s="159">
        <f ca="1" t="shared" si="104"/>
        <v>0.0160275282642258</v>
      </c>
      <c r="K781" s="157">
        <f t="shared" si="99"/>
        <v>5101</v>
      </c>
      <c r="L781" s="160">
        <f ca="1" t="shared" si="105"/>
        <v>318264.919949363</v>
      </c>
      <c r="M781" s="157">
        <f t="shared" si="106"/>
        <v>48.5809523809524</v>
      </c>
      <c r="U781" s="151">
        <f t="shared" si="95"/>
        <v>262</v>
      </c>
      <c r="V781" s="157">
        <f ca="1">OFFSET(养成规划!$D$5,IFERROR(MATCH(U781,养成规划!$G$6:$G$38,1)+1,1),0)</f>
        <v>560</v>
      </c>
      <c r="W781" s="152">
        <f ca="1">((V781-_xlfn.MAXIFS($V$519:V780,$V$519:V780,"&lt;"&amp;V781))*$D$475)/COUNTIF($V$520:$V$819,V781)/6</f>
        <v>54.2005420054201</v>
      </c>
      <c r="X781" s="157">
        <f t="shared" si="100"/>
        <v>8</v>
      </c>
      <c r="Y781" s="151">
        <f t="shared" si="107"/>
        <v>1687</v>
      </c>
      <c r="Z781" s="156">
        <f ca="1">(SUM($W$520:W781)-SUM($Y$520:Y781))/SUM($W$520:W781)</f>
        <v>-0.989280609640755</v>
      </c>
      <c r="AA781" s="151">
        <f t="shared" si="101"/>
        <v>800</v>
      </c>
      <c r="AB781" s="153">
        <f t="shared" si="108"/>
        <v>160600</v>
      </c>
      <c r="AC781" s="153">
        <f>SUM(Y$520:Y781)</f>
        <v>185100</v>
      </c>
      <c r="AD781" s="153">
        <f>INT(SUM(AB$520:AB781))</f>
        <v>16650800</v>
      </c>
      <c r="AE781" s="153">
        <f ca="1">INT(AC781*6/($D$475+AVERAGE(OFFSET(装备产出!$F$186,0,0,W781))))+1</f>
        <v>808</v>
      </c>
      <c r="AF781" s="154">
        <f t="shared" si="102"/>
        <v>89.955699621826</v>
      </c>
    </row>
    <row r="782" ht="17.25" spans="4:32">
      <c r="D782" s="151">
        <f t="shared" si="94"/>
        <v>263</v>
      </c>
      <c r="E782" s="161" t="str">
        <f>IFERROR((INT(_xlfn.XLOOKUP(D782,养成规划!$G$6:$G$38,养成规划!$J$6:$J$38)/6)),"")</f>
        <v/>
      </c>
      <c r="F782" s="156" t="str">
        <f t="shared" si="96"/>
        <v/>
      </c>
      <c r="G782" s="157">
        <f t="shared" si="97"/>
        <v>105</v>
      </c>
      <c r="H782" s="151">
        <f t="shared" si="98"/>
        <v>117180</v>
      </c>
      <c r="I782" s="158">
        <f t="shared" si="103"/>
        <v>11718</v>
      </c>
      <c r="J782" s="159">
        <f ca="1" t="shared" si="104"/>
        <v>0.0159239204192095</v>
      </c>
      <c r="K782" s="157">
        <f t="shared" si="99"/>
        <v>5125</v>
      </c>
      <c r="L782" s="160">
        <f ca="1" t="shared" si="105"/>
        <v>321842.854339912</v>
      </c>
      <c r="M782" s="157">
        <f t="shared" si="106"/>
        <v>48.8095238095238</v>
      </c>
      <c r="U782" s="151">
        <f t="shared" si="95"/>
        <v>263</v>
      </c>
      <c r="V782" s="157">
        <f ca="1">OFFSET(养成规划!$D$5,IFERROR(MATCH(U782,养成规划!$G$6:$G$38,1)+1,1),0)</f>
        <v>560</v>
      </c>
      <c r="W782" s="152">
        <f ca="1">((V782-_xlfn.MAXIFS($V$519:V781,$V$519:V781,"&lt;"&amp;V782))*$D$475)/COUNTIF($V$520:$V$819,V782)/6</f>
        <v>54.2005420054201</v>
      </c>
      <c r="X782" s="157">
        <f t="shared" si="100"/>
        <v>8</v>
      </c>
      <c r="Y782" s="151">
        <f t="shared" si="107"/>
        <v>1695</v>
      </c>
      <c r="Z782" s="156">
        <f ca="1">(SUM($W$520:W782)-SUM($Y$520:Y782))/SUM($W$520:W782)</f>
        <v>-1.00632819555247</v>
      </c>
      <c r="AA782" s="151">
        <f t="shared" si="101"/>
        <v>800</v>
      </c>
      <c r="AB782" s="153">
        <f t="shared" si="108"/>
        <v>161400</v>
      </c>
      <c r="AC782" s="153">
        <f>SUM(Y$520:Y782)</f>
        <v>186795</v>
      </c>
      <c r="AD782" s="153">
        <f>INT(SUM(AB$520:AB782))</f>
        <v>16812200</v>
      </c>
      <c r="AE782" s="153">
        <f ca="1">INT(AC782*6/($D$475+AVERAGE(OFFSET(装备产出!$F$186,0,0,W782))))+1</f>
        <v>815</v>
      </c>
      <c r="AF782" s="154">
        <f t="shared" si="102"/>
        <v>90.0034797505287</v>
      </c>
    </row>
    <row r="783" ht="17.25" spans="4:32">
      <c r="D783" s="151">
        <f t="shared" si="94"/>
        <v>264</v>
      </c>
      <c r="E783" s="161" t="str">
        <f>IFERROR((INT(_xlfn.XLOOKUP(D783,养成规划!$G$6:$G$38,养成规划!$J$6:$J$38)/6)),"")</f>
        <v/>
      </c>
      <c r="F783" s="156" t="str">
        <f t="shared" si="96"/>
        <v/>
      </c>
      <c r="G783" s="157">
        <f t="shared" si="97"/>
        <v>105</v>
      </c>
      <c r="H783" s="151">
        <f t="shared" si="98"/>
        <v>118230</v>
      </c>
      <c r="I783" s="158">
        <f t="shared" si="103"/>
        <v>11823</v>
      </c>
      <c r="J783" s="159">
        <f ca="1" t="shared" si="104"/>
        <v>0.015821643493773</v>
      </c>
      <c r="K783" s="157">
        <f t="shared" si="99"/>
        <v>5149</v>
      </c>
      <c r="L783" s="160">
        <f ca="1" t="shared" si="105"/>
        <v>325440.274395419</v>
      </c>
      <c r="M783" s="157">
        <f t="shared" si="106"/>
        <v>49.0380952380952</v>
      </c>
      <c r="U783" s="151">
        <f t="shared" si="95"/>
        <v>264</v>
      </c>
      <c r="V783" s="157">
        <f ca="1">OFFSET(养成规划!$D$5,IFERROR(MATCH(U783,养成规划!$G$6:$G$38,1)+1,1),0)</f>
        <v>560</v>
      </c>
      <c r="W783" s="152">
        <f ca="1">((V783-_xlfn.MAXIFS($V$519:V782,$V$519:V782,"&lt;"&amp;V783))*$D$475)/COUNTIF($V$520:$V$819,V783)/6</f>
        <v>54.2005420054201</v>
      </c>
      <c r="X783" s="157">
        <f t="shared" si="100"/>
        <v>8</v>
      </c>
      <c r="Y783" s="151">
        <f t="shared" si="107"/>
        <v>1703</v>
      </c>
      <c r="Z783" s="156">
        <f ca="1">(SUM($W$520:W783)-SUM($Y$520:Y783))/SUM($W$520:W783)</f>
        <v>-1.02344182068496</v>
      </c>
      <c r="AA783" s="151">
        <f t="shared" si="101"/>
        <v>800</v>
      </c>
      <c r="AB783" s="153">
        <f t="shared" si="108"/>
        <v>162200</v>
      </c>
      <c r="AC783" s="153">
        <f>SUM(Y$520:Y783)</f>
        <v>188498</v>
      </c>
      <c r="AD783" s="153">
        <f>INT(SUM(AB$520:AB783))</f>
        <v>16974400</v>
      </c>
      <c r="AE783" s="153">
        <f ca="1">INT(AC783*6/($D$475+AVERAGE(OFFSET(装备产出!$F$186,0,0,W783))))+1</f>
        <v>823</v>
      </c>
      <c r="AF783" s="154">
        <f t="shared" si="102"/>
        <v>90.0508228204013</v>
      </c>
    </row>
    <row r="784" ht="17.25" spans="4:32">
      <c r="D784" s="151">
        <f t="shared" ref="D784:D819" si="109">D783+1</f>
        <v>265</v>
      </c>
      <c r="E784" s="161" t="str">
        <f>IFERROR((INT(_xlfn.XLOOKUP(D784,养成规划!$G$6:$G$38,养成规划!$J$6:$J$38)/6)),"")</f>
        <v/>
      </c>
      <c r="F784" s="156" t="str">
        <f t="shared" si="96"/>
        <v/>
      </c>
      <c r="G784" s="157">
        <f t="shared" si="97"/>
        <v>105</v>
      </c>
      <c r="H784" s="151">
        <f t="shared" si="98"/>
        <v>119280</v>
      </c>
      <c r="I784" s="158">
        <f t="shared" si="103"/>
        <v>11928</v>
      </c>
      <c r="J784" s="159">
        <f ca="1" t="shared" si="104"/>
        <v>0.0157206720065212</v>
      </c>
      <c r="K784" s="157">
        <f t="shared" si="99"/>
        <v>5173</v>
      </c>
      <c r="L784" s="160">
        <f ca="1" t="shared" si="105"/>
        <v>329057.180116355</v>
      </c>
      <c r="M784" s="157">
        <f t="shared" si="106"/>
        <v>49.2666666666667</v>
      </c>
      <c r="U784" s="151">
        <f t="shared" ref="U784:U819" si="110">U783+1</f>
        <v>265</v>
      </c>
      <c r="V784" s="157">
        <f ca="1">OFFSET(养成规划!$D$5,IFERROR(MATCH(U784,养成规划!$G$6:$G$38,1)+1,1),0)</f>
        <v>560</v>
      </c>
      <c r="W784" s="152">
        <f ca="1">((V784-_xlfn.MAXIFS($V$519:V783,$V$519:V783,"&lt;"&amp;V784))*$D$475)/COUNTIF($V$520:$V$819,V784)/6</f>
        <v>54.2005420054201</v>
      </c>
      <c r="X784" s="157">
        <f t="shared" si="100"/>
        <v>8</v>
      </c>
      <c r="Y784" s="151">
        <f t="shared" si="107"/>
        <v>1711</v>
      </c>
      <c r="Z784" s="156">
        <f ca="1">(SUM($W$520:W784)-SUM($Y$520:Y784))/SUM($W$520:W784)</f>
        <v>-1.04062136983673</v>
      </c>
      <c r="AA784" s="151">
        <f t="shared" si="101"/>
        <v>800</v>
      </c>
      <c r="AB784" s="153">
        <f t="shared" si="108"/>
        <v>163000</v>
      </c>
      <c r="AC784" s="153">
        <f>SUM(Y$520:Y784)</f>
        <v>190209</v>
      </c>
      <c r="AD784" s="153">
        <f>INT(SUM(AB$520:AB784))</f>
        <v>17137400</v>
      </c>
      <c r="AE784" s="153">
        <f ca="1">INT(AC784*6/($D$475+AVERAGE(OFFSET(装备产出!$F$186,0,0,W784))))+1</f>
        <v>830</v>
      </c>
      <c r="AF784" s="154">
        <f t="shared" si="102"/>
        <v>90.0977345972062</v>
      </c>
    </row>
    <row r="785" ht="17.25" spans="4:32">
      <c r="D785" s="151">
        <f t="shared" si="109"/>
        <v>266</v>
      </c>
      <c r="E785" s="161" t="str">
        <f>IFERROR((INT(_xlfn.XLOOKUP(D785,养成规划!$G$6:$G$38,养成规划!$J$6:$J$38)/6)),"")</f>
        <v/>
      </c>
      <c r="F785" s="156" t="str">
        <f t="shared" si="96"/>
        <v/>
      </c>
      <c r="G785" s="157">
        <f t="shared" si="97"/>
        <v>110</v>
      </c>
      <c r="H785" s="151">
        <f t="shared" si="98"/>
        <v>120380</v>
      </c>
      <c r="I785" s="158">
        <f t="shared" si="103"/>
        <v>12038</v>
      </c>
      <c r="J785" s="159">
        <f ca="1" t="shared" si="104"/>
        <v>0.0163623722321212</v>
      </c>
      <c r="K785" s="157">
        <f t="shared" si="99"/>
        <v>5197</v>
      </c>
      <c r="L785" s="160">
        <f ca="1" t="shared" si="105"/>
        <v>317618.981298917</v>
      </c>
      <c r="M785" s="157">
        <f t="shared" si="106"/>
        <v>47.2454545454545</v>
      </c>
      <c r="U785" s="151">
        <f t="shared" si="110"/>
        <v>266</v>
      </c>
      <c r="V785" s="157">
        <f ca="1">OFFSET(养成规划!$D$5,IFERROR(MATCH(U785,养成规划!$G$6:$G$38,1)+1,1),0)</f>
        <v>560</v>
      </c>
      <c r="W785" s="152">
        <f ca="1">((V785-_xlfn.MAXIFS($V$519:V784,$V$519:V784,"&lt;"&amp;V785))*$D$475)/COUNTIF($V$520:$V$819,V785)/6</f>
        <v>54.2005420054201</v>
      </c>
      <c r="X785" s="157">
        <f t="shared" si="100"/>
        <v>8</v>
      </c>
      <c r="Y785" s="151">
        <f t="shared" si="107"/>
        <v>1719</v>
      </c>
      <c r="Z785" s="156">
        <f ca="1">(SUM($W$520:W785)-SUM($Y$520:Y785))/SUM($W$520:W785)</f>
        <v>-1.05786672807405</v>
      </c>
      <c r="AA785" s="151">
        <f t="shared" si="101"/>
        <v>800</v>
      </c>
      <c r="AB785" s="153">
        <f t="shared" si="108"/>
        <v>163800</v>
      </c>
      <c r="AC785" s="153">
        <f>SUM(Y$520:Y785)</f>
        <v>191928</v>
      </c>
      <c r="AD785" s="153">
        <f>INT(SUM(AB$520:AB785))</f>
        <v>17301200</v>
      </c>
      <c r="AE785" s="153">
        <f ca="1">INT(AC785*6/($D$475+AVERAGE(OFFSET(装备产出!$F$186,0,0,W785))))+1</f>
        <v>838</v>
      </c>
      <c r="AF785" s="154">
        <f t="shared" si="102"/>
        <v>90.1442207494477</v>
      </c>
    </row>
    <row r="786" ht="17.25" spans="4:32">
      <c r="D786" s="151">
        <f t="shared" si="109"/>
        <v>267</v>
      </c>
      <c r="E786" s="161" t="str">
        <f>IFERROR((INT(_xlfn.XLOOKUP(D786,养成规划!$G$6:$G$38,养成规划!$J$6:$J$38)/6)),"")</f>
        <v/>
      </c>
      <c r="F786" s="156" t="str">
        <f t="shared" si="96"/>
        <v/>
      </c>
      <c r="G786" s="157">
        <f t="shared" si="97"/>
        <v>110</v>
      </c>
      <c r="H786" s="151">
        <f t="shared" si="98"/>
        <v>121480</v>
      </c>
      <c r="I786" s="158">
        <f t="shared" si="103"/>
        <v>12148</v>
      </c>
      <c r="J786" s="159">
        <f ca="1" t="shared" si="104"/>
        <v>0.0162544046216706</v>
      </c>
      <c r="K786" s="157">
        <f t="shared" si="99"/>
        <v>5221</v>
      </c>
      <c r="L786" s="160">
        <f ca="1" t="shared" si="105"/>
        <v>321205.24384137</v>
      </c>
      <c r="M786" s="157">
        <f t="shared" si="106"/>
        <v>47.4636363636364</v>
      </c>
      <c r="U786" s="151">
        <f t="shared" si="110"/>
        <v>267</v>
      </c>
      <c r="V786" s="157">
        <f ca="1">OFFSET(养成规划!$D$5,IFERROR(MATCH(U786,养成规划!$G$6:$G$38,1)+1,1),0)</f>
        <v>560</v>
      </c>
      <c r="W786" s="152">
        <f ca="1">((V786-_xlfn.MAXIFS($V$519:V785,$V$519:V785,"&lt;"&amp;V786))*$D$475)/COUNTIF($V$520:$V$819,V786)/6</f>
        <v>54.2005420054201</v>
      </c>
      <c r="X786" s="157">
        <f t="shared" si="100"/>
        <v>8</v>
      </c>
      <c r="Y786" s="151">
        <f t="shared" si="107"/>
        <v>1727</v>
      </c>
      <c r="Z786" s="156">
        <f ca="1">(SUM($W$520:W786)-SUM($Y$520:Y786))/SUM($W$520:W786)</f>
        <v>-1.0751777807302</v>
      </c>
      <c r="AA786" s="151">
        <f t="shared" si="101"/>
        <v>800</v>
      </c>
      <c r="AB786" s="153">
        <f t="shared" si="108"/>
        <v>164600</v>
      </c>
      <c r="AC786" s="153">
        <f>SUM(Y$520:Y786)</f>
        <v>193655</v>
      </c>
      <c r="AD786" s="153">
        <f>INT(SUM(AB$520:AB786))</f>
        <v>17465800</v>
      </c>
      <c r="AE786" s="153">
        <f ca="1">INT(AC786*6/($D$475+AVERAGE(OFFSET(装备产出!$F$186,0,0,W786))))+1</f>
        <v>845</v>
      </c>
      <c r="AF786" s="154">
        <f t="shared" si="102"/>
        <v>90.1902868503266</v>
      </c>
    </row>
    <row r="787" ht="17.25" spans="4:32">
      <c r="D787" s="151">
        <f t="shared" si="109"/>
        <v>268</v>
      </c>
      <c r="E787" s="161" t="str">
        <f>IFERROR((INT(_xlfn.XLOOKUP(D787,养成规划!$G$6:$G$38,养成规划!$J$6:$J$38)/6)),"")</f>
        <v/>
      </c>
      <c r="F787" s="156" t="str">
        <f t="shared" ref="F787:F819" si="111">IF(E787="","",(I787-E787)/E787)</f>
        <v/>
      </c>
      <c r="G787" s="157">
        <f t="shared" si="97"/>
        <v>110</v>
      </c>
      <c r="H787" s="151">
        <f t="shared" si="98"/>
        <v>122580</v>
      </c>
      <c r="I787" s="158">
        <f t="shared" si="103"/>
        <v>12258</v>
      </c>
      <c r="J787" s="159">
        <f ca="1" t="shared" si="104"/>
        <v>0.0161478525310894</v>
      </c>
      <c r="K787" s="157">
        <f t="shared" si="99"/>
        <v>5245</v>
      </c>
      <c r="L787" s="160">
        <f ca="1" t="shared" si="105"/>
        <v>324810.992043792</v>
      </c>
      <c r="M787" s="157">
        <f t="shared" si="106"/>
        <v>47.6818181818182</v>
      </c>
      <c r="U787" s="151">
        <f t="shared" si="110"/>
        <v>268</v>
      </c>
      <c r="V787" s="157">
        <f ca="1">OFFSET(养成规划!$D$5,IFERROR(MATCH(U787,养成规划!$G$6:$G$38,1)+1,1),0)</f>
        <v>560</v>
      </c>
      <c r="W787" s="152">
        <f ca="1">((V787-_xlfn.MAXIFS($V$519:V786,$V$519:V786,"&lt;"&amp;V787))*$D$475)/COUNTIF($V$520:$V$819,V787)/6</f>
        <v>54.2005420054201</v>
      </c>
      <c r="X787" s="157">
        <f t="shared" si="100"/>
        <v>8</v>
      </c>
      <c r="Y787" s="151">
        <f t="shared" si="107"/>
        <v>1735</v>
      </c>
      <c r="Z787" s="156">
        <f ca="1">(SUM($W$520:W787)-SUM($Y$520:Y787))/SUM($W$520:W787)</f>
        <v>-1.09255441340474</v>
      </c>
      <c r="AA787" s="151">
        <f t="shared" si="101"/>
        <v>800</v>
      </c>
      <c r="AB787" s="153">
        <f t="shared" si="108"/>
        <v>165400</v>
      </c>
      <c r="AC787" s="153">
        <f>SUM(Y$520:Y787)</f>
        <v>195390</v>
      </c>
      <c r="AD787" s="153">
        <f>INT(SUM(AB$520:AB787))</f>
        <v>17631200</v>
      </c>
      <c r="AE787" s="153">
        <f ca="1">INT(AC787*6/($D$475+AVERAGE(OFFSET(装备产出!$F$186,0,0,W787))))+1</f>
        <v>853</v>
      </c>
      <c r="AF787" s="154">
        <f t="shared" si="102"/>
        <v>90.235938379651</v>
      </c>
    </row>
    <row r="788" ht="17.25" spans="4:32">
      <c r="D788" s="151">
        <f t="shared" si="109"/>
        <v>269</v>
      </c>
      <c r="E788" s="161" t="str">
        <f>IFERROR((INT(_xlfn.XLOOKUP(D788,养成规划!$G$6:$G$38,养成规划!$J$6:$J$38)/6)),"")</f>
        <v/>
      </c>
      <c r="F788" s="156" t="str">
        <f t="shared" si="111"/>
        <v/>
      </c>
      <c r="G788" s="157">
        <f t="shared" si="97"/>
        <v>110</v>
      </c>
      <c r="H788" s="151">
        <f t="shared" si="98"/>
        <v>123680</v>
      </c>
      <c r="I788" s="158">
        <f t="shared" si="103"/>
        <v>12368</v>
      </c>
      <c r="J788" s="159">
        <f ca="1" t="shared" si="104"/>
        <v>0.0160426883041069</v>
      </c>
      <c r="K788" s="157">
        <f t="shared" si="99"/>
        <v>5269</v>
      </c>
      <c r="L788" s="160">
        <f ca="1" t="shared" si="105"/>
        <v>328436.225906797</v>
      </c>
      <c r="M788" s="157">
        <f t="shared" si="106"/>
        <v>47.9</v>
      </c>
      <c r="U788" s="151">
        <f t="shared" si="110"/>
        <v>269</v>
      </c>
      <c r="V788" s="157">
        <f ca="1">OFFSET(养成规划!$D$5,IFERROR(MATCH(U788,养成规划!$G$6:$G$38,1)+1,1),0)</f>
        <v>560</v>
      </c>
      <c r="W788" s="152">
        <f ca="1">((V788-_xlfn.MAXIFS($V$519:V787,$V$519:V787,"&lt;"&amp;V788))*$D$475)/COUNTIF($V$520:$V$819,V788)/6</f>
        <v>54.2005420054201</v>
      </c>
      <c r="X788" s="157">
        <f t="shared" si="100"/>
        <v>8</v>
      </c>
      <c r="Y788" s="151">
        <f t="shared" si="107"/>
        <v>1743</v>
      </c>
      <c r="Z788" s="156">
        <f ca="1">(SUM($W$520:W788)-SUM($Y$520:Y788))/SUM($W$520:W788)</f>
        <v>-1.10999651196267</v>
      </c>
      <c r="AA788" s="151">
        <f t="shared" si="101"/>
        <v>800</v>
      </c>
      <c r="AB788" s="153">
        <f t="shared" si="108"/>
        <v>166200</v>
      </c>
      <c r="AC788" s="153">
        <f>SUM(Y$520:Y788)</f>
        <v>197133</v>
      </c>
      <c r="AD788" s="153">
        <f>INT(SUM(AB$520:AB788))</f>
        <v>17797400</v>
      </c>
      <c r="AE788" s="153">
        <f ca="1">INT(AC788*6/($D$475+AVERAGE(OFFSET(装备产出!$F$186,0,0,W788))))+1</f>
        <v>860</v>
      </c>
      <c r="AF788" s="154">
        <f t="shared" si="102"/>
        <v>90.281180725703</v>
      </c>
    </row>
    <row r="789" ht="17.25" spans="4:32">
      <c r="D789" s="151">
        <f t="shared" si="109"/>
        <v>270</v>
      </c>
      <c r="E789" s="161" t="str">
        <f>IFERROR((INT(_xlfn.XLOOKUP(D789,养成规划!$G$6:$G$38,养成规划!$J$6:$J$38)/6)),"")</f>
        <v/>
      </c>
      <c r="F789" s="156" t="str">
        <f t="shared" si="111"/>
        <v/>
      </c>
      <c r="G789" s="157">
        <f t="shared" si="97"/>
        <v>110</v>
      </c>
      <c r="H789" s="151">
        <f t="shared" si="98"/>
        <v>124780</v>
      </c>
      <c r="I789" s="158">
        <f t="shared" si="103"/>
        <v>12478</v>
      </c>
      <c r="J789" s="159">
        <f ca="1" t="shared" si="104"/>
        <v>0.0159388850002552</v>
      </c>
      <c r="K789" s="157">
        <f t="shared" si="99"/>
        <v>5293</v>
      </c>
      <c r="L789" s="160">
        <f ca="1" t="shared" si="105"/>
        <v>332080.945430955</v>
      </c>
      <c r="M789" s="157">
        <f t="shared" si="106"/>
        <v>48.1181818181818</v>
      </c>
      <c r="U789" s="151">
        <f t="shared" si="110"/>
        <v>270</v>
      </c>
      <c r="V789" s="157">
        <f ca="1">OFFSET(养成规划!$D$5,IFERROR(MATCH(U789,养成规划!$G$6:$G$38,1)+1,1),0)</f>
        <v>560</v>
      </c>
      <c r="W789" s="152">
        <f ca="1">((V789-_xlfn.MAXIFS($V$519:V788,$V$519:V788,"&lt;"&amp;V789))*$D$475)/COUNTIF($V$520:$V$819,V789)/6</f>
        <v>54.2005420054201</v>
      </c>
      <c r="X789" s="157">
        <f t="shared" si="100"/>
        <v>8</v>
      </c>
      <c r="Y789" s="151">
        <f t="shared" si="107"/>
        <v>1751</v>
      </c>
      <c r="Z789" s="156">
        <f ca="1">(SUM($W$520:W789)-SUM($Y$520:Y789))/SUM($W$520:W789)</f>
        <v>-1.12750396253368</v>
      </c>
      <c r="AA789" s="151">
        <f t="shared" si="101"/>
        <v>800</v>
      </c>
      <c r="AB789" s="153">
        <f t="shared" si="108"/>
        <v>167000</v>
      </c>
      <c r="AC789" s="153">
        <f>SUM(Y$520:Y789)</f>
        <v>198884</v>
      </c>
      <c r="AD789" s="153">
        <f>INT(SUM(AB$520:AB789))</f>
        <v>17964400</v>
      </c>
      <c r="AE789" s="153">
        <f ca="1">INT(AC789*6/($D$475+AVERAGE(OFFSET(装备产出!$F$186,0,0,W789))))+1</f>
        <v>868</v>
      </c>
      <c r="AF789" s="154">
        <f t="shared" si="102"/>
        <v>90.3260191870638</v>
      </c>
    </row>
    <row r="790" ht="17.25" spans="4:32">
      <c r="D790" s="151">
        <f t="shared" si="109"/>
        <v>271</v>
      </c>
      <c r="E790" s="161" t="str">
        <f>IFERROR((INT(_xlfn.XLOOKUP(D790,养成规划!$G$6:$G$38,养成规划!$J$6:$J$38)/6)),"")</f>
        <v/>
      </c>
      <c r="F790" s="156" t="str">
        <f t="shared" si="111"/>
        <v/>
      </c>
      <c r="G790" s="157">
        <f t="shared" si="97"/>
        <v>110</v>
      </c>
      <c r="H790" s="151">
        <f t="shared" si="98"/>
        <v>125880</v>
      </c>
      <c r="I790" s="158">
        <f t="shared" si="103"/>
        <v>12588</v>
      </c>
      <c r="J790" s="159">
        <f ca="1" t="shared" si="104"/>
        <v>0.0158364163718569</v>
      </c>
      <c r="K790" s="157">
        <f t="shared" si="99"/>
        <v>5317</v>
      </c>
      <c r="L790" s="160">
        <f ca="1" t="shared" si="105"/>
        <v>335745.150616835</v>
      </c>
      <c r="M790" s="157">
        <f t="shared" si="106"/>
        <v>48.3363636363636</v>
      </c>
      <c r="U790" s="151">
        <f t="shared" si="110"/>
        <v>271</v>
      </c>
      <c r="V790" s="157">
        <f ca="1">OFFSET(养成规划!$D$5,IFERROR(MATCH(U790,养成规划!$G$6:$G$38,1)+1,1),0)</f>
        <v>560</v>
      </c>
      <c r="W790" s="152">
        <f ca="1">((V790-_xlfn.MAXIFS($V$519:V789,$V$519:V789,"&lt;"&amp;V790))*$D$475)/COUNTIF($V$520:$V$819,V790)/6</f>
        <v>54.2005420054201</v>
      </c>
      <c r="X790" s="157">
        <f t="shared" si="100"/>
        <v>8</v>
      </c>
      <c r="Y790" s="151">
        <f t="shared" si="107"/>
        <v>1759</v>
      </c>
      <c r="Z790" s="156">
        <f ca="1">(SUM($W$520:W790)-SUM($Y$520:Y790))/SUM($W$520:W790)</f>
        <v>-1.14507665151141</v>
      </c>
      <c r="AA790" s="151">
        <f t="shared" si="101"/>
        <v>800</v>
      </c>
      <c r="AB790" s="153">
        <f t="shared" si="108"/>
        <v>167800</v>
      </c>
      <c r="AC790" s="153">
        <f>SUM(Y$520:Y790)</f>
        <v>200643</v>
      </c>
      <c r="AD790" s="153">
        <f>INT(SUM(AB$520:AB790))</f>
        <v>18132200</v>
      </c>
      <c r="AE790" s="153">
        <f ca="1">INT(AC790*6/($D$475+AVERAGE(OFFSET(装备产出!$F$186,0,0,W790))))+1</f>
        <v>876</v>
      </c>
      <c r="AF790" s="154">
        <f t="shared" si="102"/>
        <v>90.3704589743973</v>
      </c>
    </row>
    <row r="791" ht="17.25" spans="4:32">
      <c r="D791" s="151">
        <f t="shared" si="109"/>
        <v>272</v>
      </c>
      <c r="E791" s="161" t="str">
        <f>IFERROR((INT(_xlfn.XLOOKUP(D791,养成规划!$G$6:$G$38,养成规划!$J$6:$J$38)/6)),"")</f>
        <v/>
      </c>
      <c r="F791" s="156" t="str">
        <f t="shared" si="111"/>
        <v/>
      </c>
      <c r="G791" s="157">
        <f t="shared" si="97"/>
        <v>110</v>
      </c>
      <c r="H791" s="151">
        <f t="shared" si="98"/>
        <v>126980</v>
      </c>
      <c r="I791" s="158">
        <f t="shared" si="103"/>
        <v>12698</v>
      </c>
      <c r="J791" s="159">
        <f ca="1" t="shared" si="104"/>
        <v>0.0157352568418982</v>
      </c>
      <c r="K791" s="157">
        <f t="shared" si="99"/>
        <v>5341</v>
      </c>
      <c r="L791" s="160">
        <f ca="1" t="shared" si="105"/>
        <v>339428.841465018</v>
      </c>
      <c r="M791" s="157">
        <f t="shared" si="106"/>
        <v>48.5545454545455</v>
      </c>
      <c r="U791" s="151">
        <f t="shared" si="110"/>
        <v>272</v>
      </c>
      <c r="V791" s="157">
        <f ca="1">OFFSET(养成规划!$D$5,IFERROR(MATCH(U791,养成规划!$G$6:$G$38,1)+1,1),0)</f>
        <v>560</v>
      </c>
      <c r="W791" s="152">
        <f ca="1">((V791-_xlfn.MAXIFS($V$519:V790,$V$519:V790,"&lt;"&amp;V791))*$D$475)/COUNTIF($V$520:$V$819,V791)/6</f>
        <v>54.2005420054201</v>
      </c>
      <c r="X791" s="157">
        <f t="shared" si="100"/>
        <v>8</v>
      </c>
      <c r="Y791" s="151">
        <f t="shared" si="107"/>
        <v>1767</v>
      </c>
      <c r="Z791" s="156">
        <f ca="1">(SUM($W$520:W791)-SUM($Y$520:Y791))/SUM($W$520:W791)</f>
        <v>-1.16271446555268</v>
      </c>
      <c r="AA791" s="151">
        <f t="shared" si="101"/>
        <v>800</v>
      </c>
      <c r="AB791" s="153">
        <f t="shared" si="108"/>
        <v>168600</v>
      </c>
      <c r="AC791" s="153">
        <f>SUM(Y$520:Y791)</f>
        <v>202410</v>
      </c>
      <c r="AD791" s="153">
        <f>INT(SUM(AB$520:AB791))</f>
        <v>18300800</v>
      </c>
      <c r="AE791" s="153">
        <f ca="1">INT(AC791*6/($D$475+AVERAGE(OFFSET(装备产出!$F$186,0,0,W791))))+1</f>
        <v>883</v>
      </c>
      <c r="AF791" s="154">
        <f t="shared" si="102"/>
        <v>90.4145052121931</v>
      </c>
    </row>
    <row r="792" ht="17.25" spans="4:32">
      <c r="D792" s="151">
        <f t="shared" si="109"/>
        <v>273</v>
      </c>
      <c r="E792" s="161" t="str">
        <f>IFERROR((INT(_xlfn.XLOOKUP(D792,养成规划!$G$6:$G$38,养成规划!$J$6:$J$38)/6)),"")</f>
        <v/>
      </c>
      <c r="F792" s="156" t="str">
        <f t="shared" si="111"/>
        <v/>
      </c>
      <c r="G792" s="157">
        <f t="shared" si="97"/>
        <v>110</v>
      </c>
      <c r="H792" s="151">
        <f t="shared" si="98"/>
        <v>128080</v>
      </c>
      <c r="I792" s="158">
        <f t="shared" si="103"/>
        <v>12808</v>
      </c>
      <c r="J792" s="159">
        <f ca="1" t="shared" si="104"/>
        <v>0.0156353814827472</v>
      </c>
      <c r="K792" s="157">
        <f t="shared" si="99"/>
        <v>5365</v>
      </c>
      <c r="L792" s="160">
        <f ca="1" t="shared" si="105"/>
        <v>343132.017976024</v>
      </c>
      <c r="M792" s="157">
        <f t="shared" si="106"/>
        <v>48.7727272727273</v>
      </c>
      <c r="U792" s="151">
        <f t="shared" si="110"/>
        <v>273</v>
      </c>
      <c r="V792" s="157">
        <f ca="1">OFFSET(养成规划!$D$5,IFERROR(MATCH(U792,养成规划!$G$6:$G$38,1)+1,1),0)</f>
        <v>560</v>
      </c>
      <c r="W792" s="152">
        <f ca="1">((V792-_xlfn.MAXIFS($V$519:V791,$V$519:V791,"&lt;"&amp;V792))*$D$475)/COUNTIF($V$520:$V$819,V792)/6</f>
        <v>54.2005420054201</v>
      </c>
      <c r="X792" s="157">
        <f t="shared" si="100"/>
        <v>8</v>
      </c>
      <c r="Y792" s="151">
        <f t="shared" si="107"/>
        <v>1775</v>
      </c>
      <c r="Z792" s="156">
        <f ca="1">(SUM($W$520:W792)-SUM($Y$520:Y792))/SUM($W$520:W792)</f>
        <v>-1.18041729157669</v>
      </c>
      <c r="AA792" s="151">
        <f t="shared" si="101"/>
        <v>800</v>
      </c>
      <c r="AB792" s="153">
        <f t="shared" si="108"/>
        <v>169400</v>
      </c>
      <c r="AC792" s="153">
        <f>SUM(Y$520:Y792)</f>
        <v>204185</v>
      </c>
      <c r="AD792" s="153">
        <f>INT(SUM(AB$520:AB792))</f>
        <v>18470200</v>
      </c>
      <c r="AE792" s="153">
        <f ca="1">INT(AC792*6/($D$475+AVERAGE(OFFSET(装备产出!$F$186,0,0,W792))))+1</f>
        <v>891</v>
      </c>
      <c r="AF792" s="154">
        <f t="shared" si="102"/>
        <v>90.4581629404707</v>
      </c>
    </row>
    <row r="793" ht="17.25" spans="4:32">
      <c r="D793" s="151">
        <f t="shared" si="109"/>
        <v>274</v>
      </c>
      <c r="E793" s="161" t="str">
        <f>IFERROR((INT(_xlfn.XLOOKUP(D793,养成规划!$G$6:$G$38,养成规划!$J$6:$J$38)/6)),"")</f>
        <v/>
      </c>
      <c r="F793" s="156" t="str">
        <f t="shared" si="111"/>
        <v/>
      </c>
      <c r="G793" s="157">
        <f t="shared" si="97"/>
        <v>110</v>
      </c>
      <c r="H793" s="151">
        <f t="shared" si="98"/>
        <v>129180</v>
      </c>
      <c r="I793" s="158">
        <f t="shared" si="103"/>
        <v>12918</v>
      </c>
      <c r="J793" s="159">
        <f ca="1" t="shared" si="104"/>
        <v>0.0155367659956717</v>
      </c>
      <c r="K793" s="157">
        <f t="shared" si="99"/>
        <v>5389</v>
      </c>
      <c r="L793" s="160">
        <f ca="1" t="shared" si="105"/>
        <v>346854.68015038</v>
      </c>
      <c r="M793" s="157">
        <f t="shared" si="106"/>
        <v>48.9909090909091</v>
      </c>
      <c r="U793" s="151">
        <f t="shared" si="110"/>
        <v>274</v>
      </c>
      <c r="V793" s="157">
        <f ca="1">OFFSET(养成规划!$D$5,IFERROR(MATCH(U793,养成规划!$G$6:$G$38,1)+1,1),0)</f>
        <v>560</v>
      </c>
      <c r="W793" s="152">
        <f ca="1">((V793-_xlfn.MAXIFS($V$519:V792,$V$519:V792,"&lt;"&amp;V793))*$D$475)/COUNTIF($V$520:$V$819,V793)/6</f>
        <v>54.2005420054201</v>
      </c>
      <c r="X793" s="157">
        <f t="shared" si="100"/>
        <v>8</v>
      </c>
      <c r="Y793" s="151">
        <f t="shared" si="107"/>
        <v>1783</v>
      </c>
      <c r="Z793" s="156">
        <f ca="1">(SUM($W$520:W793)-SUM($Y$520:Y793))/SUM($W$520:W793)</f>
        <v>-1.1981850167643</v>
      </c>
      <c r="AA793" s="151">
        <f t="shared" si="101"/>
        <v>800</v>
      </c>
      <c r="AB793" s="153">
        <f t="shared" si="108"/>
        <v>170200</v>
      </c>
      <c r="AC793" s="153">
        <f>SUM(Y$520:Y793)</f>
        <v>205968</v>
      </c>
      <c r="AD793" s="153">
        <f>INT(SUM(AB$520:AB793))</f>
        <v>18640400</v>
      </c>
      <c r="AE793" s="153">
        <f ca="1">INT(AC793*6/($D$475+AVERAGE(OFFSET(装备产出!$F$186,0,0,W793))))+1</f>
        <v>899</v>
      </c>
      <c r="AF793" s="154">
        <f t="shared" si="102"/>
        <v>90.5014371164453</v>
      </c>
    </row>
    <row r="794" ht="17.25" spans="4:32">
      <c r="D794" s="151">
        <f t="shared" si="109"/>
        <v>275</v>
      </c>
      <c r="E794" s="161" t="str">
        <f>IFERROR((INT(_xlfn.XLOOKUP(D794,养成规划!$G$6:$G$38,养成规划!$J$6:$J$38)/6)),"")</f>
        <v/>
      </c>
      <c r="F794" s="156" t="str">
        <f t="shared" si="111"/>
        <v/>
      </c>
      <c r="G794" s="157">
        <f t="shared" si="97"/>
        <v>110</v>
      </c>
      <c r="H794" s="151">
        <f t="shared" si="98"/>
        <v>130280</v>
      </c>
      <c r="I794" s="158">
        <f t="shared" si="103"/>
        <v>13028</v>
      </c>
      <c r="J794" s="159">
        <f ca="1" t="shared" si="104"/>
        <v>0.0154393866911302</v>
      </c>
      <c r="K794" s="157">
        <f t="shared" si="99"/>
        <v>5413</v>
      </c>
      <c r="L794" s="160">
        <f ca="1" t="shared" si="105"/>
        <v>350596.827988622</v>
      </c>
      <c r="M794" s="157">
        <f t="shared" si="106"/>
        <v>49.2090909090909</v>
      </c>
      <c r="U794" s="151">
        <f t="shared" si="110"/>
        <v>275</v>
      </c>
      <c r="V794" s="157">
        <f ca="1">OFFSET(养成规划!$D$5,IFERROR(MATCH(U794,养成规划!$G$6:$G$38,1)+1,1),0)</f>
        <v>560</v>
      </c>
      <c r="W794" s="152">
        <f ca="1">((V794-_xlfn.MAXIFS($V$519:V793,$V$519:V793,"&lt;"&amp;V794))*$D$475)/COUNTIF($V$520:$V$819,V794)/6</f>
        <v>54.2005420054201</v>
      </c>
      <c r="X794" s="157">
        <f t="shared" si="100"/>
        <v>8</v>
      </c>
      <c r="Y794" s="151">
        <f t="shared" si="107"/>
        <v>1791</v>
      </c>
      <c r="Z794" s="156">
        <f ca="1">(SUM($W$520:W794)-SUM($Y$520:Y794))/SUM($W$520:W794)</f>
        <v>-1.21601752855726</v>
      </c>
      <c r="AA794" s="151">
        <f t="shared" si="101"/>
        <v>800</v>
      </c>
      <c r="AB794" s="153">
        <f t="shared" si="108"/>
        <v>171000</v>
      </c>
      <c r="AC794" s="153">
        <f>SUM(Y$520:Y794)</f>
        <v>207759</v>
      </c>
      <c r="AD794" s="153">
        <f>INT(SUM(AB$520:AB794))</f>
        <v>18811400</v>
      </c>
      <c r="AE794" s="153">
        <f ca="1">INT(AC794*6/($D$475+AVERAGE(OFFSET(装备产出!$F$186,0,0,W794))))+1</f>
        <v>907</v>
      </c>
      <c r="AF794" s="154">
        <f t="shared" si="102"/>
        <v>90.5443326161562</v>
      </c>
    </row>
    <row r="795" ht="17.25" spans="4:32">
      <c r="D795" s="151">
        <f t="shared" si="109"/>
        <v>276</v>
      </c>
      <c r="E795" s="161" t="str">
        <f>IFERROR((INT(_xlfn.XLOOKUP(D795,养成规划!$G$6:$G$38,养成规划!$J$6:$J$38)/6)),"")</f>
        <v/>
      </c>
      <c r="F795" s="156" t="str">
        <f t="shared" si="111"/>
        <v/>
      </c>
      <c r="G795" s="157">
        <f t="shared" si="97"/>
        <v>115</v>
      </c>
      <c r="H795" s="151">
        <f t="shared" si="98"/>
        <v>131430</v>
      </c>
      <c r="I795" s="158">
        <f t="shared" si="103"/>
        <v>13143</v>
      </c>
      <c r="J795" s="159">
        <f ca="1" t="shared" si="104"/>
        <v>0.0160383740139016</v>
      </c>
      <c r="K795" s="157">
        <f t="shared" si="99"/>
        <v>5437</v>
      </c>
      <c r="L795" s="160">
        <f ca="1" t="shared" si="105"/>
        <v>338999.451895021</v>
      </c>
      <c r="M795" s="157">
        <f t="shared" si="106"/>
        <v>47.2782608695652</v>
      </c>
      <c r="U795" s="151">
        <f t="shared" si="110"/>
        <v>276</v>
      </c>
      <c r="V795" s="157">
        <f ca="1">OFFSET(养成规划!$D$5,IFERROR(MATCH(U795,养成规划!$G$6:$G$38,1)+1,1),0)</f>
        <v>560</v>
      </c>
      <c r="W795" s="152">
        <f ca="1">((V795-_xlfn.MAXIFS($V$519:V794,$V$519:V794,"&lt;"&amp;V795))*$D$475)/COUNTIF($V$520:$V$819,V795)/6</f>
        <v>54.2005420054201</v>
      </c>
      <c r="X795" s="157">
        <f t="shared" si="100"/>
        <v>8</v>
      </c>
      <c r="Y795" s="151">
        <f t="shared" si="107"/>
        <v>1799</v>
      </c>
      <c r="Z795" s="156">
        <f ca="1">(SUM($W$520:W795)-SUM($Y$520:Y795))/SUM($W$520:W795)</f>
        <v>-1.23391471465746</v>
      </c>
      <c r="AA795" s="151">
        <f t="shared" si="101"/>
        <v>800</v>
      </c>
      <c r="AB795" s="153">
        <f t="shared" si="108"/>
        <v>171800</v>
      </c>
      <c r="AC795" s="153">
        <f>SUM(Y$520:Y795)</f>
        <v>209558</v>
      </c>
      <c r="AD795" s="153">
        <f>INT(SUM(AB$520:AB795))</f>
        <v>18983200</v>
      </c>
      <c r="AE795" s="153">
        <f ca="1">INT(AC795*6/($D$475+AVERAGE(OFFSET(装备产出!$F$186,0,0,W795))))+1</f>
        <v>915</v>
      </c>
      <c r="AF795" s="154">
        <f t="shared" si="102"/>
        <v>90.5868542360588</v>
      </c>
    </row>
    <row r="796" ht="17.25" spans="4:32">
      <c r="D796" s="151">
        <f t="shared" si="109"/>
        <v>277</v>
      </c>
      <c r="E796" s="161" t="str">
        <f>IFERROR((INT(_xlfn.XLOOKUP(D796,养成规划!$G$6:$G$38,养成规划!$J$6:$J$38)/6)),"")</f>
        <v/>
      </c>
      <c r="F796" s="156" t="str">
        <f t="shared" si="111"/>
        <v/>
      </c>
      <c r="G796" s="157">
        <f t="shared" si="97"/>
        <v>115</v>
      </c>
      <c r="H796" s="151">
        <f t="shared" si="98"/>
        <v>132580</v>
      </c>
      <c r="I796" s="158">
        <f t="shared" si="103"/>
        <v>13258</v>
      </c>
      <c r="J796" s="159">
        <f ca="1" t="shared" si="104"/>
        <v>0.0159346263529486</v>
      </c>
      <c r="K796" s="157">
        <f t="shared" si="99"/>
        <v>5461</v>
      </c>
      <c r="L796" s="160">
        <f ca="1" t="shared" si="105"/>
        <v>342712.773995449</v>
      </c>
      <c r="M796" s="157">
        <f t="shared" si="106"/>
        <v>47.4869565217391</v>
      </c>
      <c r="U796" s="151">
        <f t="shared" si="110"/>
        <v>277</v>
      </c>
      <c r="V796" s="157">
        <f ca="1">OFFSET(养成规划!$D$5,IFERROR(MATCH(U796,养成规划!$G$6:$G$38,1)+1,1),0)</f>
        <v>560</v>
      </c>
      <c r="W796" s="152">
        <f ca="1">((V796-_xlfn.MAXIFS($V$519:V795,$V$519:V795,"&lt;"&amp;V796))*$D$475)/COUNTIF($V$520:$V$819,V796)/6</f>
        <v>54.2005420054201</v>
      </c>
      <c r="X796" s="157">
        <f t="shared" si="100"/>
        <v>8</v>
      </c>
      <c r="Y796" s="151">
        <f t="shared" si="107"/>
        <v>1807</v>
      </c>
      <c r="Z796" s="156">
        <f ca="1">(SUM($W$520:W796)-SUM($Y$520:Y796))/SUM($W$520:W796)</f>
        <v>-1.25187646302618</v>
      </c>
      <c r="AA796" s="151">
        <f t="shared" si="101"/>
        <v>800</v>
      </c>
      <c r="AB796" s="153">
        <f t="shared" si="108"/>
        <v>172600</v>
      </c>
      <c r="AC796" s="153">
        <f>SUM(Y$520:Y796)</f>
        <v>211365</v>
      </c>
      <c r="AD796" s="153">
        <f>INT(SUM(AB$520:AB796))</f>
        <v>19155800</v>
      </c>
      <c r="AE796" s="153">
        <f ca="1">INT(AC796*6/($D$475+AVERAGE(OFFSET(装备产出!$F$186,0,0,W796))))+1</f>
        <v>922</v>
      </c>
      <c r="AF796" s="154">
        <f t="shared" si="102"/>
        <v>90.6290066945805</v>
      </c>
    </row>
    <row r="797" ht="17.25" spans="4:32">
      <c r="D797" s="151">
        <f t="shared" si="109"/>
        <v>278</v>
      </c>
      <c r="E797" s="161" t="str">
        <f>IFERROR((INT(_xlfn.XLOOKUP(D797,养成规划!$G$6:$G$38,养成规划!$J$6:$J$38)/6)),"")</f>
        <v/>
      </c>
      <c r="F797" s="156" t="str">
        <f t="shared" si="111"/>
        <v/>
      </c>
      <c r="G797" s="157">
        <f t="shared" si="97"/>
        <v>115</v>
      </c>
      <c r="H797" s="151">
        <f t="shared" si="98"/>
        <v>133730</v>
      </c>
      <c r="I797" s="158">
        <f t="shared" si="103"/>
        <v>13373</v>
      </c>
      <c r="J797" s="159">
        <f ca="1" t="shared" si="104"/>
        <v>0.015832212297877</v>
      </c>
      <c r="K797" s="157">
        <f t="shared" si="99"/>
        <v>5485</v>
      </c>
      <c r="L797" s="160">
        <f ca="1" t="shared" si="105"/>
        <v>346445.58175458</v>
      </c>
      <c r="M797" s="157">
        <f t="shared" si="106"/>
        <v>47.695652173913</v>
      </c>
      <c r="U797" s="151">
        <f t="shared" si="110"/>
        <v>278</v>
      </c>
      <c r="V797" s="157">
        <f ca="1">OFFSET(养成规划!$D$5,IFERROR(MATCH(U797,养成规划!$G$6:$G$38,1)+1,1),0)</f>
        <v>560</v>
      </c>
      <c r="W797" s="152">
        <f ca="1">((V797-_xlfn.MAXIFS($V$519:V796,$V$519:V796,"&lt;"&amp;V797))*$D$475)/COUNTIF($V$520:$V$819,V797)/6</f>
        <v>54.2005420054201</v>
      </c>
      <c r="X797" s="157">
        <f t="shared" si="100"/>
        <v>8</v>
      </c>
      <c r="Y797" s="151">
        <f t="shared" si="107"/>
        <v>1815</v>
      </c>
      <c r="Z797" s="156">
        <f ca="1">(SUM($W$520:W797)-SUM($Y$520:Y797))/SUM($W$520:W797)</f>
        <v>-1.26990266188333</v>
      </c>
      <c r="AA797" s="151">
        <f t="shared" si="101"/>
        <v>800</v>
      </c>
      <c r="AB797" s="153">
        <f t="shared" si="108"/>
        <v>173400</v>
      </c>
      <c r="AC797" s="153">
        <f>SUM(Y$520:Y797)</f>
        <v>213180</v>
      </c>
      <c r="AD797" s="153">
        <f>INT(SUM(AB$520:AB797))</f>
        <v>19329200</v>
      </c>
      <c r="AE797" s="153">
        <f ca="1">INT(AC797*6/($D$475+AVERAGE(OFFSET(装备产出!$F$186,0,0,W797))))+1</f>
        <v>930</v>
      </c>
      <c r="AF797" s="154">
        <f t="shared" si="102"/>
        <v>90.6707946336429</v>
      </c>
    </row>
    <row r="798" ht="17.25" spans="4:32">
      <c r="D798" s="151">
        <f t="shared" si="109"/>
        <v>279</v>
      </c>
      <c r="E798" s="161" t="str">
        <f>IFERROR((INT(_xlfn.XLOOKUP(D798,养成规划!$G$6:$G$38,养成规划!$J$6:$J$38)/6)),"")</f>
        <v/>
      </c>
      <c r="F798" s="156" t="str">
        <f t="shared" si="111"/>
        <v/>
      </c>
      <c r="G798" s="157">
        <f t="shared" si="97"/>
        <v>115</v>
      </c>
      <c r="H798" s="151">
        <f t="shared" si="98"/>
        <v>134880</v>
      </c>
      <c r="I798" s="158">
        <f t="shared" si="103"/>
        <v>13488</v>
      </c>
      <c r="J798" s="159">
        <f ca="1" t="shared" si="104"/>
        <v>0.0157311062989125</v>
      </c>
      <c r="K798" s="157">
        <f t="shared" si="99"/>
        <v>5509</v>
      </c>
      <c r="L798" s="160">
        <f ca="1" t="shared" si="105"/>
        <v>350197.875173015</v>
      </c>
      <c r="M798" s="157">
        <f t="shared" si="106"/>
        <v>47.904347826087</v>
      </c>
      <c r="U798" s="151">
        <f t="shared" si="110"/>
        <v>279</v>
      </c>
      <c r="V798" s="157">
        <f ca="1">OFFSET(养成规划!$D$5,IFERROR(MATCH(U798,养成规划!$G$6:$G$38,1)+1,1),0)</f>
        <v>560</v>
      </c>
      <c r="W798" s="152">
        <f ca="1">((V798-_xlfn.MAXIFS($V$519:V797,$V$519:V797,"&lt;"&amp;V798))*$D$475)/COUNTIF($V$520:$V$819,V798)/6</f>
        <v>54.2005420054201</v>
      </c>
      <c r="X798" s="157">
        <f t="shared" si="100"/>
        <v>8</v>
      </c>
      <c r="Y798" s="151">
        <f t="shared" si="107"/>
        <v>1823</v>
      </c>
      <c r="Z798" s="156">
        <f ca="1">(SUM($W$520:W798)-SUM($Y$520:Y798))/SUM($W$520:W798)</f>
        <v>-1.28799319970671</v>
      </c>
      <c r="AA798" s="151">
        <f t="shared" si="101"/>
        <v>800</v>
      </c>
      <c r="AB798" s="153">
        <f t="shared" si="108"/>
        <v>174200</v>
      </c>
      <c r="AC798" s="153">
        <f>SUM(Y$520:Y798)</f>
        <v>215003</v>
      </c>
      <c r="AD798" s="153">
        <f>INT(SUM(AB$520:AB798))</f>
        <v>19503400</v>
      </c>
      <c r="AE798" s="153">
        <f ca="1">INT(AC798*6/($D$475+AVERAGE(OFFSET(装备产出!$F$186,0,0,W798))))+1</f>
        <v>938</v>
      </c>
      <c r="AF798" s="154">
        <f t="shared" si="102"/>
        <v>90.7122226201495</v>
      </c>
    </row>
    <row r="799" ht="17.25" spans="4:32">
      <c r="D799" s="151">
        <f t="shared" si="109"/>
        <v>280</v>
      </c>
      <c r="E799" s="161" t="str">
        <f>IFERROR((INT(_xlfn.XLOOKUP(D799,养成规划!$G$6:$G$38,养成规划!$J$6:$J$38)/6)),"")</f>
        <v/>
      </c>
      <c r="F799" s="156" t="str">
        <f t="shared" si="111"/>
        <v/>
      </c>
      <c r="G799" s="157">
        <f t="shared" si="97"/>
        <v>115</v>
      </c>
      <c r="H799" s="151">
        <f t="shared" si="98"/>
        <v>136030</v>
      </c>
      <c r="I799" s="158">
        <f t="shared" si="103"/>
        <v>13603</v>
      </c>
      <c r="J799" s="159">
        <f ca="1" t="shared" si="104"/>
        <v>0.0156312834547982</v>
      </c>
      <c r="K799" s="157">
        <f t="shared" si="99"/>
        <v>5533</v>
      </c>
      <c r="L799" s="160">
        <f ca="1" t="shared" si="105"/>
        <v>353969.654251366</v>
      </c>
      <c r="M799" s="157">
        <f t="shared" si="106"/>
        <v>48.1130434782609</v>
      </c>
      <c r="U799" s="151">
        <f t="shared" si="110"/>
        <v>280</v>
      </c>
      <c r="V799" s="157">
        <f ca="1">OFFSET(养成规划!$D$5,IFERROR(MATCH(U799,养成规划!$G$6:$G$38,1)+1,1),0)</f>
        <v>560</v>
      </c>
      <c r="W799" s="152">
        <f ca="1">((V799-_xlfn.MAXIFS($V$519:V798,$V$519:V798,"&lt;"&amp;V799))*$D$475)/COUNTIF($V$520:$V$819,V799)/6</f>
        <v>54.2005420054201</v>
      </c>
      <c r="X799" s="157">
        <f t="shared" si="100"/>
        <v>8</v>
      </c>
      <c r="Y799" s="151">
        <f t="shared" si="107"/>
        <v>1831</v>
      </c>
      <c r="Z799" s="156">
        <f ca="1">(SUM($W$520:W799)-SUM($Y$520:Y799))/SUM($W$520:W799)</f>
        <v>-1.30614796523128</v>
      </c>
      <c r="AA799" s="151">
        <f t="shared" si="101"/>
        <v>800</v>
      </c>
      <c r="AB799" s="153">
        <f t="shared" si="108"/>
        <v>175000</v>
      </c>
      <c r="AC799" s="153">
        <f>SUM(Y$520:Y799)</f>
        <v>216834</v>
      </c>
      <c r="AD799" s="153">
        <f>INT(SUM(AB$520:AB799))</f>
        <v>19678400</v>
      </c>
      <c r="AE799" s="153">
        <f ca="1">INT(AC799*6/($D$475+AVERAGE(OFFSET(装备产出!$F$186,0,0,W799))))+1</f>
        <v>946</v>
      </c>
      <c r="AF799" s="154">
        <f t="shared" si="102"/>
        <v>90.75329514744</v>
      </c>
    </row>
    <row r="800" ht="17.25" spans="4:32">
      <c r="D800" s="151">
        <f t="shared" si="109"/>
        <v>281</v>
      </c>
      <c r="E800" s="161" t="str">
        <f>IFERROR((INT(_xlfn.XLOOKUP(D800,养成规划!$G$6:$G$38,养成规划!$J$6:$J$38)/6)),"")</f>
        <v/>
      </c>
      <c r="F800" s="156" t="str">
        <f t="shared" si="111"/>
        <v/>
      </c>
      <c r="G800" s="157">
        <f t="shared" si="97"/>
        <v>115</v>
      </c>
      <c r="H800" s="151">
        <f t="shared" si="98"/>
        <v>137180</v>
      </c>
      <c r="I800" s="158">
        <f t="shared" si="103"/>
        <v>13718</v>
      </c>
      <c r="J800" s="159">
        <f ca="1" t="shared" si="104"/>
        <v>0.0155327194923495</v>
      </c>
      <c r="K800" s="157">
        <f t="shared" si="99"/>
        <v>5557</v>
      </c>
      <c r="L800" s="160">
        <f ca="1" t="shared" si="105"/>
        <v>357760.918990203</v>
      </c>
      <c r="M800" s="157">
        <f t="shared" si="106"/>
        <v>48.3217391304348</v>
      </c>
      <c r="U800" s="151">
        <f t="shared" si="110"/>
        <v>281</v>
      </c>
      <c r="V800" s="157">
        <f ca="1">OFFSET(养成规划!$D$5,IFERROR(MATCH(U800,养成规划!$G$6:$G$38,1)+1,1),0)</f>
        <v>560</v>
      </c>
      <c r="W800" s="152">
        <f ca="1">((V800-_xlfn.MAXIFS($V$519:V799,$V$519:V799,"&lt;"&amp;V800))*$D$475)/COUNTIF($V$520:$V$819,V800)/6</f>
        <v>54.2005420054201</v>
      </c>
      <c r="X800" s="157">
        <f t="shared" si="100"/>
        <v>8</v>
      </c>
      <c r="Y800" s="151">
        <f t="shared" si="107"/>
        <v>1839</v>
      </c>
      <c r="Z800" s="156">
        <f ca="1">(SUM($W$520:W800)-SUM($Y$520:Y800))/SUM($W$520:W800)</f>
        <v>-1.3243668474484</v>
      </c>
      <c r="AA800" s="151">
        <f t="shared" si="101"/>
        <v>800</v>
      </c>
      <c r="AB800" s="153">
        <f t="shared" si="108"/>
        <v>175800</v>
      </c>
      <c r="AC800" s="153">
        <f>SUM(Y$520:Y800)</f>
        <v>218673</v>
      </c>
      <c r="AD800" s="153">
        <f>INT(SUM(AB$520:AB800))</f>
        <v>19854200</v>
      </c>
      <c r="AE800" s="153">
        <f ca="1">INT(AC800*6/($D$475+AVERAGE(OFFSET(装备产出!$F$186,0,0,W800))))+1</f>
        <v>954</v>
      </c>
      <c r="AF800" s="154">
        <f t="shared" si="102"/>
        <v>90.7940166367133</v>
      </c>
    </row>
    <row r="801" ht="17.25" spans="4:32">
      <c r="D801" s="151">
        <f t="shared" si="109"/>
        <v>282</v>
      </c>
      <c r="E801" s="161" t="str">
        <f>IFERROR((INT(_xlfn.XLOOKUP(D801,养成规划!$G$6:$G$38,养成规划!$J$6:$J$38)/6)),"")</f>
        <v/>
      </c>
      <c r="F801" s="156" t="str">
        <f t="shared" si="111"/>
        <v/>
      </c>
      <c r="G801" s="157">
        <f t="shared" si="97"/>
        <v>115</v>
      </c>
      <c r="H801" s="151">
        <f t="shared" si="98"/>
        <v>138330</v>
      </c>
      <c r="I801" s="158">
        <f t="shared" si="103"/>
        <v>13833</v>
      </c>
      <c r="J801" s="159">
        <f ca="1" t="shared" si="104"/>
        <v>0.0154353907467751</v>
      </c>
      <c r="K801" s="157">
        <f t="shared" si="99"/>
        <v>5581</v>
      </c>
      <c r="L801" s="160">
        <f ca="1" t="shared" si="105"/>
        <v>361571.669390103</v>
      </c>
      <c r="M801" s="157">
        <f t="shared" si="106"/>
        <v>48.5304347826087</v>
      </c>
      <c r="U801" s="151">
        <f t="shared" si="110"/>
        <v>282</v>
      </c>
      <c r="V801" s="157">
        <f ca="1">OFFSET(养成规划!$D$5,IFERROR(MATCH(U801,养成规划!$G$6:$G$38,1)+1,1),0)</f>
        <v>560</v>
      </c>
      <c r="W801" s="152">
        <f ca="1">((V801-_xlfn.MAXIFS($V$519:V800,$V$519:V800,"&lt;"&amp;V801))*$D$475)/COUNTIF($V$520:$V$819,V801)/6</f>
        <v>54.2005420054201</v>
      </c>
      <c r="X801" s="157">
        <f t="shared" si="100"/>
        <v>8</v>
      </c>
      <c r="Y801" s="151">
        <f t="shared" si="107"/>
        <v>1847</v>
      </c>
      <c r="Z801" s="156">
        <f ca="1">(SUM($W$520:W801)-SUM($Y$520:Y801))/SUM($W$520:W801)</f>
        <v>-1.34264973560511</v>
      </c>
      <c r="AA801" s="151">
        <f t="shared" si="101"/>
        <v>800</v>
      </c>
      <c r="AB801" s="153">
        <f t="shared" si="108"/>
        <v>176600</v>
      </c>
      <c r="AC801" s="153">
        <f>SUM(Y$520:Y801)</f>
        <v>220520</v>
      </c>
      <c r="AD801" s="153">
        <f>INT(SUM(AB$520:AB801))</f>
        <v>20030800</v>
      </c>
      <c r="AE801" s="153">
        <f ca="1">INT(AC801*6/($D$475+AVERAGE(OFFSET(装备产出!$F$186,0,0,W801))))+1</f>
        <v>962</v>
      </c>
      <c r="AF801" s="154">
        <f t="shared" si="102"/>
        <v>90.8343914384183</v>
      </c>
    </row>
    <row r="802" ht="17.25" spans="4:32">
      <c r="D802" s="151">
        <f t="shared" si="109"/>
        <v>283</v>
      </c>
      <c r="E802" s="161" t="str">
        <f>IFERROR((INT(_xlfn.XLOOKUP(D802,养成规划!$G$6:$G$38,养成规划!$J$6:$J$38)/6)),"")</f>
        <v/>
      </c>
      <c r="F802" s="156" t="str">
        <f t="shared" si="111"/>
        <v/>
      </c>
      <c r="G802" s="157">
        <f t="shared" si="97"/>
        <v>115</v>
      </c>
      <c r="H802" s="151">
        <f t="shared" si="98"/>
        <v>139480</v>
      </c>
      <c r="I802" s="158">
        <f t="shared" si="103"/>
        <v>13948</v>
      </c>
      <c r="J802" s="159">
        <f ca="1" t="shared" si="104"/>
        <v>0.0153392741427351</v>
      </c>
      <c r="K802" s="157">
        <f t="shared" si="99"/>
        <v>5605</v>
      </c>
      <c r="L802" s="160">
        <f ca="1" t="shared" si="105"/>
        <v>365401.90545161</v>
      </c>
      <c r="M802" s="157">
        <f t="shared" si="106"/>
        <v>48.7391304347826</v>
      </c>
      <c r="U802" s="151">
        <f t="shared" si="110"/>
        <v>283</v>
      </c>
      <c r="V802" s="157">
        <f ca="1">OFFSET(养成规划!$D$5,IFERROR(MATCH(U802,养成规划!$G$6:$G$38,1)+1,1),0)</f>
        <v>560</v>
      </c>
      <c r="W802" s="152">
        <f ca="1">((V802-_xlfn.MAXIFS($V$519:V801,$V$519:V801,"&lt;"&amp;V802))*$D$475)/COUNTIF($V$520:$V$819,V802)/6</f>
        <v>54.2005420054201</v>
      </c>
      <c r="X802" s="157">
        <f t="shared" si="100"/>
        <v>8</v>
      </c>
      <c r="Y802" s="151">
        <f t="shared" si="107"/>
        <v>1855</v>
      </c>
      <c r="Z802" s="156">
        <f ca="1">(SUM($W$520:W802)-SUM($Y$520:Y802))/SUM($W$520:W802)</f>
        <v>-1.36099651920337</v>
      </c>
      <c r="AA802" s="151">
        <f t="shared" si="101"/>
        <v>800</v>
      </c>
      <c r="AB802" s="153">
        <f t="shared" si="108"/>
        <v>177400</v>
      </c>
      <c r="AC802" s="153">
        <f>SUM(Y$520:Y802)</f>
        <v>222375</v>
      </c>
      <c r="AD802" s="153">
        <f>INT(SUM(AB$520:AB802))</f>
        <v>20208200</v>
      </c>
      <c r="AE802" s="153">
        <f ca="1">INT(AC802*6/($D$475+AVERAGE(OFFSET(装备产出!$F$186,0,0,W802))))+1</f>
        <v>970</v>
      </c>
      <c r="AF802" s="154">
        <f t="shared" si="102"/>
        <v>90.8744238336144</v>
      </c>
    </row>
    <row r="803" ht="17.25" spans="4:32">
      <c r="D803" s="151">
        <f t="shared" si="109"/>
        <v>284</v>
      </c>
      <c r="E803" s="161" t="str">
        <f>IFERROR((INT(_xlfn.XLOOKUP(D803,养成规划!$G$6:$G$38,养成规划!$J$6:$J$38)/6)),"")</f>
        <v/>
      </c>
      <c r="F803" s="156" t="str">
        <f t="shared" si="111"/>
        <v/>
      </c>
      <c r="G803" s="157">
        <f t="shared" si="97"/>
        <v>115</v>
      </c>
      <c r="H803" s="151">
        <f t="shared" si="98"/>
        <v>140630</v>
      </c>
      <c r="I803" s="158">
        <f t="shared" si="103"/>
        <v>14063</v>
      </c>
      <c r="J803" s="159">
        <f ca="1" t="shared" si="104"/>
        <v>0.0152443471761003</v>
      </c>
      <c r="K803" s="157">
        <f t="shared" si="99"/>
        <v>5629</v>
      </c>
      <c r="L803" s="160">
        <f ca="1" t="shared" si="105"/>
        <v>369251.627175285</v>
      </c>
      <c r="M803" s="157">
        <f t="shared" si="106"/>
        <v>48.9478260869565</v>
      </c>
      <c r="U803" s="151">
        <f t="shared" si="110"/>
        <v>284</v>
      </c>
      <c r="V803" s="157">
        <f ca="1">OFFSET(养成规划!$D$5,IFERROR(MATCH(U803,养成规划!$G$6:$G$38,1)+1,1),0)</f>
        <v>560</v>
      </c>
      <c r="W803" s="152">
        <f ca="1">((V803-_xlfn.MAXIFS($V$519:V802,$V$519:V802,"&lt;"&amp;V803))*$D$475)/COUNTIF($V$520:$V$819,V803)/6</f>
        <v>54.2005420054201</v>
      </c>
      <c r="X803" s="157">
        <f t="shared" si="100"/>
        <v>8</v>
      </c>
      <c r="Y803" s="151">
        <f t="shared" si="107"/>
        <v>1863</v>
      </c>
      <c r="Z803" s="156">
        <f ca="1">(SUM($W$520:W803)-SUM($Y$520:Y803))/SUM($W$520:W803)</f>
        <v>-1.37940708799935</v>
      </c>
      <c r="AA803" s="151">
        <f t="shared" si="101"/>
        <v>800</v>
      </c>
      <c r="AB803" s="153">
        <f t="shared" si="108"/>
        <v>178200</v>
      </c>
      <c r="AC803" s="153">
        <f>SUM(Y$520:Y803)</f>
        <v>224238</v>
      </c>
      <c r="AD803" s="153">
        <f>INT(SUM(AB$520:AB803))</f>
        <v>20386400</v>
      </c>
      <c r="AE803" s="153">
        <f ca="1">INT(AC803*6/($D$475+AVERAGE(OFFSET(装备产出!$F$186,0,0,W803))))+1</f>
        <v>979</v>
      </c>
      <c r="AF803" s="154">
        <f t="shared" si="102"/>
        <v>90.9141180353018</v>
      </c>
    </row>
    <row r="804" ht="17.25" spans="4:32">
      <c r="D804" s="151">
        <f t="shared" si="109"/>
        <v>285</v>
      </c>
      <c r="E804" s="161" t="str">
        <f>IFERROR((INT(_xlfn.XLOOKUP(D804,养成规划!$G$6:$G$38,养成规划!$J$6:$J$38)/6)),"")</f>
        <v/>
      </c>
      <c r="F804" s="156" t="str">
        <f t="shared" si="111"/>
        <v/>
      </c>
      <c r="G804" s="157">
        <f t="shared" si="97"/>
        <v>115</v>
      </c>
      <c r="H804" s="151">
        <f t="shared" si="98"/>
        <v>141780</v>
      </c>
      <c r="I804" s="158">
        <f t="shared" si="103"/>
        <v>14178</v>
      </c>
      <c r="J804" s="159">
        <f ca="1" t="shared" si="104"/>
        <v>0.015150587896389</v>
      </c>
      <c r="K804" s="157">
        <f t="shared" si="99"/>
        <v>5653</v>
      </c>
      <c r="L804" s="160">
        <f ca="1" t="shared" si="105"/>
        <v>373120.834561631</v>
      </c>
      <c r="M804" s="157">
        <f t="shared" si="106"/>
        <v>49.1565217391304</v>
      </c>
      <c r="U804" s="151">
        <f t="shared" si="110"/>
        <v>285</v>
      </c>
      <c r="V804" s="157">
        <f ca="1">OFFSET(养成规划!$D$5,IFERROR(MATCH(U804,养成规划!$G$6:$G$38,1)+1,1),0)</f>
        <v>560</v>
      </c>
      <c r="W804" s="152">
        <f ca="1">((V804-_xlfn.MAXIFS($V$519:V803,$V$519:V803,"&lt;"&amp;V804))*$D$475)/COUNTIF($V$520:$V$819,V804)/6</f>
        <v>54.2005420054201</v>
      </c>
      <c r="X804" s="157">
        <f t="shared" si="100"/>
        <v>8</v>
      </c>
      <c r="Y804" s="151">
        <f t="shared" si="107"/>
        <v>1871</v>
      </c>
      <c r="Z804" s="156">
        <f ca="1">(SUM($W$520:W804)-SUM($Y$520:Y804))/SUM($W$520:W804)</f>
        <v>-1.39788133200268</v>
      </c>
      <c r="AA804" s="151">
        <f t="shared" si="101"/>
        <v>800</v>
      </c>
      <c r="AB804" s="153">
        <f t="shared" si="108"/>
        <v>179000</v>
      </c>
      <c r="AC804" s="153">
        <f>SUM(Y$520:Y804)</f>
        <v>226109</v>
      </c>
      <c r="AD804" s="153">
        <f>INT(SUM(AB$520:AB804))</f>
        <v>20565400</v>
      </c>
      <c r="AE804" s="153">
        <f ca="1">INT(AC804*6/($D$475+AVERAGE(OFFSET(装备产出!$F$186,0,0,W804))))+1</f>
        <v>987</v>
      </c>
      <c r="AF804" s="154">
        <f t="shared" si="102"/>
        <v>90.9534781897227</v>
      </c>
    </row>
    <row r="805" ht="17.25" spans="4:32">
      <c r="D805" s="151">
        <f t="shared" si="109"/>
        <v>286</v>
      </c>
      <c r="E805" s="161" t="str">
        <f>IFERROR((INT(_xlfn.XLOOKUP(D805,养成规划!$G$6:$G$38,养成规划!$J$6:$J$38)/6)),"")</f>
        <v/>
      </c>
      <c r="F805" s="156" t="str">
        <f t="shared" si="111"/>
        <v/>
      </c>
      <c r="G805" s="157">
        <f t="shared" si="97"/>
        <v>120</v>
      </c>
      <c r="H805" s="151">
        <f t="shared" si="98"/>
        <v>142980</v>
      </c>
      <c r="I805" s="158">
        <f t="shared" si="103"/>
        <v>14298</v>
      </c>
      <c r="J805" s="159">
        <f ca="1" t="shared" si="104"/>
        <v>0.0157105860531242</v>
      </c>
      <c r="K805" s="157">
        <f t="shared" si="99"/>
        <v>5677</v>
      </c>
      <c r="L805" s="160">
        <f ca="1" t="shared" si="105"/>
        <v>361348.709768282</v>
      </c>
      <c r="M805" s="157">
        <f t="shared" si="106"/>
        <v>47.3083333333333</v>
      </c>
      <c r="U805" s="151">
        <f t="shared" si="110"/>
        <v>286</v>
      </c>
      <c r="V805" s="157">
        <f ca="1">OFFSET(养成规划!$D$5,IFERROR(MATCH(U805,养成规划!$G$6:$G$38,1)+1,1),0)</f>
        <v>560</v>
      </c>
      <c r="W805" s="152">
        <f ca="1">((V805-_xlfn.MAXIFS($V$519:V804,$V$519:V804,"&lt;"&amp;V805))*$D$475)/COUNTIF($V$520:$V$819,V805)/6</f>
        <v>54.2005420054201</v>
      </c>
      <c r="X805" s="157">
        <f t="shared" si="100"/>
        <v>8</v>
      </c>
      <c r="Y805" s="151">
        <f t="shared" si="107"/>
        <v>1879</v>
      </c>
      <c r="Z805" s="156">
        <f ca="1">(SUM($W$520:W805)-SUM($Y$520:Y805))/SUM($W$520:W805)</f>
        <v>-1.41641914147576</v>
      </c>
      <c r="AA805" s="151">
        <f t="shared" si="101"/>
        <v>800</v>
      </c>
      <c r="AB805" s="153">
        <f t="shared" si="108"/>
        <v>179800</v>
      </c>
      <c r="AC805" s="153">
        <f>SUM(Y$520:Y805)</f>
        <v>227988</v>
      </c>
      <c r="AD805" s="153">
        <f>INT(SUM(AB$520:AB805))</f>
        <v>20745200</v>
      </c>
      <c r="AE805" s="153">
        <f ca="1">INT(AC805*6/($D$475+AVERAGE(OFFSET(装备产出!$F$186,0,0,W805))))+1</f>
        <v>995</v>
      </c>
      <c r="AF805" s="154">
        <f t="shared" si="102"/>
        <v>90.9925083776339</v>
      </c>
    </row>
    <row r="806" ht="17.25" spans="4:32">
      <c r="D806" s="151">
        <f t="shared" si="109"/>
        <v>287</v>
      </c>
      <c r="E806" s="161" t="str">
        <f>IFERROR((INT(_xlfn.XLOOKUP(D806,养成规划!$G$6:$G$38,养成规划!$J$6:$J$38)/6)),"")</f>
        <v/>
      </c>
      <c r="F806" s="156" t="str">
        <f t="shared" si="111"/>
        <v/>
      </c>
      <c r="G806" s="157">
        <f t="shared" si="97"/>
        <v>120</v>
      </c>
      <c r="H806" s="151">
        <f t="shared" si="98"/>
        <v>144180</v>
      </c>
      <c r="I806" s="158">
        <f t="shared" si="103"/>
        <v>14418</v>
      </c>
      <c r="J806" s="159">
        <f ca="1" t="shared" si="104"/>
        <v>0.0156110226412306</v>
      </c>
      <c r="K806" s="157">
        <f t="shared" si="99"/>
        <v>5701</v>
      </c>
      <c r="L806" s="160">
        <f ca="1" t="shared" si="105"/>
        <v>365190.681675328</v>
      </c>
      <c r="M806" s="157">
        <f t="shared" si="106"/>
        <v>47.5083333333333</v>
      </c>
      <c r="U806" s="151">
        <f t="shared" si="110"/>
        <v>287</v>
      </c>
      <c r="V806" s="157">
        <f ca="1">OFFSET(养成规划!$D$5,IFERROR(MATCH(U806,养成规划!$G$6:$G$38,1)+1,1),0)</f>
        <v>560</v>
      </c>
      <c r="W806" s="152">
        <f ca="1">((V806-_xlfn.MAXIFS($V$519:V805,$V$519:V805,"&lt;"&amp;V806))*$D$475)/COUNTIF($V$520:$V$819,V806)/6</f>
        <v>54.2005420054201</v>
      </c>
      <c r="X806" s="157">
        <f t="shared" si="100"/>
        <v>8</v>
      </c>
      <c r="Y806" s="151">
        <f t="shared" si="107"/>
        <v>1887</v>
      </c>
      <c r="Z806" s="156">
        <f ca="1">(SUM($W$520:W806)-SUM($Y$520:Y806))/SUM($W$520:W806)</f>
        <v>-1.43502040693298</v>
      </c>
      <c r="AA806" s="151">
        <f t="shared" si="101"/>
        <v>800</v>
      </c>
      <c r="AB806" s="153">
        <f t="shared" si="108"/>
        <v>180600</v>
      </c>
      <c r="AC806" s="153">
        <f>SUM(Y$520:Y806)</f>
        <v>229875</v>
      </c>
      <c r="AD806" s="153">
        <f>INT(SUM(AB$520:AB806))</f>
        <v>20925800</v>
      </c>
      <c r="AE806" s="153">
        <f ca="1">INT(AC806*6/($D$475+AVERAGE(OFFSET(装备产出!$F$186,0,0,W806))))+1</f>
        <v>1003</v>
      </c>
      <c r="AF806" s="154">
        <f t="shared" si="102"/>
        <v>91.0312126155519</v>
      </c>
    </row>
    <row r="807" ht="17.25" spans="4:32">
      <c r="D807" s="151">
        <f t="shared" si="109"/>
        <v>288</v>
      </c>
      <c r="E807" s="161" t="str">
        <f>IFERROR((INT(_xlfn.XLOOKUP(D807,养成规划!$G$6:$G$38,养成规划!$J$6:$J$38)/6)),"")</f>
        <v/>
      </c>
      <c r="F807" s="156" t="str">
        <f t="shared" si="111"/>
        <v/>
      </c>
      <c r="G807" s="157">
        <f t="shared" si="97"/>
        <v>120</v>
      </c>
      <c r="H807" s="151">
        <f t="shared" si="98"/>
        <v>145380</v>
      </c>
      <c r="I807" s="158">
        <f t="shared" si="103"/>
        <v>14538</v>
      </c>
      <c r="J807" s="159">
        <f ca="1" t="shared" si="104"/>
        <v>0.015512713222004</v>
      </c>
      <c r="K807" s="157">
        <f t="shared" si="99"/>
        <v>5725</v>
      </c>
      <c r="L807" s="160">
        <f ca="1" t="shared" si="105"/>
        <v>369052.139240179</v>
      </c>
      <c r="M807" s="157">
        <f t="shared" si="106"/>
        <v>47.7083333333333</v>
      </c>
      <c r="U807" s="151">
        <f t="shared" si="110"/>
        <v>288</v>
      </c>
      <c r="V807" s="157">
        <f ca="1">OFFSET(养成规划!$D$5,IFERROR(MATCH(U807,养成规划!$G$6:$G$38,1)+1,1),0)</f>
        <v>560</v>
      </c>
      <c r="W807" s="152">
        <f ca="1">((V807-_xlfn.MAXIFS($V$519:V806,$V$519:V806,"&lt;"&amp;V807))*$D$475)/COUNTIF($V$520:$V$819,V807)/6</f>
        <v>54.2005420054201</v>
      </c>
      <c r="X807" s="157">
        <f t="shared" si="100"/>
        <v>8</v>
      </c>
      <c r="Y807" s="151">
        <f t="shared" si="107"/>
        <v>1895</v>
      </c>
      <c r="Z807" s="156">
        <f ca="1">(SUM($W$520:W807)-SUM($Y$520:Y807))/SUM($W$520:W807)</f>
        <v>-1.45368501914003</v>
      </c>
      <c r="AA807" s="151">
        <f t="shared" si="101"/>
        <v>800</v>
      </c>
      <c r="AB807" s="153">
        <f t="shared" si="108"/>
        <v>181400</v>
      </c>
      <c r="AC807" s="153">
        <f>SUM(Y$520:Y807)</f>
        <v>231770</v>
      </c>
      <c r="AD807" s="153">
        <f>INT(SUM(AB$520:AB807))</f>
        <v>21107200</v>
      </c>
      <c r="AE807" s="153">
        <f ca="1">INT(AC807*6/($D$475+AVERAGE(OFFSET(装备产出!$F$186,0,0,W807))))+1</f>
        <v>1011</v>
      </c>
      <c r="AF807" s="154">
        <f t="shared" si="102"/>
        <v>91.0695948569703</v>
      </c>
    </row>
    <row r="808" ht="17.25" spans="4:32">
      <c r="D808" s="151">
        <f t="shared" si="109"/>
        <v>289</v>
      </c>
      <c r="E808" s="161" t="str">
        <f>IFERROR((INT(_xlfn.XLOOKUP(D808,养成规划!$G$6:$G$38,养成规划!$J$6:$J$38)/6)),"")</f>
        <v/>
      </c>
      <c r="F808" s="156" t="str">
        <f t="shared" si="111"/>
        <v/>
      </c>
      <c r="G808" s="157">
        <f t="shared" si="97"/>
        <v>120</v>
      </c>
      <c r="H808" s="151">
        <f t="shared" si="98"/>
        <v>146580</v>
      </c>
      <c r="I808" s="158">
        <f t="shared" si="103"/>
        <v>14658</v>
      </c>
      <c r="J808" s="159">
        <f ca="1" t="shared" si="104"/>
        <v>0.0154156342527308</v>
      </c>
      <c r="K808" s="157">
        <f t="shared" si="99"/>
        <v>5749</v>
      </c>
      <c r="L808" s="160">
        <f ca="1" t="shared" si="105"/>
        <v>372933.082463447</v>
      </c>
      <c r="M808" s="157">
        <f t="shared" si="106"/>
        <v>47.9083333333333</v>
      </c>
      <c r="U808" s="151">
        <f t="shared" si="110"/>
        <v>289</v>
      </c>
      <c r="V808" s="157">
        <f ca="1">OFFSET(养成规划!$D$5,IFERROR(MATCH(U808,养成规划!$G$6:$G$38,1)+1,1),0)</f>
        <v>560</v>
      </c>
      <c r="W808" s="152">
        <f ca="1">((V808-_xlfn.MAXIFS($V$519:V807,$V$519:V807,"&lt;"&amp;V808))*$D$475)/COUNTIF($V$520:$V$819,V808)/6</f>
        <v>54.2005420054201</v>
      </c>
      <c r="X808" s="157">
        <f t="shared" si="100"/>
        <v>8</v>
      </c>
      <c r="Y808" s="151">
        <f t="shared" si="107"/>
        <v>1903</v>
      </c>
      <c r="Z808" s="156">
        <f ca="1">(SUM($W$520:W808)-SUM($Y$520:Y808))/SUM($W$520:W808)</f>
        <v>-1.47241286911317</v>
      </c>
      <c r="AA808" s="151">
        <f t="shared" si="101"/>
        <v>800</v>
      </c>
      <c r="AB808" s="153">
        <f t="shared" si="108"/>
        <v>182200</v>
      </c>
      <c r="AC808" s="153">
        <f>SUM(Y$520:Y808)</f>
        <v>233673</v>
      </c>
      <c r="AD808" s="153">
        <f>INT(SUM(AB$520:AB808))</f>
        <v>21289400</v>
      </c>
      <c r="AE808" s="153">
        <f ca="1">INT(AC808*6/($D$475+AVERAGE(OFFSET(装备产出!$F$186,0,0,W808))))+1</f>
        <v>1020</v>
      </c>
      <c r="AF808" s="154">
        <f t="shared" si="102"/>
        <v>91.1076589935508</v>
      </c>
    </row>
    <row r="809" ht="17.25" spans="4:32">
      <c r="D809" s="151">
        <f t="shared" si="109"/>
        <v>290</v>
      </c>
      <c r="E809" s="161" t="str">
        <f>IFERROR((INT(_xlfn.XLOOKUP(D809,养成规划!$G$6:$G$38,养成规划!$J$6:$J$38)/6)),"")</f>
        <v/>
      </c>
      <c r="F809" s="156" t="str">
        <f t="shared" si="111"/>
        <v/>
      </c>
      <c r="G809" s="157">
        <f t="shared" si="97"/>
        <v>120</v>
      </c>
      <c r="H809" s="151">
        <f t="shared" si="98"/>
        <v>147780</v>
      </c>
      <c r="I809" s="158">
        <f t="shared" si="103"/>
        <v>14778</v>
      </c>
      <c r="J809" s="159">
        <f ca="1" t="shared" si="104"/>
        <v>0.0153197627763613</v>
      </c>
      <c r="K809" s="157">
        <f t="shared" si="99"/>
        <v>5773</v>
      </c>
      <c r="L809" s="160">
        <f ca="1" t="shared" si="105"/>
        <v>376833.51134574</v>
      </c>
      <c r="M809" s="157">
        <f t="shared" si="106"/>
        <v>48.1083333333333</v>
      </c>
      <c r="U809" s="151">
        <f t="shared" si="110"/>
        <v>290</v>
      </c>
      <c r="V809" s="157">
        <f ca="1">OFFSET(养成规划!$D$5,IFERROR(MATCH(U809,养成规划!$G$6:$G$38,1)+1,1),0)</f>
        <v>560</v>
      </c>
      <c r="W809" s="152">
        <f ca="1">((V809-_xlfn.MAXIFS($V$519:V808,$V$519:V808,"&lt;"&amp;V809))*$D$475)/COUNTIF($V$520:$V$819,V809)/6</f>
        <v>54.2005420054201</v>
      </c>
      <c r="X809" s="157">
        <f t="shared" si="100"/>
        <v>8</v>
      </c>
      <c r="Y809" s="151">
        <f t="shared" si="107"/>
        <v>1911</v>
      </c>
      <c r="Z809" s="156">
        <f ca="1">(SUM($W$520:W809)-SUM($Y$520:Y809))/SUM($W$520:W809)</f>
        <v>-1.49120384811854</v>
      </c>
      <c r="AA809" s="151">
        <f t="shared" si="101"/>
        <v>800</v>
      </c>
      <c r="AB809" s="153">
        <f t="shared" si="108"/>
        <v>183000</v>
      </c>
      <c r="AC809" s="153">
        <f>SUM(Y$520:Y809)</f>
        <v>235584</v>
      </c>
      <c r="AD809" s="153">
        <f>INT(SUM(AB$520:AB809))</f>
        <v>21472400</v>
      </c>
      <c r="AE809" s="153">
        <f ca="1">INT(AC809*6/($D$475+AVERAGE(OFFSET(装备产出!$F$186,0,0,W809))))+1</f>
        <v>1028</v>
      </c>
      <c r="AF809" s="154">
        <f t="shared" si="102"/>
        <v>91.1454088562891</v>
      </c>
    </row>
    <row r="810" ht="17.25" spans="4:32">
      <c r="D810" s="151">
        <f t="shared" si="109"/>
        <v>291</v>
      </c>
      <c r="E810" s="161" t="str">
        <f>IFERROR((INT(_xlfn.XLOOKUP(D810,养成规划!$G$6:$G$38,养成规划!$J$6:$J$38)/6)),"")</f>
        <v/>
      </c>
      <c r="F810" s="156" t="str">
        <f t="shared" si="111"/>
        <v/>
      </c>
      <c r="G810" s="157">
        <f t="shared" si="97"/>
        <v>120</v>
      </c>
      <c r="H810" s="151">
        <f t="shared" si="98"/>
        <v>148980</v>
      </c>
      <c r="I810" s="158">
        <f t="shared" si="103"/>
        <v>14898</v>
      </c>
      <c r="J810" s="159">
        <f ca="1" t="shared" si="104"/>
        <v>0.0152250764034114</v>
      </c>
      <c r="K810" s="157">
        <f t="shared" si="99"/>
        <v>5797</v>
      </c>
      <c r="L810" s="160">
        <f ca="1" t="shared" si="105"/>
        <v>380753.425887642</v>
      </c>
      <c r="M810" s="157">
        <f t="shared" si="106"/>
        <v>48.3083333333333</v>
      </c>
      <c r="U810" s="151">
        <f t="shared" si="110"/>
        <v>291</v>
      </c>
      <c r="V810" s="157">
        <f ca="1">OFFSET(养成规划!$D$5,IFERROR(MATCH(U810,养成规划!$G$6:$G$38,1)+1,1),0)</f>
        <v>560</v>
      </c>
      <c r="W810" s="152">
        <f ca="1">((V810-_xlfn.MAXIFS($V$519:V809,$V$519:V809,"&lt;"&amp;V810))*$D$475)/COUNTIF($V$520:$V$819,V810)/6</f>
        <v>54.2005420054201</v>
      </c>
      <c r="X810" s="157">
        <f t="shared" si="100"/>
        <v>8</v>
      </c>
      <c r="Y810" s="151">
        <f t="shared" si="107"/>
        <v>1919</v>
      </c>
      <c r="Z810" s="156">
        <f ca="1">(SUM($W$520:W810)-SUM($Y$520:Y810))/SUM($W$520:W810)</f>
        <v>-1.51005784767138</v>
      </c>
      <c r="AA810" s="151">
        <f t="shared" si="101"/>
        <v>800</v>
      </c>
      <c r="AB810" s="153">
        <f t="shared" si="108"/>
        <v>183800</v>
      </c>
      <c r="AC810" s="153">
        <f>SUM(Y$520:Y810)</f>
        <v>237503</v>
      </c>
      <c r="AD810" s="153">
        <f>INT(SUM(AB$520:AB810))</f>
        <v>21656200</v>
      </c>
      <c r="AE810" s="153">
        <f ca="1">INT(AC810*6/($D$475+AVERAGE(OFFSET(装备产出!$F$186,0,0,W810))))+1</f>
        <v>1036</v>
      </c>
      <c r="AF810" s="154">
        <f t="shared" si="102"/>
        <v>91.1828482166541</v>
      </c>
    </row>
    <row r="811" ht="17.25" spans="4:32">
      <c r="D811" s="151">
        <f t="shared" si="109"/>
        <v>292</v>
      </c>
      <c r="E811" s="161" t="str">
        <f>IFERROR((INT(_xlfn.XLOOKUP(D811,养成规划!$G$6:$G$38,养成规划!$J$6:$J$38)/6)),"")</f>
        <v/>
      </c>
      <c r="F811" s="156" t="str">
        <f t="shared" si="111"/>
        <v/>
      </c>
      <c r="G811" s="157">
        <f t="shared" si="97"/>
        <v>120</v>
      </c>
      <c r="H811" s="151">
        <f t="shared" si="98"/>
        <v>150180</v>
      </c>
      <c r="I811" s="158">
        <f t="shared" si="103"/>
        <v>15018</v>
      </c>
      <c r="J811" s="159">
        <f ca="1" t="shared" si="104"/>
        <v>0.0151315532945299</v>
      </c>
      <c r="K811" s="157">
        <f t="shared" si="99"/>
        <v>5821</v>
      </c>
      <c r="L811" s="160">
        <f ca="1" t="shared" si="105"/>
        <v>384692.826089724</v>
      </c>
      <c r="M811" s="157">
        <f t="shared" si="106"/>
        <v>48.5083333333333</v>
      </c>
      <c r="U811" s="151">
        <f t="shared" si="110"/>
        <v>292</v>
      </c>
      <c r="V811" s="157">
        <f ca="1">OFFSET(养成规划!$D$5,IFERROR(MATCH(U811,养成规划!$G$6:$G$38,1)+1,1),0)</f>
        <v>560</v>
      </c>
      <c r="W811" s="152">
        <f ca="1">((V811-_xlfn.MAXIFS($V$519:V810,$V$519:V810,"&lt;"&amp;V811))*$D$475)/COUNTIF($V$520:$V$819,V811)/6</f>
        <v>54.2005420054201</v>
      </c>
      <c r="X811" s="157">
        <f t="shared" si="100"/>
        <v>8</v>
      </c>
      <c r="Y811" s="151">
        <f t="shared" si="107"/>
        <v>1927</v>
      </c>
      <c r="Z811" s="156">
        <f ca="1">(SUM($W$520:W811)-SUM($Y$520:Y811))/SUM($W$520:W811)</f>
        <v>-1.5289747595354</v>
      </c>
      <c r="AA811" s="151">
        <f t="shared" si="101"/>
        <v>800</v>
      </c>
      <c r="AB811" s="153">
        <f t="shared" si="108"/>
        <v>184600</v>
      </c>
      <c r="AC811" s="153">
        <f>SUM(Y$520:Y811)</f>
        <v>239430</v>
      </c>
      <c r="AD811" s="153">
        <f>INT(SUM(AB$520:AB811))</f>
        <v>21840800</v>
      </c>
      <c r="AE811" s="153">
        <f ca="1">INT(AC811*6/($D$475+AVERAGE(OFFSET(装备产出!$F$186,0,0,W811))))+1</f>
        <v>1045</v>
      </c>
      <c r="AF811" s="154">
        <f t="shared" si="102"/>
        <v>91.2199807877041</v>
      </c>
    </row>
    <row r="812" ht="17.25" spans="4:32">
      <c r="D812" s="151">
        <f t="shared" si="109"/>
        <v>293</v>
      </c>
      <c r="E812" s="161" t="str">
        <f>IFERROR((INT(_xlfn.XLOOKUP(D812,养成规划!$G$6:$G$38,养成规划!$J$6:$J$38)/6)),"")</f>
        <v/>
      </c>
      <c r="F812" s="156" t="str">
        <f t="shared" si="111"/>
        <v/>
      </c>
      <c r="G812" s="157">
        <f t="shared" si="97"/>
        <v>120</v>
      </c>
      <c r="H812" s="151">
        <f t="shared" si="98"/>
        <v>151380</v>
      </c>
      <c r="I812" s="158">
        <f t="shared" si="103"/>
        <v>15138</v>
      </c>
      <c r="J812" s="159">
        <f ca="1" t="shared" si="104"/>
        <v>0.0150391721437047</v>
      </c>
      <c r="K812" s="157">
        <f t="shared" si="99"/>
        <v>5845</v>
      </c>
      <c r="L812" s="160">
        <f ca="1" t="shared" si="105"/>
        <v>388651.711952556</v>
      </c>
      <c r="M812" s="157">
        <f t="shared" si="106"/>
        <v>48.7083333333333</v>
      </c>
      <c r="U812" s="151">
        <f t="shared" si="110"/>
        <v>293</v>
      </c>
      <c r="V812" s="157">
        <f ca="1">OFFSET(养成规划!$D$5,IFERROR(MATCH(U812,养成规划!$G$6:$G$38,1)+1,1),0)</f>
        <v>560</v>
      </c>
      <c r="W812" s="152">
        <f ca="1">((V812-_xlfn.MAXIFS($V$519:V811,$V$519:V811,"&lt;"&amp;V812))*$D$475)/COUNTIF($V$520:$V$819,V812)/6</f>
        <v>54.2005420054201</v>
      </c>
      <c r="X812" s="157">
        <f t="shared" si="100"/>
        <v>8</v>
      </c>
      <c r="Y812" s="151">
        <f t="shared" si="107"/>
        <v>1935</v>
      </c>
      <c r="Z812" s="156">
        <f ca="1">(SUM($W$520:W812)-SUM($Y$520:Y812))/SUM($W$520:W812)</f>
        <v>-1.54795447572199</v>
      </c>
      <c r="AA812" s="151">
        <f t="shared" si="101"/>
        <v>800</v>
      </c>
      <c r="AB812" s="153">
        <f t="shared" si="108"/>
        <v>185400</v>
      </c>
      <c r="AC812" s="153">
        <f>SUM(Y$520:Y812)</f>
        <v>241365</v>
      </c>
      <c r="AD812" s="153">
        <f>INT(SUM(AB$520:AB812))</f>
        <v>22026200</v>
      </c>
      <c r="AE812" s="153">
        <f ca="1">INT(AC812*6/($D$475+AVERAGE(OFFSET(装备产出!$F$186,0,0,W812))))+1</f>
        <v>1053</v>
      </c>
      <c r="AF812" s="154">
        <f t="shared" si="102"/>
        <v>91.2568102251776</v>
      </c>
    </row>
    <row r="813" ht="17.25" spans="4:32">
      <c r="D813" s="151">
        <f t="shared" si="109"/>
        <v>294</v>
      </c>
      <c r="E813" s="161" t="str">
        <f>IFERROR((INT(_xlfn.XLOOKUP(D813,养成规划!$G$6:$G$38,养成规划!$J$6:$J$38)/6)),"")</f>
        <v/>
      </c>
      <c r="F813" s="156" t="str">
        <f t="shared" si="111"/>
        <v/>
      </c>
      <c r="G813" s="157">
        <f t="shared" si="97"/>
        <v>120</v>
      </c>
      <c r="H813" s="151">
        <f t="shared" si="98"/>
        <v>152580</v>
      </c>
      <c r="I813" s="158">
        <f t="shared" si="103"/>
        <v>15258</v>
      </c>
      <c r="J813" s="159">
        <f ca="1" t="shared" si="104"/>
        <v>0.014947912162081</v>
      </c>
      <c r="K813" s="157">
        <f t="shared" si="99"/>
        <v>5869</v>
      </c>
      <c r="L813" s="160">
        <f ca="1" t="shared" si="105"/>
        <v>392630.083476685</v>
      </c>
      <c r="M813" s="157">
        <f t="shared" si="106"/>
        <v>48.9083333333333</v>
      </c>
      <c r="U813" s="151">
        <f t="shared" si="110"/>
        <v>294</v>
      </c>
      <c r="V813" s="157">
        <f ca="1">OFFSET(养成规划!$D$5,IFERROR(MATCH(U813,养成规划!$G$6:$G$38,1)+1,1),0)</f>
        <v>560</v>
      </c>
      <c r="W813" s="152">
        <f ca="1">((V813-_xlfn.MAXIFS($V$519:V812,$V$519:V812,"&lt;"&amp;V813))*$D$475)/COUNTIF($V$520:$V$819,V813)/6</f>
        <v>54.2005420054201</v>
      </c>
      <c r="X813" s="157">
        <f t="shared" si="100"/>
        <v>8</v>
      </c>
      <c r="Y813" s="151">
        <f t="shared" si="107"/>
        <v>1943</v>
      </c>
      <c r="Z813" s="156">
        <f ca="1">(SUM($W$520:W813)-SUM($Y$520:Y813))/SUM($W$520:W813)</f>
        <v>-1.56699688848956</v>
      </c>
      <c r="AA813" s="151">
        <f t="shared" si="101"/>
        <v>800</v>
      </c>
      <c r="AB813" s="153">
        <f t="shared" si="108"/>
        <v>186200</v>
      </c>
      <c r="AC813" s="153">
        <f>SUM(Y$520:Y813)</f>
        <v>243308</v>
      </c>
      <c r="AD813" s="153">
        <f>INT(SUM(AB$520:AB813))</f>
        <v>22212400</v>
      </c>
      <c r="AE813" s="153">
        <f ca="1">INT(AC813*6/($D$475+AVERAGE(OFFSET(装备产出!$F$186,0,0,W813))))+1</f>
        <v>1062</v>
      </c>
      <c r="AF813" s="154">
        <f t="shared" si="102"/>
        <v>91.2933401285613</v>
      </c>
    </row>
    <row r="814" ht="17.25" spans="4:32">
      <c r="D814" s="151">
        <f t="shared" si="109"/>
        <v>295</v>
      </c>
      <c r="E814" s="161" t="str">
        <f>IFERROR((INT(_xlfn.XLOOKUP(D814,养成规划!$G$6:$G$38,养成规划!$J$6:$J$38)/6)),"")</f>
        <v/>
      </c>
      <c r="F814" s="156" t="str">
        <f t="shared" si="111"/>
        <v/>
      </c>
      <c r="G814" s="157">
        <f t="shared" si="97"/>
        <v>120</v>
      </c>
      <c r="H814" s="151">
        <f t="shared" si="98"/>
        <v>153780</v>
      </c>
      <c r="I814" s="158">
        <f t="shared" si="103"/>
        <v>15378</v>
      </c>
      <c r="J814" s="159">
        <f ca="1" t="shared" si="104"/>
        <v>0.0148577530623659</v>
      </c>
      <c r="K814" s="157">
        <f t="shared" si="99"/>
        <v>5893</v>
      </c>
      <c r="L814" s="160">
        <f ca="1" t="shared" si="105"/>
        <v>396627.940662625</v>
      </c>
      <c r="M814" s="157">
        <f t="shared" si="106"/>
        <v>49.1083333333333</v>
      </c>
      <c r="U814" s="151">
        <f t="shared" si="110"/>
        <v>295</v>
      </c>
      <c r="V814" s="157">
        <f ca="1">OFFSET(养成规划!$D$5,IFERROR(MATCH(U814,养成规划!$G$6:$G$38,1)+1,1),0)</f>
        <v>560</v>
      </c>
      <c r="W814" s="152">
        <f ca="1">((V814-_xlfn.MAXIFS($V$519:V813,$V$519:V813,"&lt;"&amp;V814))*$D$475)/COUNTIF($V$520:$V$819,V814)/6</f>
        <v>54.2005420054201</v>
      </c>
      <c r="X814" s="157">
        <f t="shared" si="100"/>
        <v>8</v>
      </c>
      <c r="Y814" s="151">
        <f t="shared" si="107"/>
        <v>1951</v>
      </c>
      <c r="Z814" s="156">
        <f ca="1">(SUM($W$520:W814)-SUM($Y$520:Y814))/SUM($W$520:W814)</f>
        <v>-1.58610189034283</v>
      </c>
      <c r="AA814" s="151">
        <f t="shared" si="101"/>
        <v>800</v>
      </c>
      <c r="AB814" s="153">
        <f t="shared" si="108"/>
        <v>187000</v>
      </c>
      <c r="AC814" s="153">
        <f>SUM(Y$520:Y814)</f>
        <v>245259</v>
      </c>
      <c r="AD814" s="153">
        <f>INT(SUM(AB$520:AB814))</f>
        <v>22399400</v>
      </c>
      <c r="AE814" s="153">
        <f ca="1">INT(AC814*6/($D$475+AVERAGE(OFFSET(装备产出!$F$186,0,0,W814))))+1</f>
        <v>1070</v>
      </c>
      <c r="AF814" s="154">
        <f t="shared" si="102"/>
        <v>91.3295740421351</v>
      </c>
    </row>
    <row r="815" ht="17.25" spans="4:32">
      <c r="D815" s="151">
        <f t="shared" si="109"/>
        <v>296</v>
      </c>
      <c r="E815" s="161" t="str">
        <f>IFERROR((INT(_xlfn.XLOOKUP(D815,养成规划!$G$6:$G$38,养成规划!$J$6:$J$38)/6)),"")</f>
        <v/>
      </c>
      <c r="F815" s="156" t="str">
        <f t="shared" si="111"/>
        <v/>
      </c>
      <c r="G815" s="157">
        <f t="shared" si="97"/>
        <v>125</v>
      </c>
      <c r="H815" s="151">
        <f t="shared" si="98"/>
        <v>155030</v>
      </c>
      <c r="I815" s="158">
        <f t="shared" si="103"/>
        <v>15503</v>
      </c>
      <c r="J815" s="159">
        <f ca="1" t="shared" si="104"/>
        <v>0.0153821191356448</v>
      </c>
      <c r="K815" s="157">
        <f t="shared" si="99"/>
        <v>5917</v>
      </c>
      <c r="L815" s="160">
        <f ca="1" t="shared" si="105"/>
        <v>384667.414666462</v>
      </c>
      <c r="M815" s="157">
        <f t="shared" si="106"/>
        <v>47.336</v>
      </c>
      <c r="U815" s="151">
        <f t="shared" si="110"/>
        <v>296</v>
      </c>
      <c r="V815" s="157">
        <f ca="1">OFFSET(养成规划!$D$5,IFERROR(MATCH(U815,养成规划!$G$6:$G$38,1)+1,1),0)</f>
        <v>560</v>
      </c>
      <c r="W815" s="152">
        <f ca="1">((V815-_xlfn.MAXIFS($V$519:V814,$V$519:V814,"&lt;"&amp;V815))*$D$475)/COUNTIF($V$520:$V$819,V815)/6</f>
        <v>54.2005420054201</v>
      </c>
      <c r="X815" s="157">
        <f t="shared" si="100"/>
        <v>8</v>
      </c>
      <c r="Y815" s="151">
        <f t="shared" si="107"/>
        <v>1959</v>
      </c>
      <c r="Z815" s="156">
        <f ca="1">(SUM($W$520:W815)-SUM($Y$520:Y815))/SUM($W$520:W815)</f>
        <v>-1.60526937403211</v>
      </c>
      <c r="AA815" s="151">
        <f t="shared" si="101"/>
        <v>800</v>
      </c>
      <c r="AB815" s="153">
        <f t="shared" si="108"/>
        <v>187800</v>
      </c>
      <c r="AC815" s="153">
        <f>SUM(Y$520:Y815)</f>
        <v>247218</v>
      </c>
      <c r="AD815" s="153">
        <f>INT(SUM(AB$520:AB815))</f>
        <v>22587200</v>
      </c>
      <c r="AE815" s="153">
        <f ca="1">INT(AC815*6/($D$475+AVERAGE(OFFSET(装备产出!$F$186,0,0,W815))))+1</f>
        <v>1079</v>
      </c>
      <c r="AF815" s="154">
        <f t="shared" si="102"/>
        <v>91.3655154559943</v>
      </c>
    </row>
    <row r="816" ht="17.25" spans="4:32">
      <c r="D816" s="151">
        <f t="shared" si="109"/>
        <v>297</v>
      </c>
      <c r="E816" s="161" t="str">
        <f>IFERROR((INT(_xlfn.XLOOKUP(D816,养成规划!$G$6:$G$38,养成规划!$J$6:$J$38)/6)),"")</f>
        <v/>
      </c>
      <c r="F816" s="156" t="str">
        <f t="shared" si="111"/>
        <v/>
      </c>
      <c r="G816" s="157">
        <f t="shared" si="97"/>
        <v>125</v>
      </c>
      <c r="H816" s="151">
        <f t="shared" si="98"/>
        <v>156280</v>
      </c>
      <c r="I816" s="158">
        <f t="shared" si="103"/>
        <v>15628</v>
      </c>
      <c r="J816" s="159">
        <f ca="1" t="shared" si="104"/>
        <v>0.0152866627849783</v>
      </c>
      <c r="K816" s="157">
        <f t="shared" si="99"/>
        <v>5941</v>
      </c>
      <c r="L816" s="160">
        <f ca="1" t="shared" si="105"/>
        <v>388639.435798769</v>
      </c>
      <c r="M816" s="157">
        <f t="shared" si="106"/>
        <v>47.528</v>
      </c>
      <c r="U816" s="151">
        <f t="shared" si="110"/>
        <v>297</v>
      </c>
      <c r="V816" s="157">
        <f ca="1">OFFSET(养成规划!$D$5,IFERROR(MATCH(U816,养成规划!$G$6:$G$38,1)+1,1),0)</f>
        <v>560</v>
      </c>
      <c r="W816" s="152">
        <f ca="1">((V816-_xlfn.MAXIFS($V$519:V815,$V$519:V815,"&lt;"&amp;V816))*$D$475)/COUNTIF($V$520:$V$819,V816)/6</f>
        <v>54.2005420054201</v>
      </c>
      <c r="X816" s="157">
        <f t="shared" si="100"/>
        <v>8</v>
      </c>
      <c r="Y816" s="151">
        <f t="shared" si="107"/>
        <v>1967</v>
      </c>
      <c r="Z816" s="156">
        <f ca="1">(SUM($W$520:W816)-SUM($Y$520:Y816))/SUM($W$520:W816)</f>
        <v>-1.62449923255262</v>
      </c>
      <c r="AA816" s="151">
        <f t="shared" si="101"/>
        <v>800</v>
      </c>
      <c r="AB816" s="153">
        <f t="shared" si="108"/>
        <v>188600</v>
      </c>
      <c r="AC816" s="153">
        <f>SUM(Y$520:Y816)</f>
        <v>249185</v>
      </c>
      <c r="AD816" s="153">
        <f>INT(SUM(AB$520:AB816))</f>
        <v>22775800</v>
      </c>
      <c r="AE816" s="153">
        <f ca="1">INT(AC816*6/($D$475+AVERAGE(OFFSET(装备产出!$F$186,0,0,W816))))+1</f>
        <v>1087</v>
      </c>
      <c r="AF816" s="154">
        <f t="shared" si="102"/>
        <v>91.401167807051</v>
      </c>
    </row>
    <row r="817" ht="17.25" spans="1:32">
      <c r="D817" s="151">
        <f t="shared" si="109"/>
        <v>298</v>
      </c>
      <c r="E817" s="161" t="str">
        <f>IFERROR((INT(_xlfn.XLOOKUP(D817,养成规划!$G$6:$G$38,养成规划!$J$6:$J$38)/6)),"")</f>
        <v/>
      </c>
      <c r="F817" s="156" t="str">
        <f t="shared" si="111"/>
        <v/>
      </c>
      <c r="G817" s="157">
        <f t="shared" si="97"/>
        <v>125</v>
      </c>
      <c r="H817" s="151">
        <f t="shared" si="98"/>
        <v>157530</v>
      </c>
      <c r="I817" s="158">
        <f t="shared" si="103"/>
        <v>15753</v>
      </c>
      <c r="J817" s="159">
        <f ca="1" t="shared" si="104"/>
        <v>0.0151923838724405</v>
      </c>
      <c r="K817" s="157">
        <f t="shared" si="99"/>
        <v>5965</v>
      </c>
      <c r="L817" s="160">
        <f ca="1" t="shared" si="105"/>
        <v>392630.942588325</v>
      </c>
      <c r="M817" s="157">
        <f t="shared" si="106"/>
        <v>47.72</v>
      </c>
      <c r="U817" s="151">
        <f t="shared" si="110"/>
        <v>298</v>
      </c>
      <c r="V817" s="157">
        <f ca="1">OFFSET(养成规划!$D$5,IFERROR(MATCH(U817,养成规划!$G$6:$G$38,1)+1,1),0)</f>
        <v>560</v>
      </c>
      <c r="W817" s="152">
        <f ca="1">((V817-_xlfn.MAXIFS($V$519:V816,$V$519:V816,"&lt;"&amp;V817))*$D$475)/COUNTIF($V$520:$V$819,V817)/6</f>
        <v>54.2005420054201</v>
      </c>
      <c r="X817" s="157">
        <f t="shared" si="100"/>
        <v>8</v>
      </c>
      <c r="Y817" s="151">
        <f t="shared" si="107"/>
        <v>1975</v>
      </c>
      <c r="Z817" s="156">
        <f ca="1">(SUM($W$520:W817)-SUM($Y$520:Y817))/SUM($W$520:W817)</f>
        <v>-1.64379135914375</v>
      </c>
      <c r="AA817" s="151">
        <f t="shared" si="101"/>
        <v>800</v>
      </c>
      <c r="AB817" s="153">
        <f t="shared" si="108"/>
        <v>189400</v>
      </c>
      <c r="AC817" s="153">
        <f>SUM(Y$520:Y817)</f>
        <v>251160</v>
      </c>
      <c r="AD817" s="153">
        <f>INT(SUM(AB$520:AB817))</f>
        <v>22965200</v>
      </c>
      <c r="AE817" s="153">
        <f ca="1">INT(AC817*6/($D$475+AVERAGE(OFFSET(装备产出!$F$186,0,0,W817))))+1</f>
        <v>1096</v>
      </c>
      <c r="AF817" s="154">
        <f t="shared" si="102"/>
        <v>91.4365344800127</v>
      </c>
    </row>
    <row r="818" ht="17.25" spans="1:32">
      <c r="D818" s="151">
        <f t="shared" si="109"/>
        <v>299</v>
      </c>
      <c r="E818" s="161" t="str">
        <f>IFERROR((INT(_xlfn.XLOOKUP(D818,养成规划!$G$6:$G$38,养成规划!$J$6:$J$38)/6)),"")</f>
        <v/>
      </c>
      <c r="F818" s="156" t="str">
        <f t="shared" si="111"/>
        <v/>
      </c>
      <c r="G818" s="157">
        <f t="shared" si="97"/>
        <v>125</v>
      </c>
      <c r="H818" s="151">
        <f t="shared" si="98"/>
        <v>158780</v>
      </c>
      <c r="I818" s="158">
        <f t="shared" si="103"/>
        <v>15878</v>
      </c>
      <c r="J818" s="159">
        <f ca="1" t="shared" si="104"/>
        <v>0.0150992607462463</v>
      </c>
      <c r="K818" s="157">
        <f t="shared" si="99"/>
        <v>5989</v>
      </c>
      <c r="L818" s="160">
        <f ca="1" t="shared" si="105"/>
        <v>396641.935035717</v>
      </c>
      <c r="M818" s="157">
        <f t="shared" si="106"/>
        <v>47.912</v>
      </c>
      <c r="U818" s="151">
        <f t="shared" si="110"/>
        <v>299</v>
      </c>
      <c r="V818" s="157">
        <f ca="1">OFFSET(养成规划!$D$5,IFERROR(MATCH(U818,养成规划!$G$6:$G$38,1)+1,1),0)</f>
        <v>560</v>
      </c>
      <c r="W818" s="152">
        <f ca="1">((V818-_xlfn.MAXIFS($V$519:V817,$V$519:V817,"&lt;"&amp;V818))*$D$475)/COUNTIF($V$520:$V$819,V818)/6</f>
        <v>54.2005420054201</v>
      </c>
      <c r="X818" s="157">
        <f t="shared" si="100"/>
        <v>8</v>
      </c>
      <c r="Y818" s="151">
        <f t="shared" si="107"/>
        <v>1983</v>
      </c>
      <c r="Z818" s="156">
        <f ca="1">(SUM($W$520:W818)-SUM($Y$520:Y818))/SUM($W$520:W818)</f>
        <v>-1.66314564728842</v>
      </c>
      <c r="AA818" s="151">
        <f t="shared" si="101"/>
        <v>800</v>
      </c>
      <c r="AB818" s="153">
        <f t="shared" si="108"/>
        <v>190200</v>
      </c>
      <c r="AC818" s="153">
        <f>SUM(Y$520:Y818)</f>
        <v>253143</v>
      </c>
      <c r="AD818" s="153">
        <f>INT(SUM(AB$520:AB818))</f>
        <v>23155400</v>
      </c>
      <c r="AE818" s="153">
        <f ca="1">INT(AC818*6/($D$475+AVERAGE(OFFSET(装备产出!$F$186,0,0,W818))))+1</f>
        <v>1105</v>
      </c>
      <c r="AF818" s="154">
        <f t="shared" si="102"/>
        <v>91.4716188083415</v>
      </c>
    </row>
    <row r="819" ht="17.25" spans="1:32">
      <c r="D819" s="151">
        <f t="shared" si="109"/>
        <v>300</v>
      </c>
      <c r="E819" s="161" t="str">
        <f>IFERROR((INT(_xlfn.XLOOKUP(D819,养成规划!$G$6:$G$38,养成规划!$J$6:$J$38)/6)),"")</f>
        <v/>
      </c>
      <c r="F819" s="156" t="str">
        <f t="shared" si="111"/>
        <v/>
      </c>
      <c r="G819" s="157">
        <f t="shared" si="97"/>
        <v>125</v>
      </c>
      <c r="H819" s="151">
        <f t="shared" si="98"/>
        <v>160030</v>
      </c>
      <c r="I819" s="158">
        <f t="shared" si="103"/>
        <v>16003</v>
      </c>
      <c r="J819" s="159">
        <f ca="1" t="shared" si="104"/>
        <v>0.0150072722822458</v>
      </c>
      <c r="K819" s="157">
        <f t="shared" si="99"/>
        <v>6053</v>
      </c>
      <c r="L819" s="160">
        <f ca="1" t="shared" si="105"/>
        <v>403337.787584552</v>
      </c>
      <c r="M819" s="157">
        <f t="shared" si="106"/>
        <v>48.424</v>
      </c>
      <c r="U819" s="151">
        <f t="shared" si="110"/>
        <v>300</v>
      </c>
      <c r="V819" s="157">
        <f ca="1">OFFSET(养成规划!$D$5,IFERROR(MATCH(U819,养成规划!$G$6:$G$38,1)+1,1),0)</f>
        <v>560</v>
      </c>
      <c r="W819" s="152">
        <f ca="1">((V819-_xlfn.MAXIFS($V$519:V818,$V$519:V818,"&lt;"&amp;V819))*$D$475)/COUNTIF($V$520:$V$819,V819)/6</f>
        <v>54.2005420054201</v>
      </c>
      <c r="X819" s="157">
        <f t="shared" si="100"/>
        <v>8</v>
      </c>
      <c r="Y819" s="151">
        <f t="shared" si="107"/>
        <v>1991</v>
      </c>
      <c r="Z819" s="156">
        <f ca="1">(SUM($W$520:W819)-SUM($Y$520:Y819))/SUM($W$520:W819)</f>
        <v>-1.68256199071235</v>
      </c>
      <c r="AA819" s="151">
        <f t="shared" si="101"/>
        <v>1600</v>
      </c>
      <c r="AB819" s="153">
        <f t="shared" si="108"/>
        <v>191800</v>
      </c>
      <c r="AC819" s="153">
        <f>SUM(Y$520:Y819)</f>
        <v>255134</v>
      </c>
      <c r="AD819" s="153">
        <f>INT(SUM(AB$520:AB819))</f>
        <v>23347200</v>
      </c>
      <c r="AE819" s="153">
        <f ca="1">INT(AC819*6/($D$475+AVERAGE(OFFSET(装备产出!$F$186,0,0,W819))))+1</f>
        <v>1113</v>
      </c>
      <c r="AF819" s="154">
        <f t="shared" si="102"/>
        <v>91.509559682363</v>
      </c>
    </row>
    <row r="821" ht="18" spans="1:32">
      <c r="A821" s="90" t="s">
        <v>120</v>
      </c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</row>
    <row r="822" ht="18" spans="1:32">
      <c r="B822" s="65"/>
      <c r="C822" s="65"/>
      <c r="D822" s="92"/>
      <c r="E822" s="65"/>
      <c r="F822" s="93"/>
      <c r="G822" s="65"/>
      <c r="H822" s="65"/>
      <c r="I822" s="65"/>
      <c r="J822" s="65"/>
      <c r="K822" s="65"/>
      <c r="L822" s="65"/>
    </row>
    <row r="823" ht="17.25" spans="1:32">
      <c r="B823" s="65"/>
      <c r="C823" s="65"/>
      <c r="D823" s="65" t="s">
        <v>121</v>
      </c>
      <c r="E823" s="65"/>
      <c r="F823" s="65"/>
      <c r="G823" s="65"/>
      <c r="H823" s="65"/>
      <c r="I823" s="65"/>
      <c r="K823" s="65"/>
      <c r="L823" s="65"/>
    </row>
    <row r="824" ht="17.25" spans="1:32">
      <c r="B824" s="65"/>
      <c r="C824" s="65"/>
      <c r="E824" s="65" t="s">
        <v>122</v>
      </c>
      <c r="F824" s="65"/>
      <c r="G824" s="65"/>
      <c r="H824" s="65"/>
      <c r="I824" s="65"/>
      <c r="K824" s="65"/>
      <c r="L824" s="65"/>
    </row>
    <row r="825" ht="17.25" spans="1:32">
      <c r="B825" s="65"/>
      <c r="C825" s="65"/>
      <c r="D825" s="65"/>
      <c r="E825" s="65" t="s">
        <v>123</v>
      </c>
      <c r="F825" s="65"/>
      <c r="G825" s="65"/>
      <c r="H825" s="65"/>
      <c r="I825" s="65"/>
      <c r="K825" s="65"/>
      <c r="L825" s="65"/>
      <c r="O825" s="65" t="s">
        <v>124</v>
      </c>
      <c r="P825" s="65"/>
      <c r="Q825" s="65"/>
      <c r="R825" s="65"/>
      <c r="S825" s="65"/>
      <c r="T825" s="65"/>
      <c r="U825" s="65"/>
      <c r="V825" s="65"/>
    </row>
    <row r="826" ht="18" spans="1:32">
      <c r="B826" s="65"/>
      <c r="C826" s="65"/>
      <c r="D826" s="65"/>
      <c r="E826" s="65" t="s">
        <v>125</v>
      </c>
      <c r="F826" s="65"/>
      <c r="G826" s="65"/>
      <c r="H826" s="65"/>
      <c r="I826" s="65"/>
      <c r="K826" s="65"/>
      <c r="L826" s="65"/>
      <c r="O826" s="48" t="s">
        <v>27</v>
      </c>
      <c r="P826" s="48" t="s">
        <v>126</v>
      </c>
      <c r="Q826" s="48" t="s">
        <v>127</v>
      </c>
      <c r="R826" s="48" t="s">
        <v>128</v>
      </c>
      <c r="S826" s="48" t="s">
        <v>129</v>
      </c>
      <c r="T826" s="48" t="s">
        <v>130</v>
      </c>
      <c r="U826" s="48" t="s">
        <v>131</v>
      </c>
      <c r="V826" s="65"/>
    </row>
    <row r="827" ht="17.25" spans="1:32">
      <c r="B827" s="65"/>
      <c r="C827" s="65"/>
      <c r="D827" s="65"/>
      <c r="E827" s="65"/>
      <c r="F827" s="65"/>
      <c r="G827" s="65"/>
      <c r="H827" s="65"/>
      <c r="I827" s="65"/>
      <c r="K827" s="65"/>
      <c r="L827" s="65"/>
      <c r="O827" s="151" t="s">
        <v>58</v>
      </c>
      <c r="P827" s="162" t="e">
        <f t="shared" ref="P827:P832" si="112">1/(COUNTA($G$1084,$G$1086,$G$1093)*1000/SUMIF($F$1084:$F$1278,O827,$J$1084:$J$1278))/Q827</f>
        <v>#DIV/0!</v>
      </c>
      <c r="Q827" s="163">
        <v>0.2</v>
      </c>
      <c r="R827" s="146">
        <v>10</v>
      </c>
      <c r="S827" s="163">
        <v>1.6</v>
      </c>
      <c r="T827" s="163">
        <v>1.6</v>
      </c>
      <c r="U827" s="163">
        <f t="shared" ref="U827:U834" si="113">1/S827/2</f>
        <v>0.3125</v>
      </c>
      <c r="V827" s="65"/>
    </row>
    <row r="828" ht="17.25" spans="1:32">
      <c r="B828" s="65"/>
      <c r="C828" s="65"/>
      <c r="D828" s="65" t="s">
        <v>132</v>
      </c>
      <c r="E828" s="65"/>
      <c r="F828" s="65"/>
      <c r="G828" s="65"/>
      <c r="H828" s="65"/>
      <c r="I828" s="65"/>
      <c r="K828" s="65"/>
      <c r="L828" s="65"/>
      <c r="O828" s="151" t="s">
        <v>59</v>
      </c>
      <c r="P828" s="162" t="e">
        <f t="shared" si="112"/>
        <v>#DIV/0!</v>
      </c>
      <c r="Q828" s="163">
        <v>0.2</v>
      </c>
      <c r="R828" s="146">
        <v>10</v>
      </c>
      <c r="S828" s="163">
        <v>1.6</v>
      </c>
      <c r="T828" s="163">
        <v>1.6</v>
      </c>
      <c r="U828" s="163">
        <f t="shared" si="113"/>
        <v>0.3125</v>
      </c>
      <c r="V828" s="65"/>
    </row>
    <row r="829" ht="17.25" spans="1:32">
      <c r="B829" s="65"/>
      <c r="C829" s="65"/>
      <c r="D829" s="65"/>
      <c r="E829" s="65" t="s">
        <v>133</v>
      </c>
      <c r="F829" s="65"/>
      <c r="G829" s="65"/>
      <c r="H829" s="65"/>
      <c r="I829" s="65"/>
      <c r="K829" s="65"/>
      <c r="L829" s="65"/>
      <c r="O829" s="151" t="s">
        <v>31</v>
      </c>
      <c r="P829" s="162" t="e">
        <f t="shared" si="112"/>
        <v>#DIV/0!</v>
      </c>
      <c r="Q829" s="163">
        <v>0.2</v>
      </c>
      <c r="R829" s="146">
        <v>10</v>
      </c>
      <c r="S829" s="163">
        <v>1.6</v>
      </c>
      <c r="T829" s="163">
        <v>1.6</v>
      </c>
      <c r="U829" s="163">
        <f t="shared" si="113"/>
        <v>0.3125</v>
      </c>
      <c r="V829" s="65"/>
    </row>
    <row r="830" ht="17.25" spans="1:32">
      <c r="B830" s="65"/>
      <c r="C830" s="65"/>
      <c r="D830" s="65"/>
      <c r="E830" s="65" t="s">
        <v>134</v>
      </c>
      <c r="F830" s="65"/>
      <c r="G830" s="65"/>
      <c r="H830" s="65"/>
      <c r="I830" s="65"/>
      <c r="K830" s="65"/>
      <c r="L830" s="65"/>
      <c r="O830" s="151" t="s">
        <v>32</v>
      </c>
      <c r="P830" s="162" t="e">
        <f t="shared" si="112"/>
        <v>#DIV/0!</v>
      </c>
      <c r="Q830" s="163">
        <v>0.2</v>
      </c>
      <c r="R830" s="146">
        <v>10</v>
      </c>
      <c r="S830" s="163">
        <v>1.6</v>
      </c>
      <c r="T830" s="163">
        <v>1.6</v>
      </c>
      <c r="U830" s="163">
        <f t="shared" si="113"/>
        <v>0.3125</v>
      </c>
      <c r="V830" s="65"/>
    </row>
    <row r="831" ht="17.25" spans="1:32">
      <c r="B831" s="65"/>
      <c r="C831" s="65"/>
      <c r="D831" s="65"/>
      <c r="E831" s="65"/>
      <c r="F831" s="65"/>
      <c r="G831" s="65"/>
      <c r="H831" s="65"/>
      <c r="I831" s="65"/>
      <c r="K831" s="65"/>
      <c r="L831" s="65"/>
      <c r="O831" s="151" t="s">
        <v>33</v>
      </c>
      <c r="P831" s="162" t="e">
        <f t="shared" si="112"/>
        <v>#DIV/0!</v>
      </c>
      <c r="Q831" s="163">
        <v>0.2</v>
      </c>
      <c r="R831" s="146">
        <v>10</v>
      </c>
      <c r="S831" s="163">
        <v>1.6</v>
      </c>
      <c r="T831" s="163">
        <v>1.6</v>
      </c>
      <c r="U831" s="163">
        <f t="shared" si="113"/>
        <v>0.3125</v>
      </c>
      <c r="V831" s="65"/>
    </row>
    <row r="832" ht="17.25" spans="1:32">
      <c r="B832" s="65"/>
      <c r="C832" s="65"/>
      <c r="D832" s="65" t="s">
        <v>135</v>
      </c>
      <c r="E832" s="65"/>
      <c r="F832" s="65"/>
      <c r="G832" s="65"/>
      <c r="H832" s="65"/>
      <c r="I832" s="65"/>
      <c r="K832" s="65"/>
      <c r="L832" s="65"/>
      <c r="O832" s="151" t="s">
        <v>34</v>
      </c>
      <c r="P832" s="162" t="e">
        <f t="shared" si="112"/>
        <v>#DIV/0!</v>
      </c>
      <c r="Q832" s="163">
        <v>0.2</v>
      </c>
      <c r="R832" s="146">
        <v>10</v>
      </c>
      <c r="S832" s="163">
        <v>1.6</v>
      </c>
      <c r="T832" s="163">
        <v>1.6</v>
      </c>
      <c r="U832" s="163">
        <f t="shared" si="113"/>
        <v>0.3125</v>
      </c>
      <c r="V832" s="65"/>
    </row>
    <row r="833" ht="17.25" spans="2:38">
      <c r="B833" s="65"/>
      <c r="C833" s="65"/>
      <c r="D833" s="65"/>
      <c r="E833" s="65" t="s">
        <v>136</v>
      </c>
      <c r="F833" s="65"/>
      <c r="G833" s="65"/>
      <c r="H833" s="65"/>
      <c r="I833" s="65"/>
      <c r="K833" s="65"/>
      <c r="L833" s="65"/>
      <c r="O833" s="151" t="s">
        <v>35</v>
      </c>
      <c r="P833" s="162" t="e">
        <f>1/(COUNTA($G$1084,$G$1086,$G$1093)*1000/SUMIF($F$1084:$F$1278,O833,$J$1084:$J$1278))^2/Q833^2</f>
        <v>#DIV/0!</v>
      </c>
      <c r="Q833" s="163">
        <v>0.2</v>
      </c>
      <c r="R833" s="146">
        <v>10</v>
      </c>
      <c r="S833" s="163">
        <v>1.6</v>
      </c>
      <c r="T833" s="163">
        <v>1.6</v>
      </c>
      <c r="U833" s="163">
        <f t="shared" si="113"/>
        <v>0.3125</v>
      </c>
      <c r="V833" s="65" t="s">
        <v>137</v>
      </c>
    </row>
    <row r="834" ht="18" spans="2:38">
      <c r="B834" s="65"/>
      <c r="C834" s="65"/>
      <c r="D834" s="92"/>
      <c r="E834" s="65"/>
      <c r="F834" s="65"/>
      <c r="G834" s="65"/>
      <c r="H834" s="65"/>
      <c r="I834" s="65"/>
      <c r="J834" s="65"/>
      <c r="K834" s="65"/>
      <c r="L834" s="65"/>
      <c r="O834" s="151" t="s">
        <v>36</v>
      </c>
      <c r="P834" s="162" t="e">
        <f>1/(COUNTA($G$1084,$G$1086,$G$1093)*1000/SUMIF($F$1084:$F$1278,O834,$J$1084:$J$1278))^2/Q834^2</f>
        <v>#DIV/0!</v>
      </c>
      <c r="Q834" s="163">
        <v>0.2</v>
      </c>
      <c r="R834" s="146">
        <v>10</v>
      </c>
      <c r="S834" s="163">
        <v>1.6</v>
      </c>
      <c r="T834" s="163">
        <v>1.6</v>
      </c>
      <c r="U834" s="163">
        <f t="shared" si="113"/>
        <v>0.3125</v>
      </c>
      <c r="V834" s="65"/>
    </row>
    <row r="835" ht="18" spans="2:38">
      <c r="B835" s="98"/>
      <c r="C835" s="99" t="s">
        <v>138</v>
      </c>
      <c r="D835" s="92"/>
      <c r="E835" s="129" t="s">
        <v>139</v>
      </c>
      <c r="L835" s="164" t="s">
        <v>140</v>
      </c>
    </row>
    <row r="836" ht="18" spans="2:38">
      <c r="D836" s="92"/>
      <c r="E836" s="129"/>
      <c r="G836" s="137" t="s">
        <v>141</v>
      </c>
      <c r="L836" s="137" t="s">
        <v>142</v>
      </c>
      <c r="V836" s="137" t="s">
        <v>142</v>
      </c>
      <c r="AF836" s="137" t="s">
        <v>142</v>
      </c>
    </row>
    <row r="837" ht="17.25" spans="2:38">
      <c r="B837" s="65"/>
      <c r="C837" s="65"/>
      <c r="G837" s="93">
        <v>50001</v>
      </c>
      <c r="L837" s="93">
        <v>50001</v>
      </c>
      <c r="V837" s="93">
        <v>2</v>
      </c>
      <c r="AF837" s="93">
        <v>5523001</v>
      </c>
    </row>
    <row r="838" ht="17.25" spans="2:38">
      <c r="B838" s="65"/>
      <c r="C838" s="65"/>
    </row>
    <row r="839" ht="17.25" spans="2:38">
      <c r="B839" s="65"/>
      <c r="C839" s="65"/>
      <c r="D839" s="149" t="s">
        <v>143</v>
      </c>
      <c r="E839" s="149" t="s">
        <v>144</v>
      </c>
      <c r="G839" s="137" t="s">
        <v>49</v>
      </c>
      <c r="H839" s="137" t="s">
        <v>145</v>
      </c>
      <c r="L839" s="137" t="s">
        <v>89</v>
      </c>
      <c r="M839" s="137" t="s">
        <v>90</v>
      </c>
      <c r="N839" s="137" t="s">
        <v>146</v>
      </c>
      <c r="P839" s="137" t="s">
        <v>49</v>
      </c>
      <c r="Q839" s="137" t="s">
        <v>145</v>
      </c>
      <c r="V839" s="137" t="s">
        <v>89</v>
      </c>
      <c r="W839" s="137" t="s">
        <v>90</v>
      </c>
      <c r="X839" s="137" t="s">
        <v>147</v>
      </c>
      <c r="Z839" s="137" t="s">
        <v>49</v>
      </c>
      <c r="AA839" s="137" t="s">
        <v>145</v>
      </c>
      <c r="AF839" s="137" t="s">
        <v>89</v>
      </c>
      <c r="AG839" s="137" t="s">
        <v>90</v>
      </c>
      <c r="AH839" s="137" t="s">
        <v>148</v>
      </c>
      <c r="AI839" s="137" t="s">
        <v>149</v>
      </c>
      <c r="AK839" s="137" t="s">
        <v>49</v>
      </c>
      <c r="AL839" s="137" t="s">
        <v>145</v>
      </c>
    </row>
    <row r="840" ht="17.25" spans="2:38">
      <c r="B840" s="65"/>
      <c r="C840" s="65"/>
      <c r="D840" s="151">
        <v>0</v>
      </c>
      <c r="E840" s="151">
        <v>1</v>
      </c>
      <c r="G840" s="151" t="s">
        <v>32</v>
      </c>
      <c r="H840" s="151">
        <v>1</v>
      </c>
      <c r="L840" s="151">
        <v>1</v>
      </c>
      <c r="M840" s="151">
        <v>1</v>
      </c>
      <c r="N840" s="151">
        <v>10</v>
      </c>
      <c r="P840" s="151" t="s">
        <v>58</v>
      </c>
      <c r="Q840" s="151">
        <v>1</v>
      </c>
      <c r="V840" s="151">
        <v>1</v>
      </c>
      <c r="W840" s="151"/>
      <c r="X840" s="151"/>
      <c r="Z840" s="151" t="s">
        <v>58</v>
      </c>
      <c r="AA840" s="151">
        <v>1</v>
      </c>
      <c r="AF840" s="151">
        <v>1</v>
      </c>
      <c r="AG840" s="151">
        <v>1</v>
      </c>
      <c r="AH840" s="151">
        <v>10</v>
      </c>
      <c r="AI840" s="151">
        <v>0</v>
      </c>
      <c r="AK840" s="151" t="s">
        <v>58</v>
      </c>
      <c r="AL840" s="151">
        <v>1</v>
      </c>
    </row>
    <row r="841" ht="17.25" spans="2:38">
      <c r="B841" s="65"/>
      <c r="C841" s="65"/>
      <c r="D841" s="151">
        <v>1</v>
      </c>
      <c r="E841" s="151">
        <v>3</v>
      </c>
      <c r="G841" s="151" t="s">
        <v>33</v>
      </c>
      <c r="H841" s="151">
        <v>1.2</v>
      </c>
      <c r="L841" s="151">
        <v>2</v>
      </c>
      <c r="M841" s="151">
        <v>100</v>
      </c>
      <c r="N841" s="151">
        <v>2</v>
      </c>
      <c r="P841" s="151" t="s">
        <v>59</v>
      </c>
      <c r="Q841" s="151">
        <v>2</v>
      </c>
      <c r="V841" s="151">
        <v>2</v>
      </c>
      <c r="W841" s="151"/>
      <c r="X841" s="151"/>
      <c r="Z841" s="151" t="s">
        <v>59</v>
      </c>
      <c r="AA841" s="151">
        <v>1.6</v>
      </c>
      <c r="AF841" s="151">
        <v>2</v>
      </c>
      <c r="AG841" s="151">
        <v>20</v>
      </c>
      <c r="AH841" s="151">
        <v>2</v>
      </c>
      <c r="AI841" s="151">
        <v>0</v>
      </c>
      <c r="AK841" s="151" t="s">
        <v>59</v>
      </c>
      <c r="AL841" s="151">
        <v>1</v>
      </c>
    </row>
    <row r="842" ht="17.25" spans="2:38">
      <c r="B842" s="65"/>
      <c r="C842" s="65"/>
      <c r="D842" s="151">
        <v>2</v>
      </c>
      <c r="E842" s="151">
        <v>9</v>
      </c>
      <c r="G842" s="151" t="s">
        <v>34</v>
      </c>
      <c r="H842" s="151">
        <v>1.3</v>
      </c>
      <c r="L842" s="151">
        <v>3</v>
      </c>
      <c r="M842" s="151">
        <v>150</v>
      </c>
      <c r="N842" s="151">
        <v>4</v>
      </c>
      <c r="P842" s="151" t="s">
        <v>31</v>
      </c>
      <c r="Q842" s="151">
        <v>1.5</v>
      </c>
      <c r="V842" s="151">
        <v>3</v>
      </c>
      <c r="W842" s="151"/>
      <c r="X842" s="151"/>
      <c r="Z842" s="151" t="s">
        <v>31</v>
      </c>
      <c r="AA842" s="151">
        <v>1.4</v>
      </c>
      <c r="AF842" s="151">
        <v>3</v>
      </c>
      <c r="AG842" s="151">
        <v>40</v>
      </c>
      <c r="AH842" s="151">
        <v>2</v>
      </c>
      <c r="AI842" s="151">
        <v>0</v>
      </c>
      <c r="AK842" s="151" t="s">
        <v>31</v>
      </c>
      <c r="AL842" s="151">
        <v>1.1</v>
      </c>
    </row>
    <row r="843" ht="17.25" spans="2:38">
      <c r="B843" s="65"/>
      <c r="C843" s="65"/>
      <c r="D843" s="151">
        <v>3</v>
      </c>
      <c r="E843" s="151">
        <v>27</v>
      </c>
      <c r="F843" s="65"/>
      <c r="G843" s="151" t="s">
        <v>35</v>
      </c>
      <c r="H843" s="151">
        <v>1.3</v>
      </c>
      <c r="L843" s="151">
        <v>4</v>
      </c>
      <c r="M843" s="151">
        <v>200</v>
      </c>
      <c r="N843" s="151">
        <v>8</v>
      </c>
      <c r="P843" s="151" t="s">
        <v>32</v>
      </c>
      <c r="Q843" s="151">
        <v>1.3333</v>
      </c>
      <c r="V843" s="151">
        <v>4</v>
      </c>
      <c r="W843" s="151"/>
      <c r="X843" s="151"/>
      <c r="Z843" s="151" t="s">
        <v>32</v>
      </c>
      <c r="AA843" s="151">
        <v>1.333</v>
      </c>
      <c r="AF843" s="151">
        <v>4</v>
      </c>
      <c r="AG843" s="151">
        <v>60</v>
      </c>
      <c r="AH843" s="151">
        <v>2</v>
      </c>
      <c r="AI843" s="151">
        <v>0</v>
      </c>
      <c r="AK843" s="151" t="s">
        <v>32</v>
      </c>
      <c r="AL843" s="151">
        <v>1.1</v>
      </c>
    </row>
    <row r="844" ht="18" spans="2:38">
      <c r="B844" s="65"/>
      <c r="C844" s="65"/>
      <c r="D844" s="92"/>
      <c r="G844" s="151" t="s">
        <v>36</v>
      </c>
      <c r="H844" s="151">
        <v>1.5</v>
      </c>
      <c r="P844" s="151" t="s">
        <v>33</v>
      </c>
      <c r="Q844" s="151">
        <v>2</v>
      </c>
      <c r="Z844" s="151" t="s">
        <v>33</v>
      </c>
      <c r="AA844" s="151">
        <v>1.25</v>
      </c>
      <c r="AF844" s="151">
        <v>5</v>
      </c>
      <c r="AG844" s="151">
        <v>80</v>
      </c>
      <c r="AH844" s="151">
        <v>2</v>
      </c>
      <c r="AI844" s="151">
        <v>0</v>
      </c>
      <c r="AK844" s="151" t="s">
        <v>33</v>
      </c>
      <c r="AL844" s="151">
        <v>1.2</v>
      </c>
    </row>
    <row r="845" ht="18" spans="2:38">
      <c r="B845" s="65"/>
      <c r="C845" s="65"/>
      <c r="D845" s="92"/>
      <c r="P845" s="151" t="s">
        <v>34</v>
      </c>
      <c r="Q845" s="151">
        <v>1.5</v>
      </c>
      <c r="Z845" s="151" t="s">
        <v>34</v>
      </c>
      <c r="AA845" s="151">
        <v>1.2</v>
      </c>
      <c r="AF845" s="151">
        <v>6</v>
      </c>
      <c r="AG845" s="151">
        <v>100</v>
      </c>
      <c r="AH845" s="151">
        <v>2</v>
      </c>
      <c r="AI845" s="151">
        <v>0</v>
      </c>
      <c r="AK845" s="151" t="s">
        <v>34</v>
      </c>
      <c r="AL845" s="151">
        <v>1.2</v>
      </c>
    </row>
    <row r="846" ht="18" spans="2:38">
      <c r="B846" s="65"/>
      <c r="C846" s="65"/>
      <c r="D846" s="92"/>
      <c r="P846" s="151" t="s">
        <v>35</v>
      </c>
      <c r="Q846" s="151">
        <v>3</v>
      </c>
      <c r="Z846" s="151" t="s">
        <v>35</v>
      </c>
      <c r="AA846" s="151">
        <v>1.2</v>
      </c>
      <c r="AF846" s="151">
        <v>7</v>
      </c>
      <c r="AG846" s="151">
        <v>120</v>
      </c>
      <c r="AH846" s="151">
        <v>2</v>
      </c>
      <c r="AI846" s="151">
        <v>0</v>
      </c>
      <c r="AK846" s="151" t="s">
        <v>35</v>
      </c>
      <c r="AL846" s="151">
        <v>1.2</v>
      </c>
    </row>
    <row r="847" ht="18" spans="2:38">
      <c r="B847" s="65"/>
      <c r="C847" s="65"/>
      <c r="D847" s="92"/>
      <c r="P847" s="151" t="s">
        <v>36</v>
      </c>
      <c r="Q847" s="151">
        <v>2</v>
      </c>
      <c r="Z847" s="151" t="s">
        <v>36</v>
      </c>
      <c r="AA847" s="151">
        <v>1.2</v>
      </c>
      <c r="AF847" s="151">
        <v>8</v>
      </c>
      <c r="AG847" s="151">
        <v>140</v>
      </c>
      <c r="AH847" s="151">
        <v>2</v>
      </c>
      <c r="AI847" s="151">
        <v>0</v>
      </c>
      <c r="AK847" s="151" t="s">
        <v>36</v>
      </c>
      <c r="AL847" s="151">
        <v>1.2</v>
      </c>
    </row>
    <row r="848" ht="18" spans="2:38">
      <c r="B848" s="65"/>
      <c r="C848" s="65"/>
      <c r="D848" s="92"/>
      <c r="AF848" s="151">
        <v>9</v>
      </c>
      <c r="AG848" s="151">
        <v>160</v>
      </c>
      <c r="AH848" s="151">
        <v>2</v>
      </c>
      <c r="AI848" s="151">
        <v>0</v>
      </c>
    </row>
    <row r="849" ht="18" spans="2:40">
      <c r="B849" s="65"/>
      <c r="C849" s="65"/>
      <c r="D849" s="92"/>
      <c r="AF849" s="151">
        <v>10</v>
      </c>
      <c r="AG849" s="151">
        <v>180</v>
      </c>
      <c r="AH849" s="151">
        <v>2</v>
      </c>
      <c r="AI849" s="151">
        <v>0</v>
      </c>
    </row>
    <row r="850" ht="18" spans="2:40">
      <c r="B850" s="65"/>
      <c r="C850" s="65"/>
      <c r="D850" s="92"/>
      <c r="AF850" s="151">
        <v>11</v>
      </c>
      <c r="AG850" s="151">
        <v>200</v>
      </c>
      <c r="AH850" s="151">
        <v>2</v>
      </c>
      <c r="AI850" s="151">
        <v>0</v>
      </c>
    </row>
    <row r="851" ht="18" spans="2:40">
      <c r="B851" s="65"/>
      <c r="C851" s="65"/>
      <c r="D851" s="92"/>
    </row>
    <row r="852" ht="17.25" spans="2:40">
      <c r="B852" s="65"/>
      <c r="C852" s="65"/>
      <c r="D852" s="149" t="s">
        <v>25</v>
      </c>
      <c r="E852" s="149" t="s">
        <v>32</v>
      </c>
      <c r="F852" s="149" t="s">
        <v>33</v>
      </c>
      <c r="G852" s="149" t="s">
        <v>34</v>
      </c>
      <c r="H852" s="149" t="s">
        <v>35</v>
      </c>
      <c r="I852" s="149" t="s">
        <v>36</v>
      </c>
      <c r="L852" s="149" t="s">
        <v>25</v>
      </c>
      <c r="M852" s="149" t="s">
        <v>58</v>
      </c>
      <c r="N852" s="149" t="s">
        <v>59</v>
      </c>
      <c r="O852" s="149" t="s">
        <v>31</v>
      </c>
      <c r="P852" s="149" t="s">
        <v>32</v>
      </c>
      <c r="Q852" s="149" t="s">
        <v>33</v>
      </c>
      <c r="R852" s="149" t="s">
        <v>34</v>
      </c>
      <c r="S852" s="149" t="s">
        <v>35</v>
      </c>
      <c r="T852" s="149" t="s">
        <v>36</v>
      </c>
      <c r="V852" s="149" t="s">
        <v>25</v>
      </c>
      <c r="W852" s="149" t="s">
        <v>58</v>
      </c>
      <c r="X852" s="149" t="s">
        <v>59</v>
      </c>
      <c r="Y852" s="149" t="s">
        <v>31</v>
      </c>
      <c r="Z852" s="149" t="s">
        <v>32</v>
      </c>
      <c r="AA852" s="149" t="s">
        <v>33</v>
      </c>
      <c r="AB852" s="149" t="s">
        <v>34</v>
      </c>
      <c r="AC852" s="149" t="s">
        <v>35</v>
      </c>
      <c r="AD852" s="149" t="s">
        <v>36</v>
      </c>
      <c r="AF852" s="149" t="s">
        <v>25</v>
      </c>
      <c r="AG852" s="149" t="s">
        <v>58</v>
      </c>
      <c r="AH852" s="149" t="s">
        <v>59</v>
      </c>
      <c r="AI852" s="149" t="s">
        <v>31</v>
      </c>
      <c r="AJ852" s="149" t="s">
        <v>32</v>
      </c>
      <c r="AK852" s="149" t="s">
        <v>33</v>
      </c>
      <c r="AL852" s="149" t="s">
        <v>34</v>
      </c>
      <c r="AM852" s="149" t="s">
        <v>35</v>
      </c>
      <c r="AN852" s="149" t="s">
        <v>36</v>
      </c>
    </row>
    <row r="853" ht="17.25" spans="2:40">
      <c r="B853" s="65"/>
      <c r="C853" s="65"/>
      <c r="D853" s="93">
        <v>0</v>
      </c>
      <c r="E853" s="165">
        <f t="shared" ref="E853:E889" si="114">O853</f>
        <v>0</v>
      </c>
      <c r="F853" s="166">
        <f t="shared" ref="F853:F889" si="115">CEILING(E853*_xlfn.XLOOKUP(F$852,$G$840:$G$844,$H$840:$H$844,0,0,1),2)</f>
        <v>0</v>
      </c>
      <c r="G853" s="166">
        <f t="shared" ref="G853:G889" si="116">CEILING(F853*_xlfn.XLOOKUP(G$852,$G$840:$G$844,$H$840:$H$844,0,0,1),2)</f>
        <v>0</v>
      </c>
      <c r="H853" s="166">
        <f t="shared" ref="H853:H889" si="117">CEILING(G853*_xlfn.XLOOKUP(H$852,$G$840:$G$844,$H$840:$H$844,0,0,1),2)</f>
        <v>0</v>
      </c>
      <c r="I853" s="166">
        <f t="shared" ref="I853:I889" si="118">CEILING(H853*_xlfn.XLOOKUP(I$852,$G$840:$G$844,$H$840:$H$844,0,0,1),2)</f>
        <v>0</v>
      </c>
      <c r="L853" s="93">
        <v>0</v>
      </c>
      <c r="M853" s="165">
        <v>0</v>
      </c>
      <c r="N853" s="166">
        <f t="shared" ref="N853:T853" si="119">CEILING(M853*_xlfn.XLOOKUP(N$852,$P$840:$P$847,$Q$840:$Q$847,0,0,1),2)</f>
        <v>0</v>
      </c>
      <c r="O853" s="166">
        <f t="shared" si="119"/>
        <v>0</v>
      </c>
      <c r="P853" s="166">
        <f t="shared" si="119"/>
        <v>0</v>
      </c>
      <c r="Q853" s="166">
        <f t="shared" si="119"/>
        <v>0</v>
      </c>
      <c r="R853" s="166">
        <f t="shared" si="119"/>
        <v>0</v>
      </c>
      <c r="S853" s="166">
        <f t="shared" si="119"/>
        <v>0</v>
      </c>
      <c r="T853" s="166">
        <f t="shared" si="119"/>
        <v>0</v>
      </c>
      <c r="V853" s="93">
        <v>0</v>
      </c>
      <c r="W853" s="165">
        <v>0</v>
      </c>
      <c r="X853" s="166">
        <f>CEILING(W853*_xlfn.XLOOKUP(X$852,$Z$840:$Z$847,$AA$840:$AA$847,0,0,1),2)</f>
        <v>0</v>
      </c>
      <c r="Y853" s="166">
        <f t="shared" ref="Y853:AD853" si="120">CEILING(X853*_xlfn.XLOOKUP(Y$852,$Z$840:$Z$847,$AA$840:$AA$847,0,0,1),2)</f>
        <v>0</v>
      </c>
      <c r="Z853" s="166">
        <f t="shared" si="120"/>
        <v>0</v>
      </c>
      <c r="AA853" s="166">
        <f t="shared" si="120"/>
        <v>0</v>
      </c>
      <c r="AB853" s="166">
        <f t="shared" si="120"/>
        <v>0</v>
      </c>
      <c r="AC853" s="166">
        <f t="shared" si="120"/>
        <v>0</v>
      </c>
      <c r="AD853" s="166">
        <f t="shared" si="120"/>
        <v>0</v>
      </c>
      <c r="AF853" s="93">
        <v>0</v>
      </c>
      <c r="AG853" s="165">
        <v>0</v>
      </c>
      <c r="AH853" s="166">
        <v>0</v>
      </c>
      <c r="AI853" s="166">
        <v>0</v>
      </c>
      <c r="AJ853" s="166">
        <v>0</v>
      </c>
      <c r="AK853" s="166">
        <v>0</v>
      </c>
      <c r="AL853" s="166">
        <v>0</v>
      </c>
      <c r="AM853" s="166">
        <v>0</v>
      </c>
      <c r="AN853" s="166">
        <v>0</v>
      </c>
    </row>
    <row r="854" ht="17.25" spans="2:40">
      <c r="B854" s="65"/>
      <c r="C854" s="65"/>
      <c r="D854" s="93">
        <v>1</v>
      </c>
      <c r="E854" s="165">
        <f t="shared" si="114"/>
        <v>30</v>
      </c>
      <c r="F854" s="166">
        <f t="shared" si="115"/>
        <v>36</v>
      </c>
      <c r="G854" s="166">
        <f t="shared" si="116"/>
        <v>48</v>
      </c>
      <c r="H854" s="166">
        <f t="shared" si="117"/>
        <v>64</v>
      </c>
      <c r="I854" s="166">
        <f t="shared" si="118"/>
        <v>96</v>
      </c>
      <c r="L854" s="93">
        <v>1</v>
      </c>
      <c r="M854" s="165">
        <f t="shared" ref="M854:M889" si="121">M853+_xlfn.XLOOKUP(_xlfn.MINIFS($M$840:$M$843,$M$840:$M$843,"&gt;="&amp;$L854),$M$840:$M$843,$N$840:$N$843,0,0,1)</f>
        <v>10</v>
      </c>
      <c r="N854" s="166">
        <f t="shared" ref="N854:T854" si="122">CEILING(M854*_xlfn.XLOOKUP(N$852,$P$840:$P$847,$Q$840:$Q$847,0,0,1),2)</f>
        <v>20</v>
      </c>
      <c r="O854" s="166">
        <f t="shared" si="122"/>
        <v>30</v>
      </c>
      <c r="P854" s="166">
        <f t="shared" si="122"/>
        <v>40</v>
      </c>
      <c r="Q854" s="166">
        <f t="shared" si="122"/>
        <v>80</v>
      </c>
      <c r="R854" s="166">
        <f t="shared" si="122"/>
        <v>120</v>
      </c>
      <c r="S854" s="166">
        <f t="shared" si="122"/>
        <v>360</v>
      </c>
      <c r="T854" s="166">
        <f t="shared" si="122"/>
        <v>720</v>
      </c>
      <c r="V854" s="93">
        <v>1</v>
      </c>
      <c r="W854" s="165">
        <v>10</v>
      </c>
      <c r="X854" s="166">
        <f t="shared" ref="X854:X889" si="123">CEILING(W854*_xlfn.XLOOKUP(X$852,$Z$840:$Z$847,$AA$840:$AA$847,0,0,1),2)</f>
        <v>16</v>
      </c>
      <c r="Y854" s="166">
        <f t="shared" ref="Y854:Y889" si="124">CEILING(X854*_xlfn.XLOOKUP(Y$852,$Z$840:$Z$847,$AA$840:$AA$847,0,0,1),2)</f>
        <v>24</v>
      </c>
      <c r="Z854" s="166">
        <f t="shared" ref="Z854:Z889" si="125">CEILING(Y854*_xlfn.XLOOKUP(Z$852,$Z$840:$Z$847,$AA$840:$AA$847,0,0,1),2)</f>
        <v>32</v>
      </c>
      <c r="AA854" s="166">
        <f t="shared" ref="AA854:AA889" si="126">CEILING(Z854*_xlfn.XLOOKUP(AA$852,$Z$840:$Z$847,$AA$840:$AA$847,0,0,1),2)</f>
        <v>40</v>
      </c>
      <c r="AB854" s="166">
        <f t="shared" ref="AB854:AB889" si="127">CEILING(AA854*_xlfn.XLOOKUP(AB$852,$Z$840:$Z$847,$AA$840:$AA$847,0,0,1),2)</f>
        <v>48</v>
      </c>
      <c r="AC854" s="166">
        <f t="shared" ref="AC854:AC889" si="128">CEILING(AB854*_xlfn.XLOOKUP(AC$852,$Z$840:$Z$847,$AA$840:$AA$847,0,0,1),2)</f>
        <v>58</v>
      </c>
      <c r="AD854" s="166">
        <f t="shared" ref="AD854:AD889" si="129">CEILING(AC854*_xlfn.XLOOKUP(AD$852,$Z$840:$Z$847,$AA$840:$AA$847,0,0,1),2)</f>
        <v>70</v>
      </c>
      <c r="AF854" s="93">
        <v>1</v>
      </c>
      <c r="AG854" s="165">
        <v>10</v>
      </c>
      <c r="AH854" s="166">
        <v>10</v>
      </c>
      <c r="AI854" s="166">
        <v>11</v>
      </c>
      <c r="AJ854" s="166">
        <v>11</v>
      </c>
      <c r="AK854" s="166">
        <v>12</v>
      </c>
      <c r="AL854" s="166">
        <v>12</v>
      </c>
      <c r="AM854" s="166">
        <v>12</v>
      </c>
      <c r="AN854" s="166">
        <v>12</v>
      </c>
    </row>
    <row r="855" ht="17.25" spans="2:40">
      <c r="B855" s="65"/>
      <c r="C855" s="65"/>
      <c r="D855" s="93">
        <v>10</v>
      </c>
      <c r="E855" s="165">
        <f t="shared" si="114"/>
        <v>36</v>
      </c>
      <c r="F855" s="166">
        <f t="shared" si="115"/>
        <v>44</v>
      </c>
      <c r="G855" s="166">
        <f t="shared" si="116"/>
        <v>58</v>
      </c>
      <c r="H855" s="166">
        <f t="shared" si="117"/>
        <v>76</v>
      </c>
      <c r="I855" s="166">
        <f t="shared" si="118"/>
        <v>114</v>
      </c>
      <c r="L855" s="93">
        <v>10</v>
      </c>
      <c r="M855" s="165">
        <f t="shared" si="121"/>
        <v>12</v>
      </c>
      <c r="N855" s="166">
        <f t="shared" ref="N855:T855" si="130">CEILING(M855*_xlfn.XLOOKUP(N$852,$P$840:$P$847,$Q$840:$Q$847,0,0,1),2)</f>
        <v>24</v>
      </c>
      <c r="O855" s="166">
        <f t="shared" si="130"/>
        <v>36</v>
      </c>
      <c r="P855" s="166">
        <f t="shared" si="130"/>
        <v>48</v>
      </c>
      <c r="Q855" s="166">
        <f t="shared" si="130"/>
        <v>96</v>
      </c>
      <c r="R855" s="166">
        <f t="shared" si="130"/>
        <v>144</v>
      </c>
      <c r="S855" s="166">
        <f t="shared" si="130"/>
        <v>432</v>
      </c>
      <c r="T855" s="166">
        <f t="shared" si="130"/>
        <v>864</v>
      </c>
      <c r="V855" s="93">
        <v>10</v>
      </c>
      <c r="W855" s="165">
        <v>28</v>
      </c>
      <c r="X855" s="166">
        <f t="shared" si="123"/>
        <v>46</v>
      </c>
      <c r="Y855" s="166">
        <f t="shared" si="124"/>
        <v>66</v>
      </c>
      <c r="Z855" s="166">
        <f t="shared" si="125"/>
        <v>88</v>
      </c>
      <c r="AA855" s="166">
        <f t="shared" si="126"/>
        <v>110</v>
      </c>
      <c r="AB855" s="166">
        <f t="shared" si="127"/>
        <v>132</v>
      </c>
      <c r="AC855" s="166">
        <f t="shared" si="128"/>
        <v>160</v>
      </c>
      <c r="AD855" s="166">
        <f t="shared" si="129"/>
        <v>192</v>
      </c>
      <c r="AF855" s="93">
        <v>10</v>
      </c>
      <c r="AG855" s="165">
        <v>10</v>
      </c>
      <c r="AH855" s="166">
        <v>10</v>
      </c>
      <c r="AI855" s="166">
        <v>11</v>
      </c>
      <c r="AJ855" s="166">
        <v>11</v>
      </c>
      <c r="AK855" s="166">
        <v>12</v>
      </c>
      <c r="AL855" s="166">
        <v>12</v>
      </c>
      <c r="AM855" s="166">
        <v>12</v>
      </c>
      <c r="AN855" s="166">
        <v>12</v>
      </c>
    </row>
    <row r="856" ht="17.25" spans="2:40">
      <c r="B856" s="65"/>
      <c r="C856" s="65"/>
      <c r="D856" s="93">
        <v>20</v>
      </c>
      <c r="E856" s="165">
        <f t="shared" si="114"/>
        <v>42</v>
      </c>
      <c r="F856" s="166">
        <f t="shared" si="115"/>
        <v>52</v>
      </c>
      <c r="G856" s="166">
        <f t="shared" si="116"/>
        <v>68</v>
      </c>
      <c r="H856" s="166">
        <f t="shared" si="117"/>
        <v>90</v>
      </c>
      <c r="I856" s="166">
        <f t="shared" si="118"/>
        <v>136</v>
      </c>
      <c r="L856" s="93">
        <v>20</v>
      </c>
      <c r="M856" s="165">
        <f t="shared" si="121"/>
        <v>14</v>
      </c>
      <c r="N856" s="166">
        <f t="shared" ref="N856:T856" si="131">CEILING(M856*_xlfn.XLOOKUP(N$852,$P$840:$P$847,$Q$840:$Q$847,0,0,1),2)</f>
        <v>28</v>
      </c>
      <c r="O856" s="166">
        <f t="shared" si="131"/>
        <v>42</v>
      </c>
      <c r="P856" s="166">
        <f t="shared" si="131"/>
        <v>56</v>
      </c>
      <c r="Q856" s="166">
        <f t="shared" si="131"/>
        <v>112</v>
      </c>
      <c r="R856" s="166">
        <f t="shared" si="131"/>
        <v>168</v>
      </c>
      <c r="S856" s="166">
        <f t="shared" si="131"/>
        <v>504</v>
      </c>
      <c r="T856" s="166">
        <f t="shared" si="131"/>
        <v>1008</v>
      </c>
      <c r="V856" s="93">
        <v>20</v>
      </c>
      <c r="W856" s="165">
        <v>46</v>
      </c>
      <c r="X856" s="166">
        <f t="shared" si="123"/>
        <v>74</v>
      </c>
      <c r="Y856" s="166">
        <f t="shared" si="124"/>
        <v>104</v>
      </c>
      <c r="Z856" s="166">
        <f t="shared" si="125"/>
        <v>140</v>
      </c>
      <c r="AA856" s="166">
        <f t="shared" si="126"/>
        <v>176</v>
      </c>
      <c r="AB856" s="166">
        <f t="shared" si="127"/>
        <v>212</v>
      </c>
      <c r="AC856" s="166">
        <f t="shared" si="128"/>
        <v>256</v>
      </c>
      <c r="AD856" s="166">
        <f t="shared" si="129"/>
        <v>308</v>
      </c>
      <c r="AF856" s="93">
        <v>20</v>
      </c>
      <c r="AG856" s="165">
        <v>12</v>
      </c>
      <c r="AH856" s="166">
        <v>12</v>
      </c>
      <c r="AI856" s="166">
        <v>13</v>
      </c>
      <c r="AJ856" s="166">
        <v>13</v>
      </c>
      <c r="AK856" s="166">
        <v>14</v>
      </c>
      <c r="AL856" s="166">
        <v>15</v>
      </c>
      <c r="AM856" s="166">
        <v>15</v>
      </c>
      <c r="AN856" s="166">
        <v>15</v>
      </c>
    </row>
    <row r="857" ht="17.25" spans="2:40">
      <c r="B857" s="65"/>
      <c r="C857" s="65"/>
      <c r="D857" s="93">
        <v>30</v>
      </c>
      <c r="E857" s="165">
        <f t="shared" si="114"/>
        <v>48</v>
      </c>
      <c r="F857" s="166">
        <f t="shared" si="115"/>
        <v>58</v>
      </c>
      <c r="G857" s="166">
        <f t="shared" si="116"/>
        <v>76</v>
      </c>
      <c r="H857" s="166">
        <f t="shared" si="117"/>
        <v>100</v>
      </c>
      <c r="I857" s="166">
        <f t="shared" si="118"/>
        <v>150</v>
      </c>
      <c r="L857" s="93">
        <v>30</v>
      </c>
      <c r="M857" s="165">
        <f t="shared" si="121"/>
        <v>16</v>
      </c>
      <c r="N857" s="166">
        <f t="shared" ref="N857:T857" si="132">CEILING(M857*_xlfn.XLOOKUP(N$852,$P$840:$P$847,$Q$840:$Q$847,0,0,1),2)</f>
        <v>32</v>
      </c>
      <c r="O857" s="166">
        <f t="shared" si="132"/>
        <v>48</v>
      </c>
      <c r="P857" s="166">
        <f t="shared" si="132"/>
        <v>64</v>
      </c>
      <c r="Q857" s="166">
        <f t="shared" si="132"/>
        <v>128</v>
      </c>
      <c r="R857" s="166">
        <f t="shared" si="132"/>
        <v>192</v>
      </c>
      <c r="S857" s="166">
        <f t="shared" si="132"/>
        <v>576</v>
      </c>
      <c r="T857" s="166">
        <f t="shared" si="132"/>
        <v>1152</v>
      </c>
      <c r="V857" s="93">
        <v>30</v>
      </c>
      <c r="W857" s="165">
        <v>61</v>
      </c>
      <c r="X857" s="166">
        <f t="shared" si="123"/>
        <v>98</v>
      </c>
      <c r="Y857" s="166">
        <f t="shared" si="124"/>
        <v>138</v>
      </c>
      <c r="Z857" s="166">
        <f t="shared" si="125"/>
        <v>184</v>
      </c>
      <c r="AA857" s="166">
        <f t="shared" si="126"/>
        <v>230</v>
      </c>
      <c r="AB857" s="166">
        <f t="shared" si="127"/>
        <v>276</v>
      </c>
      <c r="AC857" s="166">
        <f t="shared" si="128"/>
        <v>332</v>
      </c>
      <c r="AD857" s="166">
        <f t="shared" si="129"/>
        <v>400</v>
      </c>
      <c r="AF857" s="93">
        <v>30</v>
      </c>
      <c r="AG857" s="165">
        <v>12</v>
      </c>
      <c r="AH857" s="166">
        <v>12</v>
      </c>
      <c r="AI857" s="166">
        <v>13</v>
      </c>
      <c r="AJ857" s="166">
        <v>13</v>
      </c>
      <c r="AK857" s="166">
        <v>14</v>
      </c>
      <c r="AL857" s="166">
        <v>15</v>
      </c>
      <c r="AM857" s="166">
        <v>15</v>
      </c>
      <c r="AN857" s="166">
        <v>15</v>
      </c>
    </row>
    <row r="858" ht="17.25" spans="2:40">
      <c r="B858" s="65"/>
      <c r="C858" s="65"/>
      <c r="D858" s="93">
        <v>40</v>
      </c>
      <c r="E858" s="165">
        <f t="shared" si="114"/>
        <v>54</v>
      </c>
      <c r="F858" s="166">
        <f t="shared" si="115"/>
        <v>66</v>
      </c>
      <c r="G858" s="166">
        <f t="shared" si="116"/>
        <v>86</v>
      </c>
      <c r="H858" s="166">
        <f t="shared" si="117"/>
        <v>112</v>
      </c>
      <c r="I858" s="166">
        <f t="shared" si="118"/>
        <v>168</v>
      </c>
      <c r="L858" s="93">
        <v>40</v>
      </c>
      <c r="M858" s="165">
        <f t="shared" si="121"/>
        <v>18</v>
      </c>
      <c r="N858" s="166">
        <f t="shared" ref="N858:T858" si="133">CEILING(M858*_xlfn.XLOOKUP(N$852,$P$840:$P$847,$Q$840:$Q$847,0,0,1),2)</f>
        <v>36</v>
      </c>
      <c r="O858" s="166">
        <f t="shared" si="133"/>
        <v>54</v>
      </c>
      <c r="P858" s="166">
        <f t="shared" si="133"/>
        <v>72</v>
      </c>
      <c r="Q858" s="166">
        <f t="shared" si="133"/>
        <v>144</v>
      </c>
      <c r="R858" s="166">
        <f t="shared" si="133"/>
        <v>216</v>
      </c>
      <c r="S858" s="166">
        <f t="shared" si="133"/>
        <v>648</v>
      </c>
      <c r="T858" s="166">
        <f t="shared" si="133"/>
        <v>1296</v>
      </c>
      <c r="V858" s="93">
        <v>40</v>
      </c>
      <c r="W858" s="165">
        <v>75</v>
      </c>
      <c r="X858" s="166">
        <f t="shared" si="123"/>
        <v>120</v>
      </c>
      <c r="Y858" s="166">
        <f t="shared" si="124"/>
        <v>168</v>
      </c>
      <c r="Z858" s="166">
        <f t="shared" si="125"/>
        <v>224</v>
      </c>
      <c r="AA858" s="166">
        <f t="shared" si="126"/>
        <v>280</v>
      </c>
      <c r="AB858" s="166">
        <f t="shared" si="127"/>
        <v>336</v>
      </c>
      <c r="AC858" s="166">
        <f t="shared" si="128"/>
        <v>404</v>
      </c>
      <c r="AD858" s="166">
        <f t="shared" si="129"/>
        <v>486</v>
      </c>
      <c r="AF858" s="93">
        <v>40</v>
      </c>
      <c r="AG858" s="165">
        <v>14</v>
      </c>
      <c r="AH858" s="166">
        <v>14</v>
      </c>
      <c r="AI858" s="166">
        <v>15</v>
      </c>
      <c r="AJ858" s="166">
        <v>16</v>
      </c>
      <c r="AK858" s="166">
        <v>16</v>
      </c>
      <c r="AL858" s="166">
        <v>17</v>
      </c>
      <c r="AM858" s="166">
        <v>17</v>
      </c>
      <c r="AN858" s="166">
        <v>17</v>
      </c>
    </row>
    <row r="859" ht="17.25" spans="2:40">
      <c r="B859" s="65"/>
      <c r="C859" s="65"/>
      <c r="D859" s="93">
        <v>50</v>
      </c>
      <c r="E859" s="165">
        <f t="shared" si="114"/>
        <v>60</v>
      </c>
      <c r="F859" s="166">
        <f t="shared" si="115"/>
        <v>72</v>
      </c>
      <c r="G859" s="166">
        <f t="shared" si="116"/>
        <v>94</v>
      </c>
      <c r="H859" s="166">
        <f t="shared" si="117"/>
        <v>124</v>
      </c>
      <c r="I859" s="166">
        <f t="shared" si="118"/>
        <v>186</v>
      </c>
      <c r="L859" s="93">
        <v>50</v>
      </c>
      <c r="M859" s="165">
        <f t="shared" si="121"/>
        <v>20</v>
      </c>
      <c r="N859" s="166">
        <f t="shared" ref="N859:T859" si="134">CEILING(M859*_xlfn.XLOOKUP(N$852,$P$840:$P$847,$Q$840:$Q$847,0,0,1),2)</f>
        <v>40</v>
      </c>
      <c r="O859" s="166">
        <f t="shared" si="134"/>
        <v>60</v>
      </c>
      <c r="P859" s="166">
        <f t="shared" si="134"/>
        <v>80</v>
      </c>
      <c r="Q859" s="166">
        <f t="shared" si="134"/>
        <v>160</v>
      </c>
      <c r="R859" s="166">
        <f t="shared" si="134"/>
        <v>240</v>
      </c>
      <c r="S859" s="166">
        <f t="shared" si="134"/>
        <v>720</v>
      </c>
      <c r="T859" s="166">
        <f t="shared" si="134"/>
        <v>1440</v>
      </c>
      <c r="V859" s="93">
        <v>50</v>
      </c>
      <c r="W859" s="165">
        <v>105</v>
      </c>
      <c r="X859" s="166">
        <f t="shared" si="123"/>
        <v>168</v>
      </c>
      <c r="Y859" s="166">
        <f t="shared" si="124"/>
        <v>236</v>
      </c>
      <c r="Z859" s="166">
        <f t="shared" si="125"/>
        <v>316</v>
      </c>
      <c r="AA859" s="166">
        <f t="shared" si="126"/>
        <v>396</v>
      </c>
      <c r="AB859" s="166">
        <f t="shared" si="127"/>
        <v>476</v>
      </c>
      <c r="AC859" s="166">
        <f t="shared" si="128"/>
        <v>572</v>
      </c>
      <c r="AD859" s="166">
        <f t="shared" si="129"/>
        <v>688</v>
      </c>
      <c r="AF859" s="93">
        <v>50</v>
      </c>
      <c r="AG859" s="165">
        <v>14</v>
      </c>
      <c r="AH859" s="166">
        <v>14</v>
      </c>
      <c r="AI859" s="166">
        <v>15</v>
      </c>
      <c r="AJ859" s="166">
        <v>16</v>
      </c>
      <c r="AK859" s="166">
        <v>16</v>
      </c>
      <c r="AL859" s="166">
        <v>17</v>
      </c>
      <c r="AM859" s="166">
        <v>17</v>
      </c>
      <c r="AN859" s="166">
        <v>17</v>
      </c>
    </row>
    <row r="860" ht="17.25" spans="2:40">
      <c r="B860" s="65"/>
      <c r="C860" s="65"/>
      <c r="D860" s="93">
        <v>55</v>
      </c>
      <c r="E860" s="165">
        <f t="shared" si="114"/>
        <v>66</v>
      </c>
      <c r="F860" s="166">
        <f t="shared" si="115"/>
        <v>80</v>
      </c>
      <c r="G860" s="166">
        <f t="shared" si="116"/>
        <v>104</v>
      </c>
      <c r="H860" s="166">
        <f t="shared" si="117"/>
        <v>136</v>
      </c>
      <c r="I860" s="166">
        <f t="shared" si="118"/>
        <v>204</v>
      </c>
      <c r="L860" s="93">
        <v>55</v>
      </c>
      <c r="M860" s="165">
        <f t="shared" si="121"/>
        <v>22</v>
      </c>
      <c r="N860" s="166">
        <f t="shared" ref="N860:T860" si="135">CEILING(M860*_xlfn.XLOOKUP(N$852,$P$840:$P$847,$Q$840:$Q$847,0,0,1),2)</f>
        <v>44</v>
      </c>
      <c r="O860" s="166">
        <f t="shared" si="135"/>
        <v>66</v>
      </c>
      <c r="P860" s="166">
        <f t="shared" si="135"/>
        <v>88</v>
      </c>
      <c r="Q860" s="166">
        <f t="shared" si="135"/>
        <v>176</v>
      </c>
      <c r="R860" s="166">
        <f t="shared" si="135"/>
        <v>264</v>
      </c>
      <c r="S860" s="166">
        <f t="shared" si="135"/>
        <v>792</v>
      </c>
      <c r="T860" s="166">
        <f t="shared" si="135"/>
        <v>1584</v>
      </c>
      <c r="V860" s="93">
        <v>55</v>
      </c>
      <c r="W860" s="165">
        <f t="shared" ref="W860:W864" si="136">ROUND((W859+W861)/2,0)</f>
        <v>115</v>
      </c>
      <c r="X860" s="166">
        <f t="shared" si="123"/>
        <v>184</v>
      </c>
      <c r="Y860" s="166">
        <f t="shared" si="124"/>
        <v>258</v>
      </c>
      <c r="Z860" s="166">
        <f t="shared" si="125"/>
        <v>344</v>
      </c>
      <c r="AA860" s="166">
        <f t="shared" si="126"/>
        <v>430</v>
      </c>
      <c r="AB860" s="166">
        <f t="shared" si="127"/>
        <v>516</v>
      </c>
      <c r="AC860" s="166">
        <f t="shared" si="128"/>
        <v>620</v>
      </c>
      <c r="AD860" s="166">
        <f t="shared" si="129"/>
        <v>744</v>
      </c>
      <c r="AF860" s="93">
        <v>55</v>
      </c>
      <c r="AG860" s="165">
        <f>ROUND((AG859+AG861)/2,0)</f>
        <v>15</v>
      </c>
      <c r="AH860" s="165">
        <f t="shared" ref="AH860:AN860" si="137">ROUND((AH859+AH861)/2,0)</f>
        <v>15</v>
      </c>
      <c r="AI860" s="165">
        <f t="shared" si="137"/>
        <v>16</v>
      </c>
      <c r="AJ860" s="165">
        <f t="shared" si="137"/>
        <v>17</v>
      </c>
      <c r="AK860" s="165">
        <f t="shared" si="137"/>
        <v>18</v>
      </c>
      <c r="AL860" s="165">
        <f t="shared" si="137"/>
        <v>19</v>
      </c>
      <c r="AM860" s="165">
        <f t="shared" si="137"/>
        <v>19</v>
      </c>
      <c r="AN860" s="165">
        <f t="shared" si="137"/>
        <v>19</v>
      </c>
    </row>
    <row r="861" ht="17.25" spans="2:40">
      <c r="B861" s="65"/>
      <c r="C861" s="65"/>
      <c r="D861" s="93">
        <v>60</v>
      </c>
      <c r="E861" s="165">
        <f t="shared" si="114"/>
        <v>72</v>
      </c>
      <c r="F861" s="166">
        <f t="shared" si="115"/>
        <v>88</v>
      </c>
      <c r="G861" s="166">
        <f t="shared" si="116"/>
        <v>116</v>
      </c>
      <c r="H861" s="166">
        <f t="shared" si="117"/>
        <v>152</v>
      </c>
      <c r="I861" s="166">
        <f t="shared" si="118"/>
        <v>228</v>
      </c>
      <c r="L861" s="93">
        <v>60</v>
      </c>
      <c r="M861" s="165">
        <f t="shared" si="121"/>
        <v>24</v>
      </c>
      <c r="N861" s="166">
        <f t="shared" ref="N861:T861" si="138">CEILING(M861*_xlfn.XLOOKUP(N$852,$P$840:$P$847,$Q$840:$Q$847,0,0,1),2)</f>
        <v>48</v>
      </c>
      <c r="O861" s="166">
        <f t="shared" si="138"/>
        <v>72</v>
      </c>
      <c r="P861" s="166">
        <f t="shared" si="138"/>
        <v>96</v>
      </c>
      <c r="Q861" s="166">
        <f t="shared" si="138"/>
        <v>192</v>
      </c>
      <c r="R861" s="166">
        <f t="shared" si="138"/>
        <v>288</v>
      </c>
      <c r="S861" s="166">
        <f t="shared" si="138"/>
        <v>864</v>
      </c>
      <c r="T861" s="166">
        <f t="shared" si="138"/>
        <v>1728</v>
      </c>
      <c r="V861" s="93">
        <v>60</v>
      </c>
      <c r="W861" s="165">
        <v>124</v>
      </c>
      <c r="X861" s="166">
        <f t="shared" si="123"/>
        <v>200</v>
      </c>
      <c r="Y861" s="166">
        <f t="shared" si="124"/>
        <v>280</v>
      </c>
      <c r="Z861" s="166">
        <f t="shared" si="125"/>
        <v>374</v>
      </c>
      <c r="AA861" s="166">
        <f t="shared" si="126"/>
        <v>468</v>
      </c>
      <c r="AB861" s="166">
        <f t="shared" si="127"/>
        <v>562</v>
      </c>
      <c r="AC861" s="166">
        <f t="shared" si="128"/>
        <v>676</v>
      </c>
      <c r="AD861" s="166">
        <f t="shared" si="129"/>
        <v>812</v>
      </c>
      <c r="AF861" s="93">
        <v>60</v>
      </c>
      <c r="AG861" s="165">
        <v>16</v>
      </c>
      <c r="AH861" s="166">
        <v>16</v>
      </c>
      <c r="AI861" s="166">
        <v>17</v>
      </c>
      <c r="AJ861" s="166">
        <v>18</v>
      </c>
      <c r="AK861" s="166">
        <v>19</v>
      </c>
      <c r="AL861" s="166">
        <v>20</v>
      </c>
      <c r="AM861" s="166">
        <v>20</v>
      </c>
      <c r="AN861" s="166">
        <v>20</v>
      </c>
    </row>
    <row r="862" ht="17.25" spans="2:40">
      <c r="B862" s="65"/>
      <c r="C862" s="65"/>
      <c r="D862" s="93">
        <v>65</v>
      </c>
      <c r="E862" s="165">
        <f t="shared" si="114"/>
        <v>78</v>
      </c>
      <c r="F862" s="166">
        <f t="shared" si="115"/>
        <v>94</v>
      </c>
      <c r="G862" s="166">
        <f t="shared" si="116"/>
        <v>124</v>
      </c>
      <c r="H862" s="166">
        <f t="shared" si="117"/>
        <v>162</v>
      </c>
      <c r="I862" s="166">
        <f t="shared" si="118"/>
        <v>244</v>
      </c>
      <c r="L862" s="93">
        <v>65</v>
      </c>
      <c r="M862" s="165">
        <f t="shared" si="121"/>
        <v>26</v>
      </c>
      <c r="N862" s="166">
        <f t="shared" ref="N862:T862" si="139">CEILING(M862*_xlfn.XLOOKUP(N$852,$P$840:$P$847,$Q$840:$Q$847,0,0,1),2)</f>
        <v>52</v>
      </c>
      <c r="O862" s="166">
        <f t="shared" si="139"/>
        <v>78</v>
      </c>
      <c r="P862" s="166">
        <f t="shared" si="139"/>
        <v>104</v>
      </c>
      <c r="Q862" s="166">
        <f t="shared" si="139"/>
        <v>208</v>
      </c>
      <c r="R862" s="166">
        <f t="shared" si="139"/>
        <v>312</v>
      </c>
      <c r="S862" s="166">
        <f t="shared" si="139"/>
        <v>936</v>
      </c>
      <c r="T862" s="166">
        <f t="shared" si="139"/>
        <v>1872</v>
      </c>
      <c r="V862" s="93">
        <v>65</v>
      </c>
      <c r="W862" s="165">
        <f t="shared" si="136"/>
        <v>133</v>
      </c>
      <c r="X862" s="166">
        <f t="shared" si="123"/>
        <v>214</v>
      </c>
      <c r="Y862" s="166">
        <f t="shared" si="124"/>
        <v>300</v>
      </c>
      <c r="Z862" s="166">
        <f t="shared" si="125"/>
        <v>400</v>
      </c>
      <c r="AA862" s="166">
        <f t="shared" si="126"/>
        <v>500</v>
      </c>
      <c r="AB862" s="166">
        <f t="shared" si="127"/>
        <v>600</v>
      </c>
      <c r="AC862" s="166">
        <f t="shared" si="128"/>
        <v>720</v>
      </c>
      <c r="AD862" s="166">
        <f t="shared" si="129"/>
        <v>864</v>
      </c>
      <c r="AF862" s="93">
        <v>65</v>
      </c>
      <c r="AG862" s="165">
        <f t="shared" ref="AG862:AN862" si="140">ROUND((AG861+AG863)/2,0)</f>
        <v>16</v>
      </c>
      <c r="AH862" s="165">
        <f t="shared" si="140"/>
        <v>16</v>
      </c>
      <c r="AI862" s="165">
        <f t="shared" si="140"/>
        <v>17</v>
      </c>
      <c r="AJ862" s="165">
        <f t="shared" si="140"/>
        <v>18</v>
      </c>
      <c r="AK862" s="165">
        <f t="shared" si="140"/>
        <v>19</v>
      </c>
      <c r="AL862" s="165">
        <f t="shared" si="140"/>
        <v>20</v>
      </c>
      <c r="AM862" s="165">
        <f t="shared" si="140"/>
        <v>20</v>
      </c>
      <c r="AN862" s="165">
        <f t="shared" si="140"/>
        <v>20</v>
      </c>
    </row>
    <row r="863" ht="17.25" spans="2:40">
      <c r="B863" s="65"/>
      <c r="C863" s="65"/>
      <c r="D863" s="93">
        <v>70</v>
      </c>
      <c r="E863" s="165">
        <f t="shared" si="114"/>
        <v>84</v>
      </c>
      <c r="F863" s="166">
        <f t="shared" si="115"/>
        <v>102</v>
      </c>
      <c r="G863" s="166">
        <f t="shared" si="116"/>
        <v>134</v>
      </c>
      <c r="H863" s="166">
        <f t="shared" si="117"/>
        <v>176</v>
      </c>
      <c r="I863" s="166">
        <f t="shared" si="118"/>
        <v>264</v>
      </c>
      <c r="L863" s="93">
        <v>70</v>
      </c>
      <c r="M863" s="165">
        <f t="shared" si="121"/>
        <v>28</v>
      </c>
      <c r="N863" s="166">
        <f t="shared" ref="N863:T863" si="141">CEILING(M863*_xlfn.XLOOKUP(N$852,$P$840:$P$847,$Q$840:$Q$847,0,0,1),2)</f>
        <v>56</v>
      </c>
      <c r="O863" s="166">
        <f t="shared" si="141"/>
        <v>84</v>
      </c>
      <c r="P863" s="166">
        <f t="shared" si="141"/>
        <v>112</v>
      </c>
      <c r="Q863" s="166">
        <f t="shared" si="141"/>
        <v>224</v>
      </c>
      <c r="R863" s="166">
        <f t="shared" si="141"/>
        <v>336</v>
      </c>
      <c r="S863" s="166">
        <f t="shared" si="141"/>
        <v>1008</v>
      </c>
      <c r="T863" s="166">
        <f t="shared" si="141"/>
        <v>2016</v>
      </c>
      <c r="V863" s="93">
        <v>70</v>
      </c>
      <c r="W863" s="165">
        <v>142</v>
      </c>
      <c r="X863" s="166">
        <f t="shared" si="123"/>
        <v>228</v>
      </c>
      <c r="Y863" s="166">
        <f t="shared" si="124"/>
        <v>320</v>
      </c>
      <c r="Z863" s="166">
        <f t="shared" si="125"/>
        <v>428</v>
      </c>
      <c r="AA863" s="166">
        <f t="shared" si="126"/>
        <v>536</v>
      </c>
      <c r="AB863" s="166">
        <f t="shared" si="127"/>
        <v>644</v>
      </c>
      <c r="AC863" s="166">
        <f t="shared" si="128"/>
        <v>774</v>
      </c>
      <c r="AD863" s="166">
        <f t="shared" si="129"/>
        <v>930</v>
      </c>
      <c r="AF863" s="93">
        <v>70</v>
      </c>
      <c r="AG863" s="165">
        <v>16</v>
      </c>
      <c r="AH863" s="166">
        <v>16</v>
      </c>
      <c r="AI863" s="166">
        <v>17</v>
      </c>
      <c r="AJ863" s="166">
        <v>18</v>
      </c>
      <c r="AK863" s="166">
        <v>19</v>
      </c>
      <c r="AL863" s="166">
        <v>20</v>
      </c>
      <c r="AM863" s="166">
        <v>20</v>
      </c>
      <c r="AN863" s="166">
        <v>20</v>
      </c>
    </row>
    <row r="864" ht="17.25" spans="2:40">
      <c r="B864" s="65"/>
      <c r="C864" s="65"/>
      <c r="D864" s="93">
        <v>75</v>
      </c>
      <c r="E864" s="165">
        <f t="shared" si="114"/>
        <v>90</v>
      </c>
      <c r="F864" s="166">
        <f t="shared" si="115"/>
        <v>108</v>
      </c>
      <c r="G864" s="166">
        <f t="shared" si="116"/>
        <v>142</v>
      </c>
      <c r="H864" s="166">
        <f t="shared" si="117"/>
        <v>186</v>
      </c>
      <c r="I864" s="166">
        <f t="shared" si="118"/>
        <v>280</v>
      </c>
      <c r="L864" s="93">
        <v>75</v>
      </c>
      <c r="M864" s="165">
        <f t="shared" si="121"/>
        <v>30</v>
      </c>
      <c r="N864" s="166">
        <f t="shared" ref="N864:T864" si="142">CEILING(M864*_xlfn.XLOOKUP(N$852,$P$840:$P$847,$Q$840:$Q$847,0,0,1),2)</f>
        <v>60</v>
      </c>
      <c r="O864" s="166">
        <f t="shared" si="142"/>
        <v>90</v>
      </c>
      <c r="P864" s="166">
        <f t="shared" si="142"/>
        <v>120</v>
      </c>
      <c r="Q864" s="166">
        <f t="shared" si="142"/>
        <v>240</v>
      </c>
      <c r="R864" s="166">
        <f t="shared" si="142"/>
        <v>360</v>
      </c>
      <c r="S864" s="166">
        <f t="shared" si="142"/>
        <v>1080</v>
      </c>
      <c r="T864" s="166">
        <f t="shared" si="142"/>
        <v>2160</v>
      </c>
      <c r="V864" s="93">
        <v>75</v>
      </c>
      <c r="W864" s="165">
        <f t="shared" si="136"/>
        <v>154</v>
      </c>
      <c r="X864" s="166">
        <f t="shared" si="123"/>
        <v>248</v>
      </c>
      <c r="Y864" s="166">
        <f t="shared" si="124"/>
        <v>348</v>
      </c>
      <c r="Z864" s="166">
        <f t="shared" si="125"/>
        <v>464</v>
      </c>
      <c r="AA864" s="166">
        <f t="shared" si="126"/>
        <v>580</v>
      </c>
      <c r="AB864" s="166">
        <f t="shared" si="127"/>
        <v>696</v>
      </c>
      <c r="AC864" s="166">
        <f t="shared" si="128"/>
        <v>836</v>
      </c>
      <c r="AD864" s="166">
        <f t="shared" si="129"/>
        <v>1004</v>
      </c>
      <c r="AF864" s="93">
        <v>75</v>
      </c>
      <c r="AG864" s="165">
        <f t="shared" ref="AG864:AN864" si="143">ROUND((AG863+AG865)/2,0)</f>
        <v>17</v>
      </c>
      <c r="AH864" s="165">
        <f t="shared" si="143"/>
        <v>17</v>
      </c>
      <c r="AI864" s="165">
        <f t="shared" si="143"/>
        <v>18</v>
      </c>
      <c r="AJ864" s="165">
        <f t="shared" si="143"/>
        <v>19</v>
      </c>
      <c r="AK864" s="165">
        <f t="shared" si="143"/>
        <v>20</v>
      </c>
      <c r="AL864" s="165">
        <f t="shared" si="143"/>
        <v>21</v>
      </c>
      <c r="AM864" s="165">
        <f t="shared" si="143"/>
        <v>21</v>
      </c>
      <c r="AN864" s="165">
        <f t="shared" si="143"/>
        <v>21</v>
      </c>
    </row>
    <row r="865" ht="17.25" spans="2:40">
      <c r="B865" s="65"/>
      <c r="C865" s="65"/>
      <c r="D865" s="93">
        <v>80</v>
      </c>
      <c r="E865" s="165">
        <f t="shared" si="114"/>
        <v>96</v>
      </c>
      <c r="F865" s="166">
        <f t="shared" si="115"/>
        <v>116</v>
      </c>
      <c r="G865" s="166">
        <f t="shared" si="116"/>
        <v>152</v>
      </c>
      <c r="H865" s="166">
        <f t="shared" si="117"/>
        <v>198</v>
      </c>
      <c r="I865" s="166">
        <f t="shared" si="118"/>
        <v>298</v>
      </c>
      <c r="L865" s="93">
        <v>80</v>
      </c>
      <c r="M865" s="165">
        <f t="shared" si="121"/>
        <v>32</v>
      </c>
      <c r="N865" s="166">
        <f t="shared" ref="N865:T865" si="144">CEILING(M865*_xlfn.XLOOKUP(N$852,$P$840:$P$847,$Q$840:$Q$847,0,0,1),2)</f>
        <v>64</v>
      </c>
      <c r="O865" s="166">
        <f t="shared" si="144"/>
        <v>96</v>
      </c>
      <c r="P865" s="166">
        <f t="shared" si="144"/>
        <v>128</v>
      </c>
      <c r="Q865" s="166">
        <f t="shared" si="144"/>
        <v>256</v>
      </c>
      <c r="R865" s="166">
        <f t="shared" si="144"/>
        <v>384</v>
      </c>
      <c r="S865" s="166">
        <f t="shared" si="144"/>
        <v>1152</v>
      </c>
      <c r="T865" s="166">
        <f t="shared" si="144"/>
        <v>2304</v>
      </c>
      <c r="V865" s="93">
        <v>80</v>
      </c>
      <c r="W865" s="165">
        <v>165</v>
      </c>
      <c r="X865" s="166">
        <f t="shared" si="123"/>
        <v>264</v>
      </c>
      <c r="Y865" s="166">
        <f t="shared" si="124"/>
        <v>370</v>
      </c>
      <c r="Z865" s="166">
        <f t="shared" si="125"/>
        <v>494</v>
      </c>
      <c r="AA865" s="166">
        <f t="shared" si="126"/>
        <v>618</v>
      </c>
      <c r="AB865" s="166">
        <f t="shared" si="127"/>
        <v>742</v>
      </c>
      <c r="AC865" s="166">
        <f t="shared" si="128"/>
        <v>892</v>
      </c>
      <c r="AD865" s="166">
        <f t="shared" si="129"/>
        <v>1072</v>
      </c>
      <c r="AF865" s="93">
        <v>80</v>
      </c>
      <c r="AG865" s="165">
        <v>18</v>
      </c>
      <c r="AH865" s="166">
        <v>18</v>
      </c>
      <c r="AI865" s="166">
        <v>19</v>
      </c>
      <c r="AJ865" s="166">
        <v>20</v>
      </c>
      <c r="AK865" s="166">
        <v>21</v>
      </c>
      <c r="AL865" s="166">
        <v>22</v>
      </c>
      <c r="AM865" s="166">
        <v>22</v>
      </c>
      <c r="AN865" s="166">
        <v>22</v>
      </c>
    </row>
    <row r="866" ht="17.25" spans="2:40">
      <c r="B866" s="65"/>
      <c r="C866" s="65"/>
      <c r="D866" s="93">
        <v>85</v>
      </c>
      <c r="E866" s="165">
        <f t="shared" si="114"/>
        <v>102</v>
      </c>
      <c r="F866" s="166">
        <f t="shared" si="115"/>
        <v>124</v>
      </c>
      <c r="G866" s="166">
        <f t="shared" si="116"/>
        <v>162</v>
      </c>
      <c r="H866" s="166">
        <f t="shared" si="117"/>
        <v>212</v>
      </c>
      <c r="I866" s="166">
        <f t="shared" si="118"/>
        <v>318</v>
      </c>
      <c r="L866" s="93">
        <v>85</v>
      </c>
      <c r="M866" s="165">
        <f t="shared" si="121"/>
        <v>34</v>
      </c>
      <c r="N866" s="166">
        <f t="shared" ref="N866:T866" si="145">CEILING(M866*_xlfn.XLOOKUP(N$852,$P$840:$P$847,$Q$840:$Q$847,0,0,1),2)</f>
        <v>68</v>
      </c>
      <c r="O866" s="166">
        <f t="shared" si="145"/>
        <v>102</v>
      </c>
      <c r="P866" s="166">
        <f t="shared" si="145"/>
        <v>136</v>
      </c>
      <c r="Q866" s="166">
        <f t="shared" si="145"/>
        <v>272</v>
      </c>
      <c r="R866" s="166">
        <f t="shared" si="145"/>
        <v>408</v>
      </c>
      <c r="S866" s="166">
        <f t="shared" si="145"/>
        <v>1224</v>
      </c>
      <c r="T866" s="166">
        <f t="shared" si="145"/>
        <v>2448</v>
      </c>
      <c r="V866" s="93">
        <v>85</v>
      </c>
      <c r="W866" s="165">
        <f t="shared" ref="W866:W870" si="146">ROUND((W865+W867)/2,0)</f>
        <v>176</v>
      </c>
      <c r="X866" s="166">
        <f t="shared" si="123"/>
        <v>282</v>
      </c>
      <c r="Y866" s="166">
        <f t="shared" si="124"/>
        <v>396</v>
      </c>
      <c r="Z866" s="166">
        <f t="shared" si="125"/>
        <v>528</v>
      </c>
      <c r="AA866" s="166">
        <f t="shared" si="126"/>
        <v>660</v>
      </c>
      <c r="AB866" s="166">
        <f t="shared" si="127"/>
        <v>792</v>
      </c>
      <c r="AC866" s="166">
        <f t="shared" si="128"/>
        <v>952</v>
      </c>
      <c r="AD866" s="166">
        <f t="shared" si="129"/>
        <v>1144</v>
      </c>
      <c r="AF866" s="93">
        <v>85</v>
      </c>
      <c r="AG866" s="165">
        <f t="shared" ref="AG866:AN866" si="147">ROUND((AG865+AG867)/2,0)</f>
        <v>18</v>
      </c>
      <c r="AH866" s="165">
        <f t="shared" si="147"/>
        <v>18</v>
      </c>
      <c r="AI866" s="165">
        <f t="shared" si="147"/>
        <v>19</v>
      </c>
      <c r="AJ866" s="165">
        <f t="shared" si="147"/>
        <v>20</v>
      </c>
      <c r="AK866" s="165">
        <f t="shared" si="147"/>
        <v>21</v>
      </c>
      <c r="AL866" s="165">
        <f t="shared" si="147"/>
        <v>22</v>
      </c>
      <c r="AM866" s="165">
        <f t="shared" si="147"/>
        <v>22</v>
      </c>
      <c r="AN866" s="165">
        <f t="shared" si="147"/>
        <v>22</v>
      </c>
    </row>
    <row r="867" ht="17.25" spans="2:40">
      <c r="B867" s="65"/>
      <c r="C867" s="65"/>
      <c r="D867" s="93">
        <v>90</v>
      </c>
      <c r="E867" s="165">
        <f t="shared" si="114"/>
        <v>108</v>
      </c>
      <c r="F867" s="166">
        <f t="shared" si="115"/>
        <v>130</v>
      </c>
      <c r="G867" s="166">
        <f t="shared" si="116"/>
        <v>170</v>
      </c>
      <c r="H867" s="166">
        <f t="shared" si="117"/>
        <v>222</v>
      </c>
      <c r="I867" s="166">
        <f t="shared" si="118"/>
        <v>334</v>
      </c>
      <c r="L867" s="93">
        <v>90</v>
      </c>
      <c r="M867" s="165">
        <f t="shared" si="121"/>
        <v>36</v>
      </c>
      <c r="N867" s="166">
        <f t="shared" ref="N867:T867" si="148">CEILING(M867*_xlfn.XLOOKUP(N$852,$P$840:$P$847,$Q$840:$Q$847,0,0,1),2)</f>
        <v>72</v>
      </c>
      <c r="O867" s="166">
        <f t="shared" si="148"/>
        <v>108</v>
      </c>
      <c r="P867" s="166">
        <f t="shared" si="148"/>
        <v>144</v>
      </c>
      <c r="Q867" s="166">
        <f t="shared" si="148"/>
        <v>288</v>
      </c>
      <c r="R867" s="166">
        <f t="shared" si="148"/>
        <v>432</v>
      </c>
      <c r="S867" s="166">
        <f t="shared" si="148"/>
        <v>1296</v>
      </c>
      <c r="T867" s="166">
        <f t="shared" si="148"/>
        <v>2592</v>
      </c>
      <c r="V867" s="93">
        <v>90</v>
      </c>
      <c r="W867" s="165">
        <v>186</v>
      </c>
      <c r="X867" s="166">
        <f t="shared" si="123"/>
        <v>298</v>
      </c>
      <c r="Y867" s="166">
        <f t="shared" si="124"/>
        <v>418</v>
      </c>
      <c r="Z867" s="166">
        <f t="shared" si="125"/>
        <v>558</v>
      </c>
      <c r="AA867" s="166">
        <f t="shared" si="126"/>
        <v>698</v>
      </c>
      <c r="AB867" s="166">
        <f t="shared" si="127"/>
        <v>838</v>
      </c>
      <c r="AC867" s="166">
        <f t="shared" si="128"/>
        <v>1006</v>
      </c>
      <c r="AD867" s="166">
        <f t="shared" si="129"/>
        <v>1208</v>
      </c>
      <c r="AF867" s="93">
        <v>90</v>
      </c>
      <c r="AG867" s="165">
        <v>18</v>
      </c>
      <c r="AH867" s="166">
        <v>18</v>
      </c>
      <c r="AI867" s="166">
        <v>19</v>
      </c>
      <c r="AJ867" s="166">
        <v>20</v>
      </c>
      <c r="AK867" s="166">
        <v>21</v>
      </c>
      <c r="AL867" s="166">
        <v>22</v>
      </c>
      <c r="AM867" s="166">
        <v>22</v>
      </c>
      <c r="AN867" s="166">
        <v>22</v>
      </c>
    </row>
    <row r="868" ht="17.25" spans="2:40">
      <c r="B868" s="65"/>
      <c r="C868" s="65"/>
      <c r="D868" s="93">
        <v>95</v>
      </c>
      <c r="E868" s="165">
        <f t="shared" si="114"/>
        <v>114</v>
      </c>
      <c r="F868" s="166">
        <f t="shared" si="115"/>
        <v>138</v>
      </c>
      <c r="G868" s="166">
        <f t="shared" si="116"/>
        <v>180</v>
      </c>
      <c r="H868" s="166">
        <f t="shared" si="117"/>
        <v>234</v>
      </c>
      <c r="I868" s="166">
        <f t="shared" si="118"/>
        <v>352</v>
      </c>
      <c r="L868" s="93">
        <v>95</v>
      </c>
      <c r="M868" s="165">
        <f t="shared" si="121"/>
        <v>38</v>
      </c>
      <c r="N868" s="166">
        <f t="shared" ref="N868:T868" si="149">CEILING(M868*_xlfn.XLOOKUP(N$852,$P$840:$P$847,$Q$840:$Q$847,0,0,1),2)</f>
        <v>76</v>
      </c>
      <c r="O868" s="166">
        <f t="shared" si="149"/>
        <v>114</v>
      </c>
      <c r="P868" s="166">
        <f t="shared" si="149"/>
        <v>152</v>
      </c>
      <c r="Q868" s="166">
        <f t="shared" si="149"/>
        <v>304</v>
      </c>
      <c r="R868" s="166">
        <f t="shared" si="149"/>
        <v>456</v>
      </c>
      <c r="S868" s="166">
        <f t="shared" si="149"/>
        <v>1368</v>
      </c>
      <c r="T868" s="166">
        <f t="shared" si="149"/>
        <v>2736</v>
      </c>
      <c r="V868" s="93">
        <v>95</v>
      </c>
      <c r="W868" s="165">
        <f t="shared" si="146"/>
        <v>202</v>
      </c>
      <c r="X868" s="166">
        <f t="shared" si="123"/>
        <v>324</v>
      </c>
      <c r="Y868" s="166">
        <f t="shared" si="124"/>
        <v>454</v>
      </c>
      <c r="Z868" s="166">
        <f t="shared" si="125"/>
        <v>606</v>
      </c>
      <c r="AA868" s="166">
        <f t="shared" si="126"/>
        <v>758</v>
      </c>
      <c r="AB868" s="166">
        <f t="shared" si="127"/>
        <v>910</v>
      </c>
      <c r="AC868" s="166">
        <f t="shared" si="128"/>
        <v>1092</v>
      </c>
      <c r="AD868" s="166">
        <f t="shared" si="129"/>
        <v>1312</v>
      </c>
      <c r="AF868" s="93">
        <v>95</v>
      </c>
      <c r="AG868" s="165">
        <f t="shared" ref="AG868:AN868" si="150">ROUND((AG867+AG869)/2,0)</f>
        <v>19</v>
      </c>
      <c r="AH868" s="165">
        <f t="shared" si="150"/>
        <v>20</v>
      </c>
      <c r="AI868" s="165">
        <f t="shared" si="150"/>
        <v>21</v>
      </c>
      <c r="AJ868" s="165">
        <f t="shared" si="150"/>
        <v>22</v>
      </c>
      <c r="AK868" s="165">
        <f t="shared" si="150"/>
        <v>23</v>
      </c>
      <c r="AL868" s="165">
        <f t="shared" si="150"/>
        <v>24</v>
      </c>
      <c r="AM868" s="165">
        <f t="shared" si="150"/>
        <v>24</v>
      </c>
      <c r="AN868" s="165">
        <f t="shared" si="150"/>
        <v>24</v>
      </c>
    </row>
    <row r="869" ht="18" spans="2:40">
      <c r="B869" s="65"/>
      <c r="C869" s="65"/>
      <c r="D869" s="93">
        <v>100</v>
      </c>
      <c r="E869" s="165">
        <f t="shared" si="114"/>
        <v>120</v>
      </c>
      <c r="F869" s="166">
        <f t="shared" si="115"/>
        <v>144</v>
      </c>
      <c r="G869" s="166">
        <f t="shared" si="116"/>
        <v>188</v>
      </c>
      <c r="H869" s="166">
        <f t="shared" si="117"/>
        <v>246</v>
      </c>
      <c r="I869" s="166">
        <f t="shared" si="118"/>
        <v>370</v>
      </c>
      <c r="L869" s="93">
        <v>100</v>
      </c>
      <c r="M869" s="165">
        <f t="shared" si="121"/>
        <v>40</v>
      </c>
      <c r="N869" s="166">
        <f t="shared" ref="N869:T869" si="151">CEILING(M869*_xlfn.XLOOKUP(N$852,$P$840:$P$847,$Q$840:$Q$847,0,0,1),2)</f>
        <v>80</v>
      </c>
      <c r="O869" s="166">
        <f t="shared" si="151"/>
        <v>120</v>
      </c>
      <c r="P869" s="166">
        <f t="shared" si="151"/>
        <v>160</v>
      </c>
      <c r="Q869" s="166">
        <f t="shared" si="151"/>
        <v>320</v>
      </c>
      <c r="R869" s="166">
        <f t="shared" si="151"/>
        <v>480</v>
      </c>
      <c r="S869" s="166">
        <f t="shared" si="151"/>
        <v>1440</v>
      </c>
      <c r="T869" s="166">
        <f t="shared" si="151"/>
        <v>2880</v>
      </c>
      <c r="V869" s="93">
        <v>100</v>
      </c>
      <c r="W869" s="165">
        <v>217</v>
      </c>
      <c r="X869" s="166">
        <f t="shared" si="123"/>
        <v>348</v>
      </c>
      <c r="Y869" s="166">
        <f t="shared" si="124"/>
        <v>488</v>
      </c>
      <c r="Z869" s="166">
        <f t="shared" si="125"/>
        <v>652</v>
      </c>
      <c r="AA869" s="166">
        <f t="shared" si="126"/>
        <v>816</v>
      </c>
      <c r="AB869" s="166">
        <f t="shared" si="127"/>
        <v>980</v>
      </c>
      <c r="AC869" s="166">
        <f t="shared" si="128"/>
        <v>1176</v>
      </c>
      <c r="AD869" s="166">
        <f t="shared" si="129"/>
        <v>1412</v>
      </c>
      <c r="AF869" s="93">
        <v>100</v>
      </c>
      <c r="AG869" s="165">
        <v>20</v>
      </c>
      <c r="AH869" s="167">
        <v>21</v>
      </c>
      <c r="AI869" s="166">
        <v>22</v>
      </c>
      <c r="AJ869" s="166">
        <v>23</v>
      </c>
      <c r="AK869" s="166">
        <v>24</v>
      </c>
      <c r="AL869" s="166">
        <v>25</v>
      </c>
      <c r="AM869" s="166">
        <v>25</v>
      </c>
      <c r="AN869" s="166">
        <v>25</v>
      </c>
    </row>
    <row r="870" ht="17.25" spans="2:40">
      <c r="B870" s="65"/>
      <c r="C870" s="65"/>
      <c r="D870" s="93">
        <v>105</v>
      </c>
      <c r="E870" s="165">
        <f t="shared" si="114"/>
        <v>132</v>
      </c>
      <c r="F870" s="166">
        <f t="shared" si="115"/>
        <v>160</v>
      </c>
      <c r="G870" s="166">
        <f t="shared" si="116"/>
        <v>208</v>
      </c>
      <c r="H870" s="166">
        <f t="shared" si="117"/>
        <v>272</v>
      </c>
      <c r="I870" s="166">
        <f t="shared" si="118"/>
        <v>408</v>
      </c>
      <c r="L870" s="93">
        <v>105</v>
      </c>
      <c r="M870" s="165">
        <f t="shared" si="121"/>
        <v>44</v>
      </c>
      <c r="N870" s="166">
        <f t="shared" ref="N870:T870" si="152">CEILING(M870*_xlfn.XLOOKUP(N$852,$P$840:$P$847,$Q$840:$Q$847,0,0,1),2)</f>
        <v>88</v>
      </c>
      <c r="O870" s="166">
        <f t="shared" si="152"/>
        <v>132</v>
      </c>
      <c r="P870" s="166">
        <f t="shared" si="152"/>
        <v>176</v>
      </c>
      <c r="Q870" s="166">
        <f t="shared" si="152"/>
        <v>352</v>
      </c>
      <c r="R870" s="166">
        <f t="shared" si="152"/>
        <v>528</v>
      </c>
      <c r="S870" s="166">
        <f t="shared" si="152"/>
        <v>1584</v>
      </c>
      <c r="T870" s="166">
        <f t="shared" si="152"/>
        <v>3168</v>
      </c>
      <c r="V870" s="93">
        <v>105</v>
      </c>
      <c r="W870" s="165">
        <f t="shared" si="146"/>
        <v>235</v>
      </c>
      <c r="X870" s="166">
        <f t="shared" si="123"/>
        <v>376</v>
      </c>
      <c r="Y870" s="166">
        <f t="shared" si="124"/>
        <v>528</v>
      </c>
      <c r="Z870" s="166">
        <f t="shared" si="125"/>
        <v>704</v>
      </c>
      <c r="AA870" s="166">
        <f t="shared" si="126"/>
        <v>880</v>
      </c>
      <c r="AB870" s="166">
        <f t="shared" si="127"/>
        <v>1056</v>
      </c>
      <c r="AC870" s="166">
        <f t="shared" si="128"/>
        <v>1268</v>
      </c>
      <c r="AD870" s="166">
        <f t="shared" si="129"/>
        <v>1522</v>
      </c>
      <c r="AF870" s="93">
        <v>105</v>
      </c>
      <c r="AG870" s="165">
        <f t="shared" ref="AG870:AN870" si="153">ROUND((AG869+AG871)/2,0)</f>
        <v>20</v>
      </c>
      <c r="AH870" s="165">
        <f t="shared" si="153"/>
        <v>21</v>
      </c>
      <c r="AI870" s="165">
        <f t="shared" si="153"/>
        <v>22</v>
      </c>
      <c r="AJ870" s="165">
        <f t="shared" si="153"/>
        <v>23</v>
      </c>
      <c r="AK870" s="165">
        <f t="shared" si="153"/>
        <v>24</v>
      </c>
      <c r="AL870" s="165">
        <f t="shared" si="153"/>
        <v>25</v>
      </c>
      <c r="AM870" s="165">
        <f t="shared" si="153"/>
        <v>25</v>
      </c>
      <c r="AN870" s="165">
        <f t="shared" si="153"/>
        <v>25</v>
      </c>
    </row>
    <row r="871" ht="18" spans="2:40">
      <c r="B871" s="65"/>
      <c r="C871" s="65"/>
      <c r="D871" s="93">
        <v>110</v>
      </c>
      <c r="E871" s="165">
        <f t="shared" si="114"/>
        <v>144</v>
      </c>
      <c r="F871" s="166">
        <f t="shared" si="115"/>
        <v>174</v>
      </c>
      <c r="G871" s="166">
        <f t="shared" si="116"/>
        <v>228</v>
      </c>
      <c r="H871" s="166">
        <f t="shared" si="117"/>
        <v>298</v>
      </c>
      <c r="I871" s="166">
        <f t="shared" si="118"/>
        <v>448</v>
      </c>
      <c r="L871" s="93">
        <v>110</v>
      </c>
      <c r="M871" s="165">
        <f t="shared" si="121"/>
        <v>48</v>
      </c>
      <c r="N871" s="166">
        <f t="shared" ref="N871:T871" si="154">CEILING(M871*_xlfn.XLOOKUP(N$852,$P$840:$P$847,$Q$840:$Q$847,0,0,1),2)</f>
        <v>96</v>
      </c>
      <c r="O871" s="166">
        <f t="shared" si="154"/>
        <v>144</v>
      </c>
      <c r="P871" s="166">
        <f t="shared" si="154"/>
        <v>192</v>
      </c>
      <c r="Q871" s="166">
        <f t="shared" si="154"/>
        <v>384</v>
      </c>
      <c r="R871" s="166">
        <f t="shared" si="154"/>
        <v>576</v>
      </c>
      <c r="S871" s="166">
        <f t="shared" si="154"/>
        <v>1728</v>
      </c>
      <c r="T871" s="166">
        <f t="shared" si="154"/>
        <v>3456</v>
      </c>
      <c r="V871" s="93">
        <v>110</v>
      </c>
      <c r="W871" s="165">
        <v>252</v>
      </c>
      <c r="X871" s="166">
        <f t="shared" si="123"/>
        <v>404</v>
      </c>
      <c r="Y871" s="166">
        <f t="shared" si="124"/>
        <v>566</v>
      </c>
      <c r="Z871" s="166">
        <f t="shared" si="125"/>
        <v>756</v>
      </c>
      <c r="AA871" s="166">
        <f t="shared" si="126"/>
        <v>946</v>
      </c>
      <c r="AB871" s="166">
        <f t="shared" si="127"/>
        <v>1136</v>
      </c>
      <c r="AC871" s="166">
        <f t="shared" si="128"/>
        <v>1364</v>
      </c>
      <c r="AD871" s="166">
        <f t="shared" si="129"/>
        <v>1638</v>
      </c>
      <c r="AF871" s="93">
        <v>110</v>
      </c>
      <c r="AG871" s="165">
        <v>20</v>
      </c>
      <c r="AH871" s="167">
        <v>21</v>
      </c>
      <c r="AI871" s="166">
        <v>22</v>
      </c>
      <c r="AJ871" s="166">
        <v>23</v>
      </c>
      <c r="AK871" s="166">
        <v>24</v>
      </c>
      <c r="AL871" s="166">
        <v>25</v>
      </c>
      <c r="AM871" s="166">
        <v>25</v>
      </c>
      <c r="AN871" s="166">
        <v>25</v>
      </c>
    </row>
    <row r="872" ht="17.25" spans="2:40">
      <c r="B872" s="65"/>
      <c r="C872" s="65"/>
      <c r="D872" s="93">
        <v>115</v>
      </c>
      <c r="E872" s="165">
        <f t="shared" si="114"/>
        <v>156</v>
      </c>
      <c r="F872" s="166">
        <f t="shared" si="115"/>
        <v>188</v>
      </c>
      <c r="G872" s="166">
        <f t="shared" si="116"/>
        <v>246</v>
      </c>
      <c r="H872" s="166">
        <f t="shared" si="117"/>
        <v>320</v>
      </c>
      <c r="I872" s="166">
        <f t="shared" si="118"/>
        <v>480</v>
      </c>
      <c r="L872" s="93">
        <v>115</v>
      </c>
      <c r="M872" s="165">
        <f t="shared" si="121"/>
        <v>52</v>
      </c>
      <c r="N872" s="166">
        <f t="shared" ref="N872:T872" si="155">CEILING(M872*_xlfn.XLOOKUP(N$852,$P$840:$P$847,$Q$840:$Q$847,0,0,1),2)</f>
        <v>104</v>
      </c>
      <c r="O872" s="166">
        <f t="shared" si="155"/>
        <v>156</v>
      </c>
      <c r="P872" s="166">
        <f t="shared" si="155"/>
        <v>208</v>
      </c>
      <c r="Q872" s="166">
        <f t="shared" si="155"/>
        <v>416</v>
      </c>
      <c r="R872" s="166">
        <f t="shared" si="155"/>
        <v>624</v>
      </c>
      <c r="S872" s="166">
        <f t="shared" si="155"/>
        <v>1872</v>
      </c>
      <c r="T872" s="166">
        <f t="shared" si="155"/>
        <v>3744</v>
      </c>
      <c r="V872" s="93">
        <v>115</v>
      </c>
      <c r="W872" s="165">
        <f t="shared" ref="W872:W876" si="156">ROUND((W871+W873)/2,0)</f>
        <v>267</v>
      </c>
      <c r="X872" s="166">
        <f t="shared" si="123"/>
        <v>428</v>
      </c>
      <c r="Y872" s="166">
        <f t="shared" si="124"/>
        <v>600</v>
      </c>
      <c r="Z872" s="166">
        <f t="shared" si="125"/>
        <v>800</v>
      </c>
      <c r="AA872" s="166">
        <f t="shared" si="126"/>
        <v>1000</v>
      </c>
      <c r="AB872" s="166">
        <f t="shared" si="127"/>
        <v>1200</v>
      </c>
      <c r="AC872" s="166">
        <f t="shared" si="128"/>
        <v>1440</v>
      </c>
      <c r="AD872" s="166">
        <f t="shared" si="129"/>
        <v>1728</v>
      </c>
      <c r="AF872" s="93">
        <v>115</v>
      </c>
      <c r="AG872" s="165">
        <f t="shared" ref="AG872:AN872" si="157">ROUND((AG871+AG873)/2,0)</f>
        <v>21</v>
      </c>
      <c r="AH872" s="165">
        <f t="shared" si="157"/>
        <v>22</v>
      </c>
      <c r="AI872" s="165">
        <f t="shared" si="157"/>
        <v>23</v>
      </c>
      <c r="AJ872" s="165">
        <f t="shared" si="157"/>
        <v>24</v>
      </c>
      <c r="AK872" s="165">
        <f t="shared" si="157"/>
        <v>25</v>
      </c>
      <c r="AL872" s="165">
        <f t="shared" si="157"/>
        <v>26</v>
      </c>
      <c r="AM872" s="165">
        <f t="shared" si="157"/>
        <v>26</v>
      </c>
      <c r="AN872" s="165">
        <f t="shared" si="157"/>
        <v>26</v>
      </c>
    </row>
    <row r="873" ht="18" spans="2:40">
      <c r="B873" s="65"/>
      <c r="C873" s="65"/>
      <c r="D873" s="93">
        <v>120</v>
      </c>
      <c r="E873" s="165">
        <f t="shared" si="114"/>
        <v>168</v>
      </c>
      <c r="F873" s="166">
        <f t="shared" si="115"/>
        <v>202</v>
      </c>
      <c r="G873" s="166">
        <f t="shared" si="116"/>
        <v>264</v>
      </c>
      <c r="H873" s="166">
        <f t="shared" si="117"/>
        <v>344</v>
      </c>
      <c r="I873" s="166">
        <f t="shared" si="118"/>
        <v>516</v>
      </c>
      <c r="L873" s="93">
        <v>120</v>
      </c>
      <c r="M873" s="165">
        <f t="shared" si="121"/>
        <v>56</v>
      </c>
      <c r="N873" s="166">
        <f t="shared" ref="N873:T873" si="158">CEILING(M873*_xlfn.XLOOKUP(N$852,$P$840:$P$847,$Q$840:$Q$847,0,0,1),2)</f>
        <v>112</v>
      </c>
      <c r="O873" s="166">
        <f t="shared" si="158"/>
        <v>168</v>
      </c>
      <c r="P873" s="166">
        <f t="shared" si="158"/>
        <v>224</v>
      </c>
      <c r="Q873" s="166">
        <f t="shared" si="158"/>
        <v>448</v>
      </c>
      <c r="R873" s="166">
        <f t="shared" si="158"/>
        <v>672</v>
      </c>
      <c r="S873" s="166">
        <f t="shared" si="158"/>
        <v>2016</v>
      </c>
      <c r="T873" s="166">
        <f t="shared" si="158"/>
        <v>4032</v>
      </c>
      <c r="V873" s="93">
        <v>120</v>
      </c>
      <c r="W873" s="165">
        <v>282</v>
      </c>
      <c r="X873" s="166">
        <f t="shared" si="123"/>
        <v>452</v>
      </c>
      <c r="Y873" s="166">
        <f t="shared" si="124"/>
        <v>634</v>
      </c>
      <c r="Z873" s="166">
        <f t="shared" si="125"/>
        <v>846</v>
      </c>
      <c r="AA873" s="166">
        <f t="shared" si="126"/>
        <v>1058</v>
      </c>
      <c r="AB873" s="166">
        <f t="shared" si="127"/>
        <v>1270</v>
      </c>
      <c r="AC873" s="166">
        <f t="shared" si="128"/>
        <v>1524</v>
      </c>
      <c r="AD873" s="166">
        <f t="shared" si="129"/>
        <v>1830</v>
      </c>
      <c r="AF873" s="93">
        <v>120</v>
      </c>
      <c r="AG873" s="165">
        <v>22</v>
      </c>
      <c r="AH873" s="167">
        <v>23</v>
      </c>
      <c r="AI873" s="166">
        <v>24</v>
      </c>
      <c r="AJ873" s="166">
        <v>25</v>
      </c>
      <c r="AK873" s="166">
        <v>26</v>
      </c>
      <c r="AL873" s="166">
        <v>27</v>
      </c>
      <c r="AM873" s="166">
        <v>27</v>
      </c>
      <c r="AN873" s="166">
        <v>27</v>
      </c>
    </row>
    <row r="874" ht="17.25" spans="2:40">
      <c r="B874" s="65"/>
      <c r="C874" s="65"/>
      <c r="D874" s="93">
        <v>125</v>
      </c>
      <c r="E874" s="165">
        <f t="shared" si="114"/>
        <v>180</v>
      </c>
      <c r="F874" s="166">
        <f t="shared" si="115"/>
        <v>216</v>
      </c>
      <c r="G874" s="166">
        <f t="shared" si="116"/>
        <v>282</v>
      </c>
      <c r="H874" s="166">
        <f t="shared" si="117"/>
        <v>368</v>
      </c>
      <c r="I874" s="166">
        <f t="shared" si="118"/>
        <v>552</v>
      </c>
      <c r="L874" s="93">
        <v>125</v>
      </c>
      <c r="M874" s="165">
        <f t="shared" si="121"/>
        <v>60</v>
      </c>
      <c r="N874" s="166">
        <f t="shared" ref="N874:T874" si="159">CEILING(M874*_xlfn.XLOOKUP(N$852,$P$840:$P$847,$Q$840:$Q$847,0,0,1),2)</f>
        <v>120</v>
      </c>
      <c r="O874" s="166">
        <f t="shared" si="159"/>
        <v>180</v>
      </c>
      <c r="P874" s="166">
        <f t="shared" si="159"/>
        <v>240</v>
      </c>
      <c r="Q874" s="166">
        <f t="shared" si="159"/>
        <v>480</v>
      </c>
      <c r="R874" s="166">
        <f t="shared" si="159"/>
        <v>720</v>
      </c>
      <c r="S874" s="166">
        <f t="shared" si="159"/>
        <v>2160</v>
      </c>
      <c r="T874" s="166">
        <f t="shared" si="159"/>
        <v>4320</v>
      </c>
      <c r="V874" s="93">
        <v>125</v>
      </c>
      <c r="W874" s="165">
        <f t="shared" si="156"/>
        <v>295</v>
      </c>
      <c r="X874" s="166">
        <f t="shared" si="123"/>
        <v>472</v>
      </c>
      <c r="Y874" s="166">
        <f t="shared" si="124"/>
        <v>662</v>
      </c>
      <c r="Z874" s="166">
        <f t="shared" si="125"/>
        <v>884</v>
      </c>
      <c r="AA874" s="166">
        <f t="shared" si="126"/>
        <v>1106</v>
      </c>
      <c r="AB874" s="166">
        <f t="shared" si="127"/>
        <v>1328</v>
      </c>
      <c r="AC874" s="166">
        <f t="shared" si="128"/>
        <v>1594</v>
      </c>
      <c r="AD874" s="166">
        <f t="shared" si="129"/>
        <v>1914</v>
      </c>
      <c r="AF874" s="93">
        <v>125</v>
      </c>
      <c r="AG874" s="165">
        <f t="shared" ref="AG874:AN874" si="160">ROUND((AG873+AG875)/2,0)</f>
        <v>22</v>
      </c>
      <c r="AH874" s="165">
        <f t="shared" si="160"/>
        <v>23</v>
      </c>
      <c r="AI874" s="165">
        <f t="shared" si="160"/>
        <v>24</v>
      </c>
      <c r="AJ874" s="165">
        <f t="shared" si="160"/>
        <v>25</v>
      </c>
      <c r="AK874" s="165">
        <f t="shared" si="160"/>
        <v>26</v>
      </c>
      <c r="AL874" s="165">
        <f t="shared" si="160"/>
        <v>27</v>
      </c>
      <c r="AM874" s="165">
        <f t="shared" si="160"/>
        <v>27</v>
      </c>
      <c r="AN874" s="165">
        <f t="shared" si="160"/>
        <v>27</v>
      </c>
    </row>
    <row r="875" ht="18" spans="2:40">
      <c r="B875" s="65"/>
      <c r="C875" s="65"/>
      <c r="D875" s="93">
        <v>130</v>
      </c>
      <c r="E875" s="165">
        <f t="shared" si="114"/>
        <v>192</v>
      </c>
      <c r="F875" s="166">
        <f t="shared" si="115"/>
        <v>232</v>
      </c>
      <c r="G875" s="166">
        <f t="shared" si="116"/>
        <v>302</v>
      </c>
      <c r="H875" s="166">
        <f t="shared" si="117"/>
        <v>394</v>
      </c>
      <c r="I875" s="166">
        <f t="shared" si="118"/>
        <v>592</v>
      </c>
      <c r="L875" s="93">
        <v>130</v>
      </c>
      <c r="M875" s="165">
        <f t="shared" si="121"/>
        <v>64</v>
      </c>
      <c r="N875" s="166">
        <f t="shared" ref="N875:T875" si="161">CEILING(M875*_xlfn.XLOOKUP(N$852,$P$840:$P$847,$Q$840:$Q$847,0,0,1),2)</f>
        <v>128</v>
      </c>
      <c r="O875" s="166">
        <f t="shared" si="161"/>
        <v>192</v>
      </c>
      <c r="P875" s="166">
        <f t="shared" si="161"/>
        <v>256</v>
      </c>
      <c r="Q875" s="166">
        <f t="shared" si="161"/>
        <v>512</v>
      </c>
      <c r="R875" s="166">
        <f t="shared" si="161"/>
        <v>768</v>
      </c>
      <c r="S875" s="166">
        <f t="shared" si="161"/>
        <v>2304</v>
      </c>
      <c r="T875" s="166">
        <f t="shared" si="161"/>
        <v>4608</v>
      </c>
      <c r="V875" s="93">
        <v>130</v>
      </c>
      <c r="W875" s="165">
        <v>307</v>
      </c>
      <c r="X875" s="166">
        <f t="shared" si="123"/>
        <v>492</v>
      </c>
      <c r="Y875" s="166">
        <f t="shared" si="124"/>
        <v>690</v>
      </c>
      <c r="Z875" s="166">
        <f t="shared" si="125"/>
        <v>920</v>
      </c>
      <c r="AA875" s="166">
        <f t="shared" si="126"/>
        <v>1150</v>
      </c>
      <c r="AB875" s="166">
        <f t="shared" si="127"/>
        <v>1380</v>
      </c>
      <c r="AC875" s="166">
        <f t="shared" si="128"/>
        <v>1656</v>
      </c>
      <c r="AD875" s="166">
        <f t="shared" si="129"/>
        <v>1988</v>
      </c>
      <c r="AF875" s="93">
        <v>130</v>
      </c>
      <c r="AG875" s="165">
        <v>22</v>
      </c>
      <c r="AH875" s="167">
        <v>23</v>
      </c>
      <c r="AI875" s="166">
        <v>24</v>
      </c>
      <c r="AJ875" s="166">
        <v>25</v>
      </c>
      <c r="AK875" s="166">
        <v>26</v>
      </c>
      <c r="AL875" s="166">
        <v>27</v>
      </c>
      <c r="AM875" s="166">
        <v>27</v>
      </c>
      <c r="AN875" s="166">
        <v>27</v>
      </c>
    </row>
    <row r="876" ht="17.25" spans="2:40">
      <c r="B876" s="65"/>
      <c r="C876" s="65"/>
      <c r="D876" s="93">
        <v>135</v>
      </c>
      <c r="E876" s="165">
        <f t="shared" si="114"/>
        <v>204</v>
      </c>
      <c r="F876" s="166">
        <f t="shared" si="115"/>
        <v>246</v>
      </c>
      <c r="G876" s="166">
        <f t="shared" si="116"/>
        <v>320</v>
      </c>
      <c r="H876" s="166">
        <f t="shared" si="117"/>
        <v>416</v>
      </c>
      <c r="I876" s="166">
        <f t="shared" si="118"/>
        <v>624</v>
      </c>
      <c r="L876" s="93">
        <v>135</v>
      </c>
      <c r="M876" s="165">
        <f t="shared" si="121"/>
        <v>68</v>
      </c>
      <c r="N876" s="166">
        <f t="shared" ref="N876:T876" si="162">CEILING(M876*_xlfn.XLOOKUP(N$852,$P$840:$P$847,$Q$840:$Q$847,0,0,1),2)</f>
        <v>136</v>
      </c>
      <c r="O876" s="166">
        <f t="shared" si="162"/>
        <v>204</v>
      </c>
      <c r="P876" s="166">
        <f t="shared" si="162"/>
        <v>272</v>
      </c>
      <c r="Q876" s="166">
        <f t="shared" si="162"/>
        <v>544</v>
      </c>
      <c r="R876" s="166">
        <f t="shared" si="162"/>
        <v>816</v>
      </c>
      <c r="S876" s="166">
        <f t="shared" si="162"/>
        <v>2448</v>
      </c>
      <c r="T876" s="166">
        <f t="shared" si="162"/>
        <v>4896</v>
      </c>
      <c r="V876" s="93">
        <v>135</v>
      </c>
      <c r="W876" s="165">
        <f t="shared" si="156"/>
        <v>322</v>
      </c>
      <c r="X876" s="166">
        <f t="shared" si="123"/>
        <v>516</v>
      </c>
      <c r="Y876" s="166">
        <f t="shared" si="124"/>
        <v>724</v>
      </c>
      <c r="Z876" s="166">
        <f t="shared" si="125"/>
        <v>966</v>
      </c>
      <c r="AA876" s="166">
        <f t="shared" si="126"/>
        <v>1208</v>
      </c>
      <c r="AB876" s="166">
        <f t="shared" si="127"/>
        <v>1450</v>
      </c>
      <c r="AC876" s="166">
        <f t="shared" si="128"/>
        <v>1740</v>
      </c>
      <c r="AD876" s="166">
        <f t="shared" si="129"/>
        <v>2088</v>
      </c>
      <c r="AF876" s="93">
        <v>135</v>
      </c>
      <c r="AG876" s="165">
        <f t="shared" ref="AG876:AN876" si="163">ROUND((AG875+AG877)/2,0)</f>
        <v>23</v>
      </c>
      <c r="AH876" s="165">
        <f t="shared" si="163"/>
        <v>24</v>
      </c>
      <c r="AI876" s="165">
        <f t="shared" si="163"/>
        <v>25</v>
      </c>
      <c r="AJ876" s="165">
        <f t="shared" si="163"/>
        <v>26</v>
      </c>
      <c r="AK876" s="165">
        <f t="shared" si="163"/>
        <v>27</v>
      </c>
      <c r="AL876" s="165">
        <f t="shared" si="163"/>
        <v>29</v>
      </c>
      <c r="AM876" s="165">
        <f t="shared" si="163"/>
        <v>29</v>
      </c>
      <c r="AN876" s="165">
        <f t="shared" si="163"/>
        <v>29</v>
      </c>
    </row>
    <row r="877" ht="18" spans="2:40">
      <c r="B877" s="65"/>
      <c r="C877" s="65"/>
      <c r="D877" s="93">
        <v>140</v>
      </c>
      <c r="E877" s="165">
        <f t="shared" si="114"/>
        <v>216</v>
      </c>
      <c r="F877" s="166">
        <f t="shared" si="115"/>
        <v>260</v>
      </c>
      <c r="G877" s="166">
        <f t="shared" si="116"/>
        <v>338</v>
      </c>
      <c r="H877" s="166">
        <f t="shared" si="117"/>
        <v>440</v>
      </c>
      <c r="I877" s="166">
        <f t="shared" si="118"/>
        <v>660</v>
      </c>
      <c r="L877" s="93">
        <v>140</v>
      </c>
      <c r="M877" s="165">
        <f t="shared" si="121"/>
        <v>72</v>
      </c>
      <c r="N877" s="166">
        <f t="shared" ref="N877:T877" si="164">CEILING(M877*_xlfn.XLOOKUP(N$852,$P$840:$P$847,$Q$840:$Q$847,0,0,1),2)</f>
        <v>144</v>
      </c>
      <c r="O877" s="166">
        <f t="shared" si="164"/>
        <v>216</v>
      </c>
      <c r="P877" s="166">
        <f t="shared" si="164"/>
        <v>288</v>
      </c>
      <c r="Q877" s="166">
        <f t="shared" si="164"/>
        <v>576</v>
      </c>
      <c r="R877" s="166">
        <f t="shared" si="164"/>
        <v>864</v>
      </c>
      <c r="S877" s="166">
        <f t="shared" si="164"/>
        <v>2592</v>
      </c>
      <c r="T877" s="166">
        <f t="shared" si="164"/>
        <v>5184</v>
      </c>
      <c r="V877" s="93">
        <v>140</v>
      </c>
      <c r="W877" s="165">
        <v>336</v>
      </c>
      <c r="X877" s="166">
        <f t="shared" si="123"/>
        <v>538</v>
      </c>
      <c r="Y877" s="166">
        <f t="shared" si="124"/>
        <v>754</v>
      </c>
      <c r="Z877" s="166">
        <f t="shared" si="125"/>
        <v>1006</v>
      </c>
      <c r="AA877" s="166">
        <f t="shared" si="126"/>
        <v>1258</v>
      </c>
      <c r="AB877" s="166">
        <f t="shared" si="127"/>
        <v>1510</v>
      </c>
      <c r="AC877" s="166">
        <f t="shared" si="128"/>
        <v>1812</v>
      </c>
      <c r="AD877" s="166">
        <f t="shared" si="129"/>
        <v>2176</v>
      </c>
      <c r="AF877" s="93">
        <v>140</v>
      </c>
      <c r="AG877" s="165">
        <v>24</v>
      </c>
      <c r="AH877" s="167">
        <v>25</v>
      </c>
      <c r="AI877" s="166">
        <v>26</v>
      </c>
      <c r="AJ877" s="166">
        <v>27</v>
      </c>
      <c r="AK877" s="166">
        <v>28</v>
      </c>
      <c r="AL877" s="166">
        <v>30</v>
      </c>
      <c r="AM877" s="166">
        <v>30</v>
      </c>
      <c r="AN877" s="166">
        <v>30</v>
      </c>
    </row>
    <row r="878" ht="17.25" spans="2:40">
      <c r="B878" s="65"/>
      <c r="C878" s="65"/>
      <c r="D878" s="93">
        <v>145</v>
      </c>
      <c r="E878" s="165">
        <f t="shared" si="114"/>
        <v>228</v>
      </c>
      <c r="F878" s="166">
        <f t="shared" si="115"/>
        <v>274</v>
      </c>
      <c r="G878" s="166">
        <f t="shared" si="116"/>
        <v>358</v>
      </c>
      <c r="H878" s="166">
        <f t="shared" si="117"/>
        <v>466</v>
      </c>
      <c r="I878" s="166">
        <f t="shared" si="118"/>
        <v>700</v>
      </c>
      <c r="L878" s="93">
        <v>145</v>
      </c>
      <c r="M878" s="165">
        <f t="shared" si="121"/>
        <v>76</v>
      </c>
      <c r="N878" s="166">
        <f t="shared" ref="N878:T878" si="165">CEILING(M878*_xlfn.XLOOKUP(N$852,$P$840:$P$847,$Q$840:$Q$847,0,0,1),2)</f>
        <v>152</v>
      </c>
      <c r="O878" s="166">
        <f t="shared" si="165"/>
        <v>228</v>
      </c>
      <c r="P878" s="166">
        <f t="shared" si="165"/>
        <v>304</v>
      </c>
      <c r="Q878" s="166">
        <f t="shared" si="165"/>
        <v>608</v>
      </c>
      <c r="R878" s="166">
        <f t="shared" si="165"/>
        <v>912</v>
      </c>
      <c r="S878" s="166">
        <f t="shared" si="165"/>
        <v>2736</v>
      </c>
      <c r="T878" s="166">
        <f t="shared" si="165"/>
        <v>5472</v>
      </c>
      <c r="V878" s="93">
        <v>145</v>
      </c>
      <c r="W878" s="165">
        <f t="shared" ref="W878:W882" si="166">ROUND((W877+W879)/2,0)</f>
        <v>349</v>
      </c>
      <c r="X878" s="166">
        <f t="shared" si="123"/>
        <v>560</v>
      </c>
      <c r="Y878" s="166">
        <f t="shared" si="124"/>
        <v>784</v>
      </c>
      <c r="Z878" s="166">
        <f t="shared" si="125"/>
        <v>1046</v>
      </c>
      <c r="AA878" s="166">
        <f t="shared" si="126"/>
        <v>1308</v>
      </c>
      <c r="AB878" s="166">
        <f t="shared" si="127"/>
        <v>1570</v>
      </c>
      <c r="AC878" s="166">
        <f t="shared" si="128"/>
        <v>1884</v>
      </c>
      <c r="AD878" s="166">
        <f t="shared" si="129"/>
        <v>2262</v>
      </c>
      <c r="AF878" s="93">
        <v>145</v>
      </c>
      <c r="AG878" s="165">
        <f t="shared" ref="AG878:AN878" si="167">ROUND((AG877+AG879)/2,0)</f>
        <v>24</v>
      </c>
      <c r="AH878" s="165">
        <f t="shared" si="167"/>
        <v>25</v>
      </c>
      <c r="AI878" s="165">
        <f t="shared" si="167"/>
        <v>26</v>
      </c>
      <c r="AJ878" s="165">
        <f t="shared" si="167"/>
        <v>27</v>
      </c>
      <c r="AK878" s="165">
        <f t="shared" si="167"/>
        <v>28</v>
      </c>
      <c r="AL878" s="165">
        <f t="shared" si="167"/>
        <v>30</v>
      </c>
      <c r="AM878" s="165">
        <f t="shared" si="167"/>
        <v>30</v>
      </c>
      <c r="AN878" s="165">
        <f t="shared" si="167"/>
        <v>30</v>
      </c>
    </row>
    <row r="879" ht="18" spans="2:40">
      <c r="B879" s="65"/>
      <c r="C879" s="65"/>
      <c r="D879" s="93">
        <v>150</v>
      </c>
      <c r="E879" s="165">
        <f t="shared" si="114"/>
        <v>240</v>
      </c>
      <c r="F879" s="166">
        <f t="shared" si="115"/>
        <v>288</v>
      </c>
      <c r="G879" s="166">
        <f t="shared" si="116"/>
        <v>376</v>
      </c>
      <c r="H879" s="166">
        <f t="shared" si="117"/>
        <v>490</v>
      </c>
      <c r="I879" s="166">
        <f t="shared" si="118"/>
        <v>736</v>
      </c>
      <c r="L879" s="93">
        <v>150</v>
      </c>
      <c r="M879" s="165">
        <f t="shared" si="121"/>
        <v>80</v>
      </c>
      <c r="N879" s="166">
        <f t="shared" ref="N879:T879" si="168">CEILING(M879*_xlfn.XLOOKUP(N$852,$P$840:$P$847,$Q$840:$Q$847,0,0,1),2)</f>
        <v>160</v>
      </c>
      <c r="O879" s="166">
        <f t="shared" si="168"/>
        <v>240</v>
      </c>
      <c r="P879" s="166">
        <f t="shared" si="168"/>
        <v>320</v>
      </c>
      <c r="Q879" s="166">
        <f t="shared" si="168"/>
        <v>640</v>
      </c>
      <c r="R879" s="166">
        <f t="shared" si="168"/>
        <v>960</v>
      </c>
      <c r="S879" s="166">
        <f t="shared" si="168"/>
        <v>2880</v>
      </c>
      <c r="T879" s="166">
        <f t="shared" si="168"/>
        <v>5760</v>
      </c>
      <c r="V879" s="93">
        <v>150</v>
      </c>
      <c r="W879" s="165">
        <v>361</v>
      </c>
      <c r="X879" s="166">
        <f t="shared" si="123"/>
        <v>578</v>
      </c>
      <c r="Y879" s="166">
        <f t="shared" si="124"/>
        <v>810</v>
      </c>
      <c r="Z879" s="166">
        <f t="shared" si="125"/>
        <v>1080</v>
      </c>
      <c r="AA879" s="166">
        <f t="shared" si="126"/>
        <v>1350</v>
      </c>
      <c r="AB879" s="166">
        <f t="shared" si="127"/>
        <v>1620</v>
      </c>
      <c r="AC879" s="166">
        <f t="shared" si="128"/>
        <v>1944</v>
      </c>
      <c r="AD879" s="166">
        <f t="shared" si="129"/>
        <v>2334</v>
      </c>
      <c r="AF879" s="93">
        <v>150</v>
      </c>
      <c r="AG879" s="165">
        <v>24</v>
      </c>
      <c r="AH879" s="167">
        <v>25</v>
      </c>
      <c r="AI879" s="166">
        <v>26</v>
      </c>
      <c r="AJ879" s="166">
        <v>27</v>
      </c>
      <c r="AK879" s="166">
        <v>28</v>
      </c>
      <c r="AL879" s="166">
        <v>30</v>
      </c>
      <c r="AM879" s="166">
        <v>30</v>
      </c>
      <c r="AN879" s="166">
        <v>30</v>
      </c>
    </row>
    <row r="880" ht="17.25" spans="2:40">
      <c r="B880" s="65"/>
      <c r="C880" s="65"/>
      <c r="D880" s="93">
        <v>155</v>
      </c>
      <c r="E880" s="165">
        <f t="shared" si="114"/>
        <v>264</v>
      </c>
      <c r="F880" s="166">
        <f t="shared" si="115"/>
        <v>318</v>
      </c>
      <c r="G880" s="166">
        <f t="shared" si="116"/>
        <v>414</v>
      </c>
      <c r="H880" s="166">
        <f t="shared" si="117"/>
        <v>540</v>
      </c>
      <c r="I880" s="166">
        <f t="shared" si="118"/>
        <v>810</v>
      </c>
      <c r="L880" s="93">
        <v>155</v>
      </c>
      <c r="M880" s="165">
        <f t="shared" si="121"/>
        <v>88</v>
      </c>
      <c r="N880" s="166">
        <f t="shared" ref="N880:T880" si="169">CEILING(M880*_xlfn.XLOOKUP(N$852,$P$840:$P$847,$Q$840:$Q$847,0,0,1),2)</f>
        <v>176</v>
      </c>
      <c r="O880" s="166">
        <f t="shared" si="169"/>
        <v>264</v>
      </c>
      <c r="P880" s="166">
        <f t="shared" si="169"/>
        <v>352</v>
      </c>
      <c r="Q880" s="166">
        <f t="shared" si="169"/>
        <v>704</v>
      </c>
      <c r="R880" s="166">
        <f t="shared" si="169"/>
        <v>1056</v>
      </c>
      <c r="S880" s="166">
        <f t="shared" si="169"/>
        <v>3168</v>
      </c>
      <c r="T880" s="166">
        <f t="shared" si="169"/>
        <v>6336</v>
      </c>
      <c r="V880" s="93">
        <v>155</v>
      </c>
      <c r="W880" s="165">
        <f t="shared" si="166"/>
        <v>370</v>
      </c>
      <c r="X880" s="166">
        <f t="shared" si="123"/>
        <v>592</v>
      </c>
      <c r="Y880" s="166">
        <f t="shared" si="124"/>
        <v>830</v>
      </c>
      <c r="Z880" s="166">
        <f t="shared" si="125"/>
        <v>1108</v>
      </c>
      <c r="AA880" s="166">
        <f t="shared" si="126"/>
        <v>1386</v>
      </c>
      <c r="AB880" s="166">
        <f t="shared" si="127"/>
        <v>1664</v>
      </c>
      <c r="AC880" s="166">
        <f t="shared" si="128"/>
        <v>1998</v>
      </c>
      <c r="AD880" s="166">
        <f t="shared" si="129"/>
        <v>2398</v>
      </c>
      <c r="AF880" s="93">
        <v>155</v>
      </c>
      <c r="AG880" s="165">
        <f t="shared" ref="AG880:AN880" si="170">ROUND((AG879+AG881)/2,0)</f>
        <v>25</v>
      </c>
      <c r="AH880" s="165">
        <f t="shared" si="170"/>
        <v>26</v>
      </c>
      <c r="AI880" s="165">
        <f t="shared" si="170"/>
        <v>27</v>
      </c>
      <c r="AJ880" s="165">
        <f t="shared" si="170"/>
        <v>28</v>
      </c>
      <c r="AK880" s="165">
        <f t="shared" si="170"/>
        <v>30</v>
      </c>
      <c r="AL880" s="165">
        <f t="shared" si="170"/>
        <v>31</v>
      </c>
      <c r="AM880" s="165">
        <f t="shared" si="170"/>
        <v>31</v>
      </c>
      <c r="AN880" s="165">
        <f t="shared" si="170"/>
        <v>31</v>
      </c>
    </row>
    <row r="881" ht="18" spans="2:40">
      <c r="B881" s="65"/>
      <c r="C881" s="65"/>
      <c r="D881" s="93">
        <v>160</v>
      </c>
      <c r="E881" s="165">
        <f t="shared" si="114"/>
        <v>288</v>
      </c>
      <c r="F881" s="166">
        <f t="shared" si="115"/>
        <v>346</v>
      </c>
      <c r="G881" s="166">
        <f t="shared" si="116"/>
        <v>450</v>
      </c>
      <c r="H881" s="166">
        <f t="shared" si="117"/>
        <v>586</v>
      </c>
      <c r="I881" s="166">
        <f t="shared" si="118"/>
        <v>880</v>
      </c>
      <c r="L881" s="93">
        <v>160</v>
      </c>
      <c r="M881" s="165">
        <f t="shared" si="121"/>
        <v>96</v>
      </c>
      <c r="N881" s="166">
        <f t="shared" ref="N881:T881" si="171">CEILING(M881*_xlfn.XLOOKUP(N$852,$P$840:$P$847,$Q$840:$Q$847,0,0,1),2)</f>
        <v>192</v>
      </c>
      <c r="O881" s="166">
        <f t="shared" si="171"/>
        <v>288</v>
      </c>
      <c r="P881" s="166">
        <f t="shared" si="171"/>
        <v>384</v>
      </c>
      <c r="Q881" s="166">
        <f t="shared" si="171"/>
        <v>768</v>
      </c>
      <c r="R881" s="166">
        <f t="shared" si="171"/>
        <v>1152</v>
      </c>
      <c r="S881" s="166">
        <f t="shared" si="171"/>
        <v>3456</v>
      </c>
      <c r="T881" s="166">
        <f t="shared" si="171"/>
        <v>6912</v>
      </c>
      <c r="V881" s="93">
        <v>160</v>
      </c>
      <c r="W881" s="165">
        <v>379</v>
      </c>
      <c r="X881" s="166">
        <f t="shared" si="123"/>
        <v>608</v>
      </c>
      <c r="Y881" s="166">
        <f t="shared" si="124"/>
        <v>852</v>
      </c>
      <c r="Z881" s="166">
        <f t="shared" si="125"/>
        <v>1136</v>
      </c>
      <c r="AA881" s="166">
        <f t="shared" si="126"/>
        <v>1420</v>
      </c>
      <c r="AB881" s="166">
        <f t="shared" si="127"/>
        <v>1704</v>
      </c>
      <c r="AC881" s="166">
        <f t="shared" si="128"/>
        <v>2046</v>
      </c>
      <c r="AD881" s="166">
        <f t="shared" si="129"/>
        <v>2456</v>
      </c>
      <c r="AF881" s="93">
        <v>160</v>
      </c>
      <c r="AG881" s="165">
        <v>26</v>
      </c>
      <c r="AH881" s="167">
        <v>27</v>
      </c>
      <c r="AI881" s="166">
        <v>28</v>
      </c>
      <c r="AJ881" s="166">
        <v>29</v>
      </c>
      <c r="AK881" s="166">
        <v>31</v>
      </c>
      <c r="AL881" s="166">
        <v>32</v>
      </c>
      <c r="AM881" s="166">
        <v>32</v>
      </c>
      <c r="AN881" s="166">
        <v>32</v>
      </c>
    </row>
    <row r="882" ht="17.25" spans="2:40">
      <c r="B882" s="65"/>
      <c r="C882" s="65"/>
      <c r="D882" s="93">
        <v>165</v>
      </c>
      <c r="E882" s="165">
        <f t="shared" si="114"/>
        <v>312</v>
      </c>
      <c r="F882" s="166">
        <f t="shared" si="115"/>
        <v>376</v>
      </c>
      <c r="G882" s="166">
        <f t="shared" si="116"/>
        <v>490</v>
      </c>
      <c r="H882" s="166">
        <f t="shared" si="117"/>
        <v>638</v>
      </c>
      <c r="I882" s="166">
        <f t="shared" si="118"/>
        <v>958</v>
      </c>
      <c r="L882" s="93">
        <v>165</v>
      </c>
      <c r="M882" s="165">
        <f t="shared" si="121"/>
        <v>104</v>
      </c>
      <c r="N882" s="166">
        <f t="shared" ref="N882:T882" si="172">CEILING(M882*_xlfn.XLOOKUP(N$852,$P$840:$P$847,$Q$840:$Q$847,0,0,1),2)</f>
        <v>208</v>
      </c>
      <c r="O882" s="166">
        <f t="shared" si="172"/>
        <v>312</v>
      </c>
      <c r="P882" s="166">
        <f t="shared" si="172"/>
        <v>416</v>
      </c>
      <c r="Q882" s="166">
        <f t="shared" si="172"/>
        <v>832</v>
      </c>
      <c r="R882" s="166">
        <f t="shared" si="172"/>
        <v>1248</v>
      </c>
      <c r="S882" s="166">
        <f t="shared" si="172"/>
        <v>3744</v>
      </c>
      <c r="T882" s="166">
        <f t="shared" si="172"/>
        <v>7488</v>
      </c>
      <c r="V882" s="93">
        <v>165</v>
      </c>
      <c r="W882" s="165">
        <f t="shared" si="166"/>
        <v>390</v>
      </c>
      <c r="X882" s="166">
        <f t="shared" si="123"/>
        <v>624</v>
      </c>
      <c r="Y882" s="166">
        <f t="shared" si="124"/>
        <v>874</v>
      </c>
      <c r="Z882" s="166">
        <f t="shared" si="125"/>
        <v>1166</v>
      </c>
      <c r="AA882" s="166">
        <f t="shared" si="126"/>
        <v>1458</v>
      </c>
      <c r="AB882" s="166">
        <f t="shared" si="127"/>
        <v>1750</v>
      </c>
      <c r="AC882" s="166">
        <f t="shared" si="128"/>
        <v>2100</v>
      </c>
      <c r="AD882" s="166">
        <f t="shared" si="129"/>
        <v>2520</v>
      </c>
      <c r="AF882" s="93">
        <v>165</v>
      </c>
      <c r="AG882" s="165">
        <f t="shared" ref="AG882:AN882" si="173">ROUND((AG881+AG883)/2,0)</f>
        <v>26</v>
      </c>
      <c r="AH882" s="165">
        <f t="shared" si="173"/>
        <v>27</v>
      </c>
      <c r="AI882" s="165">
        <f t="shared" si="173"/>
        <v>28</v>
      </c>
      <c r="AJ882" s="165">
        <f t="shared" si="173"/>
        <v>29</v>
      </c>
      <c r="AK882" s="165">
        <f t="shared" si="173"/>
        <v>31</v>
      </c>
      <c r="AL882" s="165">
        <f t="shared" si="173"/>
        <v>32</v>
      </c>
      <c r="AM882" s="165">
        <f t="shared" si="173"/>
        <v>32</v>
      </c>
      <c r="AN882" s="165">
        <f t="shared" si="173"/>
        <v>32</v>
      </c>
    </row>
    <row r="883" ht="18" spans="2:40">
      <c r="B883" s="65"/>
      <c r="C883" s="65"/>
      <c r="D883" s="93">
        <v>170</v>
      </c>
      <c r="E883" s="165">
        <f t="shared" si="114"/>
        <v>336</v>
      </c>
      <c r="F883" s="166">
        <f t="shared" si="115"/>
        <v>404</v>
      </c>
      <c r="G883" s="166">
        <f t="shared" si="116"/>
        <v>526</v>
      </c>
      <c r="H883" s="166">
        <f t="shared" si="117"/>
        <v>684</v>
      </c>
      <c r="I883" s="166">
        <f t="shared" si="118"/>
        <v>1026</v>
      </c>
      <c r="L883" s="93">
        <v>170</v>
      </c>
      <c r="M883" s="165">
        <f t="shared" si="121"/>
        <v>112</v>
      </c>
      <c r="N883" s="166">
        <f t="shared" ref="N883:T883" si="174">CEILING(M883*_xlfn.XLOOKUP(N$852,$P$840:$P$847,$Q$840:$Q$847,0,0,1),2)</f>
        <v>224</v>
      </c>
      <c r="O883" s="166">
        <f t="shared" si="174"/>
        <v>336</v>
      </c>
      <c r="P883" s="166">
        <f t="shared" si="174"/>
        <v>448</v>
      </c>
      <c r="Q883" s="166">
        <f t="shared" si="174"/>
        <v>896</v>
      </c>
      <c r="R883" s="166">
        <f t="shared" si="174"/>
        <v>1344</v>
      </c>
      <c r="S883" s="166">
        <f t="shared" si="174"/>
        <v>4032</v>
      </c>
      <c r="T883" s="166">
        <f t="shared" si="174"/>
        <v>8064</v>
      </c>
      <c r="V883" s="93">
        <v>170</v>
      </c>
      <c r="W883" s="165">
        <v>400</v>
      </c>
      <c r="X883" s="166">
        <f t="shared" si="123"/>
        <v>640</v>
      </c>
      <c r="Y883" s="166">
        <f t="shared" si="124"/>
        <v>896</v>
      </c>
      <c r="Z883" s="166">
        <f t="shared" si="125"/>
        <v>1196</v>
      </c>
      <c r="AA883" s="166">
        <f t="shared" si="126"/>
        <v>1496</v>
      </c>
      <c r="AB883" s="166">
        <f t="shared" si="127"/>
        <v>1796</v>
      </c>
      <c r="AC883" s="166">
        <f t="shared" si="128"/>
        <v>2156</v>
      </c>
      <c r="AD883" s="166">
        <f t="shared" si="129"/>
        <v>2588</v>
      </c>
      <c r="AF883" s="93">
        <v>170</v>
      </c>
      <c r="AG883" s="165">
        <v>26</v>
      </c>
      <c r="AH883" s="167">
        <v>27</v>
      </c>
      <c r="AI883" s="166">
        <v>28</v>
      </c>
      <c r="AJ883" s="166">
        <v>29</v>
      </c>
      <c r="AK883" s="166">
        <v>31</v>
      </c>
      <c r="AL883" s="166">
        <v>32</v>
      </c>
      <c r="AM883" s="166">
        <v>32</v>
      </c>
      <c r="AN883" s="166">
        <v>32</v>
      </c>
    </row>
    <row r="884" ht="17.25" spans="2:40">
      <c r="B884" s="65"/>
      <c r="C884" s="65"/>
      <c r="D884" s="93">
        <v>175</v>
      </c>
      <c r="E884" s="165">
        <f t="shared" si="114"/>
        <v>360</v>
      </c>
      <c r="F884" s="166">
        <f t="shared" si="115"/>
        <v>432</v>
      </c>
      <c r="G884" s="166">
        <f t="shared" si="116"/>
        <v>562</v>
      </c>
      <c r="H884" s="166">
        <f t="shared" si="117"/>
        <v>732</v>
      </c>
      <c r="I884" s="166">
        <f t="shared" si="118"/>
        <v>1098</v>
      </c>
      <c r="L884" s="93">
        <v>175</v>
      </c>
      <c r="M884" s="165">
        <f t="shared" si="121"/>
        <v>120</v>
      </c>
      <c r="N884" s="166">
        <f t="shared" ref="N884:T884" si="175">CEILING(M884*_xlfn.XLOOKUP(N$852,$P$840:$P$847,$Q$840:$Q$847,0,0,1),2)</f>
        <v>240</v>
      </c>
      <c r="O884" s="166">
        <f t="shared" si="175"/>
        <v>360</v>
      </c>
      <c r="P884" s="166">
        <f t="shared" si="175"/>
        <v>480</v>
      </c>
      <c r="Q884" s="166">
        <f t="shared" si="175"/>
        <v>960</v>
      </c>
      <c r="R884" s="166">
        <f t="shared" si="175"/>
        <v>1440</v>
      </c>
      <c r="S884" s="166">
        <f t="shared" si="175"/>
        <v>4320</v>
      </c>
      <c r="T884" s="166">
        <f t="shared" si="175"/>
        <v>8640</v>
      </c>
      <c r="V884" s="93">
        <v>175</v>
      </c>
      <c r="W884" s="165">
        <f t="shared" ref="W884:W888" si="176">ROUND((W883+W885)/2,0)</f>
        <v>409</v>
      </c>
      <c r="X884" s="166">
        <f t="shared" si="123"/>
        <v>656</v>
      </c>
      <c r="Y884" s="166">
        <f t="shared" si="124"/>
        <v>920</v>
      </c>
      <c r="Z884" s="166">
        <f t="shared" si="125"/>
        <v>1228</v>
      </c>
      <c r="AA884" s="166">
        <f t="shared" si="126"/>
        <v>1536</v>
      </c>
      <c r="AB884" s="166">
        <f t="shared" si="127"/>
        <v>1844</v>
      </c>
      <c r="AC884" s="166">
        <f t="shared" si="128"/>
        <v>2214</v>
      </c>
      <c r="AD884" s="166">
        <f t="shared" si="129"/>
        <v>2658</v>
      </c>
      <c r="AF884" s="93">
        <v>175</v>
      </c>
      <c r="AG884" s="165">
        <f t="shared" ref="AG884:AN884" si="177">ROUND((AG883+AG885)/2,0)</f>
        <v>27</v>
      </c>
      <c r="AH884" s="165">
        <f t="shared" si="177"/>
        <v>28</v>
      </c>
      <c r="AI884" s="165">
        <f t="shared" si="177"/>
        <v>29</v>
      </c>
      <c r="AJ884" s="165">
        <f t="shared" si="177"/>
        <v>31</v>
      </c>
      <c r="AK884" s="165">
        <f t="shared" si="177"/>
        <v>32</v>
      </c>
      <c r="AL884" s="165">
        <f t="shared" si="177"/>
        <v>34</v>
      </c>
      <c r="AM884" s="165">
        <f t="shared" si="177"/>
        <v>34</v>
      </c>
      <c r="AN884" s="165">
        <f t="shared" si="177"/>
        <v>34</v>
      </c>
    </row>
    <row r="885" ht="18" spans="2:40">
      <c r="B885" s="65"/>
      <c r="C885" s="65"/>
      <c r="D885" s="93">
        <v>180</v>
      </c>
      <c r="E885" s="165">
        <f t="shared" si="114"/>
        <v>384</v>
      </c>
      <c r="F885" s="166">
        <f t="shared" si="115"/>
        <v>462</v>
      </c>
      <c r="G885" s="166">
        <f t="shared" si="116"/>
        <v>602</v>
      </c>
      <c r="H885" s="166">
        <f t="shared" si="117"/>
        <v>784</v>
      </c>
      <c r="I885" s="166">
        <f t="shared" si="118"/>
        <v>1176</v>
      </c>
      <c r="L885" s="93">
        <v>180</v>
      </c>
      <c r="M885" s="165">
        <f t="shared" si="121"/>
        <v>128</v>
      </c>
      <c r="N885" s="166">
        <f t="shared" ref="N885:T885" si="178">CEILING(M885*_xlfn.XLOOKUP(N$852,$P$840:$P$847,$Q$840:$Q$847,0,0,1),2)</f>
        <v>256</v>
      </c>
      <c r="O885" s="166">
        <f t="shared" si="178"/>
        <v>384</v>
      </c>
      <c r="P885" s="166">
        <f t="shared" si="178"/>
        <v>512</v>
      </c>
      <c r="Q885" s="166">
        <f t="shared" si="178"/>
        <v>1024</v>
      </c>
      <c r="R885" s="166">
        <f t="shared" si="178"/>
        <v>1536</v>
      </c>
      <c r="S885" s="166">
        <f t="shared" si="178"/>
        <v>4608</v>
      </c>
      <c r="T885" s="166">
        <f t="shared" si="178"/>
        <v>9216</v>
      </c>
      <c r="V885" s="93">
        <v>180</v>
      </c>
      <c r="W885" s="165">
        <v>417</v>
      </c>
      <c r="X885" s="166">
        <f t="shared" si="123"/>
        <v>668</v>
      </c>
      <c r="Y885" s="166">
        <f t="shared" si="124"/>
        <v>936</v>
      </c>
      <c r="Z885" s="166">
        <f t="shared" si="125"/>
        <v>1248</v>
      </c>
      <c r="AA885" s="166">
        <f t="shared" si="126"/>
        <v>1560</v>
      </c>
      <c r="AB885" s="166">
        <f t="shared" si="127"/>
        <v>1872</v>
      </c>
      <c r="AC885" s="166">
        <f t="shared" si="128"/>
        <v>2248</v>
      </c>
      <c r="AD885" s="166">
        <f t="shared" si="129"/>
        <v>2698</v>
      </c>
      <c r="AF885" s="93">
        <v>180</v>
      </c>
      <c r="AG885" s="165">
        <v>28</v>
      </c>
      <c r="AH885" s="167">
        <v>29</v>
      </c>
      <c r="AI885" s="166">
        <v>30</v>
      </c>
      <c r="AJ885" s="166">
        <v>32</v>
      </c>
      <c r="AK885" s="166">
        <v>33</v>
      </c>
      <c r="AL885" s="166">
        <v>35</v>
      </c>
      <c r="AM885" s="166">
        <v>35</v>
      </c>
      <c r="AN885" s="166">
        <v>35</v>
      </c>
    </row>
    <row r="886" ht="17.25" spans="2:40">
      <c r="B886" s="65"/>
      <c r="C886" s="65"/>
      <c r="D886" s="93">
        <v>185</v>
      </c>
      <c r="E886" s="165">
        <f t="shared" si="114"/>
        <v>408</v>
      </c>
      <c r="F886" s="166">
        <f t="shared" si="115"/>
        <v>490</v>
      </c>
      <c r="G886" s="166">
        <f t="shared" si="116"/>
        <v>638</v>
      </c>
      <c r="H886" s="166">
        <f t="shared" si="117"/>
        <v>830</v>
      </c>
      <c r="I886" s="166">
        <f t="shared" si="118"/>
        <v>1246</v>
      </c>
      <c r="L886" s="93">
        <v>185</v>
      </c>
      <c r="M886" s="165">
        <f t="shared" si="121"/>
        <v>136</v>
      </c>
      <c r="N886" s="166">
        <f t="shared" ref="N886:T886" si="179">CEILING(M886*_xlfn.XLOOKUP(N$852,$P$840:$P$847,$Q$840:$Q$847,0,0,1),2)</f>
        <v>272</v>
      </c>
      <c r="O886" s="166">
        <f t="shared" si="179"/>
        <v>408</v>
      </c>
      <c r="P886" s="166">
        <f t="shared" si="179"/>
        <v>544</v>
      </c>
      <c r="Q886" s="166">
        <f t="shared" si="179"/>
        <v>1088</v>
      </c>
      <c r="R886" s="166">
        <f t="shared" si="179"/>
        <v>1632</v>
      </c>
      <c r="S886" s="166">
        <f t="shared" si="179"/>
        <v>4896</v>
      </c>
      <c r="T886" s="166">
        <f t="shared" si="179"/>
        <v>9792</v>
      </c>
      <c r="V886" s="93">
        <v>185</v>
      </c>
      <c r="W886" s="165">
        <f t="shared" si="176"/>
        <v>422</v>
      </c>
      <c r="X886" s="166">
        <f t="shared" si="123"/>
        <v>676</v>
      </c>
      <c r="Y886" s="166">
        <f t="shared" si="124"/>
        <v>948</v>
      </c>
      <c r="Z886" s="166">
        <f t="shared" si="125"/>
        <v>1264</v>
      </c>
      <c r="AA886" s="166">
        <f t="shared" si="126"/>
        <v>1580</v>
      </c>
      <c r="AB886" s="166">
        <f t="shared" si="127"/>
        <v>1896</v>
      </c>
      <c r="AC886" s="166">
        <f t="shared" si="128"/>
        <v>2276</v>
      </c>
      <c r="AD886" s="166">
        <f t="shared" si="129"/>
        <v>2732</v>
      </c>
      <c r="AF886" s="93">
        <v>185</v>
      </c>
      <c r="AG886" s="165">
        <f t="shared" ref="AG886:AN886" si="180">ROUND((AG885+AG887)/2,0)</f>
        <v>28</v>
      </c>
      <c r="AH886" s="165">
        <f t="shared" si="180"/>
        <v>29</v>
      </c>
      <c r="AI886" s="165">
        <f t="shared" si="180"/>
        <v>30</v>
      </c>
      <c r="AJ886" s="165">
        <f t="shared" si="180"/>
        <v>32</v>
      </c>
      <c r="AK886" s="165">
        <f t="shared" si="180"/>
        <v>33</v>
      </c>
      <c r="AL886" s="165">
        <f t="shared" si="180"/>
        <v>35</v>
      </c>
      <c r="AM886" s="165">
        <f t="shared" si="180"/>
        <v>35</v>
      </c>
      <c r="AN886" s="165">
        <f t="shared" si="180"/>
        <v>35</v>
      </c>
    </row>
    <row r="887" ht="18" spans="2:40">
      <c r="B887" s="65"/>
      <c r="C887" s="65"/>
      <c r="D887" s="93">
        <v>190</v>
      </c>
      <c r="E887" s="165">
        <f t="shared" si="114"/>
        <v>432</v>
      </c>
      <c r="F887" s="166">
        <f t="shared" si="115"/>
        <v>520</v>
      </c>
      <c r="G887" s="166">
        <f t="shared" si="116"/>
        <v>676</v>
      </c>
      <c r="H887" s="166">
        <f t="shared" si="117"/>
        <v>880</v>
      </c>
      <c r="I887" s="166">
        <f t="shared" si="118"/>
        <v>1320</v>
      </c>
      <c r="L887" s="93">
        <v>190</v>
      </c>
      <c r="M887" s="165">
        <f t="shared" si="121"/>
        <v>144</v>
      </c>
      <c r="N887" s="166">
        <f t="shared" ref="N887:T887" si="181">CEILING(M887*_xlfn.XLOOKUP(N$852,$P$840:$P$847,$Q$840:$Q$847,0,0,1),2)</f>
        <v>288</v>
      </c>
      <c r="O887" s="166">
        <f t="shared" si="181"/>
        <v>432</v>
      </c>
      <c r="P887" s="166">
        <f t="shared" si="181"/>
        <v>576</v>
      </c>
      <c r="Q887" s="166">
        <f t="shared" si="181"/>
        <v>1152</v>
      </c>
      <c r="R887" s="166">
        <f t="shared" si="181"/>
        <v>1728</v>
      </c>
      <c r="S887" s="166">
        <f t="shared" si="181"/>
        <v>5184</v>
      </c>
      <c r="T887" s="166">
        <f t="shared" si="181"/>
        <v>10368</v>
      </c>
      <c r="V887" s="93">
        <v>190</v>
      </c>
      <c r="W887" s="165">
        <v>427</v>
      </c>
      <c r="X887" s="166">
        <f t="shared" si="123"/>
        <v>684</v>
      </c>
      <c r="Y887" s="166">
        <f t="shared" si="124"/>
        <v>958</v>
      </c>
      <c r="Z887" s="166">
        <f t="shared" si="125"/>
        <v>1278</v>
      </c>
      <c r="AA887" s="166">
        <f t="shared" si="126"/>
        <v>1598</v>
      </c>
      <c r="AB887" s="166">
        <f t="shared" si="127"/>
        <v>1918</v>
      </c>
      <c r="AC887" s="166">
        <f t="shared" si="128"/>
        <v>2302</v>
      </c>
      <c r="AD887" s="166">
        <f t="shared" si="129"/>
        <v>2764</v>
      </c>
      <c r="AF887" s="93">
        <v>190</v>
      </c>
      <c r="AG887" s="165">
        <v>28</v>
      </c>
      <c r="AH887" s="167">
        <v>29</v>
      </c>
      <c r="AI887" s="166">
        <v>30</v>
      </c>
      <c r="AJ887" s="166">
        <v>32</v>
      </c>
      <c r="AK887" s="166">
        <v>33</v>
      </c>
      <c r="AL887" s="166">
        <v>35</v>
      </c>
      <c r="AM887" s="166">
        <v>35</v>
      </c>
      <c r="AN887" s="166">
        <v>35</v>
      </c>
    </row>
    <row r="888" ht="17.25" spans="2:40">
      <c r="B888" s="65"/>
      <c r="C888" s="65"/>
      <c r="D888" s="93">
        <v>195</v>
      </c>
      <c r="E888" s="165">
        <f t="shared" si="114"/>
        <v>456</v>
      </c>
      <c r="F888" s="166">
        <f t="shared" si="115"/>
        <v>548</v>
      </c>
      <c r="G888" s="166">
        <f t="shared" si="116"/>
        <v>714</v>
      </c>
      <c r="H888" s="166">
        <f t="shared" si="117"/>
        <v>930</v>
      </c>
      <c r="I888" s="166">
        <f t="shared" si="118"/>
        <v>1396</v>
      </c>
      <c r="L888" s="93">
        <v>195</v>
      </c>
      <c r="M888" s="165">
        <f t="shared" si="121"/>
        <v>152</v>
      </c>
      <c r="N888" s="166">
        <f t="shared" ref="N888:T888" si="182">CEILING(M888*_xlfn.XLOOKUP(N$852,$P$840:$P$847,$Q$840:$Q$847,0,0,1),2)</f>
        <v>304</v>
      </c>
      <c r="O888" s="166">
        <f t="shared" si="182"/>
        <v>456</v>
      </c>
      <c r="P888" s="166">
        <f t="shared" si="182"/>
        <v>608</v>
      </c>
      <c r="Q888" s="166">
        <f t="shared" si="182"/>
        <v>1216</v>
      </c>
      <c r="R888" s="166">
        <f t="shared" si="182"/>
        <v>1824</v>
      </c>
      <c r="S888" s="166">
        <f t="shared" si="182"/>
        <v>5472</v>
      </c>
      <c r="T888" s="166">
        <f t="shared" si="182"/>
        <v>10944</v>
      </c>
      <c r="V888" s="93">
        <v>195</v>
      </c>
      <c r="W888" s="165">
        <f t="shared" si="176"/>
        <v>434</v>
      </c>
      <c r="X888" s="166">
        <f t="shared" si="123"/>
        <v>696</v>
      </c>
      <c r="Y888" s="166">
        <f t="shared" si="124"/>
        <v>976</v>
      </c>
      <c r="Z888" s="166">
        <f t="shared" si="125"/>
        <v>1302</v>
      </c>
      <c r="AA888" s="166">
        <f t="shared" si="126"/>
        <v>1628</v>
      </c>
      <c r="AB888" s="166">
        <f t="shared" si="127"/>
        <v>1954</v>
      </c>
      <c r="AC888" s="166">
        <f t="shared" si="128"/>
        <v>2346</v>
      </c>
      <c r="AD888" s="166">
        <f t="shared" si="129"/>
        <v>2816</v>
      </c>
      <c r="AF888" s="93">
        <v>195</v>
      </c>
      <c r="AG888" s="165">
        <f t="shared" ref="AG888:AN888" si="183">ROUND((AG887+AG889)/2,0)</f>
        <v>29</v>
      </c>
      <c r="AH888" s="165">
        <f t="shared" si="183"/>
        <v>30</v>
      </c>
      <c r="AI888" s="165">
        <f t="shared" si="183"/>
        <v>32</v>
      </c>
      <c r="AJ888" s="165">
        <f t="shared" si="183"/>
        <v>33</v>
      </c>
      <c r="AK888" s="165">
        <f t="shared" si="183"/>
        <v>35</v>
      </c>
      <c r="AL888" s="165">
        <f t="shared" si="183"/>
        <v>36</v>
      </c>
      <c r="AM888" s="165">
        <f t="shared" si="183"/>
        <v>36</v>
      </c>
      <c r="AN888" s="165">
        <f t="shared" si="183"/>
        <v>36</v>
      </c>
    </row>
    <row r="889" ht="18" spans="2:40">
      <c r="B889" s="65"/>
      <c r="C889" s="65"/>
      <c r="D889" s="93">
        <v>200</v>
      </c>
      <c r="E889" s="165">
        <f t="shared" si="114"/>
        <v>480</v>
      </c>
      <c r="F889" s="166">
        <f t="shared" si="115"/>
        <v>576</v>
      </c>
      <c r="G889" s="166">
        <f t="shared" si="116"/>
        <v>750</v>
      </c>
      <c r="H889" s="166">
        <f t="shared" si="117"/>
        <v>976</v>
      </c>
      <c r="I889" s="166">
        <f t="shared" si="118"/>
        <v>1464</v>
      </c>
      <c r="L889" s="93">
        <v>200</v>
      </c>
      <c r="M889" s="165">
        <f t="shared" si="121"/>
        <v>160</v>
      </c>
      <c r="N889" s="166">
        <f t="shared" ref="N889:T889" si="184">CEILING(M889*_xlfn.XLOOKUP(N$852,$P$840:$P$847,$Q$840:$Q$847,0,0,1),2)</f>
        <v>320</v>
      </c>
      <c r="O889" s="166">
        <f t="shared" si="184"/>
        <v>480</v>
      </c>
      <c r="P889" s="166">
        <f t="shared" si="184"/>
        <v>640</v>
      </c>
      <c r="Q889" s="166">
        <f t="shared" si="184"/>
        <v>1280</v>
      </c>
      <c r="R889" s="166">
        <f t="shared" si="184"/>
        <v>1920</v>
      </c>
      <c r="S889" s="166">
        <f t="shared" si="184"/>
        <v>5760</v>
      </c>
      <c r="T889" s="166">
        <f t="shared" si="184"/>
        <v>11520</v>
      </c>
      <c r="V889" s="93">
        <v>200</v>
      </c>
      <c r="W889" s="165">
        <v>440</v>
      </c>
      <c r="X889" s="166">
        <f t="shared" si="123"/>
        <v>704</v>
      </c>
      <c r="Y889" s="166">
        <f t="shared" si="124"/>
        <v>986</v>
      </c>
      <c r="Z889" s="166">
        <f t="shared" si="125"/>
        <v>1316</v>
      </c>
      <c r="AA889" s="166">
        <f t="shared" si="126"/>
        <v>1646</v>
      </c>
      <c r="AB889" s="166">
        <f t="shared" si="127"/>
        <v>1976</v>
      </c>
      <c r="AC889" s="166">
        <f t="shared" si="128"/>
        <v>2372</v>
      </c>
      <c r="AD889" s="166">
        <f t="shared" si="129"/>
        <v>2848</v>
      </c>
      <c r="AF889" s="93">
        <v>200</v>
      </c>
      <c r="AG889" s="165">
        <v>30</v>
      </c>
      <c r="AH889" s="167">
        <v>31</v>
      </c>
      <c r="AI889" s="166">
        <v>33</v>
      </c>
      <c r="AJ889" s="166">
        <v>34</v>
      </c>
      <c r="AK889" s="166">
        <v>36</v>
      </c>
      <c r="AL889" s="166">
        <v>37</v>
      </c>
      <c r="AM889" s="166">
        <v>37</v>
      </c>
      <c r="AN889" s="166">
        <v>37</v>
      </c>
    </row>
    <row r="890" ht="18" spans="2:40">
      <c r="B890" s="65"/>
      <c r="C890" s="65"/>
      <c r="D890" s="92"/>
      <c r="L890" s="92"/>
    </row>
    <row r="891" ht="18" spans="2:40">
      <c r="B891" s="65"/>
      <c r="C891" s="65"/>
      <c r="D891" s="92"/>
      <c r="L891" s="92"/>
    </row>
    <row r="892" ht="18" spans="2:40">
      <c r="B892" s="65"/>
      <c r="C892" s="65"/>
      <c r="D892" s="92"/>
    </row>
    <row r="893" ht="18" spans="2:40">
      <c r="B893" s="98"/>
      <c r="C893" s="99" t="s">
        <v>79</v>
      </c>
      <c r="D893" s="92"/>
      <c r="E893" s="65"/>
      <c r="F893" s="65"/>
      <c r="G893" s="65"/>
      <c r="H893" s="65"/>
      <c r="I893" s="65"/>
      <c r="J893" s="65"/>
      <c r="K893" s="65"/>
      <c r="L893" s="65"/>
    </row>
    <row r="894" ht="18" spans="2:40">
      <c r="D894" s="92"/>
      <c r="E894" s="65"/>
      <c r="F894" s="65"/>
      <c r="G894" s="65"/>
      <c r="H894" s="65"/>
      <c r="I894" s="65"/>
      <c r="J894" s="65"/>
      <c r="K894" s="65"/>
      <c r="L894" s="65"/>
    </row>
    <row r="895" ht="18" spans="2:40">
      <c r="C895" s="98"/>
      <c r="D895" s="99" t="s">
        <v>150</v>
      </c>
      <c r="E895" s="129" t="s">
        <v>151</v>
      </c>
      <c r="F895" s="65"/>
      <c r="G895" s="65"/>
      <c r="H895" s="65"/>
      <c r="I895" s="65"/>
      <c r="J895" s="65"/>
      <c r="K895" s="65"/>
      <c r="L895" s="65"/>
    </row>
    <row r="896" ht="18" spans="2:40">
      <c r="B896" s="65"/>
      <c r="C896" s="65"/>
      <c r="D896" s="92"/>
      <c r="H896" s="65" t="s">
        <v>152</v>
      </c>
      <c r="J896" s="65"/>
      <c r="K896" s="65"/>
      <c r="L896" s="65"/>
    </row>
    <row r="897" ht="17.25" spans="2:31">
      <c r="B897" s="65"/>
      <c r="C897" s="65"/>
      <c r="D897" s="149" t="s">
        <v>49</v>
      </c>
      <c r="E897" s="149" t="s">
        <v>153</v>
      </c>
      <c r="F897" s="65"/>
      <c r="G897" s="148"/>
      <c r="H897" s="149" t="s">
        <v>154</v>
      </c>
      <c r="I897" s="149" t="s">
        <v>155</v>
      </c>
      <c r="J897" s="149" t="s">
        <v>156</v>
      </c>
      <c r="K897" s="148"/>
      <c r="L897" s="65"/>
    </row>
    <row r="898" ht="17.25" spans="2:31">
      <c r="B898" s="65"/>
      <c r="C898" s="65"/>
      <c r="D898" s="151" t="s">
        <v>58</v>
      </c>
      <c r="E898" s="151">
        <v>0</v>
      </c>
      <c r="F898" s="65"/>
      <c r="G898" s="148"/>
      <c r="H898" s="168" t="s">
        <v>157</v>
      </c>
      <c r="I898" s="151">
        <v>1000</v>
      </c>
      <c r="J898" s="169">
        <f t="shared" ref="J898:J913" si="185">I898/SUM($I$898:$I$913)</f>
        <v>0.0689655172413793</v>
      </c>
      <c r="K898" s="148"/>
      <c r="L898" s="65"/>
    </row>
    <row r="899" ht="17.25" spans="2:31">
      <c r="B899" s="65"/>
      <c r="C899" s="65"/>
      <c r="D899" s="151" t="s">
        <v>59</v>
      </c>
      <c r="E899" s="151">
        <v>0</v>
      </c>
      <c r="F899" s="65"/>
      <c r="G899" s="148"/>
      <c r="H899" s="168" t="s">
        <v>158</v>
      </c>
      <c r="I899" s="151">
        <v>1000</v>
      </c>
      <c r="J899" s="169">
        <f t="shared" si="185"/>
        <v>0.0689655172413793</v>
      </c>
      <c r="K899" s="148"/>
      <c r="L899" s="65"/>
    </row>
    <row r="900" ht="17.25" spans="2:31">
      <c r="B900" s="65"/>
      <c r="C900" s="65"/>
      <c r="D900" s="151" t="s">
        <v>31</v>
      </c>
      <c r="E900" s="151">
        <v>0</v>
      </c>
      <c r="F900" s="65"/>
      <c r="G900" s="148"/>
      <c r="H900" s="168" t="s">
        <v>159</v>
      </c>
      <c r="I900" s="151">
        <v>1000</v>
      </c>
      <c r="J900" s="169">
        <f t="shared" si="185"/>
        <v>0.0689655172413793</v>
      </c>
      <c r="K900" s="148"/>
      <c r="L900" s="65"/>
    </row>
    <row r="901" ht="17.25" spans="2:31">
      <c r="B901" s="65"/>
      <c r="C901" s="65"/>
      <c r="D901" s="151" t="s">
        <v>32</v>
      </c>
      <c r="E901" s="151">
        <v>1</v>
      </c>
      <c r="F901" s="65"/>
      <c r="G901" s="148"/>
      <c r="H901" s="168" t="s">
        <v>160</v>
      </c>
      <c r="I901" s="151">
        <v>1000</v>
      </c>
      <c r="J901" s="169">
        <f t="shared" si="185"/>
        <v>0.0689655172413793</v>
      </c>
      <c r="K901" s="148"/>
      <c r="L901" s="65"/>
    </row>
    <row r="902" ht="17.25" spans="2:31">
      <c r="B902" s="65"/>
      <c r="C902" s="65"/>
      <c r="D902" s="151" t="s">
        <v>33</v>
      </c>
      <c r="E902" s="151">
        <v>2</v>
      </c>
      <c r="H902" s="168" t="s">
        <v>161</v>
      </c>
      <c r="I902" s="151">
        <v>1000</v>
      </c>
      <c r="J902" s="169">
        <f t="shared" si="185"/>
        <v>0.0689655172413793</v>
      </c>
    </row>
    <row r="903" ht="17.25" spans="2:31">
      <c r="B903" s="65"/>
      <c r="C903" s="65"/>
      <c r="D903" s="151" t="s">
        <v>34</v>
      </c>
      <c r="E903" s="151">
        <v>3</v>
      </c>
      <c r="H903" s="168" t="s">
        <v>162</v>
      </c>
      <c r="I903" s="151">
        <v>1000</v>
      </c>
      <c r="J903" s="169">
        <f t="shared" si="185"/>
        <v>0.0689655172413793</v>
      </c>
    </row>
    <row r="904" ht="17.25" spans="2:31">
      <c r="B904" s="65"/>
      <c r="C904" s="65"/>
      <c r="D904" s="151" t="s">
        <v>35</v>
      </c>
      <c r="E904" s="151">
        <v>3</v>
      </c>
      <c r="H904" s="168" t="s">
        <v>163</v>
      </c>
      <c r="I904" s="151">
        <v>1000</v>
      </c>
      <c r="J904" s="169">
        <f t="shared" si="185"/>
        <v>0.0689655172413793</v>
      </c>
      <c r="AB904" s="170" t="s">
        <v>49</v>
      </c>
      <c r="AC904" s="170" t="s">
        <v>164</v>
      </c>
      <c r="AD904" s="170" t="s">
        <v>165</v>
      </c>
      <c r="AE904" s="170" t="s">
        <v>166</v>
      </c>
    </row>
    <row r="905" ht="17.25" spans="2:31">
      <c r="B905" s="65"/>
      <c r="C905" s="65"/>
      <c r="D905" s="151" t="s">
        <v>36</v>
      </c>
      <c r="E905" s="151">
        <v>3</v>
      </c>
      <c r="F905" s="65"/>
      <c r="G905" s="148"/>
      <c r="H905" s="168" t="s">
        <v>167</v>
      </c>
      <c r="I905" s="151">
        <v>500</v>
      </c>
      <c r="J905" s="169">
        <f t="shared" si="185"/>
        <v>0.0344827586206897</v>
      </c>
      <c r="K905" s="148"/>
      <c r="L905" s="65"/>
      <c r="AB905" s="170" t="s">
        <v>32</v>
      </c>
      <c r="AC905" s="170">
        <v>0</v>
      </c>
      <c r="AD905" s="170">
        <v>1</v>
      </c>
      <c r="AE905" s="170"/>
    </row>
    <row r="906" ht="18" spans="2:31">
      <c r="B906" s="65"/>
      <c r="C906" s="65"/>
      <c r="D906" s="92"/>
      <c r="E906" s="65"/>
      <c r="F906" s="65"/>
      <c r="G906" s="148"/>
      <c r="H906" s="171" t="s">
        <v>168</v>
      </c>
      <c r="I906" s="172">
        <v>500</v>
      </c>
      <c r="J906" s="169">
        <f t="shared" si="185"/>
        <v>0.0344827586206897</v>
      </c>
      <c r="K906" s="148"/>
      <c r="L906" s="65"/>
      <c r="AB906" s="170"/>
      <c r="AC906" s="170"/>
      <c r="AD906" s="170"/>
      <c r="AE906" s="173"/>
    </row>
    <row r="907" ht="18" spans="2:31">
      <c r="B907" s="65"/>
      <c r="C907" s="65"/>
      <c r="D907" s="92"/>
      <c r="E907" s="65"/>
      <c r="F907" s="65"/>
      <c r="G907" s="148"/>
      <c r="H907" s="171" t="s">
        <v>169</v>
      </c>
      <c r="I907" s="172">
        <v>500</v>
      </c>
      <c r="J907" s="169">
        <f t="shared" si="185"/>
        <v>0.0344827586206897</v>
      </c>
      <c r="K907" s="148"/>
      <c r="L907" s="65"/>
      <c r="AB907" s="170"/>
      <c r="AC907" s="170"/>
      <c r="AD907" s="170"/>
      <c r="AE907" s="173"/>
    </row>
    <row r="908" ht="18" spans="2:31">
      <c r="B908" s="65"/>
      <c r="C908" s="65"/>
      <c r="D908" s="92"/>
      <c r="E908" s="65"/>
      <c r="F908" s="65"/>
      <c r="G908" s="148"/>
      <c r="H908" s="171" t="s">
        <v>170</v>
      </c>
      <c r="I908" s="172">
        <v>1000</v>
      </c>
      <c r="J908" s="169">
        <f t="shared" si="185"/>
        <v>0.0689655172413793</v>
      </c>
      <c r="K908" s="148"/>
      <c r="L908" s="65"/>
      <c r="AB908" s="170"/>
      <c r="AC908" s="170"/>
      <c r="AD908" s="170"/>
      <c r="AE908" s="173"/>
    </row>
    <row r="909" ht="18" spans="2:31">
      <c r="B909" s="65"/>
      <c r="C909" s="65"/>
      <c r="D909" s="92"/>
      <c r="E909" s="65"/>
      <c r="F909" s="65"/>
      <c r="G909" s="148"/>
      <c r="H909" s="171" t="s">
        <v>171</v>
      </c>
      <c r="I909" s="172">
        <v>1000</v>
      </c>
      <c r="J909" s="169">
        <f t="shared" si="185"/>
        <v>0.0689655172413793</v>
      </c>
      <c r="K909" s="148"/>
      <c r="L909" s="65"/>
      <c r="AB909" s="170"/>
      <c r="AC909" s="170"/>
      <c r="AD909" s="170"/>
      <c r="AE909" s="173"/>
    </row>
    <row r="910" ht="18" spans="2:31">
      <c r="B910" s="65"/>
      <c r="C910" s="65"/>
      <c r="D910" s="92"/>
      <c r="E910" s="65"/>
      <c r="F910" s="65"/>
      <c r="G910" s="148"/>
      <c r="H910" s="171" t="s">
        <v>172</v>
      </c>
      <c r="I910" s="172">
        <v>1000</v>
      </c>
      <c r="J910" s="169">
        <f t="shared" si="185"/>
        <v>0.0689655172413793</v>
      </c>
      <c r="K910" s="148"/>
      <c r="L910" s="65"/>
      <c r="AB910" s="170"/>
      <c r="AC910" s="170"/>
      <c r="AD910" s="170"/>
      <c r="AE910" s="173"/>
    </row>
    <row r="911" ht="18" spans="2:31">
      <c r="B911" s="65"/>
      <c r="C911" s="65"/>
      <c r="D911" s="92"/>
      <c r="E911" s="65"/>
      <c r="F911" s="65"/>
      <c r="G911" s="148"/>
      <c r="H911" s="171" t="s">
        <v>173</v>
      </c>
      <c r="I911" s="172">
        <v>1000</v>
      </c>
      <c r="J911" s="169">
        <f t="shared" si="185"/>
        <v>0.0689655172413793</v>
      </c>
      <c r="K911" s="148"/>
      <c r="L911" s="65"/>
      <c r="AB911" s="170"/>
      <c r="AC911" s="170"/>
      <c r="AD911" s="170"/>
      <c r="AE911" s="173"/>
    </row>
    <row r="912" ht="18" spans="2:31">
      <c r="B912" s="65"/>
      <c r="C912" s="65"/>
      <c r="D912" s="92"/>
      <c r="E912" s="65"/>
      <c r="F912" s="65"/>
      <c r="G912" s="148"/>
      <c r="H912" s="171" t="s">
        <v>174</v>
      </c>
      <c r="I912" s="172">
        <v>1000</v>
      </c>
      <c r="J912" s="169">
        <f t="shared" si="185"/>
        <v>0.0689655172413793</v>
      </c>
      <c r="K912" s="148"/>
      <c r="L912" s="65"/>
      <c r="AB912" s="170"/>
      <c r="AC912" s="170"/>
      <c r="AD912" s="170"/>
      <c r="AE912" s="173"/>
    </row>
    <row r="913" ht="18" spans="2:31">
      <c r="B913" s="65"/>
      <c r="C913" s="65"/>
      <c r="D913" s="92"/>
      <c r="E913" s="65"/>
      <c r="F913" s="65"/>
      <c r="G913" s="148"/>
      <c r="H913" s="171" t="s">
        <v>175</v>
      </c>
      <c r="I913" s="172">
        <v>1000</v>
      </c>
      <c r="J913" s="169">
        <f t="shared" si="185"/>
        <v>0.0689655172413793</v>
      </c>
      <c r="K913" s="148"/>
      <c r="L913" s="65"/>
      <c r="AB913" s="170"/>
      <c r="AC913" s="170"/>
      <c r="AD913" s="170"/>
      <c r="AE913" s="173"/>
    </row>
    <row r="914" ht="18" spans="2:31">
      <c r="B914" s="65"/>
      <c r="C914" s="65"/>
      <c r="D914" s="92"/>
      <c r="E914" s="65"/>
      <c r="F914" s="65"/>
      <c r="G914" s="148"/>
      <c r="H914" s="172"/>
      <c r="I914" s="148"/>
      <c r="J914" s="148"/>
      <c r="K914" s="148"/>
      <c r="L914" s="65"/>
      <c r="AB914" s="170"/>
      <c r="AC914" s="170"/>
      <c r="AD914" s="170"/>
      <c r="AE914" s="173"/>
    </row>
    <row r="915" ht="18" spans="2:31">
      <c r="B915" s="65"/>
      <c r="C915" s="65"/>
      <c r="D915" s="129" t="s">
        <v>176</v>
      </c>
      <c r="E915" s="65"/>
      <c r="F915" s="65"/>
      <c r="G915" s="148"/>
      <c r="H915" s="172"/>
      <c r="I915" s="148"/>
      <c r="J915" s="148"/>
      <c r="K915" s="148"/>
      <c r="L915" s="65"/>
      <c r="AB915" s="170"/>
      <c r="AC915" s="170"/>
      <c r="AD915" s="170"/>
      <c r="AE915" s="173"/>
    </row>
    <row r="916" ht="18" spans="2:31">
      <c r="B916" s="65"/>
      <c r="C916" s="65"/>
      <c r="D916" s="92"/>
      <c r="E916" s="65"/>
      <c r="F916" s="65"/>
      <c r="G916" s="148"/>
      <c r="H916" s="172"/>
      <c r="I916" s="148"/>
      <c r="J916" s="148"/>
      <c r="K916" s="148"/>
      <c r="L916" s="65"/>
      <c r="AB916" s="170"/>
      <c r="AC916" s="170"/>
      <c r="AD916" s="170"/>
      <c r="AE916" s="173"/>
    </row>
    <row r="917" ht="18" spans="2:31">
      <c r="B917" s="65"/>
      <c r="C917" s="65"/>
      <c r="D917" s="92"/>
      <c r="E917" s="65" t="s">
        <v>177</v>
      </c>
      <c r="F917" s="65"/>
      <c r="G917" s="148"/>
      <c r="H917" s="172"/>
      <c r="I917" s="148"/>
      <c r="J917" s="148"/>
      <c r="K917" s="148"/>
      <c r="L917" s="65"/>
      <c r="M917" s="92"/>
      <c r="N917" s="65" t="s">
        <v>178</v>
      </c>
      <c r="O917" s="65"/>
      <c r="P917" s="148"/>
      <c r="Q917" s="172"/>
      <c r="R917" s="148"/>
      <c r="S917" s="148"/>
      <c r="AB917" s="170" t="s">
        <v>33</v>
      </c>
      <c r="AC917" s="170">
        <v>1</v>
      </c>
      <c r="AD917" s="170">
        <v>2</v>
      </c>
      <c r="AE917" s="173" t="s">
        <v>179</v>
      </c>
    </row>
    <row r="918" ht="18" spans="2:31">
      <c r="B918" s="65"/>
      <c r="C918" s="65"/>
      <c r="D918" s="149" t="s">
        <v>25</v>
      </c>
      <c r="E918" s="149" t="s">
        <v>180</v>
      </c>
      <c r="F918" s="149" t="s">
        <v>181</v>
      </c>
      <c r="G918" s="149" t="s">
        <v>182</v>
      </c>
      <c r="H918" s="149" t="s">
        <v>183</v>
      </c>
      <c r="I918" s="149" t="s">
        <v>184</v>
      </c>
      <c r="J918" s="149" t="s">
        <v>185</v>
      </c>
      <c r="K918" s="148"/>
      <c r="M918" s="174" t="s">
        <v>25</v>
      </c>
      <c r="N918" s="175" t="s">
        <v>180</v>
      </c>
      <c r="O918" s="175" t="s">
        <v>181</v>
      </c>
      <c r="P918" s="175" t="s">
        <v>182</v>
      </c>
      <c r="Q918" s="175" t="s">
        <v>183</v>
      </c>
      <c r="R918" s="175" t="s">
        <v>184</v>
      </c>
      <c r="S918" s="175" t="s">
        <v>185</v>
      </c>
      <c r="U918" s="74" t="s">
        <v>25</v>
      </c>
      <c r="V918" s="74" t="s">
        <v>30</v>
      </c>
      <c r="AB918" s="170" t="s">
        <v>34</v>
      </c>
      <c r="AC918" s="170">
        <v>2</v>
      </c>
      <c r="AD918" s="170">
        <v>2</v>
      </c>
      <c r="AE918" s="173" t="s">
        <v>186</v>
      </c>
    </row>
    <row r="919" ht="17.25" spans="2:31">
      <c r="B919" s="65"/>
      <c r="C919" s="65"/>
      <c r="D919" s="151">
        <v>0</v>
      </c>
      <c r="E919" s="176">
        <v>15</v>
      </c>
      <c r="F919" s="151"/>
      <c r="G919" s="151">
        <f>INT($E919/$S$827*0.5)</f>
        <v>4</v>
      </c>
      <c r="H919" s="151">
        <f>INT($E919/$S$827*0.67)</f>
        <v>6</v>
      </c>
      <c r="I919" s="177">
        <v>46</v>
      </c>
      <c r="J919" s="177">
        <v>62</v>
      </c>
      <c r="K919" s="148"/>
      <c r="M919" s="178">
        <v>0</v>
      </c>
      <c r="N919" s="178">
        <v>15</v>
      </c>
      <c r="O919" s="178">
        <v>150</v>
      </c>
      <c r="P919" s="178">
        <f t="shared" ref="P919:P955" si="186">INT($N919/$S$827*0.5)</f>
        <v>4</v>
      </c>
      <c r="Q919" s="178">
        <f t="shared" ref="Q919:Q955" si="187">INT($N919/$S$827*0.67)</f>
        <v>6</v>
      </c>
      <c r="R919" s="178">
        <f t="shared" ref="R919:R955" si="188">INT($O919/$S$827*0.5)</f>
        <v>46</v>
      </c>
      <c r="S919" s="178">
        <f t="shared" ref="S919:S955" si="189">INT($O919/$S$827*0.67)</f>
        <v>62</v>
      </c>
      <c r="U919" s="74">
        <v>10</v>
      </c>
      <c r="V919" s="74">
        <v>72</v>
      </c>
      <c r="AB919" s="170" t="s">
        <v>35</v>
      </c>
      <c r="AC919" s="170">
        <v>2</v>
      </c>
      <c r="AD919" s="170">
        <v>3</v>
      </c>
      <c r="AE919" s="173" t="s">
        <v>187</v>
      </c>
    </row>
    <row r="920" ht="17.25" spans="2:31">
      <c r="B920" s="65"/>
      <c r="C920" s="65"/>
      <c r="D920" s="151">
        <v>1</v>
      </c>
      <c r="E920" s="176">
        <v>15</v>
      </c>
      <c r="F920" s="151"/>
      <c r="G920" s="151">
        <f t="shared" ref="G920:G955" si="190">INT($E920/$S$827*0.5)</f>
        <v>4</v>
      </c>
      <c r="H920" s="151">
        <f t="shared" ref="H920:H955" si="191">INT($E920/$S$827*0.67)</f>
        <v>6</v>
      </c>
      <c r="I920" s="177">
        <v>46</v>
      </c>
      <c r="J920" s="177">
        <v>62</v>
      </c>
      <c r="K920" s="148"/>
      <c r="M920" s="178">
        <v>1</v>
      </c>
      <c r="N920" s="178">
        <v>15</v>
      </c>
      <c r="O920" s="178">
        <v>150</v>
      </c>
      <c r="P920" s="178">
        <f t="shared" si="186"/>
        <v>4</v>
      </c>
      <c r="Q920" s="178">
        <f t="shared" si="187"/>
        <v>6</v>
      </c>
      <c r="R920" s="178">
        <f t="shared" si="188"/>
        <v>46</v>
      </c>
      <c r="S920" s="178">
        <f t="shared" si="189"/>
        <v>62</v>
      </c>
      <c r="U920" s="74">
        <v>20</v>
      </c>
      <c r="V920" s="74">
        <v>108</v>
      </c>
      <c r="AB920" s="170" t="s">
        <v>36</v>
      </c>
      <c r="AC920" s="170">
        <v>3</v>
      </c>
      <c r="AD920" s="170">
        <v>3</v>
      </c>
      <c r="AE920" s="173" t="s">
        <v>188</v>
      </c>
    </row>
    <row r="921" ht="17.25" spans="2:31">
      <c r="B921" s="65"/>
      <c r="C921" s="65"/>
      <c r="D921" s="151">
        <v>10</v>
      </c>
      <c r="E921" s="176">
        <v>15</v>
      </c>
      <c r="F921" s="151"/>
      <c r="G921" s="151">
        <f t="shared" si="190"/>
        <v>4</v>
      </c>
      <c r="H921" s="151">
        <f t="shared" si="191"/>
        <v>6</v>
      </c>
      <c r="I921" s="177">
        <v>46</v>
      </c>
      <c r="J921" s="177">
        <v>62</v>
      </c>
      <c r="K921" s="148"/>
      <c r="M921" s="178">
        <v>10</v>
      </c>
      <c r="N921" s="178">
        <f>INT(VLOOKUP(M921,$U$918:$V$950,2,0)/6)</f>
        <v>12</v>
      </c>
      <c r="O921" s="178">
        <f t="shared" ref="O921:O955" si="192">N921*10</f>
        <v>120</v>
      </c>
      <c r="P921" s="178">
        <f t="shared" si="186"/>
        <v>3</v>
      </c>
      <c r="Q921" s="178">
        <f t="shared" si="187"/>
        <v>5</v>
      </c>
      <c r="R921" s="178">
        <f t="shared" si="188"/>
        <v>37</v>
      </c>
      <c r="S921" s="178">
        <f t="shared" si="189"/>
        <v>50</v>
      </c>
      <c r="U921" s="74">
        <v>30</v>
      </c>
      <c r="V921" s="74">
        <v>176</v>
      </c>
      <c r="AB921" s="170" t="s">
        <v>189</v>
      </c>
      <c r="AC921" s="170">
        <v>3</v>
      </c>
      <c r="AD921" s="170">
        <v>3</v>
      </c>
      <c r="AE921" s="179" t="s">
        <v>190</v>
      </c>
    </row>
    <row r="922" ht="17.25" spans="2:31">
      <c r="B922" s="65"/>
      <c r="C922" s="65"/>
      <c r="D922" s="151">
        <v>20</v>
      </c>
      <c r="E922" s="176">
        <f>INT(VLOOKUP(D922,养成规划!$F$5:$K$41,6,0)/6)</f>
        <v>18</v>
      </c>
      <c r="F922" s="151"/>
      <c r="G922" s="151">
        <f t="shared" si="190"/>
        <v>5</v>
      </c>
      <c r="H922" s="151">
        <f t="shared" si="191"/>
        <v>7</v>
      </c>
      <c r="I922" s="177">
        <v>65</v>
      </c>
      <c r="J922" s="177">
        <v>87</v>
      </c>
      <c r="K922" s="148"/>
      <c r="M922" s="178">
        <v>20</v>
      </c>
      <c r="N922" s="178">
        <f>INT(VLOOKUP(M922,$U$918:$V$950,2,0)/6)</f>
        <v>18</v>
      </c>
      <c r="O922" s="178">
        <f t="shared" si="192"/>
        <v>180</v>
      </c>
      <c r="P922" s="178">
        <f t="shared" si="186"/>
        <v>5</v>
      </c>
      <c r="Q922" s="178">
        <f t="shared" si="187"/>
        <v>7</v>
      </c>
      <c r="R922" s="178">
        <f t="shared" si="188"/>
        <v>56</v>
      </c>
      <c r="S922" s="178">
        <f t="shared" si="189"/>
        <v>75</v>
      </c>
      <c r="U922" s="74">
        <v>30</v>
      </c>
      <c r="V922" s="74">
        <v>192</v>
      </c>
      <c r="AB922" s="170" t="s">
        <v>191</v>
      </c>
      <c r="AC922" s="170">
        <v>3</v>
      </c>
      <c r="AD922" s="170">
        <v>3</v>
      </c>
    </row>
    <row r="923" ht="17.25" spans="2:31">
      <c r="B923" s="65"/>
      <c r="C923" s="65"/>
      <c r="D923" s="151">
        <v>30</v>
      </c>
      <c r="E923" s="176">
        <f>INT(VLOOKUP(D923,养成规划!$F$5:$K$41,6,0)/6)</f>
        <v>24</v>
      </c>
      <c r="F923" s="151"/>
      <c r="G923" s="151">
        <f t="shared" si="190"/>
        <v>7</v>
      </c>
      <c r="H923" s="151">
        <f t="shared" si="191"/>
        <v>10</v>
      </c>
      <c r="I923" s="177">
        <v>78</v>
      </c>
      <c r="J923" s="177">
        <v>104</v>
      </c>
      <c r="K923" s="148"/>
      <c r="M923" s="178">
        <v>30</v>
      </c>
      <c r="N923" s="178">
        <f>INT(VLOOKUP(M923,$U$918:$V$950,2,0)/6)</f>
        <v>29</v>
      </c>
      <c r="O923" s="178">
        <f t="shared" si="192"/>
        <v>290</v>
      </c>
      <c r="P923" s="178">
        <f t="shared" si="186"/>
        <v>9</v>
      </c>
      <c r="Q923" s="178">
        <f t="shared" si="187"/>
        <v>12</v>
      </c>
      <c r="R923" s="178">
        <f t="shared" si="188"/>
        <v>90</v>
      </c>
      <c r="S923" s="178">
        <f t="shared" si="189"/>
        <v>121</v>
      </c>
      <c r="U923" s="74">
        <v>30</v>
      </c>
      <c r="V923" s="74">
        <v>208</v>
      </c>
      <c r="AB923" s="170" t="s">
        <v>192</v>
      </c>
      <c r="AC923" s="170">
        <v>3</v>
      </c>
      <c r="AD923" s="170">
        <v>3</v>
      </c>
    </row>
    <row r="924" ht="17.25" spans="2:31">
      <c r="B924" s="65"/>
      <c r="C924" s="65"/>
      <c r="D924" s="151">
        <v>40</v>
      </c>
      <c r="E924" s="176">
        <f>INT(VLOOKUP(D924,养成规划!$F$5:$K$41,6,0)/6)</f>
        <v>40</v>
      </c>
      <c r="F924" s="151"/>
      <c r="G924" s="151">
        <f t="shared" si="190"/>
        <v>12</v>
      </c>
      <c r="H924" s="151">
        <f t="shared" si="191"/>
        <v>16</v>
      </c>
      <c r="I924" s="177">
        <v>93</v>
      </c>
      <c r="J924" s="177">
        <v>125</v>
      </c>
      <c r="K924" s="148"/>
      <c r="M924" s="178">
        <v>40</v>
      </c>
      <c r="N924" s="178">
        <f t="shared" ref="N924:N955" si="193">INT(VLOOKUP(M924,$U$918:$V$950,2,0)/6)</f>
        <v>37</v>
      </c>
      <c r="O924" s="178">
        <f t="shared" si="192"/>
        <v>370</v>
      </c>
      <c r="P924" s="178">
        <f t="shared" si="186"/>
        <v>11</v>
      </c>
      <c r="Q924" s="178">
        <f t="shared" si="187"/>
        <v>15</v>
      </c>
      <c r="R924" s="178">
        <f t="shared" si="188"/>
        <v>115</v>
      </c>
      <c r="S924" s="178">
        <f t="shared" si="189"/>
        <v>154</v>
      </c>
      <c r="U924" s="74">
        <v>40</v>
      </c>
      <c r="V924" s="74">
        <v>224</v>
      </c>
    </row>
    <row r="925" ht="17.25" spans="2:31">
      <c r="B925" s="65"/>
      <c r="C925" s="65"/>
      <c r="D925" s="151">
        <v>50</v>
      </c>
      <c r="E925" s="176">
        <f>INT(VLOOKUP(D925,养成规划!$F$5:$K$41,6,0)/6)</f>
        <v>93</v>
      </c>
      <c r="F925" s="151"/>
      <c r="G925" s="151">
        <f t="shared" si="190"/>
        <v>29</v>
      </c>
      <c r="H925" s="151">
        <f t="shared" si="191"/>
        <v>38</v>
      </c>
      <c r="I925" s="177">
        <v>121</v>
      </c>
      <c r="J925" s="177">
        <v>163</v>
      </c>
      <c r="K925" s="148"/>
      <c r="M925" s="178">
        <v>50</v>
      </c>
      <c r="N925" s="178">
        <f t="shared" si="193"/>
        <v>40</v>
      </c>
      <c r="O925" s="178">
        <f t="shared" si="192"/>
        <v>400</v>
      </c>
      <c r="P925" s="178">
        <f t="shared" si="186"/>
        <v>12</v>
      </c>
      <c r="Q925" s="178">
        <f t="shared" si="187"/>
        <v>16</v>
      </c>
      <c r="R925" s="178">
        <f t="shared" si="188"/>
        <v>125</v>
      </c>
      <c r="S925" s="178">
        <f t="shared" si="189"/>
        <v>167</v>
      </c>
      <c r="U925" s="74">
        <v>40</v>
      </c>
      <c r="V925" s="74">
        <v>240</v>
      </c>
    </row>
    <row r="926" ht="17.25" spans="2:31">
      <c r="B926" s="65"/>
      <c r="C926" s="65"/>
      <c r="D926" s="151">
        <v>55</v>
      </c>
      <c r="E926" s="176">
        <f>INT(VLOOKUP(D926,养成规划!$F$5:$K$41,6,0)/6)</f>
        <v>215</v>
      </c>
      <c r="F926" s="151"/>
      <c r="G926" s="151">
        <f t="shared" si="190"/>
        <v>67</v>
      </c>
      <c r="H926" s="151">
        <f t="shared" si="191"/>
        <v>90</v>
      </c>
      <c r="I926" s="177">
        <f>ROUND((I925+I927)/2,0)</f>
        <v>139</v>
      </c>
      <c r="J926" s="177">
        <f>ROUND((J925+J927)/2,0)</f>
        <v>186</v>
      </c>
      <c r="K926" s="148"/>
      <c r="L926" s="45"/>
      <c r="M926" s="178">
        <v>55</v>
      </c>
      <c r="N926" s="178" t="e">
        <f t="shared" si="193"/>
        <v>#N/A</v>
      </c>
      <c r="O926" s="178" t="e">
        <f t="shared" si="192"/>
        <v>#N/A</v>
      </c>
      <c r="P926" s="178" t="e">
        <f t="shared" si="186"/>
        <v>#N/A</v>
      </c>
      <c r="Q926" s="178" t="e">
        <f t="shared" si="187"/>
        <v>#N/A</v>
      </c>
      <c r="R926" s="178" t="e">
        <f t="shared" si="188"/>
        <v>#N/A</v>
      </c>
      <c r="S926" s="178" t="e">
        <f t="shared" si="189"/>
        <v>#N/A</v>
      </c>
      <c r="U926" s="74">
        <v>40</v>
      </c>
      <c r="V926" s="74">
        <v>240</v>
      </c>
      <c r="AB926" s="74" t="s">
        <v>193</v>
      </c>
      <c r="AC926" s="180">
        <f>0.2-SUM(AC927:AC932)</f>
        <v>0.1274</v>
      </c>
    </row>
    <row r="927" ht="17.25" spans="2:31">
      <c r="B927" s="65"/>
      <c r="C927" s="65"/>
      <c r="D927" s="151">
        <v>60</v>
      </c>
      <c r="E927" s="176">
        <f>INT(VLOOKUP(D927,养成规划!$F$5:$K$41,6,0)/6)</f>
        <v>366</v>
      </c>
      <c r="F927" s="151"/>
      <c r="G927" s="151">
        <f t="shared" si="190"/>
        <v>114</v>
      </c>
      <c r="H927" s="151">
        <f t="shared" si="191"/>
        <v>153</v>
      </c>
      <c r="I927" s="177">
        <v>156</v>
      </c>
      <c r="J927" s="177">
        <v>209</v>
      </c>
      <c r="K927" s="148"/>
      <c r="M927" s="178">
        <v>60</v>
      </c>
      <c r="N927" s="178">
        <f t="shared" si="193"/>
        <v>60</v>
      </c>
      <c r="O927" s="178">
        <f t="shared" si="192"/>
        <v>600</v>
      </c>
      <c r="P927" s="178">
        <f t="shared" si="186"/>
        <v>18</v>
      </c>
      <c r="Q927" s="178">
        <f t="shared" si="187"/>
        <v>25</v>
      </c>
      <c r="R927" s="178">
        <f t="shared" si="188"/>
        <v>187</v>
      </c>
      <c r="S927" s="178">
        <f t="shared" si="189"/>
        <v>251</v>
      </c>
      <c r="U927" s="74">
        <v>40</v>
      </c>
      <c r="V927" s="74">
        <v>239.999999999999</v>
      </c>
      <c r="AB927" s="74" t="s">
        <v>194</v>
      </c>
      <c r="AC927" s="180">
        <v>0.04</v>
      </c>
    </row>
    <row r="928" ht="17.25" spans="2:31">
      <c r="B928" s="65"/>
      <c r="C928" s="65"/>
      <c r="D928" s="151">
        <v>65</v>
      </c>
      <c r="E928" s="176">
        <f>INT(VLOOKUP(D928,养成规划!$F$5:$K$41,6,0)/6)</f>
        <v>416</v>
      </c>
      <c r="F928" s="151"/>
      <c r="G928" s="151">
        <f t="shared" si="190"/>
        <v>130</v>
      </c>
      <c r="H928" s="151">
        <f t="shared" si="191"/>
        <v>174</v>
      </c>
      <c r="I928" s="177">
        <f>ROUND((I927+I929)/2,0)</f>
        <v>198</v>
      </c>
      <c r="J928" s="177">
        <f>ROUND((J927+J929)/2,0)</f>
        <v>266</v>
      </c>
      <c r="K928" s="148"/>
      <c r="M928" s="178">
        <v>65</v>
      </c>
      <c r="N928" s="178" t="e">
        <f t="shared" si="193"/>
        <v>#N/A</v>
      </c>
      <c r="O928" s="178" t="e">
        <f t="shared" si="192"/>
        <v>#N/A</v>
      </c>
      <c r="P928" s="178" t="e">
        <f t="shared" si="186"/>
        <v>#N/A</v>
      </c>
      <c r="Q928" s="178" t="e">
        <f t="shared" si="187"/>
        <v>#N/A</v>
      </c>
      <c r="R928" s="178" t="e">
        <f t="shared" si="188"/>
        <v>#N/A</v>
      </c>
      <c r="S928" s="178" t="e">
        <f t="shared" si="189"/>
        <v>#N/A</v>
      </c>
      <c r="U928" s="74">
        <v>40</v>
      </c>
      <c r="V928" s="74">
        <v>239.999999999999</v>
      </c>
      <c r="AB928" s="74" t="s">
        <v>195</v>
      </c>
      <c r="AC928" s="180">
        <v>0.01</v>
      </c>
    </row>
    <row r="929" ht="17.25" spans="2:30">
      <c r="B929" s="65"/>
      <c r="C929" s="65"/>
      <c r="D929" s="151">
        <v>70</v>
      </c>
      <c r="E929" s="176">
        <f>INT(VLOOKUP(D929,养成规划!$F$5:$K$41,6,0)/6)</f>
        <v>464</v>
      </c>
      <c r="F929" s="151"/>
      <c r="G929" s="151">
        <f t="shared" si="190"/>
        <v>145</v>
      </c>
      <c r="H929" s="151">
        <f t="shared" si="191"/>
        <v>194</v>
      </c>
      <c r="I929" s="177">
        <v>240</v>
      </c>
      <c r="J929" s="177">
        <v>322</v>
      </c>
      <c r="K929" s="148"/>
      <c r="M929" s="178">
        <v>70</v>
      </c>
      <c r="N929" s="178">
        <f t="shared" si="193"/>
        <v>60</v>
      </c>
      <c r="O929" s="178">
        <f t="shared" si="192"/>
        <v>600</v>
      </c>
      <c r="P929" s="178">
        <f t="shared" si="186"/>
        <v>18</v>
      </c>
      <c r="Q929" s="178">
        <f t="shared" si="187"/>
        <v>25</v>
      </c>
      <c r="R929" s="178">
        <f t="shared" si="188"/>
        <v>187</v>
      </c>
      <c r="S929" s="178">
        <f t="shared" si="189"/>
        <v>251</v>
      </c>
      <c r="U929" s="74">
        <v>50</v>
      </c>
      <c r="V929" s="74">
        <v>240</v>
      </c>
      <c r="AB929" s="74" t="s">
        <v>196</v>
      </c>
      <c r="AC929" s="180">
        <v>0.02</v>
      </c>
    </row>
    <row r="930" ht="17.25" spans="2:30">
      <c r="B930" s="65"/>
      <c r="C930" s="65"/>
      <c r="D930" s="151">
        <v>75</v>
      </c>
      <c r="E930" s="176">
        <f>INT(VLOOKUP(D930,养成规划!$F$5:$K$41,6,0)/6)</f>
        <v>526</v>
      </c>
      <c r="F930" s="151"/>
      <c r="G930" s="151">
        <f t="shared" si="190"/>
        <v>164</v>
      </c>
      <c r="H930" s="151">
        <f t="shared" si="191"/>
        <v>220</v>
      </c>
      <c r="I930" s="177">
        <f>ROUND((I929+I931)/2,0)</f>
        <v>273</v>
      </c>
      <c r="J930" s="177">
        <f>ROUND((J929+J931)/2,0)</f>
        <v>366</v>
      </c>
      <c r="K930" s="148"/>
      <c r="M930" s="178">
        <v>75</v>
      </c>
      <c r="N930" s="178" t="e">
        <f t="shared" si="193"/>
        <v>#N/A</v>
      </c>
      <c r="O930" s="178" t="e">
        <f t="shared" si="192"/>
        <v>#N/A</v>
      </c>
      <c r="P930" s="178" t="e">
        <f t="shared" si="186"/>
        <v>#N/A</v>
      </c>
      <c r="Q930" s="178" t="e">
        <f t="shared" si="187"/>
        <v>#N/A</v>
      </c>
      <c r="R930" s="178" t="e">
        <f t="shared" si="188"/>
        <v>#N/A</v>
      </c>
      <c r="S930" s="178" t="e">
        <f t="shared" si="189"/>
        <v>#N/A</v>
      </c>
      <c r="U930" s="74">
        <v>50</v>
      </c>
      <c r="V930" s="74">
        <v>240</v>
      </c>
      <c r="AB930" s="74" t="s">
        <v>39</v>
      </c>
      <c r="AC930" s="180">
        <v>0.0012</v>
      </c>
    </row>
    <row r="931" ht="17.25" spans="2:30">
      <c r="B931" s="65"/>
      <c r="C931" s="65"/>
      <c r="D931" s="151">
        <v>80</v>
      </c>
      <c r="E931" s="176">
        <f>INT(VLOOKUP(D931,养成规划!$F$5:$K$41,6,0)/6)</f>
        <v>586</v>
      </c>
      <c r="F931" s="151"/>
      <c r="G931" s="151">
        <f t="shared" si="190"/>
        <v>183</v>
      </c>
      <c r="H931" s="151">
        <f t="shared" si="191"/>
        <v>245</v>
      </c>
      <c r="I931" s="177">
        <v>306</v>
      </c>
      <c r="J931" s="177">
        <v>410</v>
      </c>
      <c r="K931" s="148"/>
      <c r="M931" s="178">
        <v>80</v>
      </c>
      <c r="N931" s="178">
        <f t="shared" si="193"/>
        <v>60</v>
      </c>
      <c r="O931" s="178">
        <f t="shared" si="192"/>
        <v>600</v>
      </c>
      <c r="P931" s="178">
        <f t="shared" si="186"/>
        <v>18</v>
      </c>
      <c r="Q931" s="178">
        <f t="shared" si="187"/>
        <v>25</v>
      </c>
      <c r="R931" s="178">
        <f t="shared" si="188"/>
        <v>187</v>
      </c>
      <c r="S931" s="178">
        <f t="shared" si="189"/>
        <v>251</v>
      </c>
      <c r="U931" s="74">
        <v>50</v>
      </c>
      <c r="V931" s="74">
        <v>239.999999999999</v>
      </c>
      <c r="AB931" s="74" t="s">
        <v>197</v>
      </c>
      <c r="AC931" s="180">
        <v>0.0012</v>
      </c>
    </row>
    <row r="932" ht="17.25" spans="2:30">
      <c r="B932" s="65"/>
      <c r="C932" s="65"/>
      <c r="D932" s="151">
        <v>85</v>
      </c>
      <c r="E932" s="176">
        <f>INT(VLOOKUP(D932,养成规划!$F$5:$K$41,6,0)/6)</f>
        <v>695</v>
      </c>
      <c r="F932" s="151"/>
      <c r="G932" s="151">
        <f t="shared" si="190"/>
        <v>217</v>
      </c>
      <c r="H932" s="151">
        <f t="shared" si="191"/>
        <v>291</v>
      </c>
      <c r="I932" s="177">
        <f>ROUND((I931+I933)/2,0)</f>
        <v>414</v>
      </c>
      <c r="J932" s="177">
        <f>ROUND((J931+J933)/2,0)</f>
        <v>555</v>
      </c>
      <c r="K932" s="148"/>
      <c r="M932" s="178">
        <v>85</v>
      </c>
      <c r="N932" s="178" t="e">
        <f t="shared" si="193"/>
        <v>#N/A</v>
      </c>
      <c r="O932" s="178" t="e">
        <f t="shared" si="192"/>
        <v>#N/A</v>
      </c>
      <c r="P932" s="178" t="e">
        <f t="shared" si="186"/>
        <v>#N/A</v>
      </c>
      <c r="Q932" s="178" t="e">
        <f t="shared" si="187"/>
        <v>#N/A</v>
      </c>
      <c r="R932" s="178" t="e">
        <f t="shared" si="188"/>
        <v>#N/A</v>
      </c>
      <c r="S932" s="178" t="e">
        <f t="shared" si="189"/>
        <v>#N/A</v>
      </c>
      <c r="U932" s="74">
        <v>50</v>
      </c>
      <c r="V932" s="74">
        <v>240</v>
      </c>
      <c r="AB932" s="74" t="s">
        <v>198</v>
      </c>
      <c r="AC932" s="180">
        <v>0.0002</v>
      </c>
    </row>
    <row r="933" ht="17.25" spans="2:30">
      <c r="B933" s="65"/>
      <c r="C933" s="65"/>
      <c r="D933" s="151">
        <v>90</v>
      </c>
      <c r="E933" s="176">
        <f>INT(VLOOKUP(D933,养成规划!$F$5:$K$41,6,0)/6)</f>
        <v>750</v>
      </c>
      <c r="F933" s="151"/>
      <c r="G933" s="151">
        <f t="shared" si="190"/>
        <v>234</v>
      </c>
      <c r="H933" s="151">
        <f t="shared" si="191"/>
        <v>314</v>
      </c>
      <c r="I933" s="177">
        <v>521</v>
      </c>
      <c r="J933" s="177">
        <v>699</v>
      </c>
      <c r="K933" s="148"/>
      <c r="M933" s="178">
        <v>90</v>
      </c>
      <c r="N933" s="178">
        <f t="shared" si="193"/>
        <v>75</v>
      </c>
      <c r="O933" s="178">
        <f t="shared" si="192"/>
        <v>750</v>
      </c>
      <c r="P933" s="178">
        <f t="shared" si="186"/>
        <v>23</v>
      </c>
      <c r="Q933" s="178">
        <f t="shared" si="187"/>
        <v>31</v>
      </c>
      <c r="R933" s="178">
        <f t="shared" si="188"/>
        <v>234</v>
      </c>
      <c r="S933" s="178">
        <f t="shared" si="189"/>
        <v>314</v>
      </c>
      <c r="U933" s="74">
        <v>50</v>
      </c>
      <c r="V933" s="74">
        <v>360</v>
      </c>
      <c r="AD933" s="74">
        <f>300/AC932</f>
        <v>1500000</v>
      </c>
    </row>
    <row r="934" ht="17.25" spans="2:30">
      <c r="B934" s="65"/>
      <c r="C934" s="65"/>
      <c r="D934" s="151">
        <v>95</v>
      </c>
      <c r="E934" s="176">
        <f>ROUND((E933+E935)/2,0)</f>
        <v>778</v>
      </c>
      <c r="F934" s="151"/>
      <c r="G934" s="151">
        <f t="shared" si="190"/>
        <v>243</v>
      </c>
      <c r="H934" s="151">
        <f t="shared" si="191"/>
        <v>325</v>
      </c>
      <c r="I934" s="177">
        <f>ROUND((I933+I935)/2,0)</f>
        <v>678</v>
      </c>
      <c r="J934" s="177">
        <f>ROUND((J933+J935)/2,0)</f>
        <v>909</v>
      </c>
      <c r="K934" s="148"/>
      <c r="M934" s="178">
        <v>95</v>
      </c>
      <c r="N934" s="178" t="e">
        <f t="shared" si="193"/>
        <v>#N/A</v>
      </c>
      <c r="O934" s="178" t="e">
        <f t="shared" si="192"/>
        <v>#N/A</v>
      </c>
      <c r="P934" s="178" t="e">
        <f t="shared" si="186"/>
        <v>#N/A</v>
      </c>
      <c r="Q934" s="178" t="e">
        <f t="shared" si="187"/>
        <v>#N/A</v>
      </c>
      <c r="R934" s="178" t="e">
        <f t="shared" si="188"/>
        <v>#N/A</v>
      </c>
      <c r="S934" s="178" t="e">
        <f t="shared" si="189"/>
        <v>#N/A</v>
      </c>
      <c r="U934" s="74">
        <v>50</v>
      </c>
      <c r="V934" s="74">
        <v>360</v>
      </c>
    </row>
    <row r="935" ht="17.25" spans="2:30">
      <c r="B935" s="65"/>
      <c r="C935" s="65"/>
      <c r="D935" s="151">
        <v>100</v>
      </c>
      <c r="E935" s="176">
        <f>INT(VLOOKUP(D935,养成规划!$F$5:$K$41,6,0)/6)</f>
        <v>805</v>
      </c>
      <c r="F935" s="151"/>
      <c r="G935" s="151">
        <f t="shared" si="190"/>
        <v>251</v>
      </c>
      <c r="H935" s="151">
        <f t="shared" si="191"/>
        <v>337</v>
      </c>
      <c r="I935" s="177">
        <v>834</v>
      </c>
      <c r="J935" s="177">
        <v>1118</v>
      </c>
      <c r="K935" s="148"/>
      <c r="M935" s="178">
        <v>100</v>
      </c>
      <c r="N935" s="178">
        <f t="shared" si="193"/>
        <v>75</v>
      </c>
      <c r="O935" s="178">
        <f t="shared" si="192"/>
        <v>750</v>
      </c>
      <c r="P935" s="178">
        <f t="shared" si="186"/>
        <v>23</v>
      </c>
      <c r="Q935" s="178">
        <f t="shared" si="187"/>
        <v>31</v>
      </c>
      <c r="R935" s="178">
        <f t="shared" si="188"/>
        <v>234</v>
      </c>
      <c r="S935" s="178">
        <f t="shared" si="189"/>
        <v>314</v>
      </c>
      <c r="U935" s="74">
        <v>60</v>
      </c>
      <c r="V935" s="74">
        <v>360.000000000001</v>
      </c>
    </row>
    <row r="936" ht="17.25" spans="2:30">
      <c r="B936" s="65"/>
      <c r="C936" s="65"/>
      <c r="D936" s="151">
        <v>105</v>
      </c>
      <c r="E936" s="176">
        <f>INT(VLOOKUP(D936,养成规划!$F$5:$K$41,6,0)/6)</f>
        <v>911</v>
      </c>
      <c r="F936" s="151"/>
      <c r="G936" s="151">
        <f t="shared" si="190"/>
        <v>284</v>
      </c>
      <c r="H936" s="151">
        <f t="shared" si="191"/>
        <v>381</v>
      </c>
      <c r="I936" s="177">
        <f>ROUND((I935+I937)/2,0)</f>
        <v>990</v>
      </c>
      <c r="J936" s="177">
        <f>ROUND((J935+J937)/2,0)</f>
        <v>1327</v>
      </c>
      <c r="K936" s="148"/>
      <c r="M936" s="178">
        <v>105</v>
      </c>
      <c r="N936" s="178" t="e">
        <f t="shared" si="193"/>
        <v>#N/A</v>
      </c>
      <c r="O936" s="178" t="e">
        <f t="shared" si="192"/>
        <v>#N/A</v>
      </c>
      <c r="P936" s="178" t="e">
        <f t="shared" si="186"/>
        <v>#N/A</v>
      </c>
      <c r="Q936" s="178" t="e">
        <f t="shared" si="187"/>
        <v>#N/A</v>
      </c>
      <c r="R936" s="178" t="e">
        <f t="shared" si="188"/>
        <v>#N/A</v>
      </c>
      <c r="S936" s="178" t="e">
        <f t="shared" si="189"/>
        <v>#N/A</v>
      </c>
      <c r="U936" s="74">
        <v>60</v>
      </c>
      <c r="V936" s="74">
        <v>360</v>
      </c>
    </row>
    <row r="937" ht="17.25" spans="2:30">
      <c r="B937" s="65"/>
      <c r="C937" s="65"/>
      <c r="D937" s="151">
        <v>110</v>
      </c>
      <c r="E937" s="176">
        <f>INT(VLOOKUP(D937,养成规划!$F$5:$K$41,6,0)/6)</f>
        <v>1091</v>
      </c>
      <c r="F937" s="151"/>
      <c r="G937" s="151">
        <f t="shared" si="190"/>
        <v>340</v>
      </c>
      <c r="H937" s="151">
        <f t="shared" si="191"/>
        <v>456</v>
      </c>
      <c r="I937" s="177">
        <v>1146</v>
      </c>
      <c r="J937" s="177">
        <v>1536</v>
      </c>
      <c r="K937" s="148"/>
      <c r="M937" s="178">
        <v>110</v>
      </c>
      <c r="N937" s="178">
        <f t="shared" si="193"/>
        <v>74</v>
      </c>
      <c r="O937" s="178">
        <f t="shared" si="192"/>
        <v>740</v>
      </c>
      <c r="P937" s="178">
        <f t="shared" si="186"/>
        <v>23</v>
      </c>
      <c r="Q937" s="178">
        <f t="shared" si="187"/>
        <v>30</v>
      </c>
      <c r="R937" s="178">
        <f t="shared" si="188"/>
        <v>231</v>
      </c>
      <c r="S937" s="178">
        <f t="shared" si="189"/>
        <v>309</v>
      </c>
      <c r="U937" s="74">
        <v>70</v>
      </c>
      <c r="V937" s="74">
        <v>360</v>
      </c>
    </row>
    <row r="938" ht="17.25" spans="2:30">
      <c r="B938" s="65"/>
      <c r="C938" s="65"/>
      <c r="D938" s="151">
        <v>115</v>
      </c>
      <c r="E938" s="176">
        <f t="shared" ref="E938:E942" si="194">ROUND((E937+E939)/2,0)</f>
        <v>1182</v>
      </c>
      <c r="F938" s="151"/>
      <c r="G938" s="151">
        <f t="shared" si="190"/>
        <v>369</v>
      </c>
      <c r="H938" s="151">
        <f t="shared" si="191"/>
        <v>494</v>
      </c>
      <c r="I938" s="177">
        <f>ROUND((I937+I939)/2,0)</f>
        <v>1298</v>
      </c>
      <c r="J938" s="177">
        <f>ROUND((J937+J939)/2,0)</f>
        <v>1740</v>
      </c>
      <c r="K938" s="148"/>
      <c r="M938" s="178">
        <v>115</v>
      </c>
      <c r="N938" s="178" t="e">
        <f t="shared" si="193"/>
        <v>#N/A</v>
      </c>
      <c r="O938" s="178" t="e">
        <f t="shared" si="192"/>
        <v>#N/A</v>
      </c>
      <c r="P938" s="178" t="e">
        <f t="shared" si="186"/>
        <v>#N/A</v>
      </c>
      <c r="Q938" s="178" t="e">
        <f t="shared" si="187"/>
        <v>#N/A</v>
      </c>
      <c r="R938" s="178" t="e">
        <f t="shared" si="188"/>
        <v>#N/A</v>
      </c>
      <c r="S938" s="178" t="e">
        <f t="shared" si="189"/>
        <v>#N/A</v>
      </c>
      <c r="U938" s="74">
        <v>70</v>
      </c>
      <c r="V938" s="74">
        <v>360</v>
      </c>
    </row>
    <row r="939" ht="17.25" spans="2:30">
      <c r="B939" s="65"/>
      <c r="C939" s="65"/>
      <c r="D939" s="151">
        <v>120</v>
      </c>
      <c r="E939" s="176">
        <f>INT(VLOOKUP(D939,养成规划!$F$5:$K$41,6,0)/6)</f>
        <v>1272</v>
      </c>
      <c r="F939" s="151"/>
      <c r="G939" s="151">
        <f t="shared" si="190"/>
        <v>397</v>
      </c>
      <c r="H939" s="151">
        <f t="shared" si="191"/>
        <v>532</v>
      </c>
      <c r="I939" s="177">
        <v>1450</v>
      </c>
      <c r="J939" s="177">
        <v>1943</v>
      </c>
      <c r="K939" s="148"/>
      <c r="M939" s="178">
        <v>120</v>
      </c>
      <c r="N939" s="178">
        <f t="shared" si="193"/>
        <v>89</v>
      </c>
      <c r="O939" s="178">
        <f t="shared" si="192"/>
        <v>890</v>
      </c>
      <c r="P939" s="178">
        <f t="shared" si="186"/>
        <v>27</v>
      </c>
      <c r="Q939" s="178">
        <f t="shared" si="187"/>
        <v>37</v>
      </c>
      <c r="R939" s="178">
        <f t="shared" si="188"/>
        <v>278</v>
      </c>
      <c r="S939" s="178">
        <f t="shared" si="189"/>
        <v>372</v>
      </c>
      <c r="U939" s="74">
        <v>80</v>
      </c>
      <c r="V939" s="74">
        <v>360</v>
      </c>
    </row>
    <row r="940" ht="17.25" spans="2:30">
      <c r="B940" s="65"/>
      <c r="C940" s="65"/>
      <c r="D940" s="151">
        <v>125</v>
      </c>
      <c r="E940" s="176">
        <f t="shared" si="194"/>
        <v>1362</v>
      </c>
      <c r="F940" s="151"/>
      <c r="G940" s="151">
        <f t="shared" si="190"/>
        <v>425</v>
      </c>
      <c r="H940" s="151">
        <f t="shared" si="191"/>
        <v>570</v>
      </c>
      <c r="I940" s="177">
        <f>ROUND((I939+I941)/2,0)</f>
        <v>1642</v>
      </c>
      <c r="J940" s="177">
        <f>ROUND((J939+J941)/2,0)</f>
        <v>2201</v>
      </c>
      <c r="K940" s="148"/>
      <c r="M940" s="178">
        <v>125</v>
      </c>
      <c r="N940" s="178" t="e">
        <f t="shared" si="193"/>
        <v>#N/A</v>
      </c>
      <c r="O940" s="178" t="e">
        <f t="shared" si="192"/>
        <v>#N/A</v>
      </c>
      <c r="P940" s="178" t="e">
        <f t="shared" si="186"/>
        <v>#N/A</v>
      </c>
      <c r="Q940" s="178" t="e">
        <f t="shared" si="187"/>
        <v>#N/A</v>
      </c>
      <c r="R940" s="178" t="e">
        <f t="shared" si="188"/>
        <v>#N/A</v>
      </c>
      <c r="S940" s="178" t="e">
        <f t="shared" si="189"/>
        <v>#N/A</v>
      </c>
      <c r="U940" s="74">
        <v>80</v>
      </c>
      <c r="V940" s="74">
        <v>360</v>
      </c>
    </row>
    <row r="941" ht="17.25" spans="2:30">
      <c r="B941" s="65"/>
      <c r="C941" s="65"/>
      <c r="D941" s="151">
        <v>130</v>
      </c>
      <c r="E941" s="176">
        <f>INT(VLOOKUP(D941,养成规划!$F$5:$K$41,6,0)/6)</f>
        <v>1452</v>
      </c>
      <c r="F941" s="151"/>
      <c r="G941" s="151">
        <f t="shared" si="190"/>
        <v>453</v>
      </c>
      <c r="H941" s="151">
        <f t="shared" si="191"/>
        <v>608</v>
      </c>
      <c r="I941" s="177">
        <v>1834</v>
      </c>
      <c r="J941" s="177">
        <v>2458</v>
      </c>
      <c r="K941" s="148"/>
      <c r="M941" s="178">
        <v>130</v>
      </c>
      <c r="N941" s="178">
        <f t="shared" si="193"/>
        <v>90</v>
      </c>
      <c r="O941" s="178">
        <f t="shared" si="192"/>
        <v>900</v>
      </c>
      <c r="P941" s="178">
        <f t="shared" si="186"/>
        <v>28</v>
      </c>
      <c r="Q941" s="178">
        <f t="shared" si="187"/>
        <v>37</v>
      </c>
      <c r="R941" s="178">
        <f t="shared" si="188"/>
        <v>281</v>
      </c>
      <c r="S941" s="178">
        <f t="shared" si="189"/>
        <v>376</v>
      </c>
      <c r="U941" s="74">
        <v>80</v>
      </c>
      <c r="V941" s="74">
        <v>450</v>
      </c>
    </row>
    <row r="942" ht="17.25" spans="2:30">
      <c r="B942" s="65"/>
      <c r="C942" s="65"/>
      <c r="D942" s="151">
        <v>135</v>
      </c>
      <c r="E942" s="176">
        <f t="shared" si="194"/>
        <v>1483</v>
      </c>
      <c r="F942" s="151"/>
      <c r="G942" s="151">
        <f t="shared" si="190"/>
        <v>463</v>
      </c>
      <c r="H942" s="151">
        <f t="shared" si="191"/>
        <v>621</v>
      </c>
      <c r="I942" s="177">
        <f>ROUND((I941+I943)/2,0)</f>
        <v>2006</v>
      </c>
      <c r="J942" s="177">
        <f>ROUND((J941+J943)/2,0)</f>
        <v>2688</v>
      </c>
      <c r="K942" s="148"/>
      <c r="M942" s="178">
        <v>135</v>
      </c>
      <c r="N942" s="178" t="e">
        <f t="shared" si="193"/>
        <v>#N/A</v>
      </c>
      <c r="O942" s="178" t="e">
        <f t="shared" si="192"/>
        <v>#N/A</v>
      </c>
      <c r="P942" s="178" t="e">
        <f t="shared" si="186"/>
        <v>#N/A</v>
      </c>
      <c r="Q942" s="178" t="e">
        <f t="shared" si="187"/>
        <v>#N/A</v>
      </c>
      <c r="R942" s="178" t="e">
        <f t="shared" si="188"/>
        <v>#N/A</v>
      </c>
      <c r="S942" s="178" t="e">
        <f t="shared" si="189"/>
        <v>#N/A</v>
      </c>
      <c r="U942" s="74">
        <v>90</v>
      </c>
      <c r="V942" s="74">
        <v>450</v>
      </c>
    </row>
    <row r="943" ht="17.25" spans="2:30">
      <c r="B943" s="65"/>
      <c r="C943" s="65"/>
      <c r="D943" s="151">
        <v>140</v>
      </c>
      <c r="E943" s="176">
        <f>INT(VLOOKUP(D943,养成规划!$F$5:$K$41,6,0)/6)</f>
        <v>1513</v>
      </c>
      <c r="F943" s="151"/>
      <c r="G943" s="151">
        <f t="shared" si="190"/>
        <v>472</v>
      </c>
      <c r="H943" s="151">
        <f t="shared" si="191"/>
        <v>633</v>
      </c>
      <c r="I943" s="177">
        <v>2178</v>
      </c>
      <c r="J943" s="177">
        <v>2918</v>
      </c>
      <c r="K943" s="148"/>
      <c r="M943" s="178">
        <v>140</v>
      </c>
      <c r="N943" s="178">
        <f t="shared" si="193"/>
        <v>90</v>
      </c>
      <c r="O943" s="178">
        <f t="shared" si="192"/>
        <v>900</v>
      </c>
      <c r="P943" s="178">
        <f t="shared" si="186"/>
        <v>28</v>
      </c>
      <c r="Q943" s="178">
        <f t="shared" si="187"/>
        <v>37</v>
      </c>
      <c r="R943" s="178">
        <f t="shared" si="188"/>
        <v>281</v>
      </c>
      <c r="S943" s="178">
        <f t="shared" si="189"/>
        <v>376</v>
      </c>
      <c r="U943" s="74">
        <v>100</v>
      </c>
      <c r="V943" s="74">
        <v>450</v>
      </c>
    </row>
    <row r="944" ht="17.25" spans="2:30">
      <c r="B944" s="65"/>
      <c r="C944" s="65"/>
      <c r="D944" s="151">
        <v>145</v>
      </c>
      <c r="E944" s="176">
        <f t="shared" ref="E944:E948" si="195">ROUND((E943+E945)/2,0)</f>
        <v>1544</v>
      </c>
      <c r="F944" s="151"/>
      <c r="G944" s="151">
        <f t="shared" si="190"/>
        <v>482</v>
      </c>
      <c r="H944" s="151">
        <f t="shared" si="191"/>
        <v>646</v>
      </c>
      <c r="I944" s="177">
        <f>ROUND((I943+I945)/2,0)</f>
        <v>2350</v>
      </c>
      <c r="J944" s="177">
        <f>ROUND((J943+J945)/2,0)</f>
        <v>3149</v>
      </c>
      <c r="K944" s="148"/>
      <c r="M944" s="178">
        <v>145</v>
      </c>
      <c r="N944" s="178" t="e">
        <f t="shared" si="193"/>
        <v>#N/A</v>
      </c>
      <c r="O944" s="178" t="e">
        <f t="shared" si="192"/>
        <v>#N/A</v>
      </c>
      <c r="P944" s="178" t="e">
        <f t="shared" si="186"/>
        <v>#N/A</v>
      </c>
      <c r="Q944" s="178" t="e">
        <f t="shared" si="187"/>
        <v>#N/A</v>
      </c>
      <c r="R944" s="178" t="e">
        <f t="shared" si="188"/>
        <v>#N/A</v>
      </c>
      <c r="S944" s="178" t="e">
        <f t="shared" si="189"/>
        <v>#N/A</v>
      </c>
      <c r="U944" s="74">
        <v>100</v>
      </c>
      <c r="V944" s="74">
        <v>449.999999999999</v>
      </c>
    </row>
    <row r="945" ht="17.25" spans="2:22">
      <c r="B945" s="65"/>
      <c r="C945" s="65"/>
      <c r="D945" s="151">
        <v>150</v>
      </c>
      <c r="E945" s="176">
        <f>INT(VLOOKUP(D945,养成规划!$F$5:$K$41,6,0)/6)</f>
        <v>1574</v>
      </c>
      <c r="F945" s="151"/>
      <c r="G945" s="151">
        <f t="shared" si="190"/>
        <v>491</v>
      </c>
      <c r="H945" s="151">
        <f t="shared" si="191"/>
        <v>659</v>
      </c>
      <c r="I945" s="177">
        <v>2521</v>
      </c>
      <c r="J945" s="177">
        <v>3379</v>
      </c>
      <c r="K945" s="148"/>
      <c r="M945" s="178">
        <v>150</v>
      </c>
      <c r="N945" s="178">
        <f t="shared" si="193"/>
        <v>90</v>
      </c>
      <c r="O945" s="178">
        <f t="shared" si="192"/>
        <v>900</v>
      </c>
      <c r="P945" s="178">
        <f t="shared" si="186"/>
        <v>28</v>
      </c>
      <c r="Q945" s="178">
        <f t="shared" si="187"/>
        <v>37</v>
      </c>
      <c r="R945" s="178">
        <f t="shared" si="188"/>
        <v>281</v>
      </c>
      <c r="S945" s="178">
        <f t="shared" si="189"/>
        <v>376</v>
      </c>
      <c r="U945" s="74">
        <v>110</v>
      </c>
      <c r="V945" s="74">
        <v>449.999999999999</v>
      </c>
    </row>
    <row r="946" ht="17.25" spans="2:22">
      <c r="B946" s="65"/>
      <c r="C946" s="65"/>
      <c r="D946" s="151">
        <v>155</v>
      </c>
      <c r="E946" s="176">
        <f t="shared" si="195"/>
        <v>1605</v>
      </c>
      <c r="F946" s="151"/>
      <c r="G946" s="151">
        <f t="shared" si="190"/>
        <v>501</v>
      </c>
      <c r="H946" s="151">
        <f t="shared" si="191"/>
        <v>672</v>
      </c>
      <c r="I946" s="177">
        <f>ROUND((I945+I947)/2,0)</f>
        <v>2779</v>
      </c>
      <c r="J946" s="177">
        <f>ROUND((J945+J947)/2,0)</f>
        <v>3725</v>
      </c>
      <c r="K946" s="148"/>
      <c r="M946" s="178">
        <v>155</v>
      </c>
      <c r="N946" s="178" t="e">
        <f t="shared" si="193"/>
        <v>#N/A</v>
      </c>
      <c r="O946" s="178" t="e">
        <f t="shared" si="192"/>
        <v>#N/A</v>
      </c>
      <c r="P946" s="178" t="e">
        <f t="shared" si="186"/>
        <v>#N/A</v>
      </c>
      <c r="Q946" s="178" t="e">
        <f t="shared" si="187"/>
        <v>#N/A</v>
      </c>
      <c r="R946" s="178" t="e">
        <f t="shared" si="188"/>
        <v>#N/A</v>
      </c>
      <c r="S946" s="178" t="e">
        <f t="shared" si="189"/>
        <v>#N/A</v>
      </c>
      <c r="U946" s="74">
        <v>120</v>
      </c>
      <c r="V946" s="74">
        <v>539.999999999999</v>
      </c>
    </row>
    <row r="947" ht="17.25" spans="2:22">
      <c r="B947" s="65"/>
      <c r="C947" s="65"/>
      <c r="D947" s="151">
        <v>160</v>
      </c>
      <c r="E947" s="176">
        <f>INT(VLOOKUP(D947,养成规划!$F$5:$K$41,6,0)/6)</f>
        <v>1636</v>
      </c>
      <c r="F947" s="151"/>
      <c r="G947" s="151">
        <f t="shared" si="190"/>
        <v>511</v>
      </c>
      <c r="H947" s="151">
        <f t="shared" si="191"/>
        <v>685</v>
      </c>
      <c r="I947" s="177">
        <v>3037</v>
      </c>
      <c r="J947" s="177">
        <v>4070</v>
      </c>
      <c r="K947" s="148"/>
      <c r="M947" s="178">
        <v>160</v>
      </c>
      <c r="N947" s="178" t="e">
        <f t="shared" si="193"/>
        <v>#N/A</v>
      </c>
      <c r="O947" s="178" t="e">
        <f t="shared" si="192"/>
        <v>#N/A</v>
      </c>
      <c r="P947" s="178" t="e">
        <f t="shared" si="186"/>
        <v>#N/A</v>
      </c>
      <c r="Q947" s="178" t="e">
        <f t="shared" si="187"/>
        <v>#N/A</v>
      </c>
      <c r="R947" s="178" t="e">
        <f t="shared" si="188"/>
        <v>#N/A</v>
      </c>
      <c r="S947" s="178" t="e">
        <f t="shared" si="189"/>
        <v>#N/A</v>
      </c>
      <c r="U947" s="74">
        <v>130</v>
      </c>
      <c r="V947" s="74">
        <v>540</v>
      </c>
    </row>
    <row r="948" ht="17.25" spans="2:22">
      <c r="B948" s="65"/>
      <c r="C948" s="65"/>
      <c r="D948" s="151">
        <v>165</v>
      </c>
      <c r="E948" s="176">
        <f t="shared" si="195"/>
        <v>1667</v>
      </c>
      <c r="F948" s="151"/>
      <c r="G948" s="151">
        <f t="shared" si="190"/>
        <v>520</v>
      </c>
      <c r="H948" s="151">
        <f t="shared" si="191"/>
        <v>698</v>
      </c>
      <c r="I948" s="177">
        <f>ROUND((I947+I949)/2,0)</f>
        <v>3189</v>
      </c>
      <c r="J948" s="177">
        <f>ROUND((J947+J949)/2,0)</f>
        <v>4273</v>
      </c>
      <c r="K948" s="148"/>
      <c r="M948" s="178">
        <v>165</v>
      </c>
      <c r="N948" s="178" t="e">
        <f t="shared" si="193"/>
        <v>#N/A</v>
      </c>
      <c r="O948" s="178" t="e">
        <f t="shared" si="192"/>
        <v>#N/A</v>
      </c>
      <c r="P948" s="178" t="e">
        <f t="shared" si="186"/>
        <v>#N/A</v>
      </c>
      <c r="Q948" s="178" t="e">
        <f t="shared" si="187"/>
        <v>#N/A</v>
      </c>
      <c r="R948" s="178" t="e">
        <f t="shared" si="188"/>
        <v>#N/A</v>
      </c>
      <c r="S948" s="178" t="e">
        <f t="shared" si="189"/>
        <v>#N/A</v>
      </c>
      <c r="U948" s="74">
        <v>140</v>
      </c>
      <c r="V948" s="74">
        <v>540</v>
      </c>
    </row>
    <row r="949" ht="17.25" spans="2:22">
      <c r="B949" s="65"/>
      <c r="C949" s="65"/>
      <c r="D949" s="151">
        <v>170</v>
      </c>
      <c r="E949" s="176">
        <f>INT(VLOOKUP(D949,养成规划!$F$5:$K$41,6,0)/6)</f>
        <v>1697</v>
      </c>
      <c r="F949" s="151"/>
      <c r="G949" s="151">
        <f t="shared" si="190"/>
        <v>530</v>
      </c>
      <c r="H949" s="151">
        <f t="shared" si="191"/>
        <v>710</v>
      </c>
      <c r="I949" s="177">
        <v>3340</v>
      </c>
      <c r="J949" s="177">
        <v>4476</v>
      </c>
      <c r="K949" s="148"/>
      <c r="M949" s="178">
        <v>170</v>
      </c>
      <c r="N949" s="178">
        <f t="shared" si="193"/>
        <v>89</v>
      </c>
      <c r="O949" s="178">
        <f t="shared" si="192"/>
        <v>890</v>
      </c>
      <c r="P949" s="178">
        <f t="shared" si="186"/>
        <v>27</v>
      </c>
      <c r="Q949" s="178">
        <f t="shared" si="187"/>
        <v>37</v>
      </c>
      <c r="R949" s="178">
        <f t="shared" si="188"/>
        <v>278</v>
      </c>
      <c r="S949" s="178">
        <f t="shared" si="189"/>
        <v>372</v>
      </c>
      <c r="U949" s="74">
        <v>150</v>
      </c>
      <c r="V949" s="74">
        <v>540.000000000001</v>
      </c>
    </row>
    <row r="950" ht="17.25" spans="2:22">
      <c r="B950" s="65"/>
      <c r="C950" s="65"/>
      <c r="D950" s="151">
        <v>175</v>
      </c>
      <c r="E950" s="176">
        <f t="shared" ref="E950:E954" si="196">ROUND((E949+E951)/2,0)</f>
        <v>1761</v>
      </c>
      <c r="F950" s="151"/>
      <c r="G950" s="151">
        <f t="shared" si="190"/>
        <v>550</v>
      </c>
      <c r="H950" s="151">
        <f t="shared" si="191"/>
        <v>737</v>
      </c>
      <c r="I950" s="177">
        <f>ROUND((I949+I951)/2,0)</f>
        <v>3506</v>
      </c>
      <c r="J950" s="177">
        <f>ROUND((J949+J951)/2,0)</f>
        <v>4698</v>
      </c>
      <c r="K950" s="148"/>
      <c r="M950" s="178">
        <v>175</v>
      </c>
      <c r="N950" s="178" t="e">
        <f t="shared" si="193"/>
        <v>#N/A</v>
      </c>
      <c r="O950" s="178" t="e">
        <f t="shared" si="192"/>
        <v>#N/A</v>
      </c>
      <c r="P950" s="178" t="e">
        <f t="shared" si="186"/>
        <v>#N/A</v>
      </c>
      <c r="Q950" s="178" t="e">
        <f t="shared" si="187"/>
        <v>#N/A</v>
      </c>
      <c r="R950" s="178" t="e">
        <f t="shared" si="188"/>
        <v>#N/A</v>
      </c>
      <c r="S950" s="178" t="e">
        <f t="shared" si="189"/>
        <v>#N/A</v>
      </c>
      <c r="U950" s="74">
        <v>170</v>
      </c>
      <c r="V950" s="74">
        <v>539.999999999999</v>
      </c>
    </row>
    <row r="951" ht="17.25" spans="2:22">
      <c r="B951" s="65"/>
      <c r="C951" s="65"/>
      <c r="D951" s="151">
        <v>180</v>
      </c>
      <c r="E951" s="176">
        <f>INT(VLOOKUP(D951,养成规划!$F$5:$K$41,6,0)/6)</f>
        <v>1824</v>
      </c>
      <c r="F951" s="151"/>
      <c r="G951" s="151">
        <f t="shared" si="190"/>
        <v>570</v>
      </c>
      <c r="H951" s="151">
        <f t="shared" si="191"/>
        <v>763</v>
      </c>
      <c r="I951" s="177">
        <v>3671</v>
      </c>
      <c r="J951" s="177">
        <v>4920</v>
      </c>
      <c r="K951" s="148"/>
      <c r="M951" s="178">
        <v>180</v>
      </c>
      <c r="N951" s="178" t="e">
        <f t="shared" si="193"/>
        <v>#N/A</v>
      </c>
      <c r="O951" s="178" t="e">
        <f t="shared" si="192"/>
        <v>#N/A</v>
      </c>
      <c r="P951" s="178" t="e">
        <f t="shared" si="186"/>
        <v>#N/A</v>
      </c>
      <c r="Q951" s="178" t="e">
        <f t="shared" si="187"/>
        <v>#N/A</v>
      </c>
      <c r="R951" s="178" t="e">
        <f t="shared" si="188"/>
        <v>#N/A</v>
      </c>
      <c r="S951" s="178" t="e">
        <f t="shared" si="189"/>
        <v>#N/A</v>
      </c>
    </row>
    <row r="952" ht="17.25" spans="2:22">
      <c r="B952" s="65"/>
      <c r="C952" s="65"/>
      <c r="D952" s="151">
        <v>185</v>
      </c>
      <c r="E952" s="176">
        <f t="shared" si="196"/>
        <v>1888</v>
      </c>
      <c r="F952" s="151"/>
      <c r="G952" s="151">
        <f t="shared" si="190"/>
        <v>590</v>
      </c>
      <c r="H952" s="151">
        <f t="shared" si="191"/>
        <v>790</v>
      </c>
      <c r="I952" s="177">
        <f>ROUND((I951+I953)/2,0)</f>
        <v>3854</v>
      </c>
      <c r="J952" s="177">
        <f>ROUND((J951+J953)/2,0)</f>
        <v>5165</v>
      </c>
      <c r="K952" s="148"/>
      <c r="M952" s="178">
        <v>185</v>
      </c>
      <c r="N952" s="178" t="e">
        <f t="shared" si="193"/>
        <v>#N/A</v>
      </c>
      <c r="O952" s="178" t="e">
        <f t="shared" si="192"/>
        <v>#N/A</v>
      </c>
      <c r="P952" s="178" t="e">
        <f t="shared" si="186"/>
        <v>#N/A</v>
      </c>
      <c r="Q952" s="178" t="e">
        <f t="shared" si="187"/>
        <v>#N/A</v>
      </c>
      <c r="R952" s="178" t="e">
        <f t="shared" si="188"/>
        <v>#N/A</v>
      </c>
      <c r="S952" s="178" t="e">
        <f t="shared" si="189"/>
        <v>#N/A</v>
      </c>
    </row>
    <row r="953" ht="17.25" spans="2:22">
      <c r="B953" s="65"/>
      <c r="C953" s="65"/>
      <c r="D953" s="151">
        <v>190</v>
      </c>
      <c r="E953" s="176">
        <f>INT(VLOOKUP(D953,养成规划!$F$5:$K$41,6,0)/6)</f>
        <v>1951</v>
      </c>
      <c r="F953" s="151"/>
      <c r="G953" s="151">
        <f t="shared" si="190"/>
        <v>609</v>
      </c>
      <c r="H953" s="151">
        <f t="shared" si="191"/>
        <v>816</v>
      </c>
      <c r="I953" s="177">
        <v>4037</v>
      </c>
      <c r="J953" s="177">
        <v>5410</v>
      </c>
      <c r="K953" s="148"/>
      <c r="M953" s="178">
        <v>190</v>
      </c>
      <c r="N953" s="178" t="e">
        <f t="shared" si="193"/>
        <v>#N/A</v>
      </c>
      <c r="O953" s="178" t="e">
        <f t="shared" si="192"/>
        <v>#N/A</v>
      </c>
      <c r="P953" s="178" t="e">
        <f t="shared" si="186"/>
        <v>#N/A</v>
      </c>
      <c r="Q953" s="178" t="e">
        <f t="shared" si="187"/>
        <v>#N/A</v>
      </c>
      <c r="R953" s="178" t="e">
        <f t="shared" si="188"/>
        <v>#N/A</v>
      </c>
      <c r="S953" s="178" t="e">
        <f t="shared" si="189"/>
        <v>#N/A</v>
      </c>
    </row>
    <row r="954" ht="17.25" spans="2:22">
      <c r="B954" s="65"/>
      <c r="C954" s="65"/>
      <c r="D954" s="151">
        <v>195</v>
      </c>
      <c r="E954" s="176">
        <f t="shared" si="196"/>
        <v>2019</v>
      </c>
      <c r="F954" s="151"/>
      <c r="G954" s="151">
        <f t="shared" si="190"/>
        <v>630</v>
      </c>
      <c r="H954" s="151">
        <f t="shared" si="191"/>
        <v>845</v>
      </c>
      <c r="I954" s="177">
        <f>ROUND((I953+I955)/2,0)</f>
        <v>4037</v>
      </c>
      <c r="J954" s="177">
        <f>ROUND((J953+J955)/2,0)</f>
        <v>5410</v>
      </c>
      <c r="K954" s="148"/>
      <c r="M954" s="178">
        <v>195</v>
      </c>
      <c r="N954" s="178" t="e">
        <f t="shared" si="193"/>
        <v>#N/A</v>
      </c>
      <c r="O954" s="178" t="e">
        <f t="shared" si="192"/>
        <v>#N/A</v>
      </c>
      <c r="P954" s="178" t="e">
        <f t="shared" si="186"/>
        <v>#N/A</v>
      </c>
      <c r="Q954" s="178" t="e">
        <f t="shared" si="187"/>
        <v>#N/A</v>
      </c>
      <c r="R954" s="178" t="e">
        <f t="shared" si="188"/>
        <v>#N/A</v>
      </c>
      <c r="S954" s="178" t="e">
        <f t="shared" si="189"/>
        <v>#N/A</v>
      </c>
    </row>
    <row r="955" ht="17.25" spans="2:22">
      <c r="B955" s="65"/>
      <c r="C955" s="65"/>
      <c r="D955" s="151">
        <v>200</v>
      </c>
      <c r="E955" s="176">
        <f>INT(VLOOKUP(D955,养成规划!$F$5:$K$41,6,0)/6)</f>
        <v>2087</v>
      </c>
      <c r="F955" s="151"/>
      <c r="G955" s="151">
        <f t="shared" si="190"/>
        <v>652</v>
      </c>
      <c r="H955" s="151">
        <f t="shared" si="191"/>
        <v>873</v>
      </c>
      <c r="I955" s="177">
        <v>4037</v>
      </c>
      <c r="J955" s="177">
        <v>5410</v>
      </c>
      <c r="K955" s="148"/>
      <c r="M955" s="178">
        <v>200</v>
      </c>
      <c r="N955" s="178" t="e">
        <f t="shared" si="193"/>
        <v>#N/A</v>
      </c>
      <c r="O955" s="178" t="e">
        <f t="shared" si="192"/>
        <v>#N/A</v>
      </c>
      <c r="P955" s="178" t="e">
        <f t="shared" si="186"/>
        <v>#N/A</v>
      </c>
      <c r="Q955" s="178" t="e">
        <f t="shared" si="187"/>
        <v>#N/A</v>
      </c>
      <c r="R955" s="178" t="e">
        <f t="shared" si="188"/>
        <v>#N/A</v>
      </c>
      <c r="S955" s="178" t="e">
        <f t="shared" si="189"/>
        <v>#N/A</v>
      </c>
    </row>
    <row r="956" ht="17.25" spans="2:22">
      <c r="B956" s="65"/>
      <c r="C956" s="65"/>
      <c r="D956" s="93"/>
      <c r="E956" s="166"/>
      <c r="F956" s="93"/>
      <c r="G956" s="93"/>
      <c r="H956" s="93"/>
      <c r="I956" s="181"/>
      <c r="J956" s="181"/>
      <c r="K956" s="148"/>
      <c r="M956" s="93"/>
      <c r="N956" s="93"/>
      <c r="O956" s="93"/>
      <c r="P956" s="93"/>
      <c r="Q956" s="93"/>
      <c r="R956" s="93"/>
      <c r="S956" s="93"/>
    </row>
    <row r="957" ht="17.25" spans="2:22">
      <c r="B957" s="65"/>
      <c r="C957" s="65"/>
      <c r="D957" s="93"/>
      <c r="E957" s="166"/>
      <c r="F957" s="93"/>
      <c r="G957" s="93"/>
      <c r="H957" s="93"/>
      <c r="I957" s="181"/>
      <c r="J957" s="181"/>
      <c r="K957" s="148"/>
      <c r="M957" s="93"/>
      <c r="N957" s="93"/>
      <c r="O957" s="93"/>
      <c r="P957" s="93"/>
      <c r="Q957" s="93"/>
      <c r="R957" s="93"/>
      <c r="S957" s="93"/>
    </row>
    <row r="958" ht="17.25" spans="2:22">
      <c r="B958" s="65"/>
      <c r="C958" s="65"/>
      <c r="D958" s="93"/>
      <c r="E958" s="166"/>
      <c r="F958" s="93"/>
      <c r="G958" s="93"/>
      <c r="H958" s="93"/>
      <c r="I958" s="181"/>
      <c r="J958" s="181"/>
      <c r="K958" s="148"/>
      <c r="M958" s="93"/>
      <c r="N958" s="93"/>
      <c r="O958" s="93"/>
      <c r="P958" s="93"/>
      <c r="Q958" s="93"/>
      <c r="R958" s="93"/>
      <c r="S958" s="93"/>
    </row>
    <row r="959" ht="17.25" spans="2:22">
      <c r="B959" s="65"/>
      <c r="C959" s="65"/>
      <c r="D959" s="93"/>
      <c r="E959" s="166"/>
      <c r="F959" s="93"/>
      <c r="G959" s="93"/>
      <c r="H959" s="93"/>
      <c r="I959" s="181"/>
      <c r="J959" s="181"/>
      <c r="K959" s="148"/>
      <c r="M959" s="93"/>
      <c r="N959" s="93"/>
      <c r="O959" s="93"/>
      <c r="P959" s="93"/>
      <c r="Q959" s="93"/>
      <c r="R959" s="93"/>
      <c r="S959" s="93"/>
    </row>
    <row r="960" ht="17.25" spans="2:22">
      <c r="B960" s="65"/>
      <c r="C960" s="65"/>
      <c r="D960" s="93"/>
      <c r="E960" s="166"/>
      <c r="F960" s="93"/>
      <c r="G960" s="93"/>
      <c r="H960" s="93"/>
      <c r="I960" s="181"/>
      <c r="J960" s="181"/>
      <c r="K960" s="148"/>
      <c r="M960" s="93"/>
      <c r="N960" s="93"/>
      <c r="O960" s="93"/>
      <c r="P960" s="93"/>
      <c r="Q960" s="93"/>
      <c r="R960" s="93"/>
      <c r="S960" s="93"/>
    </row>
    <row r="961" ht="17.25" spans="2:19">
      <c r="B961" s="65"/>
      <c r="C961" s="65"/>
      <c r="D961" s="93"/>
      <c r="E961" s="166"/>
      <c r="F961" s="93"/>
      <c r="G961" s="93"/>
      <c r="H961" s="93"/>
      <c r="I961" s="181"/>
      <c r="J961" s="181"/>
      <c r="K961" s="148"/>
      <c r="M961" s="93"/>
      <c r="N961" s="93"/>
      <c r="O961" s="93"/>
      <c r="P961" s="93"/>
      <c r="Q961" s="93"/>
      <c r="R961" s="93"/>
      <c r="S961" s="93"/>
    </row>
    <row r="962" ht="17.25" spans="2:19">
      <c r="B962" s="65"/>
      <c r="C962" s="65"/>
      <c r="D962" s="93"/>
      <c r="E962" s="166"/>
      <c r="F962" s="93"/>
      <c r="G962" s="93"/>
      <c r="H962" s="93"/>
      <c r="I962" s="181"/>
      <c r="J962" s="181"/>
      <c r="K962" s="148"/>
      <c r="M962" s="93"/>
      <c r="N962" s="93"/>
      <c r="O962" s="93"/>
      <c r="P962" s="93"/>
      <c r="Q962" s="93"/>
      <c r="R962" s="93"/>
      <c r="S962" s="93"/>
    </row>
    <row r="963" ht="17.25" spans="2:19">
      <c r="B963" s="65"/>
      <c r="C963" s="65"/>
      <c r="D963" s="93"/>
      <c r="E963" s="166"/>
      <c r="F963" s="93"/>
      <c r="G963" s="93"/>
      <c r="H963" s="93"/>
      <c r="I963" s="181"/>
      <c r="J963" s="181"/>
      <c r="K963" s="148"/>
      <c r="M963" s="93"/>
      <c r="N963" s="93"/>
      <c r="O963" s="93"/>
      <c r="P963" s="93"/>
      <c r="Q963" s="93"/>
      <c r="R963" s="93"/>
      <c r="S963" s="93"/>
    </row>
    <row r="964" ht="17.25" spans="2:19">
      <c r="B964" s="65"/>
      <c r="C964" s="65"/>
      <c r="D964" s="93"/>
      <c r="E964" s="166"/>
      <c r="F964" s="93"/>
      <c r="G964" s="93"/>
      <c r="H964" s="93"/>
      <c r="I964" s="181"/>
      <c r="J964" s="181"/>
      <c r="K964" s="148"/>
      <c r="M964" s="93"/>
      <c r="N964" s="93"/>
      <c r="O964" s="93"/>
      <c r="P964" s="93"/>
      <c r="Q964" s="93"/>
      <c r="R964" s="93"/>
      <c r="S964" s="93"/>
    </row>
    <row r="965" ht="17.25" spans="2:19">
      <c r="B965" s="65"/>
      <c r="C965" s="65"/>
      <c r="D965" s="93"/>
      <c r="E965" s="166"/>
      <c r="F965" s="93"/>
      <c r="G965" s="93"/>
      <c r="H965" s="93"/>
      <c r="I965" s="181"/>
      <c r="J965" s="181"/>
      <c r="K965" s="148"/>
      <c r="M965" s="93"/>
      <c r="N965" s="93"/>
      <c r="O965" s="93"/>
      <c r="P965" s="93"/>
      <c r="Q965" s="93"/>
      <c r="R965" s="93"/>
      <c r="S965" s="93"/>
    </row>
    <row r="967" spans="2:19">
      <c r="C967" s="98"/>
      <c r="D967" s="99" t="s">
        <v>199</v>
      </c>
    </row>
    <row r="969" ht="18" spans="2:19">
      <c r="D969" s="129" t="s">
        <v>200</v>
      </c>
    </row>
    <row r="970" ht="17.25" spans="2:19">
      <c r="D970" s="149" t="s">
        <v>49</v>
      </c>
      <c r="E970" s="149" t="s">
        <v>201</v>
      </c>
      <c r="F970" s="149" t="s">
        <v>202</v>
      </c>
      <c r="G970" s="149" t="s">
        <v>203</v>
      </c>
      <c r="H970" s="149" t="s">
        <v>155</v>
      </c>
      <c r="I970" s="149"/>
      <c r="L970" s="137" t="s">
        <v>60</v>
      </c>
      <c r="M970" s="137" t="s">
        <v>61</v>
      </c>
    </row>
    <row r="971" ht="17.25" spans="2:19">
      <c r="D971" s="151" t="s">
        <v>33</v>
      </c>
      <c r="E971" s="151">
        <v>1</v>
      </c>
      <c r="F971" s="151"/>
      <c r="G971" s="151">
        <v>0</v>
      </c>
      <c r="H971" s="151">
        <v>8000</v>
      </c>
      <c r="I971" s="151"/>
      <c r="L971" s="93">
        <v>1</v>
      </c>
      <c r="M971" s="93" t="s">
        <v>64</v>
      </c>
    </row>
    <row r="972" ht="17.25" spans="2:19">
      <c r="D972" s="151" t="s">
        <v>33</v>
      </c>
      <c r="E972" s="151">
        <v>1</v>
      </c>
      <c r="F972" s="151">
        <v>10501</v>
      </c>
      <c r="G972" s="151">
        <v>1</v>
      </c>
      <c r="H972" s="151">
        <v>2000</v>
      </c>
      <c r="I972" s="151"/>
      <c r="L972" s="93">
        <v>2</v>
      </c>
      <c r="M972" s="93" t="s">
        <v>65</v>
      </c>
    </row>
    <row r="973" ht="17.25" spans="2:19">
      <c r="D973" s="151" t="s">
        <v>34</v>
      </c>
      <c r="E973" s="151">
        <v>1</v>
      </c>
      <c r="G973" s="151">
        <v>0</v>
      </c>
      <c r="H973" s="151">
        <v>8000</v>
      </c>
      <c r="I973" s="151"/>
      <c r="L973" s="93">
        <v>3</v>
      </c>
      <c r="M973" s="93" t="s">
        <v>66</v>
      </c>
    </row>
    <row r="974" ht="17.25" spans="2:19">
      <c r="D974" s="151" t="s">
        <v>34</v>
      </c>
      <c r="E974" s="151">
        <v>1</v>
      </c>
      <c r="F974" s="151">
        <v>10601</v>
      </c>
      <c r="G974" s="151">
        <v>1</v>
      </c>
      <c r="H974" s="151">
        <v>1400</v>
      </c>
      <c r="I974" s="151"/>
      <c r="L974" s="93">
        <v>4</v>
      </c>
      <c r="M974" s="93" t="s">
        <v>67</v>
      </c>
    </row>
    <row r="975" ht="17.25" spans="2:19">
      <c r="D975" s="151" t="s">
        <v>34</v>
      </c>
      <c r="E975" s="151">
        <v>1</v>
      </c>
      <c r="F975" s="151">
        <v>10601</v>
      </c>
      <c r="G975" s="151">
        <v>2</v>
      </c>
      <c r="H975" s="151">
        <v>400</v>
      </c>
      <c r="I975" s="151"/>
      <c r="L975" s="93">
        <v>5</v>
      </c>
      <c r="M975" s="93" t="s">
        <v>68</v>
      </c>
    </row>
    <row r="976" ht="17.25" spans="2:19">
      <c r="D976" s="151" t="s">
        <v>34</v>
      </c>
      <c r="E976" s="151">
        <v>1</v>
      </c>
      <c r="F976" s="151">
        <v>10602</v>
      </c>
      <c r="G976" s="151">
        <v>1</v>
      </c>
      <c r="H976" s="151">
        <v>200</v>
      </c>
      <c r="I976" s="151"/>
      <c r="L976" s="93">
        <v>6</v>
      </c>
      <c r="M976" s="93" t="s">
        <v>69</v>
      </c>
    </row>
    <row r="977" ht="17.25" spans="4:9">
      <c r="D977" s="151" t="s">
        <v>35</v>
      </c>
      <c r="E977" s="151">
        <v>1</v>
      </c>
      <c r="G977" s="151">
        <v>0</v>
      </c>
      <c r="H977" s="151">
        <v>8000</v>
      </c>
      <c r="I977" s="151"/>
    </row>
    <row r="978" ht="17.25" spans="4:9">
      <c r="D978" s="151" t="s">
        <v>35</v>
      </c>
      <c r="E978" s="151">
        <v>1</v>
      </c>
      <c r="F978" s="151">
        <v>10701</v>
      </c>
      <c r="G978" s="151">
        <v>1</v>
      </c>
      <c r="H978" s="151">
        <v>1286</v>
      </c>
      <c r="I978" s="151"/>
    </row>
    <row r="979" ht="17.25" spans="4:9">
      <c r="D979" s="151" t="s">
        <v>35</v>
      </c>
      <c r="E979" s="151">
        <v>1</v>
      </c>
      <c r="F979" s="151">
        <v>10701</v>
      </c>
      <c r="G979" s="151">
        <v>2</v>
      </c>
      <c r="H979" s="151">
        <v>400</v>
      </c>
      <c r="I979" s="151"/>
    </row>
    <row r="980" ht="17.25" spans="4:9">
      <c r="D980" s="151" t="s">
        <v>35</v>
      </c>
      <c r="E980" s="151">
        <v>1</v>
      </c>
      <c r="F980" s="151">
        <v>10701</v>
      </c>
      <c r="G980" s="151">
        <v>3</v>
      </c>
      <c r="H980" s="151">
        <v>100</v>
      </c>
      <c r="I980" s="151"/>
    </row>
    <row r="981" ht="17.25" spans="4:9">
      <c r="D981" s="151" t="s">
        <v>35</v>
      </c>
      <c r="E981" s="151">
        <v>1</v>
      </c>
      <c r="F981" s="151">
        <v>10702</v>
      </c>
      <c r="G981" s="151">
        <v>1</v>
      </c>
      <c r="H981" s="151">
        <v>200</v>
      </c>
      <c r="I981" s="151"/>
    </row>
    <row r="982" ht="17.25" spans="4:9">
      <c r="D982" s="151" t="s">
        <v>35</v>
      </c>
      <c r="E982" s="151">
        <v>1</v>
      </c>
      <c r="F982" s="151">
        <v>10703</v>
      </c>
      <c r="G982" s="151">
        <v>1</v>
      </c>
      <c r="H982" s="151">
        <v>14</v>
      </c>
      <c r="I982" s="151"/>
    </row>
    <row r="983" ht="17.25" spans="4:9">
      <c r="D983" s="151" t="s">
        <v>36</v>
      </c>
      <c r="E983" s="151">
        <v>1</v>
      </c>
      <c r="G983" s="151">
        <v>0</v>
      </c>
      <c r="H983" s="151">
        <v>8000</v>
      </c>
      <c r="I983" s="151"/>
    </row>
    <row r="984" ht="17.25" spans="4:9">
      <c r="D984" s="151" t="s">
        <v>36</v>
      </c>
      <c r="E984" s="151">
        <v>1</v>
      </c>
      <c r="F984" s="151">
        <v>10801</v>
      </c>
      <c r="G984" s="151">
        <v>1</v>
      </c>
      <c r="H984" s="151">
        <v>1274</v>
      </c>
      <c r="I984" s="151"/>
    </row>
    <row r="985" ht="17.25" spans="4:9">
      <c r="D985" s="151" t="s">
        <v>36</v>
      </c>
      <c r="E985" s="151">
        <v>1</v>
      </c>
      <c r="F985" s="151">
        <v>10801</v>
      </c>
      <c r="G985" s="151">
        <v>2</v>
      </c>
      <c r="H985" s="151">
        <v>400</v>
      </c>
      <c r="I985" s="151"/>
    </row>
    <row r="986" ht="17.25" spans="4:9">
      <c r="D986" s="151" t="s">
        <v>36</v>
      </c>
      <c r="E986" s="151">
        <v>1</v>
      </c>
      <c r="F986" s="151">
        <v>10801</v>
      </c>
      <c r="G986" s="151">
        <v>3</v>
      </c>
      <c r="H986" s="151">
        <v>100</v>
      </c>
      <c r="I986" s="151"/>
    </row>
    <row r="987" ht="17.25" spans="4:9">
      <c r="D987" s="151" t="s">
        <v>36</v>
      </c>
      <c r="E987" s="151">
        <v>1</v>
      </c>
      <c r="F987" s="151">
        <v>10802</v>
      </c>
      <c r="G987" s="151">
        <v>1</v>
      </c>
      <c r="H987" s="151">
        <v>200</v>
      </c>
      <c r="I987" s="151"/>
    </row>
    <row r="988" ht="17.25" spans="4:9">
      <c r="D988" s="151" t="s">
        <v>36</v>
      </c>
      <c r="E988" s="151">
        <v>1</v>
      </c>
      <c r="F988" s="151">
        <v>10803</v>
      </c>
      <c r="G988" s="151">
        <v>1</v>
      </c>
      <c r="H988" s="151">
        <v>26</v>
      </c>
      <c r="I988" s="151"/>
    </row>
    <row r="989" ht="17.25" spans="4:9">
      <c r="D989" s="151" t="str">
        <f t="shared" ref="D989:D1052" si="197">D971</f>
        <v>橙</v>
      </c>
      <c r="E989" s="151">
        <f t="shared" ref="E989:E1052" si="198">E971+1</f>
        <v>2</v>
      </c>
      <c r="F989" s="151" t="str">
        <f t="shared" ref="F989:F1052" si="199">IF(F971="","",F971+10000)</f>
        <v/>
      </c>
      <c r="G989" s="151">
        <f t="shared" ref="G989:G1052" si="200">G971</f>
        <v>0</v>
      </c>
      <c r="H989" s="151">
        <f t="shared" ref="H989:H1052" si="201">H971</f>
        <v>8000</v>
      </c>
      <c r="I989" s="151"/>
    </row>
    <row r="990" ht="17.25" spans="4:9">
      <c r="D990" s="151" t="str">
        <f t="shared" si="197"/>
        <v>橙</v>
      </c>
      <c r="E990" s="151">
        <f t="shared" si="198"/>
        <v>2</v>
      </c>
      <c r="F990" s="151">
        <f t="shared" si="199"/>
        <v>20501</v>
      </c>
      <c r="G990" s="151">
        <f t="shared" si="200"/>
        <v>1</v>
      </c>
      <c r="H990" s="151">
        <f t="shared" si="201"/>
        <v>2000</v>
      </c>
      <c r="I990" s="151"/>
    </row>
    <row r="991" ht="17.25" spans="4:9">
      <c r="D991" s="151" t="str">
        <f t="shared" si="197"/>
        <v>红</v>
      </c>
      <c r="E991" s="151">
        <f t="shared" si="198"/>
        <v>2</v>
      </c>
      <c r="F991" s="151" t="str">
        <f t="shared" si="199"/>
        <v/>
      </c>
      <c r="G991" s="151">
        <f t="shared" si="200"/>
        <v>0</v>
      </c>
      <c r="H991" s="151">
        <f t="shared" si="201"/>
        <v>8000</v>
      </c>
      <c r="I991" s="151"/>
    </row>
    <row r="992" ht="17.25" spans="4:9">
      <c r="D992" s="151" t="str">
        <f t="shared" si="197"/>
        <v>红</v>
      </c>
      <c r="E992" s="151">
        <f t="shared" si="198"/>
        <v>2</v>
      </c>
      <c r="F992" s="151">
        <f t="shared" si="199"/>
        <v>20601</v>
      </c>
      <c r="G992" s="151">
        <f t="shared" si="200"/>
        <v>1</v>
      </c>
      <c r="H992" s="151">
        <f t="shared" si="201"/>
        <v>1400</v>
      </c>
      <c r="I992" s="151"/>
    </row>
    <row r="993" ht="17.25" spans="4:9">
      <c r="D993" s="151" t="str">
        <f t="shared" si="197"/>
        <v>红</v>
      </c>
      <c r="E993" s="151">
        <f t="shared" si="198"/>
        <v>2</v>
      </c>
      <c r="F993" s="151">
        <f t="shared" si="199"/>
        <v>20601</v>
      </c>
      <c r="G993" s="151">
        <f t="shared" si="200"/>
        <v>2</v>
      </c>
      <c r="H993" s="151">
        <f t="shared" si="201"/>
        <v>400</v>
      </c>
      <c r="I993" s="151"/>
    </row>
    <row r="994" ht="17.25" spans="4:9">
      <c r="D994" s="151" t="str">
        <f t="shared" si="197"/>
        <v>红</v>
      </c>
      <c r="E994" s="151">
        <f t="shared" si="198"/>
        <v>2</v>
      </c>
      <c r="F994" s="151">
        <f t="shared" si="199"/>
        <v>20602</v>
      </c>
      <c r="G994" s="151">
        <f t="shared" si="200"/>
        <v>1</v>
      </c>
      <c r="H994" s="151">
        <f t="shared" si="201"/>
        <v>200</v>
      </c>
      <c r="I994" s="151"/>
    </row>
    <row r="995" ht="17.25" spans="4:9">
      <c r="D995" s="151" t="str">
        <f t="shared" si="197"/>
        <v>粉</v>
      </c>
      <c r="E995" s="151">
        <f t="shared" si="198"/>
        <v>2</v>
      </c>
      <c r="F995" s="151" t="str">
        <f t="shared" si="199"/>
        <v/>
      </c>
      <c r="G995" s="151">
        <f t="shared" si="200"/>
        <v>0</v>
      </c>
      <c r="H995" s="151">
        <f t="shared" si="201"/>
        <v>8000</v>
      </c>
    </row>
    <row r="996" ht="17.25" spans="4:9">
      <c r="D996" s="151" t="str">
        <f t="shared" si="197"/>
        <v>粉</v>
      </c>
      <c r="E996" s="151">
        <f t="shared" si="198"/>
        <v>2</v>
      </c>
      <c r="F996" s="151">
        <f t="shared" si="199"/>
        <v>20701</v>
      </c>
      <c r="G996" s="151">
        <f t="shared" si="200"/>
        <v>1</v>
      </c>
      <c r="H996" s="151">
        <f t="shared" si="201"/>
        <v>1286</v>
      </c>
    </row>
    <row r="997" ht="17.25" spans="4:9">
      <c r="D997" s="151" t="str">
        <f t="shared" si="197"/>
        <v>粉</v>
      </c>
      <c r="E997" s="151">
        <f t="shared" si="198"/>
        <v>2</v>
      </c>
      <c r="F997" s="151">
        <f t="shared" si="199"/>
        <v>20701</v>
      </c>
      <c r="G997" s="151">
        <f t="shared" si="200"/>
        <v>2</v>
      </c>
      <c r="H997" s="151">
        <f t="shared" si="201"/>
        <v>400</v>
      </c>
    </row>
    <row r="998" ht="17.25" spans="4:9">
      <c r="D998" s="151" t="str">
        <f t="shared" si="197"/>
        <v>粉</v>
      </c>
      <c r="E998" s="151">
        <f t="shared" si="198"/>
        <v>2</v>
      </c>
      <c r="F998" s="151">
        <f t="shared" si="199"/>
        <v>20701</v>
      </c>
      <c r="G998" s="151">
        <f t="shared" si="200"/>
        <v>3</v>
      </c>
      <c r="H998" s="151">
        <f t="shared" si="201"/>
        <v>100</v>
      </c>
    </row>
    <row r="999" ht="17.25" spans="4:9">
      <c r="D999" s="151" t="str">
        <f t="shared" si="197"/>
        <v>粉</v>
      </c>
      <c r="E999" s="151">
        <f t="shared" si="198"/>
        <v>2</v>
      </c>
      <c r="F999" s="151">
        <f t="shared" si="199"/>
        <v>20702</v>
      </c>
      <c r="G999" s="151">
        <f t="shared" si="200"/>
        <v>1</v>
      </c>
      <c r="H999" s="151">
        <f t="shared" si="201"/>
        <v>200</v>
      </c>
    </row>
    <row r="1000" ht="17.25" spans="4:9">
      <c r="D1000" s="151" t="str">
        <f t="shared" si="197"/>
        <v>粉</v>
      </c>
      <c r="E1000" s="151">
        <f t="shared" si="198"/>
        <v>2</v>
      </c>
      <c r="F1000" s="151">
        <f t="shared" si="199"/>
        <v>20703</v>
      </c>
      <c r="G1000" s="151">
        <f t="shared" si="200"/>
        <v>1</v>
      </c>
      <c r="H1000" s="151">
        <f t="shared" si="201"/>
        <v>14</v>
      </c>
    </row>
    <row r="1001" ht="17.25" spans="4:9">
      <c r="D1001" s="151" t="str">
        <f t="shared" si="197"/>
        <v>彩</v>
      </c>
      <c r="E1001" s="151">
        <f t="shared" si="198"/>
        <v>2</v>
      </c>
      <c r="F1001" s="151" t="str">
        <f t="shared" si="199"/>
        <v/>
      </c>
      <c r="G1001" s="151">
        <f t="shared" si="200"/>
        <v>0</v>
      </c>
      <c r="H1001" s="151">
        <f t="shared" si="201"/>
        <v>8000</v>
      </c>
    </row>
    <row r="1002" ht="17.25" spans="4:9">
      <c r="D1002" s="151" t="str">
        <f t="shared" si="197"/>
        <v>彩</v>
      </c>
      <c r="E1002" s="151">
        <f t="shared" si="198"/>
        <v>2</v>
      </c>
      <c r="F1002" s="151">
        <f t="shared" si="199"/>
        <v>20801</v>
      </c>
      <c r="G1002" s="151">
        <f t="shared" si="200"/>
        <v>1</v>
      </c>
      <c r="H1002" s="151">
        <f t="shared" si="201"/>
        <v>1274</v>
      </c>
    </row>
    <row r="1003" ht="17.25" spans="4:9">
      <c r="D1003" s="151" t="str">
        <f t="shared" si="197"/>
        <v>彩</v>
      </c>
      <c r="E1003" s="151">
        <f t="shared" si="198"/>
        <v>2</v>
      </c>
      <c r="F1003" s="151">
        <f t="shared" si="199"/>
        <v>20801</v>
      </c>
      <c r="G1003" s="151">
        <f t="shared" si="200"/>
        <v>2</v>
      </c>
      <c r="H1003" s="151">
        <f t="shared" si="201"/>
        <v>400</v>
      </c>
    </row>
    <row r="1004" ht="17.25" spans="4:9">
      <c r="D1004" s="151" t="str">
        <f t="shared" si="197"/>
        <v>彩</v>
      </c>
      <c r="E1004" s="151">
        <f t="shared" si="198"/>
        <v>2</v>
      </c>
      <c r="F1004" s="151">
        <f t="shared" si="199"/>
        <v>20801</v>
      </c>
      <c r="G1004" s="151">
        <f t="shared" si="200"/>
        <v>3</v>
      </c>
      <c r="H1004" s="151">
        <f t="shared" si="201"/>
        <v>100</v>
      </c>
    </row>
    <row r="1005" ht="17.25" spans="4:9">
      <c r="D1005" s="151" t="str">
        <f t="shared" si="197"/>
        <v>彩</v>
      </c>
      <c r="E1005" s="151">
        <f t="shared" si="198"/>
        <v>2</v>
      </c>
      <c r="F1005" s="151">
        <f t="shared" si="199"/>
        <v>20802</v>
      </c>
      <c r="G1005" s="151">
        <f t="shared" si="200"/>
        <v>1</v>
      </c>
      <c r="H1005" s="151">
        <f t="shared" si="201"/>
        <v>200</v>
      </c>
    </row>
    <row r="1006" ht="17.25" spans="4:9">
      <c r="D1006" s="151" t="str">
        <f t="shared" si="197"/>
        <v>彩</v>
      </c>
      <c r="E1006" s="151">
        <f t="shared" si="198"/>
        <v>2</v>
      </c>
      <c r="F1006" s="151">
        <f t="shared" si="199"/>
        <v>20803</v>
      </c>
      <c r="G1006" s="151">
        <f t="shared" si="200"/>
        <v>1</v>
      </c>
      <c r="H1006" s="151">
        <f t="shared" si="201"/>
        <v>26</v>
      </c>
    </row>
    <row r="1007" ht="17.25" spans="4:9">
      <c r="D1007" s="151" t="str">
        <f t="shared" si="197"/>
        <v>橙</v>
      </c>
      <c r="E1007" s="151">
        <f t="shared" si="198"/>
        <v>3</v>
      </c>
      <c r="F1007" s="151" t="str">
        <f t="shared" si="199"/>
        <v/>
      </c>
      <c r="G1007" s="151">
        <f t="shared" si="200"/>
        <v>0</v>
      </c>
      <c r="H1007" s="151">
        <f t="shared" si="201"/>
        <v>8000</v>
      </c>
    </row>
    <row r="1008" ht="17.25" spans="4:9">
      <c r="D1008" s="151" t="str">
        <f t="shared" si="197"/>
        <v>橙</v>
      </c>
      <c r="E1008" s="151">
        <f t="shared" si="198"/>
        <v>3</v>
      </c>
      <c r="F1008" s="151">
        <f t="shared" si="199"/>
        <v>30501</v>
      </c>
      <c r="G1008" s="151">
        <f t="shared" si="200"/>
        <v>1</v>
      </c>
      <c r="H1008" s="151">
        <f t="shared" si="201"/>
        <v>2000</v>
      </c>
    </row>
    <row r="1009" ht="17.25" spans="4:8">
      <c r="D1009" s="151" t="str">
        <f t="shared" si="197"/>
        <v>红</v>
      </c>
      <c r="E1009" s="151">
        <f t="shared" si="198"/>
        <v>3</v>
      </c>
      <c r="F1009" s="151" t="str">
        <f t="shared" si="199"/>
        <v/>
      </c>
      <c r="G1009" s="151">
        <f t="shared" si="200"/>
        <v>0</v>
      </c>
      <c r="H1009" s="151">
        <f t="shared" si="201"/>
        <v>8000</v>
      </c>
    </row>
    <row r="1010" ht="17.25" spans="4:8">
      <c r="D1010" s="151" t="str">
        <f t="shared" si="197"/>
        <v>红</v>
      </c>
      <c r="E1010" s="151">
        <f t="shared" si="198"/>
        <v>3</v>
      </c>
      <c r="F1010" s="151">
        <f t="shared" si="199"/>
        <v>30601</v>
      </c>
      <c r="G1010" s="151">
        <f t="shared" si="200"/>
        <v>1</v>
      </c>
      <c r="H1010" s="151">
        <f t="shared" si="201"/>
        <v>1400</v>
      </c>
    </row>
    <row r="1011" ht="17.25" spans="4:8">
      <c r="D1011" s="151" t="str">
        <f t="shared" si="197"/>
        <v>红</v>
      </c>
      <c r="E1011" s="151">
        <f t="shared" si="198"/>
        <v>3</v>
      </c>
      <c r="F1011" s="151">
        <f t="shared" si="199"/>
        <v>30601</v>
      </c>
      <c r="G1011" s="151">
        <f t="shared" si="200"/>
        <v>2</v>
      </c>
      <c r="H1011" s="151">
        <f t="shared" si="201"/>
        <v>400</v>
      </c>
    </row>
    <row r="1012" ht="17.25" spans="4:8">
      <c r="D1012" s="151" t="str">
        <f t="shared" si="197"/>
        <v>红</v>
      </c>
      <c r="E1012" s="151">
        <f t="shared" si="198"/>
        <v>3</v>
      </c>
      <c r="F1012" s="151">
        <f t="shared" si="199"/>
        <v>30602</v>
      </c>
      <c r="G1012" s="151">
        <f t="shared" si="200"/>
        <v>1</v>
      </c>
      <c r="H1012" s="151">
        <f t="shared" si="201"/>
        <v>200</v>
      </c>
    </row>
    <row r="1013" ht="17.25" spans="4:8">
      <c r="D1013" s="151" t="str">
        <f t="shared" si="197"/>
        <v>粉</v>
      </c>
      <c r="E1013" s="151">
        <f t="shared" si="198"/>
        <v>3</v>
      </c>
      <c r="F1013" s="151" t="str">
        <f t="shared" si="199"/>
        <v/>
      </c>
      <c r="G1013" s="151">
        <f t="shared" si="200"/>
        <v>0</v>
      </c>
      <c r="H1013" s="151">
        <f t="shared" si="201"/>
        <v>8000</v>
      </c>
    </row>
    <row r="1014" ht="17.25" spans="4:8">
      <c r="D1014" s="151" t="str">
        <f t="shared" si="197"/>
        <v>粉</v>
      </c>
      <c r="E1014" s="151">
        <f t="shared" si="198"/>
        <v>3</v>
      </c>
      <c r="F1014" s="151">
        <f t="shared" si="199"/>
        <v>30701</v>
      </c>
      <c r="G1014" s="151">
        <f t="shared" si="200"/>
        <v>1</v>
      </c>
      <c r="H1014" s="151">
        <f t="shared" si="201"/>
        <v>1286</v>
      </c>
    </row>
    <row r="1015" ht="17.25" spans="4:8">
      <c r="D1015" s="151" t="str">
        <f t="shared" si="197"/>
        <v>粉</v>
      </c>
      <c r="E1015" s="151">
        <f t="shared" si="198"/>
        <v>3</v>
      </c>
      <c r="F1015" s="151">
        <f t="shared" si="199"/>
        <v>30701</v>
      </c>
      <c r="G1015" s="151">
        <f t="shared" si="200"/>
        <v>2</v>
      </c>
      <c r="H1015" s="151">
        <f t="shared" si="201"/>
        <v>400</v>
      </c>
    </row>
    <row r="1016" ht="17.25" spans="4:8">
      <c r="D1016" s="151" t="str">
        <f t="shared" si="197"/>
        <v>粉</v>
      </c>
      <c r="E1016" s="151">
        <f t="shared" si="198"/>
        <v>3</v>
      </c>
      <c r="F1016" s="151">
        <f t="shared" si="199"/>
        <v>30701</v>
      </c>
      <c r="G1016" s="151">
        <f t="shared" si="200"/>
        <v>3</v>
      </c>
      <c r="H1016" s="151">
        <f t="shared" si="201"/>
        <v>100</v>
      </c>
    </row>
    <row r="1017" ht="17.25" spans="4:8">
      <c r="D1017" s="151" t="str">
        <f t="shared" si="197"/>
        <v>粉</v>
      </c>
      <c r="E1017" s="151">
        <f t="shared" si="198"/>
        <v>3</v>
      </c>
      <c r="F1017" s="151">
        <f t="shared" si="199"/>
        <v>30702</v>
      </c>
      <c r="G1017" s="151">
        <f t="shared" si="200"/>
        <v>1</v>
      </c>
      <c r="H1017" s="151">
        <f t="shared" si="201"/>
        <v>200</v>
      </c>
    </row>
    <row r="1018" ht="17.25" spans="4:8">
      <c r="D1018" s="151" t="str">
        <f t="shared" si="197"/>
        <v>粉</v>
      </c>
      <c r="E1018" s="151">
        <f t="shared" si="198"/>
        <v>3</v>
      </c>
      <c r="F1018" s="151">
        <f t="shared" si="199"/>
        <v>30703</v>
      </c>
      <c r="G1018" s="151">
        <f t="shared" si="200"/>
        <v>1</v>
      </c>
      <c r="H1018" s="151">
        <f t="shared" si="201"/>
        <v>14</v>
      </c>
    </row>
    <row r="1019" ht="17.25" spans="4:8">
      <c r="D1019" s="151" t="str">
        <f t="shared" si="197"/>
        <v>彩</v>
      </c>
      <c r="E1019" s="151">
        <f t="shared" si="198"/>
        <v>3</v>
      </c>
      <c r="F1019" s="151" t="str">
        <f t="shared" si="199"/>
        <v/>
      </c>
      <c r="G1019" s="151">
        <f t="shared" si="200"/>
        <v>0</v>
      </c>
      <c r="H1019" s="151">
        <f t="shared" si="201"/>
        <v>8000</v>
      </c>
    </row>
    <row r="1020" ht="17.25" spans="4:8">
      <c r="D1020" s="151" t="str">
        <f t="shared" si="197"/>
        <v>彩</v>
      </c>
      <c r="E1020" s="151">
        <f t="shared" si="198"/>
        <v>3</v>
      </c>
      <c r="F1020" s="151">
        <f t="shared" si="199"/>
        <v>30801</v>
      </c>
      <c r="G1020" s="151">
        <f t="shared" si="200"/>
        <v>1</v>
      </c>
      <c r="H1020" s="151">
        <f t="shared" si="201"/>
        <v>1274</v>
      </c>
    </row>
    <row r="1021" ht="17.25" spans="4:8">
      <c r="D1021" s="151" t="str">
        <f t="shared" si="197"/>
        <v>彩</v>
      </c>
      <c r="E1021" s="151">
        <f t="shared" si="198"/>
        <v>3</v>
      </c>
      <c r="F1021" s="151">
        <f t="shared" si="199"/>
        <v>30801</v>
      </c>
      <c r="G1021" s="151">
        <f t="shared" si="200"/>
        <v>2</v>
      </c>
      <c r="H1021" s="151">
        <f t="shared" si="201"/>
        <v>400</v>
      </c>
    </row>
    <row r="1022" ht="17.25" spans="4:8">
      <c r="D1022" s="151" t="str">
        <f t="shared" si="197"/>
        <v>彩</v>
      </c>
      <c r="E1022" s="151">
        <f t="shared" si="198"/>
        <v>3</v>
      </c>
      <c r="F1022" s="151">
        <f t="shared" si="199"/>
        <v>30801</v>
      </c>
      <c r="G1022" s="151">
        <f t="shared" si="200"/>
        <v>3</v>
      </c>
      <c r="H1022" s="151">
        <f t="shared" si="201"/>
        <v>100</v>
      </c>
    </row>
    <row r="1023" ht="17.25" spans="4:8">
      <c r="D1023" s="151" t="str">
        <f t="shared" si="197"/>
        <v>彩</v>
      </c>
      <c r="E1023" s="151">
        <f t="shared" si="198"/>
        <v>3</v>
      </c>
      <c r="F1023" s="151">
        <f t="shared" si="199"/>
        <v>30802</v>
      </c>
      <c r="G1023" s="151">
        <f t="shared" si="200"/>
        <v>1</v>
      </c>
      <c r="H1023" s="151">
        <f t="shared" si="201"/>
        <v>200</v>
      </c>
    </row>
    <row r="1024" ht="17.25" spans="4:8">
      <c r="D1024" s="151" t="str">
        <f t="shared" si="197"/>
        <v>彩</v>
      </c>
      <c r="E1024" s="151">
        <f t="shared" si="198"/>
        <v>3</v>
      </c>
      <c r="F1024" s="151">
        <f t="shared" si="199"/>
        <v>30803</v>
      </c>
      <c r="G1024" s="151">
        <f t="shared" si="200"/>
        <v>1</v>
      </c>
      <c r="H1024" s="151">
        <f t="shared" si="201"/>
        <v>26</v>
      </c>
    </row>
    <row r="1025" ht="17.25" spans="4:8">
      <c r="D1025" s="151" t="str">
        <f t="shared" si="197"/>
        <v>橙</v>
      </c>
      <c r="E1025" s="151">
        <f t="shared" si="198"/>
        <v>4</v>
      </c>
      <c r="F1025" s="151" t="str">
        <f t="shared" si="199"/>
        <v/>
      </c>
      <c r="G1025" s="151">
        <f t="shared" si="200"/>
        <v>0</v>
      </c>
      <c r="H1025" s="151">
        <f t="shared" si="201"/>
        <v>8000</v>
      </c>
    </row>
    <row r="1026" ht="17.25" spans="4:8">
      <c r="D1026" s="151" t="str">
        <f t="shared" si="197"/>
        <v>橙</v>
      </c>
      <c r="E1026" s="151">
        <f t="shared" si="198"/>
        <v>4</v>
      </c>
      <c r="F1026" s="151">
        <f t="shared" si="199"/>
        <v>40501</v>
      </c>
      <c r="G1026" s="151">
        <f t="shared" si="200"/>
        <v>1</v>
      </c>
      <c r="H1026" s="151">
        <f t="shared" si="201"/>
        <v>2000</v>
      </c>
    </row>
    <row r="1027" ht="17.25" spans="4:8">
      <c r="D1027" s="151" t="str">
        <f t="shared" si="197"/>
        <v>红</v>
      </c>
      <c r="E1027" s="151">
        <f t="shared" si="198"/>
        <v>4</v>
      </c>
      <c r="F1027" s="151" t="str">
        <f t="shared" si="199"/>
        <v/>
      </c>
      <c r="G1027" s="151">
        <f t="shared" si="200"/>
        <v>0</v>
      </c>
      <c r="H1027" s="151">
        <f t="shared" si="201"/>
        <v>8000</v>
      </c>
    </row>
    <row r="1028" ht="17.25" spans="4:8">
      <c r="D1028" s="151" t="str">
        <f t="shared" si="197"/>
        <v>红</v>
      </c>
      <c r="E1028" s="151">
        <f t="shared" si="198"/>
        <v>4</v>
      </c>
      <c r="F1028" s="151">
        <f t="shared" si="199"/>
        <v>40601</v>
      </c>
      <c r="G1028" s="151">
        <f t="shared" si="200"/>
        <v>1</v>
      </c>
      <c r="H1028" s="151">
        <f t="shared" si="201"/>
        <v>1400</v>
      </c>
    </row>
    <row r="1029" ht="17.25" spans="4:8">
      <c r="D1029" s="151" t="str">
        <f t="shared" si="197"/>
        <v>红</v>
      </c>
      <c r="E1029" s="151">
        <f t="shared" si="198"/>
        <v>4</v>
      </c>
      <c r="F1029" s="151">
        <f t="shared" si="199"/>
        <v>40601</v>
      </c>
      <c r="G1029" s="151">
        <f t="shared" si="200"/>
        <v>2</v>
      </c>
      <c r="H1029" s="151">
        <f t="shared" si="201"/>
        <v>400</v>
      </c>
    </row>
    <row r="1030" ht="17.25" spans="4:8">
      <c r="D1030" s="151" t="str">
        <f t="shared" si="197"/>
        <v>红</v>
      </c>
      <c r="E1030" s="151">
        <f t="shared" si="198"/>
        <v>4</v>
      </c>
      <c r="F1030" s="151">
        <f t="shared" si="199"/>
        <v>40602</v>
      </c>
      <c r="G1030" s="151">
        <f t="shared" si="200"/>
        <v>1</v>
      </c>
      <c r="H1030" s="151">
        <f t="shared" si="201"/>
        <v>200</v>
      </c>
    </row>
    <row r="1031" ht="17.25" spans="4:8">
      <c r="D1031" s="151" t="str">
        <f t="shared" si="197"/>
        <v>粉</v>
      </c>
      <c r="E1031" s="151">
        <f t="shared" si="198"/>
        <v>4</v>
      </c>
      <c r="F1031" s="151" t="str">
        <f t="shared" si="199"/>
        <v/>
      </c>
      <c r="G1031" s="151">
        <f t="shared" si="200"/>
        <v>0</v>
      </c>
      <c r="H1031" s="151">
        <f t="shared" si="201"/>
        <v>8000</v>
      </c>
    </row>
    <row r="1032" ht="17.25" spans="4:8">
      <c r="D1032" s="151" t="str">
        <f t="shared" si="197"/>
        <v>粉</v>
      </c>
      <c r="E1032" s="151">
        <f t="shared" si="198"/>
        <v>4</v>
      </c>
      <c r="F1032" s="151">
        <f t="shared" si="199"/>
        <v>40701</v>
      </c>
      <c r="G1032" s="151">
        <f t="shared" si="200"/>
        <v>1</v>
      </c>
      <c r="H1032" s="151">
        <f t="shared" si="201"/>
        <v>1286</v>
      </c>
    </row>
    <row r="1033" ht="17.25" spans="4:8">
      <c r="D1033" s="151" t="str">
        <f t="shared" si="197"/>
        <v>粉</v>
      </c>
      <c r="E1033" s="151">
        <f t="shared" si="198"/>
        <v>4</v>
      </c>
      <c r="F1033" s="151">
        <f t="shared" si="199"/>
        <v>40701</v>
      </c>
      <c r="G1033" s="151">
        <f t="shared" si="200"/>
        <v>2</v>
      </c>
      <c r="H1033" s="151">
        <f t="shared" si="201"/>
        <v>400</v>
      </c>
    </row>
    <row r="1034" ht="17.25" spans="4:8">
      <c r="D1034" s="151" t="str">
        <f t="shared" si="197"/>
        <v>粉</v>
      </c>
      <c r="E1034" s="151">
        <f t="shared" si="198"/>
        <v>4</v>
      </c>
      <c r="F1034" s="151">
        <f t="shared" si="199"/>
        <v>40701</v>
      </c>
      <c r="G1034" s="151">
        <f t="shared" si="200"/>
        <v>3</v>
      </c>
      <c r="H1034" s="151">
        <f t="shared" si="201"/>
        <v>100</v>
      </c>
    </row>
    <row r="1035" ht="17.25" spans="4:8">
      <c r="D1035" s="151" t="str">
        <f t="shared" si="197"/>
        <v>粉</v>
      </c>
      <c r="E1035" s="151">
        <f t="shared" si="198"/>
        <v>4</v>
      </c>
      <c r="F1035" s="151">
        <f t="shared" si="199"/>
        <v>40702</v>
      </c>
      <c r="G1035" s="151">
        <f t="shared" si="200"/>
        <v>1</v>
      </c>
      <c r="H1035" s="151">
        <f t="shared" si="201"/>
        <v>200</v>
      </c>
    </row>
    <row r="1036" ht="17.25" spans="4:8">
      <c r="D1036" s="151" t="str">
        <f t="shared" si="197"/>
        <v>粉</v>
      </c>
      <c r="E1036" s="151">
        <f t="shared" si="198"/>
        <v>4</v>
      </c>
      <c r="F1036" s="151">
        <f t="shared" si="199"/>
        <v>40703</v>
      </c>
      <c r="G1036" s="151">
        <f t="shared" si="200"/>
        <v>1</v>
      </c>
      <c r="H1036" s="151">
        <f t="shared" si="201"/>
        <v>14</v>
      </c>
    </row>
    <row r="1037" ht="17.25" spans="4:8">
      <c r="D1037" s="151" t="str">
        <f t="shared" si="197"/>
        <v>彩</v>
      </c>
      <c r="E1037" s="151">
        <f t="shared" si="198"/>
        <v>4</v>
      </c>
      <c r="F1037" s="151" t="str">
        <f t="shared" si="199"/>
        <v/>
      </c>
      <c r="G1037" s="151">
        <f t="shared" si="200"/>
        <v>0</v>
      </c>
      <c r="H1037" s="151">
        <f t="shared" si="201"/>
        <v>8000</v>
      </c>
    </row>
    <row r="1038" ht="17.25" spans="4:8">
      <c r="D1038" s="151" t="str">
        <f t="shared" si="197"/>
        <v>彩</v>
      </c>
      <c r="E1038" s="151">
        <f t="shared" si="198"/>
        <v>4</v>
      </c>
      <c r="F1038" s="151">
        <f t="shared" si="199"/>
        <v>40801</v>
      </c>
      <c r="G1038" s="151">
        <f t="shared" si="200"/>
        <v>1</v>
      </c>
      <c r="H1038" s="151">
        <f t="shared" si="201"/>
        <v>1274</v>
      </c>
    </row>
    <row r="1039" ht="17.25" spans="4:8">
      <c r="D1039" s="151" t="str">
        <f t="shared" si="197"/>
        <v>彩</v>
      </c>
      <c r="E1039" s="151">
        <f t="shared" si="198"/>
        <v>4</v>
      </c>
      <c r="F1039" s="151">
        <f t="shared" si="199"/>
        <v>40801</v>
      </c>
      <c r="G1039" s="151">
        <f t="shared" si="200"/>
        <v>2</v>
      </c>
      <c r="H1039" s="151">
        <f t="shared" si="201"/>
        <v>400</v>
      </c>
    </row>
    <row r="1040" ht="17.25" spans="4:8">
      <c r="D1040" s="151" t="str">
        <f t="shared" si="197"/>
        <v>彩</v>
      </c>
      <c r="E1040" s="151">
        <f t="shared" si="198"/>
        <v>4</v>
      </c>
      <c r="F1040" s="151">
        <f t="shared" si="199"/>
        <v>40801</v>
      </c>
      <c r="G1040" s="151">
        <f t="shared" si="200"/>
        <v>3</v>
      </c>
      <c r="H1040" s="151">
        <f t="shared" si="201"/>
        <v>100</v>
      </c>
    </row>
    <row r="1041" ht="17.25" spans="4:8">
      <c r="D1041" s="151" t="str">
        <f t="shared" si="197"/>
        <v>彩</v>
      </c>
      <c r="E1041" s="151">
        <f t="shared" si="198"/>
        <v>4</v>
      </c>
      <c r="F1041" s="151">
        <f t="shared" si="199"/>
        <v>40802</v>
      </c>
      <c r="G1041" s="151">
        <f t="shared" si="200"/>
        <v>1</v>
      </c>
      <c r="H1041" s="151">
        <f t="shared" si="201"/>
        <v>200</v>
      </c>
    </row>
    <row r="1042" ht="17.25" spans="4:8">
      <c r="D1042" s="151" t="str">
        <f t="shared" si="197"/>
        <v>彩</v>
      </c>
      <c r="E1042" s="151">
        <f t="shared" si="198"/>
        <v>4</v>
      </c>
      <c r="F1042" s="151">
        <f t="shared" si="199"/>
        <v>40803</v>
      </c>
      <c r="G1042" s="151">
        <f t="shared" si="200"/>
        <v>1</v>
      </c>
      <c r="H1042" s="151">
        <f t="shared" si="201"/>
        <v>26</v>
      </c>
    </row>
    <row r="1043" ht="17.25" spans="4:8">
      <c r="D1043" s="151" t="str">
        <f t="shared" si="197"/>
        <v>橙</v>
      </c>
      <c r="E1043" s="151">
        <f t="shared" si="198"/>
        <v>5</v>
      </c>
      <c r="F1043" s="151" t="str">
        <f t="shared" si="199"/>
        <v/>
      </c>
      <c r="G1043" s="151">
        <f t="shared" si="200"/>
        <v>0</v>
      </c>
      <c r="H1043" s="151">
        <f t="shared" si="201"/>
        <v>8000</v>
      </c>
    </row>
    <row r="1044" ht="17.25" spans="4:8">
      <c r="D1044" s="151" t="str">
        <f t="shared" si="197"/>
        <v>橙</v>
      </c>
      <c r="E1044" s="151">
        <f t="shared" si="198"/>
        <v>5</v>
      </c>
      <c r="F1044" s="151">
        <f t="shared" si="199"/>
        <v>50501</v>
      </c>
      <c r="G1044" s="151">
        <f t="shared" si="200"/>
        <v>1</v>
      </c>
      <c r="H1044" s="151">
        <f t="shared" si="201"/>
        <v>2000</v>
      </c>
    </row>
    <row r="1045" ht="17.25" spans="4:8">
      <c r="D1045" s="151" t="str">
        <f t="shared" si="197"/>
        <v>红</v>
      </c>
      <c r="E1045" s="151">
        <f t="shared" si="198"/>
        <v>5</v>
      </c>
      <c r="F1045" s="151" t="str">
        <f t="shared" si="199"/>
        <v/>
      </c>
      <c r="G1045" s="151">
        <f t="shared" si="200"/>
        <v>0</v>
      </c>
      <c r="H1045" s="151">
        <f t="shared" si="201"/>
        <v>8000</v>
      </c>
    </row>
    <row r="1046" ht="17.25" spans="4:8">
      <c r="D1046" s="151" t="str">
        <f t="shared" si="197"/>
        <v>红</v>
      </c>
      <c r="E1046" s="151">
        <f t="shared" si="198"/>
        <v>5</v>
      </c>
      <c r="F1046" s="151">
        <f t="shared" si="199"/>
        <v>50601</v>
      </c>
      <c r="G1046" s="151">
        <f t="shared" si="200"/>
        <v>1</v>
      </c>
      <c r="H1046" s="151">
        <f t="shared" si="201"/>
        <v>1400</v>
      </c>
    </row>
    <row r="1047" ht="17.25" spans="4:8">
      <c r="D1047" s="151" t="str">
        <f t="shared" si="197"/>
        <v>红</v>
      </c>
      <c r="E1047" s="151">
        <f t="shared" si="198"/>
        <v>5</v>
      </c>
      <c r="F1047" s="151">
        <f t="shared" si="199"/>
        <v>50601</v>
      </c>
      <c r="G1047" s="151">
        <f t="shared" si="200"/>
        <v>2</v>
      </c>
      <c r="H1047" s="151">
        <f t="shared" si="201"/>
        <v>400</v>
      </c>
    </row>
    <row r="1048" ht="17.25" spans="4:8">
      <c r="D1048" s="151" t="str">
        <f t="shared" si="197"/>
        <v>红</v>
      </c>
      <c r="E1048" s="151">
        <f t="shared" si="198"/>
        <v>5</v>
      </c>
      <c r="F1048" s="151">
        <f t="shared" si="199"/>
        <v>50602</v>
      </c>
      <c r="G1048" s="151">
        <f t="shared" si="200"/>
        <v>1</v>
      </c>
      <c r="H1048" s="151">
        <f t="shared" si="201"/>
        <v>200</v>
      </c>
    </row>
    <row r="1049" ht="17.25" spans="4:8">
      <c r="D1049" s="151" t="str">
        <f t="shared" si="197"/>
        <v>粉</v>
      </c>
      <c r="E1049" s="151">
        <f t="shared" si="198"/>
        <v>5</v>
      </c>
      <c r="F1049" s="151" t="str">
        <f t="shared" si="199"/>
        <v/>
      </c>
      <c r="G1049" s="151">
        <f t="shared" si="200"/>
        <v>0</v>
      </c>
      <c r="H1049" s="151">
        <f t="shared" si="201"/>
        <v>8000</v>
      </c>
    </row>
    <row r="1050" ht="17.25" spans="4:8">
      <c r="D1050" s="151" t="str">
        <f t="shared" si="197"/>
        <v>粉</v>
      </c>
      <c r="E1050" s="151">
        <f t="shared" si="198"/>
        <v>5</v>
      </c>
      <c r="F1050" s="151">
        <f t="shared" si="199"/>
        <v>50701</v>
      </c>
      <c r="G1050" s="151">
        <f t="shared" si="200"/>
        <v>1</v>
      </c>
      <c r="H1050" s="151">
        <f t="shared" si="201"/>
        <v>1286</v>
      </c>
    </row>
    <row r="1051" ht="17.25" spans="4:8">
      <c r="D1051" s="151" t="str">
        <f t="shared" si="197"/>
        <v>粉</v>
      </c>
      <c r="E1051" s="151">
        <f t="shared" si="198"/>
        <v>5</v>
      </c>
      <c r="F1051" s="151">
        <f t="shared" si="199"/>
        <v>50701</v>
      </c>
      <c r="G1051" s="151">
        <f t="shared" si="200"/>
        <v>2</v>
      </c>
      <c r="H1051" s="151">
        <f t="shared" si="201"/>
        <v>400</v>
      </c>
    </row>
    <row r="1052" ht="17.25" spans="4:8">
      <c r="D1052" s="151" t="str">
        <f t="shared" si="197"/>
        <v>粉</v>
      </c>
      <c r="E1052" s="151">
        <f t="shared" si="198"/>
        <v>5</v>
      </c>
      <c r="F1052" s="151">
        <f t="shared" si="199"/>
        <v>50701</v>
      </c>
      <c r="G1052" s="151">
        <f t="shared" si="200"/>
        <v>3</v>
      </c>
      <c r="H1052" s="151">
        <f t="shared" si="201"/>
        <v>100</v>
      </c>
    </row>
    <row r="1053" ht="17.25" spans="4:8">
      <c r="D1053" s="151" t="str">
        <f t="shared" ref="D1053:D1078" si="202">D1035</f>
        <v>粉</v>
      </c>
      <c r="E1053" s="151">
        <f t="shared" ref="E1053:E1078" si="203">E1035+1</f>
        <v>5</v>
      </c>
      <c r="F1053" s="151">
        <f t="shared" ref="F1053:F1078" si="204">IF(F1035="","",F1035+10000)</f>
        <v>50702</v>
      </c>
      <c r="G1053" s="151">
        <f t="shared" ref="G1053:G1078" si="205">G1035</f>
        <v>1</v>
      </c>
      <c r="H1053" s="151">
        <f t="shared" ref="H1053:H1078" si="206">H1035</f>
        <v>200</v>
      </c>
    </row>
    <row r="1054" ht="17.25" spans="4:8">
      <c r="D1054" s="151" t="str">
        <f t="shared" si="202"/>
        <v>粉</v>
      </c>
      <c r="E1054" s="151">
        <f t="shared" si="203"/>
        <v>5</v>
      </c>
      <c r="F1054" s="151">
        <f t="shared" si="204"/>
        <v>50703</v>
      </c>
      <c r="G1054" s="151">
        <f t="shared" si="205"/>
        <v>1</v>
      </c>
      <c r="H1054" s="151">
        <f t="shared" si="206"/>
        <v>14</v>
      </c>
    </row>
    <row r="1055" ht="17.25" spans="4:8">
      <c r="D1055" s="151" t="str">
        <f t="shared" si="202"/>
        <v>彩</v>
      </c>
      <c r="E1055" s="151">
        <f t="shared" si="203"/>
        <v>5</v>
      </c>
      <c r="F1055" s="151" t="str">
        <f t="shared" si="204"/>
        <v/>
      </c>
      <c r="G1055" s="151">
        <f t="shared" si="205"/>
        <v>0</v>
      </c>
      <c r="H1055" s="151">
        <f t="shared" si="206"/>
        <v>8000</v>
      </c>
    </row>
    <row r="1056" ht="17.25" spans="4:8">
      <c r="D1056" s="151" t="str">
        <f t="shared" si="202"/>
        <v>彩</v>
      </c>
      <c r="E1056" s="151">
        <f t="shared" si="203"/>
        <v>5</v>
      </c>
      <c r="F1056" s="151">
        <f t="shared" si="204"/>
        <v>50801</v>
      </c>
      <c r="G1056" s="151">
        <f t="shared" si="205"/>
        <v>1</v>
      </c>
      <c r="H1056" s="151">
        <f t="shared" si="206"/>
        <v>1274</v>
      </c>
    </row>
    <row r="1057" ht="17.25" spans="4:8">
      <c r="D1057" s="151" t="str">
        <f t="shared" si="202"/>
        <v>彩</v>
      </c>
      <c r="E1057" s="151">
        <f t="shared" si="203"/>
        <v>5</v>
      </c>
      <c r="F1057" s="151">
        <f t="shared" si="204"/>
        <v>50801</v>
      </c>
      <c r="G1057" s="151">
        <f t="shared" si="205"/>
        <v>2</v>
      </c>
      <c r="H1057" s="151">
        <f t="shared" si="206"/>
        <v>400</v>
      </c>
    </row>
    <row r="1058" ht="17.25" spans="4:8">
      <c r="D1058" s="151" t="str">
        <f t="shared" si="202"/>
        <v>彩</v>
      </c>
      <c r="E1058" s="151">
        <f t="shared" si="203"/>
        <v>5</v>
      </c>
      <c r="F1058" s="151">
        <f t="shared" si="204"/>
        <v>50801</v>
      </c>
      <c r="G1058" s="151">
        <f t="shared" si="205"/>
        <v>3</v>
      </c>
      <c r="H1058" s="151">
        <f t="shared" si="206"/>
        <v>100</v>
      </c>
    </row>
    <row r="1059" ht="17.25" spans="4:8">
      <c r="D1059" s="151" t="str">
        <f t="shared" si="202"/>
        <v>彩</v>
      </c>
      <c r="E1059" s="151">
        <f t="shared" si="203"/>
        <v>5</v>
      </c>
      <c r="F1059" s="151">
        <f t="shared" si="204"/>
        <v>50802</v>
      </c>
      <c r="G1059" s="151">
        <f t="shared" si="205"/>
        <v>1</v>
      </c>
      <c r="H1059" s="151">
        <f t="shared" si="206"/>
        <v>200</v>
      </c>
    </row>
    <row r="1060" ht="17.25" spans="4:8">
      <c r="D1060" s="151" t="str">
        <f t="shared" si="202"/>
        <v>彩</v>
      </c>
      <c r="E1060" s="151">
        <f t="shared" si="203"/>
        <v>5</v>
      </c>
      <c r="F1060" s="151">
        <f t="shared" si="204"/>
        <v>50803</v>
      </c>
      <c r="G1060" s="151">
        <f t="shared" si="205"/>
        <v>1</v>
      </c>
      <c r="H1060" s="151">
        <f t="shared" si="206"/>
        <v>26</v>
      </c>
    </row>
    <row r="1061" ht="17.25" spans="4:8">
      <c r="D1061" s="151" t="str">
        <f t="shared" si="202"/>
        <v>橙</v>
      </c>
      <c r="E1061" s="151">
        <f t="shared" si="203"/>
        <v>6</v>
      </c>
      <c r="F1061" s="151" t="str">
        <f t="shared" si="204"/>
        <v/>
      </c>
      <c r="G1061" s="151">
        <f t="shared" si="205"/>
        <v>0</v>
      </c>
      <c r="H1061" s="151">
        <f t="shared" si="206"/>
        <v>8000</v>
      </c>
    </row>
    <row r="1062" ht="17.25" spans="4:8">
      <c r="D1062" s="151" t="str">
        <f t="shared" si="202"/>
        <v>橙</v>
      </c>
      <c r="E1062" s="151">
        <f t="shared" si="203"/>
        <v>6</v>
      </c>
      <c r="F1062" s="151">
        <f t="shared" si="204"/>
        <v>60501</v>
      </c>
      <c r="G1062" s="151">
        <f t="shared" si="205"/>
        <v>1</v>
      </c>
      <c r="H1062" s="151">
        <f t="shared" si="206"/>
        <v>2000</v>
      </c>
    </row>
    <row r="1063" ht="17.25" spans="4:8">
      <c r="D1063" s="151" t="str">
        <f t="shared" si="202"/>
        <v>红</v>
      </c>
      <c r="E1063" s="151">
        <f t="shared" si="203"/>
        <v>6</v>
      </c>
      <c r="F1063" s="151" t="str">
        <f t="shared" si="204"/>
        <v/>
      </c>
      <c r="G1063" s="151">
        <f t="shared" si="205"/>
        <v>0</v>
      </c>
      <c r="H1063" s="151">
        <f t="shared" si="206"/>
        <v>8000</v>
      </c>
    </row>
    <row r="1064" ht="17.25" spans="4:8">
      <c r="D1064" s="151" t="str">
        <f t="shared" si="202"/>
        <v>红</v>
      </c>
      <c r="E1064" s="151">
        <f t="shared" si="203"/>
        <v>6</v>
      </c>
      <c r="F1064" s="151">
        <f t="shared" si="204"/>
        <v>60601</v>
      </c>
      <c r="G1064" s="151">
        <f t="shared" si="205"/>
        <v>1</v>
      </c>
      <c r="H1064" s="151">
        <f t="shared" si="206"/>
        <v>1400</v>
      </c>
    </row>
    <row r="1065" ht="17.25" spans="4:8">
      <c r="D1065" s="151" t="str">
        <f t="shared" si="202"/>
        <v>红</v>
      </c>
      <c r="E1065" s="151">
        <f t="shared" si="203"/>
        <v>6</v>
      </c>
      <c r="F1065" s="151">
        <f t="shared" si="204"/>
        <v>60601</v>
      </c>
      <c r="G1065" s="151">
        <f t="shared" si="205"/>
        <v>2</v>
      </c>
      <c r="H1065" s="151">
        <f t="shared" si="206"/>
        <v>400</v>
      </c>
    </row>
    <row r="1066" ht="17.25" spans="4:8">
      <c r="D1066" s="151" t="str">
        <f t="shared" si="202"/>
        <v>红</v>
      </c>
      <c r="E1066" s="151">
        <f t="shared" si="203"/>
        <v>6</v>
      </c>
      <c r="F1066" s="151">
        <f t="shared" si="204"/>
        <v>60602</v>
      </c>
      <c r="G1066" s="151">
        <f t="shared" si="205"/>
        <v>1</v>
      </c>
      <c r="H1066" s="151">
        <f t="shared" si="206"/>
        <v>200</v>
      </c>
    </row>
    <row r="1067" ht="17.25" spans="4:8">
      <c r="D1067" s="151" t="str">
        <f t="shared" si="202"/>
        <v>粉</v>
      </c>
      <c r="E1067" s="151">
        <f t="shared" si="203"/>
        <v>6</v>
      </c>
      <c r="F1067" s="151" t="str">
        <f t="shared" si="204"/>
        <v/>
      </c>
      <c r="G1067" s="151">
        <f t="shared" si="205"/>
        <v>0</v>
      </c>
      <c r="H1067" s="151">
        <f t="shared" si="206"/>
        <v>8000</v>
      </c>
    </row>
    <row r="1068" ht="17.25" spans="4:8">
      <c r="D1068" s="151" t="str">
        <f t="shared" si="202"/>
        <v>粉</v>
      </c>
      <c r="E1068" s="151">
        <f t="shared" si="203"/>
        <v>6</v>
      </c>
      <c r="F1068" s="151">
        <f t="shared" si="204"/>
        <v>60701</v>
      </c>
      <c r="G1068" s="151">
        <f t="shared" si="205"/>
        <v>1</v>
      </c>
      <c r="H1068" s="151">
        <f t="shared" si="206"/>
        <v>1286</v>
      </c>
    </row>
    <row r="1069" ht="17.25" spans="4:8">
      <c r="D1069" s="151" t="str">
        <f t="shared" si="202"/>
        <v>粉</v>
      </c>
      <c r="E1069" s="151">
        <f t="shared" si="203"/>
        <v>6</v>
      </c>
      <c r="F1069" s="151">
        <f t="shared" si="204"/>
        <v>60701</v>
      </c>
      <c r="G1069" s="151">
        <f t="shared" si="205"/>
        <v>2</v>
      </c>
      <c r="H1069" s="151">
        <f t="shared" si="206"/>
        <v>400</v>
      </c>
    </row>
    <row r="1070" ht="17.25" spans="4:8">
      <c r="D1070" s="151" t="str">
        <f t="shared" si="202"/>
        <v>粉</v>
      </c>
      <c r="E1070" s="151">
        <f t="shared" si="203"/>
        <v>6</v>
      </c>
      <c r="F1070" s="151">
        <f t="shared" si="204"/>
        <v>60701</v>
      </c>
      <c r="G1070" s="151">
        <f t="shared" si="205"/>
        <v>3</v>
      </c>
      <c r="H1070" s="151">
        <f t="shared" si="206"/>
        <v>100</v>
      </c>
    </row>
    <row r="1071" ht="17.25" spans="4:8">
      <c r="D1071" s="151" t="str">
        <f t="shared" si="202"/>
        <v>粉</v>
      </c>
      <c r="E1071" s="151">
        <f t="shared" si="203"/>
        <v>6</v>
      </c>
      <c r="F1071" s="151">
        <f t="shared" si="204"/>
        <v>60702</v>
      </c>
      <c r="G1071" s="151">
        <f t="shared" si="205"/>
        <v>1</v>
      </c>
      <c r="H1071" s="151">
        <f t="shared" si="206"/>
        <v>200</v>
      </c>
    </row>
    <row r="1072" ht="17.25" spans="4:8">
      <c r="D1072" s="151" t="str">
        <f t="shared" si="202"/>
        <v>粉</v>
      </c>
      <c r="E1072" s="151">
        <f t="shared" si="203"/>
        <v>6</v>
      </c>
      <c r="F1072" s="151">
        <f t="shared" si="204"/>
        <v>60703</v>
      </c>
      <c r="G1072" s="151">
        <f t="shared" si="205"/>
        <v>1</v>
      </c>
      <c r="H1072" s="151">
        <f t="shared" si="206"/>
        <v>14</v>
      </c>
    </row>
    <row r="1073" ht="17.25" spans="4:16">
      <c r="D1073" s="151" t="str">
        <f t="shared" si="202"/>
        <v>彩</v>
      </c>
      <c r="E1073" s="151">
        <f t="shared" si="203"/>
        <v>6</v>
      </c>
      <c r="F1073" s="151" t="str">
        <f t="shared" si="204"/>
        <v/>
      </c>
      <c r="G1073" s="151">
        <f t="shared" si="205"/>
        <v>0</v>
      </c>
      <c r="H1073" s="151">
        <f t="shared" si="206"/>
        <v>8000</v>
      </c>
    </row>
    <row r="1074" ht="17.25" spans="4:16">
      <c r="D1074" s="151" t="str">
        <f t="shared" si="202"/>
        <v>彩</v>
      </c>
      <c r="E1074" s="151">
        <f t="shared" si="203"/>
        <v>6</v>
      </c>
      <c r="F1074" s="151">
        <f t="shared" si="204"/>
        <v>60801</v>
      </c>
      <c r="G1074" s="151">
        <f t="shared" si="205"/>
        <v>1</v>
      </c>
      <c r="H1074" s="151">
        <f t="shared" si="206"/>
        <v>1274</v>
      </c>
    </row>
    <row r="1075" ht="17.25" spans="4:16">
      <c r="D1075" s="151" t="str">
        <f t="shared" si="202"/>
        <v>彩</v>
      </c>
      <c r="E1075" s="151">
        <f t="shared" si="203"/>
        <v>6</v>
      </c>
      <c r="F1075" s="151">
        <f t="shared" si="204"/>
        <v>60801</v>
      </c>
      <c r="G1075" s="151">
        <f t="shared" si="205"/>
        <v>2</v>
      </c>
      <c r="H1075" s="151">
        <f t="shared" si="206"/>
        <v>400</v>
      </c>
    </row>
    <row r="1076" ht="17.25" spans="4:16">
      <c r="D1076" s="151" t="str">
        <f t="shared" si="202"/>
        <v>彩</v>
      </c>
      <c r="E1076" s="151">
        <f t="shared" si="203"/>
        <v>6</v>
      </c>
      <c r="F1076" s="151">
        <f t="shared" si="204"/>
        <v>60801</v>
      </c>
      <c r="G1076" s="151">
        <f t="shared" si="205"/>
        <v>3</v>
      </c>
      <c r="H1076" s="151">
        <f t="shared" si="206"/>
        <v>100</v>
      </c>
    </row>
    <row r="1077" ht="17.25" spans="4:16">
      <c r="D1077" s="151" t="str">
        <f t="shared" si="202"/>
        <v>彩</v>
      </c>
      <c r="E1077" s="151">
        <f t="shared" si="203"/>
        <v>6</v>
      </c>
      <c r="F1077" s="151">
        <f t="shared" si="204"/>
        <v>60802</v>
      </c>
      <c r="G1077" s="151">
        <f t="shared" si="205"/>
        <v>1</v>
      </c>
      <c r="H1077" s="151">
        <f t="shared" si="206"/>
        <v>200</v>
      </c>
    </row>
    <row r="1078" ht="17.25" spans="4:16">
      <c r="D1078" s="151" t="str">
        <f t="shared" si="202"/>
        <v>彩</v>
      </c>
      <c r="E1078" s="151">
        <f t="shared" si="203"/>
        <v>6</v>
      </c>
      <c r="F1078" s="151">
        <f t="shared" si="204"/>
        <v>60803</v>
      </c>
      <c r="G1078" s="151">
        <f t="shared" si="205"/>
        <v>1</v>
      </c>
      <c r="H1078" s="151">
        <f t="shared" si="206"/>
        <v>26</v>
      </c>
    </row>
    <row r="1082" spans="4:16">
      <c r="D1082" s="74" t="s">
        <v>204</v>
      </c>
    </row>
    <row r="1083" ht="18" spans="4:16">
      <c r="D1083" s="182" t="s">
        <v>49</v>
      </c>
      <c r="E1083" s="182" t="s">
        <v>205</v>
      </c>
      <c r="F1083" s="182" t="s">
        <v>201</v>
      </c>
      <c r="G1083" s="182" t="s">
        <v>206</v>
      </c>
      <c r="H1083" s="182" t="s">
        <v>154</v>
      </c>
      <c r="I1083" s="182" t="s">
        <v>207</v>
      </c>
      <c r="J1083" s="182" t="s">
        <v>155</v>
      </c>
      <c r="K1083" s="183" t="s">
        <v>208</v>
      </c>
      <c r="L1083" s="182" t="s">
        <v>209</v>
      </c>
      <c r="M1083" s="74" t="s">
        <v>210</v>
      </c>
      <c r="N1083" s="74" t="s">
        <v>211</v>
      </c>
      <c r="O1083" s="74" t="s">
        <v>212</v>
      </c>
    </row>
    <row r="1084" ht="18" spans="4:16">
      <c r="D1084" s="89"/>
      <c r="E1084" s="89" t="s">
        <v>213</v>
      </c>
      <c r="F1084" s="89" t="s">
        <v>214</v>
      </c>
      <c r="G1084" s="89" t="str">
        <f>"全职小队"&amp;RIGHT(G1086,1)</f>
        <v>全职小队Ⅰ</v>
      </c>
      <c r="H1084" s="184" t="s">
        <v>215</v>
      </c>
      <c r="I1084" s="185" t="s">
        <v>216</v>
      </c>
      <c r="J1084" s="185">
        <v>1000</v>
      </c>
      <c r="K1084" s="186">
        <v>0.03</v>
      </c>
      <c r="L1084" s="187">
        <v>0.042</v>
      </c>
      <c r="M1084" s="188" t="s">
        <v>217</v>
      </c>
      <c r="N1084" s="188">
        <v>1</v>
      </c>
      <c r="O1084" s="74">
        <v>10000</v>
      </c>
      <c r="P1084" s="74">
        <v>2</v>
      </c>
    </row>
    <row r="1085" ht="18" spans="4:16">
      <c r="D1085" s="89" t="s">
        <v>32</v>
      </c>
      <c r="E1085" s="89" t="s">
        <v>213</v>
      </c>
      <c r="F1085" s="89" t="s">
        <v>214</v>
      </c>
      <c r="G1085" s="89" t="s">
        <v>218</v>
      </c>
      <c r="H1085" s="189" t="s">
        <v>219</v>
      </c>
      <c r="I1085" s="190" t="s">
        <v>220</v>
      </c>
      <c r="J1085" s="190">
        <v>1000</v>
      </c>
      <c r="K1085" s="187">
        <v>0.01</v>
      </c>
      <c r="L1085" s="187">
        <v>0.014</v>
      </c>
      <c r="M1085" s="188" t="s">
        <v>217</v>
      </c>
      <c r="N1085" s="188">
        <v>2</v>
      </c>
      <c r="O1085" s="74">
        <v>10000</v>
      </c>
      <c r="P1085" s="74">
        <v>6</v>
      </c>
    </row>
    <row r="1086" ht="18" spans="4:16">
      <c r="D1086" s="89" t="s">
        <v>32</v>
      </c>
      <c r="E1086" s="191" t="s">
        <v>213</v>
      </c>
      <c r="F1086" s="89" t="s">
        <v>214</v>
      </c>
      <c r="G1086" s="191" t="s">
        <v>221</v>
      </c>
      <c r="H1086" s="192" t="s">
        <v>222</v>
      </c>
      <c r="I1086" s="193" t="s">
        <v>223</v>
      </c>
      <c r="J1086" s="193">
        <v>1000</v>
      </c>
      <c r="K1086" s="194">
        <v>0.03</v>
      </c>
      <c r="L1086" s="194">
        <v>0.042</v>
      </c>
      <c r="M1086" s="188" t="s">
        <v>217</v>
      </c>
      <c r="N1086" s="188">
        <v>3</v>
      </c>
      <c r="O1086" s="74">
        <v>10000</v>
      </c>
      <c r="P1086" s="74">
        <v>2</v>
      </c>
    </row>
    <row r="1087" ht="18" spans="4:16">
      <c r="D1087" s="195"/>
      <c r="E1087" s="195" t="s">
        <v>213</v>
      </c>
      <c r="F1087" s="89" t="s">
        <v>214</v>
      </c>
      <c r="G1087" s="195" t="s">
        <v>224</v>
      </c>
      <c r="H1087" s="196" t="s">
        <v>225</v>
      </c>
      <c r="I1087" s="197" t="s">
        <v>226</v>
      </c>
      <c r="J1087" s="198">
        <v>1000</v>
      </c>
      <c r="K1087" s="199">
        <f>L1087</f>
        <v>0.2</v>
      </c>
      <c r="L1087" s="200">
        <v>0.2</v>
      </c>
      <c r="M1087" s="188" t="s">
        <v>227</v>
      </c>
      <c r="N1087" s="188">
        <v>4</v>
      </c>
      <c r="O1087" s="74">
        <v>10000</v>
      </c>
      <c r="P1087" s="74">
        <v>9</v>
      </c>
    </row>
    <row r="1088" ht="18" spans="4:16">
      <c r="D1088" s="195"/>
      <c r="E1088" s="195" t="s">
        <v>213</v>
      </c>
      <c r="F1088" s="89" t="s">
        <v>214</v>
      </c>
      <c r="G1088" s="195" t="s">
        <v>228</v>
      </c>
      <c r="H1088" s="196" t="s">
        <v>229</v>
      </c>
      <c r="I1088" s="197" t="s">
        <v>230</v>
      </c>
      <c r="J1088" s="198">
        <v>1000</v>
      </c>
      <c r="K1088" s="199">
        <f>L1088</f>
        <v>0.25</v>
      </c>
      <c r="L1088" s="200">
        <v>0.25</v>
      </c>
      <c r="M1088" s="188" t="s">
        <v>227</v>
      </c>
      <c r="N1088" s="188">
        <v>5</v>
      </c>
      <c r="O1088" s="74">
        <v>10000</v>
      </c>
      <c r="P1088" s="74">
        <v>7</v>
      </c>
    </row>
    <row r="1089" ht="18" spans="4:16">
      <c r="D1089" s="195"/>
      <c r="E1089" s="195" t="s">
        <v>213</v>
      </c>
      <c r="F1089" s="89" t="s">
        <v>214</v>
      </c>
      <c r="G1089" s="195" t="s">
        <v>231</v>
      </c>
      <c r="H1089" s="196" t="s">
        <v>232</v>
      </c>
      <c r="I1089" s="197" t="s">
        <v>233</v>
      </c>
      <c r="J1089" s="198">
        <v>1000</v>
      </c>
      <c r="K1089" s="199">
        <f>L1089</f>
        <v>0.5</v>
      </c>
      <c r="L1089" s="200">
        <v>0.5</v>
      </c>
      <c r="M1089" s="188" t="s">
        <v>227</v>
      </c>
      <c r="N1089" s="188">
        <v>6</v>
      </c>
      <c r="O1089" s="74">
        <v>10000</v>
      </c>
      <c r="P1089" s="74">
        <v>8</v>
      </c>
    </row>
    <row r="1090" ht="18" spans="4:16">
      <c r="D1090" s="89"/>
      <c r="E1090" s="89" t="s">
        <v>213</v>
      </c>
      <c r="F1090" s="89" t="s">
        <v>214</v>
      </c>
      <c r="G1090" s="89" t="s">
        <v>234</v>
      </c>
      <c r="H1090" s="189" t="s">
        <v>235</v>
      </c>
      <c r="I1090" s="190" t="s">
        <v>236</v>
      </c>
      <c r="J1090" s="190">
        <v>1000</v>
      </c>
      <c r="K1090" s="187">
        <v>0.044</v>
      </c>
      <c r="L1090" s="187">
        <v>0.058</v>
      </c>
      <c r="M1090" s="188" t="s">
        <v>237</v>
      </c>
      <c r="N1090" s="188">
        <v>7</v>
      </c>
      <c r="O1090" s="74">
        <v>10000</v>
      </c>
      <c r="P1090" s="74">
        <v>1</v>
      </c>
    </row>
    <row r="1091" ht="18" spans="4:16">
      <c r="D1091" s="89" t="s">
        <v>32</v>
      </c>
      <c r="E1091" s="89" t="s">
        <v>213</v>
      </c>
      <c r="F1091" s="89" t="s">
        <v>214</v>
      </c>
      <c r="G1091" s="89" t="s">
        <v>238</v>
      </c>
      <c r="H1091" s="189" t="s">
        <v>239</v>
      </c>
      <c r="I1091" s="190" t="s">
        <v>240</v>
      </c>
      <c r="J1091" s="190">
        <v>1000</v>
      </c>
      <c r="K1091" s="187">
        <v>0.015</v>
      </c>
      <c r="L1091" s="187">
        <v>0.019</v>
      </c>
      <c r="M1091" s="188" t="s">
        <v>217</v>
      </c>
      <c r="N1091" s="188">
        <v>8</v>
      </c>
      <c r="O1091" s="74">
        <v>10000</v>
      </c>
      <c r="P1091" s="74">
        <v>6</v>
      </c>
    </row>
    <row r="1092" ht="18" spans="4:16">
      <c r="D1092" s="89" t="s">
        <v>32</v>
      </c>
      <c r="E1092" s="89" t="s">
        <v>213</v>
      </c>
      <c r="F1092" s="89" t="s">
        <v>214</v>
      </c>
      <c r="G1092" s="89" t="s">
        <v>241</v>
      </c>
      <c r="H1092" s="189" t="s">
        <v>94</v>
      </c>
      <c r="I1092" s="190" t="s">
        <v>242</v>
      </c>
      <c r="J1092" s="190">
        <v>1000</v>
      </c>
      <c r="K1092" s="187">
        <v>0.044</v>
      </c>
      <c r="L1092" s="187">
        <v>0.058</v>
      </c>
      <c r="M1092" s="188" t="s">
        <v>217</v>
      </c>
      <c r="N1092" s="188">
        <v>9</v>
      </c>
      <c r="O1092" s="74">
        <v>10000</v>
      </c>
      <c r="P1092" s="74">
        <v>5</v>
      </c>
    </row>
    <row r="1093" ht="18" spans="4:16">
      <c r="D1093" s="195"/>
      <c r="E1093" s="195" t="s">
        <v>213</v>
      </c>
      <c r="F1093" s="195" t="s">
        <v>214</v>
      </c>
      <c r="G1093" s="195" t="s">
        <v>243</v>
      </c>
      <c r="H1093" s="201" t="s">
        <v>244</v>
      </c>
      <c r="I1093" s="197" t="s">
        <v>245</v>
      </c>
      <c r="J1093" s="197">
        <v>1000</v>
      </c>
      <c r="K1093" s="200">
        <v>0.06</v>
      </c>
      <c r="L1093" s="200">
        <v>0.075</v>
      </c>
      <c r="M1093" s="188" t="s">
        <v>217</v>
      </c>
      <c r="N1093" s="188">
        <v>10</v>
      </c>
      <c r="O1093" s="74">
        <v>10000</v>
      </c>
      <c r="P1093" s="74">
        <v>3</v>
      </c>
    </row>
    <row r="1094" ht="18" spans="4:16">
      <c r="D1094" s="195" t="s">
        <v>32</v>
      </c>
      <c r="E1094" s="195" t="s">
        <v>213</v>
      </c>
      <c r="F1094" s="195" t="s">
        <v>214</v>
      </c>
      <c r="G1094" s="195" t="s">
        <v>246</v>
      </c>
      <c r="H1094" s="201" t="s">
        <v>247</v>
      </c>
      <c r="I1094" s="202" t="str">
        <f>_xlfn.XLOOKUP(H1094,Sheet2!B:B,Sheet2!C:C)</f>
        <v>战士暴击伤害</v>
      </c>
      <c r="J1094" s="202">
        <v>1000</v>
      </c>
      <c r="K1094" s="203">
        <v>0.2</v>
      </c>
      <c r="L1094" s="200">
        <v>0.24</v>
      </c>
      <c r="M1094" s="188" t="s">
        <v>217</v>
      </c>
      <c r="N1094" s="188">
        <v>10</v>
      </c>
      <c r="O1094" s="74">
        <v>10000</v>
      </c>
      <c r="P1094" s="74">
        <v>4</v>
      </c>
    </row>
    <row r="1095" ht="18" spans="4:16">
      <c r="D1095" s="195"/>
      <c r="E1095" s="195" t="s">
        <v>213</v>
      </c>
      <c r="F1095" s="195" t="s">
        <v>214</v>
      </c>
      <c r="G1095" s="195" t="s">
        <v>248</v>
      </c>
      <c r="H1095" s="201" t="s">
        <v>249</v>
      </c>
      <c r="I1095" s="197" t="s">
        <v>250</v>
      </c>
      <c r="J1095" s="197">
        <v>1000</v>
      </c>
      <c r="K1095" s="200">
        <v>1</v>
      </c>
      <c r="L1095" s="200">
        <v>1</v>
      </c>
      <c r="M1095" s="188" t="s">
        <v>227</v>
      </c>
      <c r="N1095" s="188">
        <v>11</v>
      </c>
      <c r="O1095" s="74">
        <v>10000</v>
      </c>
      <c r="P1095" s="74">
        <v>10</v>
      </c>
    </row>
    <row r="1096" ht="18" spans="4:16">
      <c r="D1096" s="89"/>
      <c r="E1096" s="89" t="s">
        <v>213</v>
      </c>
      <c r="F1096" s="89" t="s">
        <v>214</v>
      </c>
      <c r="G1096" s="89" t="str">
        <f>"全职小队"&amp;RIGHT(G1098,1)</f>
        <v>全职小队Ⅱ</v>
      </c>
      <c r="H1096" s="189" t="s">
        <v>215</v>
      </c>
      <c r="I1096" s="190" t="s">
        <v>216</v>
      </c>
      <c r="J1096" s="190">
        <v>1000</v>
      </c>
      <c r="K1096" s="187">
        <v>0.044</v>
      </c>
      <c r="L1096" s="187">
        <v>0.058</v>
      </c>
      <c r="M1096" s="188" t="s">
        <v>217</v>
      </c>
      <c r="N1096" s="188">
        <v>12</v>
      </c>
      <c r="O1096" s="74">
        <v>10000</v>
      </c>
      <c r="P1096" s="74">
        <v>2</v>
      </c>
    </row>
    <row r="1097" ht="18" spans="4:16">
      <c r="D1097" s="89" t="s">
        <v>33</v>
      </c>
      <c r="E1097" s="89" t="s">
        <v>213</v>
      </c>
      <c r="F1097" s="89" t="s">
        <v>214</v>
      </c>
      <c r="G1097" s="89" t="s">
        <v>251</v>
      </c>
      <c r="H1097" s="189" t="s">
        <v>219</v>
      </c>
      <c r="I1097" s="190" t="s">
        <v>220</v>
      </c>
      <c r="J1097" s="190">
        <v>1000</v>
      </c>
      <c r="K1097" s="187">
        <v>0.015</v>
      </c>
      <c r="L1097" s="187">
        <v>0.019</v>
      </c>
      <c r="M1097" s="188" t="s">
        <v>217</v>
      </c>
      <c r="N1097" s="188">
        <v>13</v>
      </c>
      <c r="O1097" s="74">
        <v>10000</v>
      </c>
      <c r="P1097" s="74">
        <v>6</v>
      </c>
    </row>
    <row r="1098" ht="18" spans="4:16">
      <c r="D1098" s="89" t="s">
        <v>33</v>
      </c>
      <c r="E1098" s="195" t="s">
        <v>213</v>
      </c>
      <c r="F1098" s="89" t="s">
        <v>214</v>
      </c>
      <c r="G1098" s="195" t="s">
        <v>252</v>
      </c>
      <c r="H1098" s="197" t="s">
        <v>222</v>
      </c>
      <c r="I1098" s="197" t="s">
        <v>223</v>
      </c>
      <c r="J1098" s="197">
        <v>1000</v>
      </c>
      <c r="K1098" s="200">
        <v>0.044</v>
      </c>
      <c r="L1098" s="200">
        <v>0.058</v>
      </c>
      <c r="M1098" s="188" t="s">
        <v>217</v>
      </c>
      <c r="N1098" s="188">
        <v>14</v>
      </c>
      <c r="O1098" s="74">
        <v>10000</v>
      </c>
      <c r="P1098" s="74">
        <v>2</v>
      </c>
    </row>
    <row r="1099" ht="18" spans="4:16">
      <c r="D1099" s="195"/>
      <c r="E1099" s="195" t="s">
        <v>213</v>
      </c>
      <c r="F1099" s="89" t="s">
        <v>214</v>
      </c>
      <c r="G1099" s="195" t="s">
        <v>224</v>
      </c>
      <c r="H1099" s="197" t="s">
        <v>225</v>
      </c>
      <c r="I1099" s="197" t="s">
        <v>226</v>
      </c>
      <c r="J1099" s="198">
        <v>1000</v>
      </c>
      <c r="K1099" s="199">
        <f>L1099</f>
        <v>0.2</v>
      </c>
      <c r="L1099" s="200">
        <v>0.2</v>
      </c>
      <c r="M1099" s="188" t="s">
        <v>227</v>
      </c>
      <c r="N1099" s="188">
        <v>15</v>
      </c>
      <c r="O1099" s="74">
        <v>10000</v>
      </c>
      <c r="P1099" s="74">
        <v>9</v>
      </c>
    </row>
    <row r="1100" ht="18" spans="4:16">
      <c r="D1100" s="195"/>
      <c r="E1100" s="195" t="s">
        <v>213</v>
      </c>
      <c r="F1100" s="89" t="s">
        <v>214</v>
      </c>
      <c r="G1100" s="195" t="s">
        <v>228</v>
      </c>
      <c r="H1100" s="197" t="s">
        <v>229</v>
      </c>
      <c r="I1100" s="197" t="s">
        <v>230</v>
      </c>
      <c r="J1100" s="198">
        <v>1000</v>
      </c>
      <c r="K1100" s="199">
        <f>L1100</f>
        <v>0.25</v>
      </c>
      <c r="L1100" s="200">
        <v>0.25</v>
      </c>
      <c r="M1100" s="188" t="s">
        <v>227</v>
      </c>
      <c r="N1100" s="188">
        <v>16</v>
      </c>
      <c r="O1100" s="74">
        <v>10000</v>
      </c>
      <c r="P1100" s="74">
        <v>7</v>
      </c>
    </row>
    <row r="1101" ht="18" spans="4:16">
      <c r="D1101" s="195"/>
      <c r="E1101" s="195" t="s">
        <v>213</v>
      </c>
      <c r="F1101" s="89" t="s">
        <v>214</v>
      </c>
      <c r="G1101" s="195" t="s">
        <v>231</v>
      </c>
      <c r="H1101" s="197" t="s">
        <v>232</v>
      </c>
      <c r="I1101" s="197" t="s">
        <v>233</v>
      </c>
      <c r="J1101" s="198">
        <v>1000</v>
      </c>
      <c r="K1101" s="199">
        <f>L1101</f>
        <v>0.5</v>
      </c>
      <c r="L1101" s="200">
        <v>0.5</v>
      </c>
      <c r="M1101" s="188" t="s">
        <v>227</v>
      </c>
      <c r="N1101" s="188">
        <v>17</v>
      </c>
      <c r="O1101" s="74">
        <v>10000</v>
      </c>
      <c r="P1101" s="74">
        <v>8</v>
      </c>
    </row>
    <row r="1102" ht="18" spans="4:16">
      <c r="D1102" s="89"/>
      <c r="E1102" s="89" t="s">
        <v>213</v>
      </c>
      <c r="F1102" s="89" t="s">
        <v>214</v>
      </c>
      <c r="G1102" s="189" t="s">
        <v>253</v>
      </c>
      <c r="H1102" s="89" t="s">
        <v>235</v>
      </c>
      <c r="I1102" s="190" t="s">
        <v>236</v>
      </c>
      <c r="J1102" s="190">
        <v>1000</v>
      </c>
      <c r="K1102" s="187">
        <v>0.058</v>
      </c>
      <c r="L1102" s="187">
        <v>0.072</v>
      </c>
      <c r="M1102" s="188" t="s">
        <v>237</v>
      </c>
      <c r="N1102" s="188">
        <v>18</v>
      </c>
      <c r="O1102" s="74">
        <v>10000</v>
      </c>
      <c r="P1102" s="74">
        <v>1</v>
      </c>
    </row>
    <row r="1103" ht="18" spans="4:16">
      <c r="D1103" s="89" t="s">
        <v>33</v>
      </c>
      <c r="E1103" s="89" t="s">
        <v>213</v>
      </c>
      <c r="F1103" s="89" t="s">
        <v>214</v>
      </c>
      <c r="G1103" s="189" t="s">
        <v>254</v>
      </c>
      <c r="H1103" s="89" t="s">
        <v>239</v>
      </c>
      <c r="I1103" s="190" t="s">
        <v>240</v>
      </c>
      <c r="J1103" s="190">
        <v>1000</v>
      </c>
      <c r="K1103" s="187">
        <v>0.02</v>
      </c>
      <c r="L1103" s="187">
        <v>0.024</v>
      </c>
      <c r="M1103" s="188" t="s">
        <v>217</v>
      </c>
      <c r="N1103" s="188">
        <v>19</v>
      </c>
      <c r="O1103" s="74">
        <v>10000</v>
      </c>
      <c r="P1103" s="74">
        <v>6</v>
      </c>
    </row>
    <row r="1104" ht="18" spans="4:16">
      <c r="D1104" s="89" t="s">
        <v>33</v>
      </c>
      <c r="E1104" s="89" t="s">
        <v>213</v>
      </c>
      <c r="F1104" s="89" t="s">
        <v>214</v>
      </c>
      <c r="G1104" s="189" t="s">
        <v>255</v>
      </c>
      <c r="H1104" s="89" t="s">
        <v>94</v>
      </c>
      <c r="I1104" s="190" t="s">
        <v>242</v>
      </c>
      <c r="J1104" s="190">
        <v>1000</v>
      </c>
      <c r="K1104" s="187">
        <v>0.058</v>
      </c>
      <c r="L1104" s="187">
        <v>0.072</v>
      </c>
      <c r="M1104" s="188" t="s">
        <v>217</v>
      </c>
      <c r="N1104" s="188">
        <v>20</v>
      </c>
      <c r="O1104" s="74">
        <v>10000</v>
      </c>
      <c r="P1104" s="74">
        <v>5</v>
      </c>
    </row>
    <row r="1105" ht="18" spans="4:16">
      <c r="D1105" s="195"/>
      <c r="E1105" s="195" t="s">
        <v>213</v>
      </c>
      <c r="F1105" s="195" t="s">
        <v>214</v>
      </c>
      <c r="G1105" s="201" t="s">
        <v>256</v>
      </c>
      <c r="H1105" s="195" t="s">
        <v>244</v>
      </c>
      <c r="I1105" s="197" t="s">
        <v>245</v>
      </c>
      <c r="J1105" s="197">
        <v>1000</v>
      </c>
      <c r="K1105" s="200">
        <v>0.075</v>
      </c>
      <c r="L1105" s="200">
        <v>0.09</v>
      </c>
      <c r="M1105" s="188" t="s">
        <v>217</v>
      </c>
      <c r="N1105" s="188">
        <v>21</v>
      </c>
      <c r="O1105" s="74">
        <v>10000</v>
      </c>
      <c r="P1105" s="74">
        <v>3</v>
      </c>
    </row>
    <row r="1106" ht="18" spans="4:16">
      <c r="D1106" s="195" t="s">
        <v>33</v>
      </c>
      <c r="E1106" s="195" t="s">
        <v>213</v>
      </c>
      <c r="F1106" s="195" t="s">
        <v>214</v>
      </c>
      <c r="G1106" s="201" t="s">
        <v>257</v>
      </c>
      <c r="H1106" s="195" t="s">
        <v>247</v>
      </c>
      <c r="I1106" s="197" t="str">
        <f>_xlfn.XLOOKUP(H1106,Sheet2!B:B,Sheet2!C:C)</f>
        <v>战士暴击伤害</v>
      </c>
      <c r="J1106" s="197">
        <v>1000</v>
      </c>
      <c r="K1106" s="200">
        <v>0.24</v>
      </c>
      <c r="L1106" s="200">
        <v>0.27</v>
      </c>
      <c r="M1106" s="188" t="s">
        <v>217</v>
      </c>
      <c r="N1106" s="188">
        <v>21</v>
      </c>
      <c r="O1106" s="74">
        <v>10000</v>
      </c>
      <c r="P1106" s="74">
        <v>4</v>
      </c>
    </row>
    <row r="1107" ht="18" spans="4:16">
      <c r="D1107" s="195"/>
      <c r="E1107" s="195" t="s">
        <v>213</v>
      </c>
      <c r="F1107" s="195" t="s">
        <v>214</v>
      </c>
      <c r="G1107" s="195" t="s">
        <v>248</v>
      </c>
      <c r="H1107" s="195" t="s">
        <v>249</v>
      </c>
      <c r="I1107" s="197" t="s">
        <v>250</v>
      </c>
      <c r="J1107" s="197">
        <v>1000</v>
      </c>
      <c r="K1107" s="200">
        <v>1</v>
      </c>
      <c r="L1107" s="200">
        <v>1</v>
      </c>
      <c r="M1107" s="188" t="s">
        <v>227</v>
      </c>
      <c r="N1107" s="188">
        <v>22</v>
      </c>
      <c r="O1107" s="74">
        <v>10000</v>
      </c>
      <c r="P1107" s="74">
        <v>10</v>
      </c>
    </row>
    <row r="1108" ht="18" spans="4:16">
      <c r="D1108" s="89"/>
      <c r="E1108" s="89" t="s">
        <v>258</v>
      </c>
      <c r="F1108" s="89" t="s">
        <v>214</v>
      </c>
      <c r="G1108" s="89" t="str">
        <f>"全职小队"&amp;RIGHT(G1110,1)</f>
        <v>全职小队Ⅲ</v>
      </c>
      <c r="H1108" s="89" t="s">
        <v>215</v>
      </c>
      <c r="I1108" s="190" t="s">
        <v>216</v>
      </c>
      <c r="J1108" s="190">
        <v>1000</v>
      </c>
      <c r="K1108" s="187">
        <v>0.052</v>
      </c>
      <c r="L1108" s="187">
        <v>0.058</v>
      </c>
      <c r="M1108" s="188" t="s">
        <v>217</v>
      </c>
      <c r="N1108" s="188">
        <v>23</v>
      </c>
      <c r="O1108" s="74">
        <v>10000</v>
      </c>
      <c r="P1108" s="74">
        <v>2</v>
      </c>
    </row>
    <row r="1109" ht="18" spans="4:16">
      <c r="D1109" s="89" t="s">
        <v>34</v>
      </c>
      <c r="E1109" s="89" t="s">
        <v>258</v>
      </c>
      <c r="F1109" s="89" t="s">
        <v>214</v>
      </c>
      <c r="G1109" s="189" t="s">
        <v>259</v>
      </c>
      <c r="H1109" s="89" t="s">
        <v>219</v>
      </c>
      <c r="I1109" s="190" t="s">
        <v>220</v>
      </c>
      <c r="J1109" s="190">
        <v>1000</v>
      </c>
      <c r="K1109" s="187">
        <v>0.02</v>
      </c>
      <c r="L1109" s="187">
        <v>0.024</v>
      </c>
      <c r="M1109" s="188" t="s">
        <v>217</v>
      </c>
      <c r="N1109" s="188">
        <v>24</v>
      </c>
      <c r="O1109" s="74">
        <v>10000</v>
      </c>
      <c r="P1109" s="74">
        <v>6</v>
      </c>
    </row>
    <row r="1110" ht="18" spans="4:16">
      <c r="D1110" s="195" t="s">
        <v>34</v>
      </c>
      <c r="E1110" s="195" t="s">
        <v>258</v>
      </c>
      <c r="F1110" s="89" t="s">
        <v>214</v>
      </c>
      <c r="G1110" s="201" t="s">
        <v>260</v>
      </c>
      <c r="H1110" s="204" t="s">
        <v>222</v>
      </c>
      <c r="I1110" s="197" t="s">
        <v>223</v>
      </c>
      <c r="J1110" s="197">
        <v>1000</v>
      </c>
      <c r="K1110" s="200">
        <v>0.052</v>
      </c>
      <c r="L1110" s="200">
        <v>0.058</v>
      </c>
      <c r="M1110" s="188" t="s">
        <v>217</v>
      </c>
      <c r="N1110" s="188">
        <v>25</v>
      </c>
      <c r="O1110" s="74">
        <v>10000</v>
      </c>
      <c r="P1110" s="74">
        <v>2</v>
      </c>
    </row>
    <row r="1111" ht="18" spans="4:16">
      <c r="D1111" s="195"/>
      <c r="E1111" s="195" t="s">
        <v>258</v>
      </c>
      <c r="F1111" s="89" t="s">
        <v>214</v>
      </c>
      <c r="G1111" s="195" t="s">
        <v>224</v>
      </c>
      <c r="H1111" s="197" t="s">
        <v>225</v>
      </c>
      <c r="I1111" s="197" t="s">
        <v>226</v>
      </c>
      <c r="J1111" s="198">
        <v>1000</v>
      </c>
      <c r="K1111" s="199">
        <f>L1111</f>
        <v>0.2</v>
      </c>
      <c r="L1111" s="200">
        <v>0.2</v>
      </c>
      <c r="M1111" s="188" t="s">
        <v>227</v>
      </c>
      <c r="N1111" s="188">
        <v>26</v>
      </c>
      <c r="O1111" s="74">
        <v>10000</v>
      </c>
      <c r="P1111" s="74">
        <v>9</v>
      </c>
    </row>
    <row r="1112" ht="18" spans="4:16">
      <c r="D1112" s="195"/>
      <c r="E1112" s="195" t="s">
        <v>258</v>
      </c>
      <c r="F1112" s="89" t="s">
        <v>214</v>
      </c>
      <c r="G1112" s="195" t="s">
        <v>228</v>
      </c>
      <c r="H1112" s="197" t="s">
        <v>229</v>
      </c>
      <c r="I1112" s="197" t="s">
        <v>230</v>
      </c>
      <c r="J1112" s="198">
        <v>1000</v>
      </c>
      <c r="K1112" s="199">
        <f>L1112</f>
        <v>0.25</v>
      </c>
      <c r="L1112" s="200">
        <v>0.25</v>
      </c>
      <c r="M1112" s="188" t="s">
        <v>227</v>
      </c>
      <c r="N1112" s="188">
        <v>27</v>
      </c>
      <c r="O1112" s="74">
        <v>10000</v>
      </c>
      <c r="P1112" s="74">
        <v>7</v>
      </c>
    </row>
    <row r="1113" ht="18" spans="4:16">
      <c r="D1113" s="195"/>
      <c r="E1113" s="195" t="s">
        <v>258</v>
      </c>
      <c r="F1113" s="89" t="s">
        <v>214</v>
      </c>
      <c r="G1113" s="195" t="s">
        <v>231</v>
      </c>
      <c r="H1113" s="197" t="s">
        <v>232</v>
      </c>
      <c r="I1113" s="197" t="s">
        <v>233</v>
      </c>
      <c r="J1113" s="198">
        <v>1000</v>
      </c>
      <c r="K1113" s="199">
        <f>L1113</f>
        <v>0.5</v>
      </c>
      <c r="L1113" s="200">
        <v>0.5</v>
      </c>
      <c r="M1113" s="188" t="s">
        <v>227</v>
      </c>
      <c r="N1113" s="188">
        <v>28</v>
      </c>
      <c r="O1113" s="74">
        <v>10000</v>
      </c>
      <c r="P1113" s="74">
        <v>8</v>
      </c>
    </row>
    <row r="1114" ht="18" spans="4:16">
      <c r="D1114" s="89" t="s">
        <v>34</v>
      </c>
      <c r="E1114" s="89" t="s">
        <v>258</v>
      </c>
      <c r="F1114" s="89" t="s">
        <v>214</v>
      </c>
      <c r="G1114" s="189" t="s">
        <v>261</v>
      </c>
      <c r="H1114" s="89" t="s">
        <v>235</v>
      </c>
      <c r="I1114" s="190" t="s">
        <v>236</v>
      </c>
      <c r="J1114" s="190">
        <v>1000</v>
      </c>
      <c r="K1114" s="187">
        <v>0.072</v>
      </c>
      <c r="L1114" s="187">
        <v>0.086</v>
      </c>
      <c r="M1114" s="188" t="s">
        <v>237</v>
      </c>
      <c r="N1114" s="188">
        <v>29</v>
      </c>
      <c r="O1114" s="74">
        <v>10000</v>
      </c>
      <c r="P1114" s="74">
        <v>1</v>
      </c>
    </row>
    <row r="1115" ht="18" spans="4:16">
      <c r="D1115" s="89" t="s">
        <v>34</v>
      </c>
      <c r="E1115" s="89" t="s">
        <v>258</v>
      </c>
      <c r="F1115" s="89" t="s">
        <v>214</v>
      </c>
      <c r="G1115" s="189" t="s">
        <v>262</v>
      </c>
      <c r="H1115" s="89" t="s">
        <v>239</v>
      </c>
      <c r="I1115" s="190" t="s">
        <v>240</v>
      </c>
      <c r="J1115" s="190">
        <v>1000</v>
      </c>
      <c r="K1115" s="187">
        <v>0.025</v>
      </c>
      <c r="L1115" s="187">
        <v>0.029</v>
      </c>
      <c r="M1115" s="188" t="s">
        <v>217</v>
      </c>
      <c r="N1115" s="188">
        <v>30</v>
      </c>
      <c r="O1115" s="74">
        <v>10000</v>
      </c>
      <c r="P1115" s="74">
        <v>6</v>
      </c>
    </row>
    <row r="1116" ht="18" spans="4:16">
      <c r="D1116" s="89" t="s">
        <v>34</v>
      </c>
      <c r="E1116" s="89" t="s">
        <v>258</v>
      </c>
      <c r="F1116" s="89" t="s">
        <v>214</v>
      </c>
      <c r="G1116" s="189" t="s">
        <v>263</v>
      </c>
      <c r="H1116" s="89" t="s">
        <v>94</v>
      </c>
      <c r="I1116" s="190" t="s">
        <v>242</v>
      </c>
      <c r="J1116" s="190">
        <v>1000</v>
      </c>
      <c r="K1116" s="187">
        <v>0.072</v>
      </c>
      <c r="L1116" s="187">
        <v>0.086</v>
      </c>
      <c r="M1116" s="188" t="s">
        <v>217</v>
      </c>
      <c r="N1116" s="188">
        <v>31</v>
      </c>
      <c r="O1116" s="74">
        <v>10000</v>
      </c>
      <c r="P1116" s="74">
        <v>5</v>
      </c>
    </row>
    <row r="1117" ht="18" spans="4:16">
      <c r="D1117" s="195" t="s">
        <v>34</v>
      </c>
      <c r="E1117" s="195" t="s">
        <v>258</v>
      </c>
      <c r="F1117" s="195" t="s">
        <v>214</v>
      </c>
      <c r="G1117" s="201" t="s">
        <v>264</v>
      </c>
      <c r="H1117" s="195" t="s">
        <v>244</v>
      </c>
      <c r="I1117" s="197" t="s">
        <v>245</v>
      </c>
      <c r="J1117" s="197">
        <v>1000</v>
      </c>
      <c r="K1117" s="200">
        <v>0.09</v>
      </c>
      <c r="L1117" s="200">
        <v>0.11</v>
      </c>
      <c r="M1117" s="188" t="s">
        <v>217</v>
      </c>
      <c r="N1117" s="188">
        <v>32</v>
      </c>
      <c r="O1117" s="74">
        <v>10000</v>
      </c>
      <c r="P1117" s="74">
        <v>3</v>
      </c>
    </row>
    <row r="1118" ht="18" spans="4:16">
      <c r="D1118" s="195" t="s">
        <v>34</v>
      </c>
      <c r="E1118" s="195" t="s">
        <v>258</v>
      </c>
      <c r="F1118" s="195" t="s">
        <v>214</v>
      </c>
      <c r="G1118" s="201" t="s">
        <v>265</v>
      </c>
      <c r="H1118" s="195" t="s">
        <v>247</v>
      </c>
      <c r="I1118" s="197" t="str">
        <f>_xlfn.XLOOKUP(H1118,Sheet2!B:B,Sheet2!C:C)</f>
        <v>战士暴击伤害</v>
      </c>
      <c r="J1118" s="197">
        <v>1000</v>
      </c>
      <c r="K1118" s="200">
        <v>0.27</v>
      </c>
      <c r="L1118" s="200">
        <v>0.33</v>
      </c>
      <c r="M1118" s="188" t="s">
        <v>217</v>
      </c>
      <c r="N1118" s="188">
        <v>32</v>
      </c>
      <c r="O1118" s="74">
        <v>10000</v>
      </c>
      <c r="P1118" s="74">
        <v>4</v>
      </c>
    </row>
    <row r="1119" ht="18" spans="4:16">
      <c r="D1119" s="195"/>
      <c r="E1119" s="195" t="s">
        <v>258</v>
      </c>
      <c r="F1119" s="195" t="s">
        <v>214</v>
      </c>
      <c r="G1119" s="195" t="s">
        <v>248</v>
      </c>
      <c r="H1119" s="201" t="s">
        <v>249</v>
      </c>
      <c r="I1119" s="197" t="s">
        <v>250</v>
      </c>
      <c r="J1119" s="197">
        <v>1000</v>
      </c>
      <c r="K1119" s="200">
        <v>1</v>
      </c>
      <c r="L1119" s="200">
        <v>1</v>
      </c>
      <c r="M1119" s="188" t="s">
        <v>227</v>
      </c>
      <c r="N1119" s="188">
        <v>33</v>
      </c>
      <c r="O1119" s="74">
        <v>10000</v>
      </c>
      <c r="P1119" s="74">
        <v>10</v>
      </c>
    </row>
    <row r="1120" ht="18" spans="4:16">
      <c r="D1120" s="89"/>
      <c r="E1120" s="89" t="s">
        <v>266</v>
      </c>
      <c r="F1120" s="89" t="s">
        <v>214</v>
      </c>
      <c r="G1120" s="89" t="str">
        <f>"全职小队"&amp;RIGHT(G1122,1)</f>
        <v>全职小队Ⅳ</v>
      </c>
      <c r="H1120" s="189" t="s">
        <v>215</v>
      </c>
      <c r="I1120" s="190" t="s">
        <v>216</v>
      </c>
      <c r="J1120" s="190">
        <v>1000</v>
      </c>
      <c r="K1120" s="187">
        <v>0.058</v>
      </c>
      <c r="L1120" s="187">
        <v>0.072</v>
      </c>
      <c r="M1120" s="188" t="s">
        <v>217</v>
      </c>
      <c r="N1120" s="188">
        <v>34</v>
      </c>
      <c r="O1120" s="74">
        <v>10000</v>
      </c>
      <c r="P1120" s="74">
        <v>2</v>
      </c>
    </row>
    <row r="1121" ht="18" spans="4:16">
      <c r="D1121" s="89" t="s">
        <v>35</v>
      </c>
      <c r="E1121" s="89" t="s">
        <v>266</v>
      </c>
      <c r="F1121" s="89" t="s">
        <v>214</v>
      </c>
      <c r="G1121" s="89" t="s">
        <v>267</v>
      </c>
      <c r="H1121" s="189" t="s">
        <v>219</v>
      </c>
      <c r="I1121" s="190" t="s">
        <v>220</v>
      </c>
      <c r="J1121" s="190">
        <v>1000</v>
      </c>
      <c r="K1121" s="187">
        <v>0.025</v>
      </c>
      <c r="L1121" s="187">
        <v>0.029</v>
      </c>
      <c r="M1121" s="188" t="s">
        <v>217</v>
      </c>
      <c r="N1121" s="188">
        <v>35</v>
      </c>
      <c r="O1121" s="74">
        <v>10000</v>
      </c>
      <c r="P1121" s="74">
        <v>6</v>
      </c>
    </row>
    <row r="1122" ht="18" spans="4:16">
      <c r="D1122" s="195" t="s">
        <v>35</v>
      </c>
      <c r="E1122" s="195" t="s">
        <v>266</v>
      </c>
      <c r="F1122" s="89" t="s">
        <v>214</v>
      </c>
      <c r="G1122" s="195" t="s">
        <v>268</v>
      </c>
      <c r="H1122" s="192" t="s">
        <v>222</v>
      </c>
      <c r="I1122" s="197" t="s">
        <v>223</v>
      </c>
      <c r="J1122" s="197">
        <v>1000</v>
      </c>
      <c r="K1122" s="200">
        <v>0.058</v>
      </c>
      <c r="L1122" s="200">
        <v>0.072</v>
      </c>
      <c r="M1122" s="188" t="s">
        <v>217</v>
      </c>
      <c r="N1122" s="188">
        <v>36</v>
      </c>
      <c r="O1122" s="74">
        <v>10000</v>
      </c>
      <c r="P1122" s="74">
        <v>2</v>
      </c>
    </row>
    <row r="1123" ht="18" spans="4:16">
      <c r="D1123" s="195"/>
      <c r="E1123" s="195" t="s">
        <v>266</v>
      </c>
      <c r="F1123" s="89" t="s">
        <v>214</v>
      </c>
      <c r="G1123" s="195" t="s">
        <v>224</v>
      </c>
      <c r="H1123" s="196" t="s">
        <v>225</v>
      </c>
      <c r="I1123" s="197" t="s">
        <v>226</v>
      </c>
      <c r="J1123" s="198">
        <v>1000</v>
      </c>
      <c r="K1123" s="199">
        <f>L1123</f>
        <v>0.2</v>
      </c>
      <c r="L1123" s="200">
        <v>0.2</v>
      </c>
      <c r="M1123" s="188" t="s">
        <v>227</v>
      </c>
      <c r="N1123" s="188">
        <v>37</v>
      </c>
      <c r="O1123" s="74">
        <v>10000</v>
      </c>
      <c r="P1123" s="74">
        <v>9</v>
      </c>
    </row>
    <row r="1124" ht="18" spans="4:16">
      <c r="D1124" s="195" t="s">
        <v>35</v>
      </c>
      <c r="E1124" s="195" t="s">
        <v>266</v>
      </c>
      <c r="F1124" s="89" t="s">
        <v>214</v>
      </c>
      <c r="G1124" s="195" t="s">
        <v>228</v>
      </c>
      <c r="H1124" s="196" t="s">
        <v>229</v>
      </c>
      <c r="I1124" s="197" t="s">
        <v>230</v>
      </c>
      <c r="J1124" s="198">
        <v>1000</v>
      </c>
      <c r="K1124" s="199">
        <f>L1124</f>
        <v>0.25</v>
      </c>
      <c r="L1124" s="200">
        <v>0.25</v>
      </c>
      <c r="M1124" s="188" t="s">
        <v>227</v>
      </c>
      <c r="N1124" s="188">
        <v>38</v>
      </c>
      <c r="O1124" s="74">
        <v>10000</v>
      </c>
      <c r="P1124" s="74">
        <v>7</v>
      </c>
    </row>
    <row r="1125" ht="18" spans="4:16">
      <c r="D1125" s="195"/>
      <c r="E1125" s="195" t="s">
        <v>266</v>
      </c>
      <c r="F1125" s="89" t="s">
        <v>214</v>
      </c>
      <c r="G1125" s="195" t="s">
        <v>231</v>
      </c>
      <c r="H1125" s="196" t="s">
        <v>232</v>
      </c>
      <c r="I1125" s="197" t="s">
        <v>233</v>
      </c>
      <c r="J1125" s="198">
        <v>1000</v>
      </c>
      <c r="K1125" s="199">
        <f>L1125</f>
        <v>0.5</v>
      </c>
      <c r="L1125" s="200">
        <v>0.5</v>
      </c>
      <c r="M1125" s="188" t="s">
        <v>227</v>
      </c>
      <c r="N1125" s="188">
        <v>39</v>
      </c>
      <c r="O1125" s="74">
        <v>10000</v>
      </c>
      <c r="P1125" s="74">
        <v>8</v>
      </c>
    </row>
    <row r="1126" ht="18" spans="4:16">
      <c r="D1126" s="89" t="s">
        <v>35</v>
      </c>
      <c r="E1126" s="89" t="s">
        <v>266</v>
      </c>
      <c r="F1126" s="89" t="s">
        <v>214</v>
      </c>
      <c r="G1126" s="89" t="s">
        <v>269</v>
      </c>
      <c r="H1126" s="189" t="s">
        <v>235</v>
      </c>
      <c r="I1126" s="190" t="s">
        <v>236</v>
      </c>
      <c r="J1126" s="190">
        <v>1000</v>
      </c>
      <c r="K1126" s="187">
        <v>0.08</v>
      </c>
      <c r="L1126" s="187">
        <v>0.09</v>
      </c>
      <c r="M1126" s="188" t="s">
        <v>237</v>
      </c>
      <c r="N1126" s="188">
        <v>40</v>
      </c>
      <c r="O1126" s="74">
        <v>10000</v>
      </c>
      <c r="P1126" s="74">
        <v>1</v>
      </c>
    </row>
    <row r="1127" ht="18" spans="4:16">
      <c r="D1127" s="89" t="s">
        <v>35</v>
      </c>
      <c r="E1127" s="89" t="s">
        <v>266</v>
      </c>
      <c r="F1127" s="89" t="s">
        <v>214</v>
      </c>
      <c r="G1127" s="89" t="s">
        <v>270</v>
      </c>
      <c r="H1127" s="189" t="s">
        <v>239</v>
      </c>
      <c r="I1127" s="190" t="s">
        <v>240</v>
      </c>
      <c r="J1127" s="190">
        <v>1000</v>
      </c>
      <c r="K1127" s="187">
        <v>0.03</v>
      </c>
      <c r="L1127" s="187">
        <v>0.034</v>
      </c>
      <c r="M1127" s="188" t="s">
        <v>217</v>
      </c>
      <c r="N1127" s="188">
        <v>41</v>
      </c>
      <c r="O1127" s="74">
        <v>10000</v>
      </c>
      <c r="P1127" s="74">
        <v>6</v>
      </c>
    </row>
    <row r="1128" ht="18" spans="4:16">
      <c r="D1128" s="89" t="s">
        <v>35</v>
      </c>
      <c r="E1128" s="89" t="s">
        <v>266</v>
      </c>
      <c r="F1128" s="89" t="s">
        <v>214</v>
      </c>
      <c r="G1128" s="89" t="s">
        <v>271</v>
      </c>
      <c r="H1128" s="189" t="s">
        <v>94</v>
      </c>
      <c r="I1128" s="190" t="s">
        <v>242</v>
      </c>
      <c r="J1128" s="190">
        <v>1000</v>
      </c>
      <c r="K1128" s="187">
        <v>0.08</v>
      </c>
      <c r="L1128" s="187">
        <v>0.09</v>
      </c>
      <c r="M1128" s="188" t="s">
        <v>217</v>
      </c>
      <c r="N1128" s="188">
        <v>42</v>
      </c>
      <c r="O1128" s="74">
        <v>10000</v>
      </c>
      <c r="P1128" s="74">
        <v>5</v>
      </c>
    </row>
    <row r="1129" ht="18" spans="4:16">
      <c r="D1129" s="195" t="s">
        <v>35</v>
      </c>
      <c r="E1129" s="195" t="s">
        <v>266</v>
      </c>
      <c r="F1129" s="195" t="s">
        <v>214</v>
      </c>
      <c r="G1129" s="195" t="s">
        <v>272</v>
      </c>
      <c r="H1129" s="201" t="s">
        <v>244</v>
      </c>
      <c r="I1129" s="197" t="s">
        <v>245</v>
      </c>
      <c r="J1129" s="197">
        <v>1000</v>
      </c>
      <c r="K1129" s="200">
        <v>0.11</v>
      </c>
      <c r="L1129" s="200">
        <v>0.13</v>
      </c>
      <c r="M1129" s="188" t="s">
        <v>217</v>
      </c>
      <c r="N1129" s="188">
        <v>43</v>
      </c>
      <c r="O1129" s="74">
        <v>10000</v>
      </c>
      <c r="P1129" s="74">
        <v>3</v>
      </c>
    </row>
    <row r="1130" ht="18" spans="4:16">
      <c r="D1130" s="195" t="s">
        <v>35</v>
      </c>
      <c r="E1130" s="195" t="s">
        <v>266</v>
      </c>
      <c r="F1130" s="195" t="s">
        <v>214</v>
      </c>
      <c r="G1130" s="195" t="s">
        <v>273</v>
      </c>
      <c r="H1130" s="201" t="s">
        <v>247</v>
      </c>
      <c r="I1130" s="197" t="str">
        <f>_xlfn.XLOOKUP(H1130,Sheet2!B:B,Sheet2!C:C)</f>
        <v>战士暴击伤害</v>
      </c>
      <c r="J1130" s="197">
        <v>1000</v>
      </c>
      <c r="K1130" s="200">
        <v>0.33</v>
      </c>
      <c r="L1130" s="200">
        <v>0.39</v>
      </c>
      <c r="M1130" s="188" t="s">
        <v>217</v>
      </c>
      <c r="N1130" s="188">
        <v>43</v>
      </c>
      <c r="O1130" s="74">
        <v>10000</v>
      </c>
      <c r="P1130" s="74">
        <v>4</v>
      </c>
    </row>
    <row r="1131" ht="18" spans="4:16">
      <c r="D1131" s="195" t="s">
        <v>35</v>
      </c>
      <c r="E1131" s="195" t="s">
        <v>266</v>
      </c>
      <c r="F1131" s="195" t="s">
        <v>214</v>
      </c>
      <c r="G1131" s="195" t="s">
        <v>248</v>
      </c>
      <c r="H1131" s="201" t="s">
        <v>249</v>
      </c>
      <c r="I1131" s="197" t="s">
        <v>250</v>
      </c>
      <c r="J1131" s="197">
        <v>1000</v>
      </c>
      <c r="K1131" s="200">
        <v>1</v>
      </c>
      <c r="L1131" s="200">
        <v>1</v>
      </c>
      <c r="M1131" s="188" t="s">
        <v>227</v>
      </c>
      <c r="N1131" s="188">
        <v>44</v>
      </c>
      <c r="O1131" s="74">
        <v>10000</v>
      </c>
      <c r="P1131" s="74">
        <v>10</v>
      </c>
    </row>
    <row r="1132" ht="18" spans="4:16">
      <c r="D1132" s="89"/>
      <c r="E1132" s="89" t="s">
        <v>274</v>
      </c>
      <c r="F1132" s="89" t="s">
        <v>214</v>
      </c>
      <c r="G1132" s="89" t="str">
        <f>"全职小队"&amp;RIGHT(G1134,1)</f>
        <v>全职小队Ⅴ</v>
      </c>
      <c r="H1132" s="189" t="s">
        <v>215</v>
      </c>
      <c r="I1132" s="190" t="s">
        <v>216</v>
      </c>
      <c r="J1132" s="190">
        <v>1000</v>
      </c>
      <c r="K1132" s="187">
        <v>0.072</v>
      </c>
      <c r="L1132" s="187">
        <v>0.086</v>
      </c>
      <c r="M1132" s="188" t="s">
        <v>217</v>
      </c>
      <c r="N1132" s="188">
        <v>45</v>
      </c>
      <c r="O1132" s="74">
        <v>10000</v>
      </c>
      <c r="P1132" s="74">
        <v>2</v>
      </c>
    </row>
    <row r="1133" ht="18" spans="4:16">
      <c r="D1133" s="89" t="s">
        <v>36</v>
      </c>
      <c r="E1133" s="89" t="s">
        <v>274</v>
      </c>
      <c r="F1133" s="89" t="s">
        <v>214</v>
      </c>
      <c r="G1133" s="89" t="s">
        <v>275</v>
      </c>
      <c r="H1133" s="189" t="s">
        <v>219</v>
      </c>
      <c r="I1133" s="190" t="s">
        <v>220</v>
      </c>
      <c r="J1133" s="190">
        <v>1000</v>
      </c>
      <c r="K1133" s="187">
        <v>0.03</v>
      </c>
      <c r="L1133" s="187">
        <v>0.034</v>
      </c>
      <c r="M1133" s="188" t="s">
        <v>217</v>
      </c>
      <c r="N1133" s="188">
        <v>46</v>
      </c>
      <c r="O1133" s="74">
        <v>10000</v>
      </c>
      <c r="P1133" s="74">
        <v>6</v>
      </c>
    </row>
    <row r="1134" ht="18" spans="4:16">
      <c r="D1134" s="195" t="s">
        <v>36</v>
      </c>
      <c r="E1134" s="195" t="s">
        <v>274</v>
      </c>
      <c r="F1134" s="89" t="s">
        <v>214</v>
      </c>
      <c r="G1134" s="195" t="s">
        <v>276</v>
      </c>
      <c r="H1134" s="192" t="s">
        <v>222</v>
      </c>
      <c r="I1134" s="197" t="s">
        <v>223</v>
      </c>
      <c r="J1134" s="197">
        <v>1000</v>
      </c>
      <c r="K1134" s="200">
        <v>0.072</v>
      </c>
      <c r="L1134" s="200">
        <v>0.086</v>
      </c>
      <c r="M1134" s="188" t="s">
        <v>217</v>
      </c>
      <c r="N1134" s="188">
        <v>47</v>
      </c>
      <c r="O1134" s="74">
        <v>10000</v>
      </c>
      <c r="P1134" s="74">
        <v>2</v>
      </c>
    </row>
    <row r="1135" ht="18" spans="4:16">
      <c r="D1135" s="195"/>
      <c r="E1135" s="195" t="s">
        <v>274</v>
      </c>
      <c r="F1135" s="89" t="s">
        <v>214</v>
      </c>
      <c r="G1135" s="195" t="s">
        <v>224</v>
      </c>
      <c r="H1135" s="196" t="s">
        <v>225</v>
      </c>
      <c r="I1135" s="197" t="s">
        <v>226</v>
      </c>
      <c r="J1135" s="198">
        <v>1000</v>
      </c>
      <c r="K1135" s="199">
        <f>L1135</f>
        <v>0.2</v>
      </c>
      <c r="L1135" s="200">
        <v>0.2</v>
      </c>
      <c r="M1135" s="188" t="s">
        <v>227</v>
      </c>
      <c r="N1135" s="188">
        <v>48</v>
      </c>
      <c r="O1135" s="74">
        <v>10000</v>
      </c>
      <c r="P1135" s="74">
        <v>9</v>
      </c>
    </row>
    <row r="1136" ht="18" spans="4:16">
      <c r="D1136" s="195" t="s">
        <v>36</v>
      </c>
      <c r="E1136" s="195" t="s">
        <v>274</v>
      </c>
      <c r="F1136" s="89" t="s">
        <v>214</v>
      </c>
      <c r="G1136" s="195" t="s">
        <v>228</v>
      </c>
      <c r="H1136" s="196" t="s">
        <v>229</v>
      </c>
      <c r="I1136" s="197" t="s">
        <v>230</v>
      </c>
      <c r="J1136" s="198">
        <v>1000</v>
      </c>
      <c r="K1136" s="199">
        <f>L1136</f>
        <v>0.25</v>
      </c>
      <c r="L1136" s="200">
        <v>0.25</v>
      </c>
      <c r="M1136" s="188" t="s">
        <v>227</v>
      </c>
      <c r="N1136" s="188">
        <v>49</v>
      </c>
      <c r="O1136" s="74">
        <v>10000</v>
      </c>
      <c r="P1136" s="74">
        <v>7</v>
      </c>
    </row>
    <row r="1137" ht="18" spans="4:16">
      <c r="D1137" s="195" t="s">
        <v>36</v>
      </c>
      <c r="E1137" s="195" t="s">
        <v>274</v>
      </c>
      <c r="F1137" s="89" t="s">
        <v>214</v>
      </c>
      <c r="G1137" s="195" t="s">
        <v>231</v>
      </c>
      <c r="H1137" s="196" t="s">
        <v>232</v>
      </c>
      <c r="I1137" s="197" t="s">
        <v>233</v>
      </c>
      <c r="J1137" s="198">
        <v>1000</v>
      </c>
      <c r="K1137" s="199">
        <f>L1137</f>
        <v>0.5</v>
      </c>
      <c r="L1137" s="200">
        <v>0.5</v>
      </c>
      <c r="M1137" s="188" t="s">
        <v>227</v>
      </c>
      <c r="N1137" s="188">
        <v>50</v>
      </c>
      <c r="O1137" s="74">
        <v>10000</v>
      </c>
      <c r="P1137" s="74">
        <v>8</v>
      </c>
    </row>
    <row r="1138" ht="18" spans="4:16">
      <c r="D1138" s="89" t="s">
        <v>36</v>
      </c>
      <c r="E1138" s="89" t="s">
        <v>274</v>
      </c>
      <c r="F1138" s="89" t="s">
        <v>214</v>
      </c>
      <c r="G1138" s="89" t="s">
        <v>277</v>
      </c>
      <c r="H1138" s="189" t="s">
        <v>235</v>
      </c>
      <c r="I1138" s="190" t="s">
        <v>236</v>
      </c>
      <c r="J1138" s="190">
        <v>1000</v>
      </c>
      <c r="K1138" s="187">
        <v>0.09</v>
      </c>
      <c r="L1138" s="187">
        <v>0.1</v>
      </c>
      <c r="M1138" s="188" t="s">
        <v>237</v>
      </c>
      <c r="N1138" s="188">
        <v>51</v>
      </c>
      <c r="O1138" s="74">
        <v>10000</v>
      </c>
      <c r="P1138" s="74">
        <v>1</v>
      </c>
    </row>
    <row r="1139" ht="18" spans="4:16">
      <c r="D1139" s="89" t="s">
        <v>36</v>
      </c>
      <c r="E1139" s="89" t="s">
        <v>274</v>
      </c>
      <c r="F1139" s="89" t="s">
        <v>214</v>
      </c>
      <c r="G1139" s="89" t="s">
        <v>278</v>
      </c>
      <c r="H1139" s="189" t="s">
        <v>239</v>
      </c>
      <c r="I1139" s="190" t="s">
        <v>240</v>
      </c>
      <c r="J1139" s="190">
        <v>1000</v>
      </c>
      <c r="K1139" s="187">
        <v>0.035</v>
      </c>
      <c r="L1139" s="187">
        <v>0.039</v>
      </c>
      <c r="M1139" s="188" t="s">
        <v>217</v>
      </c>
      <c r="N1139" s="188">
        <v>52</v>
      </c>
      <c r="O1139" s="74">
        <v>10000</v>
      </c>
      <c r="P1139" s="74">
        <v>6</v>
      </c>
    </row>
    <row r="1140" ht="18" spans="4:16">
      <c r="D1140" s="89" t="s">
        <v>36</v>
      </c>
      <c r="E1140" s="89" t="s">
        <v>274</v>
      </c>
      <c r="F1140" s="89" t="s">
        <v>214</v>
      </c>
      <c r="G1140" s="89" t="s">
        <v>279</v>
      </c>
      <c r="H1140" s="189" t="s">
        <v>94</v>
      </c>
      <c r="I1140" s="190" t="s">
        <v>242</v>
      </c>
      <c r="J1140" s="190">
        <v>1000</v>
      </c>
      <c r="K1140" s="187">
        <v>0.09</v>
      </c>
      <c r="L1140" s="187">
        <v>0.1</v>
      </c>
      <c r="M1140" s="188" t="s">
        <v>217</v>
      </c>
      <c r="N1140" s="188">
        <v>53</v>
      </c>
      <c r="O1140" s="74">
        <v>10000</v>
      </c>
      <c r="P1140" s="74">
        <v>5</v>
      </c>
    </row>
    <row r="1141" ht="18" spans="4:16">
      <c r="D1141" s="195" t="s">
        <v>36</v>
      </c>
      <c r="E1141" s="195" t="s">
        <v>274</v>
      </c>
      <c r="F1141" s="195" t="s">
        <v>214</v>
      </c>
      <c r="G1141" s="195" t="s">
        <v>280</v>
      </c>
      <c r="H1141" s="201" t="s">
        <v>244</v>
      </c>
      <c r="I1141" s="197" t="s">
        <v>245</v>
      </c>
      <c r="J1141" s="197">
        <v>1000</v>
      </c>
      <c r="K1141" s="200">
        <v>0.13</v>
      </c>
      <c r="L1141" s="200">
        <v>0.15</v>
      </c>
      <c r="M1141" s="188" t="s">
        <v>217</v>
      </c>
      <c r="N1141" s="188">
        <v>54</v>
      </c>
      <c r="O1141" s="74">
        <v>10000</v>
      </c>
      <c r="P1141" s="74">
        <v>3</v>
      </c>
    </row>
    <row r="1142" ht="18" spans="4:16">
      <c r="D1142" s="195" t="s">
        <v>36</v>
      </c>
      <c r="E1142" s="195" t="s">
        <v>274</v>
      </c>
      <c r="F1142" s="195" t="s">
        <v>214</v>
      </c>
      <c r="G1142" s="195" t="s">
        <v>281</v>
      </c>
      <c r="H1142" s="201" t="s">
        <v>247</v>
      </c>
      <c r="I1142" s="197" t="str">
        <f>_xlfn.XLOOKUP(H1142,Sheet2!B:B,Sheet2!C:C)</f>
        <v>战士暴击伤害</v>
      </c>
      <c r="J1142" s="197">
        <v>1000</v>
      </c>
      <c r="K1142" s="200">
        <v>0.39</v>
      </c>
      <c r="L1142" s="200">
        <v>0.45</v>
      </c>
      <c r="M1142" s="188" t="s">
        <v>217</v>
      </c>
      <c r="N1142" s="188">
        <v>54</v>
      </c>
      <c r="O1142" s="74">
        <v>10000</v>
      </c>
      <c r="P1142" s="74">
        <v>4</v>
      </c>
    </row>
    <row r="1143" ht="18" spans="4:16">
      <c r="D1143" s="195" t="s">
        <v>36</v>
      </c>
      <c r="E1143" s="195" t="s">
        <v>274</v>
      </c>
      <c r="F1143" s="195" t="s">
        <v>214</v>
      </c>
      <c r="G1143" s="195" t="s">
        <v>248</v>
      </c>
      <c r="H1143" s="201" t="s">
        <v>249</v>
      </c>
      <c r="I1143" s="197" t="s">
        <v>250</v>
      </c>
      <c r="J1143" s="197">
        <v>1000</v>
      </c>
      <c r="K1143" s="200">
        <v>1</v>
      </c>
      <c r="L1143" s="200">
        <v>1</v>
      </c>
      <c r="M1143" s="188" t="s">
        <v>227</v>
      </c>
      <c r="N1143" s="188">
        <v>55</v>
      </c>
      <c r="O1143" s="74">
        <v>10000</v>
      </c>
      <c r="P1143" s="74">
        <v>10</v>
      </c>
    </row>
    <row r="1144" ht="18" spans="4:16">
      <c r="D1144" s="89"/>
      <c r="E1144" s="89" t="s">
        <v>213</v>
      </c>
      <c r="F1144" s="89" t="s">
        <v>282</v>
      </c>
      <c r="G1144" s="89" t="str">
        <f>"全职小队"&amp;RIGHT(G1146,1)</f>
        <v>全职小队Ⅰ</v>
      </c>
      <c r="H1144" s="189" t="s">
        <v>215</v>
      </c>
      <c r="I1144" s="190" t="s">
        <v>216</v>
      </c>
      <c r="J1144" s="190">
        <v>1000</v>
      </c>
      <c r="K1144" s="187">
        <v>0.03</v>
      </c>
      <c r="L1144" s="187">
        <v>0.042</v>
      </c>
      <c r="M1144" s="188" t="s">
        <v>217</v>
      </c>
      <c r="N1144" s="188">
        <v>56</v>
      </c>
      <c r="O1144" s="74">
        <v>10000</v>
      </c>
      <c r="P1144" s="74">
        <v>2</v>
      </c>
    </row>
    <row r="1145" ht="18" spans="4:16">
      <c r="D1145" s="89" t="s">
        <v>32</v>
      </c>
      <c r="E1145" s="89" t="s">
        <v>213</v>
      </c>
      <c r="F1145" s="89" t="s">
        <v>282</v>
      </c>
      <c r="G1145" s="89" t="s">
        <v>218</v>
      </c>
      <c r="H1145" s="189" t="s">
        <v>219</v>
      </c>
      <c r="I1145" s="190" t="s">
        <v>220</v>
      </c>
      <c r="J1145" s="190">
        <v>1000</v>
      </c>
      <c r="K1145" s="187">
        <v>0.01</v>
      </c>
      <c r="L1145" s="187">
        <v>0.014</v>
      </c>
      <c r="M1145" s="188" t="s">
        <v>217</v>
      </c>
      <c r="N1145" s="188">
        <v>57</v>
      </c>
      <c r="O1145" s="74">
        <v>10000</v>
      </c>
      <c r="P1145" s="74">
        <v>6</v>
      </c>
    </row>
    <row r="1146" ht="18" spans="4:16">
      <c r="D1146" s="89" t="s">
        <v>32</v>
      </c>
      <c r="E1146" s="191" t="s">
        <v>213</v>
      </c>
      <c r="F1146" s="89" t="s">
        <v>282</v>
      </c>
      <c r="G1146" s="191" t="s">
        <v>221</v>
      </c>
      <c r="H1146" s="192" t="s">
        <v>222</v>
      </c>
      <c r="I1146" s="193" t="s">
        <v>223</v>
      </c>
      <c r="J1146" s="193">
        <v>1000</v>
      </c>
      <c r="K1146" s="194">
        <v>0.03</v>
      </c>
      <c r="L1146" s="194">
        <v>0.042</v>
      </c>
      <c r="M1146" s="188" t="s">
        <v>217</v>
      </c>
      <c r="N1146" s="188">
        <v>58</v>
      </c>
      <c r="O1146" s="74">
        <v>10000</v>
      </c>
      <c r="P1146" s="74">
        <v>2</v>
      </c>
    </row>
    <row r="1147" ht="18" spans="4:16">
      <c r="D1147" s="195"/>
      <c r="E1147" s="195" t="s">
        <v>213</v>
      </c>
      <c r="F1147" s="89" t="s">
        <v>282</v>
      </c>
      <c r="G1147" s="195" t="s">
        <v>224</v>
      </c>
      <c r="H1147" s="196" t="s">
        <v>225</v>
      </c>
      <c r="I1147" s="197" t="s">
        <v>226</v>
      </c>
      <c r="J1147" s="198">
        <v>1000</v>
      </c>
      <c r="K1147" s="199">
        <f>L1147</f>
        <v>0.2</v>
      </c>
      <c r="L1147" s="200">
        <v>0.2</v>
      </c>
      <c r="M1147" s="188" t="s">
        <v>227</v>
      </c>
      <c r="N1147" s="188">
        <v>59</v>
      </c>
      <c r="O1147" s="74">
        <v>10000</v>
      </c>
      <c r="P1147" s="74">
        <v>9</v>
      </c>
    </row>
    <row r="1148" ht="18" spans="4:16">
      <c r="D1148" s="195"/>
      <c r="E1148" s="195" t="s">
        <v>213</v>
      </c>
      <c r="F1148" s="89" t="s">
        <v>282</v>
      </c>
      <c r="G1148" s="195" t="s">
        <v>228</v>
      </c>
      <c r="H1148" s="196" t="s">
        <v>229</v>
      </c>
      <c r="I1148" s="197" t="s">
        <v>230</v>
      </c>
      <c r="J1148" s="198">
        <v>1000</v>
      </c>
      <c r="K1148" s="199">
        <f>L1148</f>
        <v>0.25</v>
      </c>
      <c r="L1148" s="200">
        <v>0.25</v>
      </c>
      <c r="M1148" s="188" t="s">
        <v>227</v>
      </c>
      <c r="N1148" s="188">
        <v>60</v>
      </c>
      <c r="O1148" s="74">
        <v>10000</v>
      </c>
      <c r="P1148" s="74">
        <v>7</v>
      </c>
    </row>
    <row r="1149" ht="18" spans="4:16">
      <c r="D1149" s="195"/>
      <c r="E1149" s="195" t="s">
        <v>213</v>
      </c>
      <c r="F1149" s="89" t="s">
        <v>282</v>
      </c>
      <c r="G1149" s="195" t="s">
        <v>231</v>
      </c>
      <c r="H1149" s="196" t="s">
        <v>232</v>
      </c>
      <c r="I1149" s="197" t="s">
        <v>233</v>
      </c>
      <c r="J1149" s="198">
        <v>1000</v>
      </c>
      <c r="K1149" s="199">
        <f>L1149</f>
        <v>0.5</v>
      </c>
      <c r="L1149" s="200">
        <v>0.5</v>
      </c>
      <c r="M1149" s="188" t="s">
        <v>227</v>
      </c>
      <c r="N1149" s="188">
        <v>61</v>
      </c>
      <c r="O1149" s="74">
        <v>10000</v>
      </c>
      <c r="P1149" s="74">
        <v>8</v>
      </c>
    </row>
    <row r="1150" ht="18" spans="4:16">
      <c r="D1150" s="195"/>
      <c r="E1150" s="195" t="s">
        <v>213</v>
      </c>
      <c r="F1150" s="195" t="s">
        <v>282</v>
      </c>
      <c r="G1150" s="195" t="s">
        <v>248</v>
      </c>
      <c r="H1150" s="201" t="s">
        <v>283</v>
      </c>
      <c r="I1150" s="197" t="s">
        <v>284</v>
      </c>
      <c r="J1150" s="197">
        <v>1000</v>
      </c>
      <c r="K1150" s="200">
        <v>1</v>
      </c>
      <c r="L1150" s="200">
        <v>1</v>
      </c>
      <c r="M1150" s="188" t="s">
        <v>227</v>
      </c>
      <c r="N1150" s="188">
        <v>62</v>
      </c>
      <c r="O1150" s="74">
        <v>10000</v>
      </c>
      <c r="P1150" s="74">
        <v>1</v>
      </c>
    </row>
    <row r="1151" ht="18" spans="4:16">
      <c r="D1151" s="89"/>
      <c r="E1151" s="89" t="s">
        <v>213</v>
      </c>
      <c r="F1151" s="89" t="s">
        <v>282</v>
      </c>
      <c r="G1151" s="89" t="s">
        <v>285</v>
      </c>
      <c r="H1151" s="189" t="s">
        <v>286</v>
      </c>
      <c r="I1151" s="190" t="s">
        <v>287</v>
      </c>
      <c r="J1151" s="190">
        <v>1000</v>
      </c>
      <c r="K1151" s="187">
        <v>0.044</v>
      </c>
      <c r="L1151" s="187">
        <v>0.058</v>
      </c>
      <c r="M1151" s="188" t="s">
        <v>237</v>
      </c>
      <c r="N1151" s="188">
        <v>63</v>
      </c>
      <c r="O1151" s="74">
        <v>10000</v>
      </c>
      <c r="P1151" s="74">
        <v>6</v>
      </c>
    </row>
    <row r="1152" ht="18" spans="4:16">
      <c r="D1152" s="89" t="s">
        <v>32</v>
      </c>
      <c r="E1152" s="89" t="s">
        <v>213</v>
      </c>
      <c r="F1152" s="89" t="s">
        <v>282</v>
      </c>
      <c r="G1152" s="89" t="s">
        <v>288</v>
      </c>
      <c r="H1152" s="189" t="s">
        <v>289</v>
      </c>
      <c r="I1152" s="190" t="s">
        <v>290</v>
      </c>
      <c r="J1152" s="190">
        <v>1000</v>
      </c>
      <c r="K1152" s="187">
        <v>0.015</v>
      </c>
      <c r="L1152" s="187">
        <v>0.019</v>
      </c>
      <c r="M1152" s="188" t="s">
        <v>217</v>
      </c>
      <c r="N1152" s="188">
        <v>64</v>
      </c>
      <c r="O1152" s="74">
        <v>10000</v>
      </c>
      <c r="P1152" s="74">
        <v>5</v>
      </c>
    </row>
    <row r="1153" ht="18" spans="4:16">
      <c r="D1153" s="89" t="s">
        <v>32</v>
      </c>
      <c r="E1153" s="89" t="s">
        <v>213</v>
      </c>
      <c r="F1153" s="89" t="s">
        <v>282</v>
      </c>
      <c r="G1153" s="89" t="s">
        <v>291</v>
      </c>
      <c r="H1153" s="189" t="s">
        <v>97</v>
      </c>
      <c r="I1153" s="190" t="s">
        <v>292</v>
      </c>
      <c r="J1153" s="190">
        <v>1000</v>
      </c>
      <c r="K1153" s="187">
        <v>0.044</v>
      </c>
      <c r="L1153" s="187">
        <v>0.058</v>
      </c>
      <c r="M1153" s="188" t="s">
        <v>217</v>
      </c>
      <c r="N1153" s="188">
        <v>65</v>
      </c>
      <c r="O1153" s="74">
        <v>10000</v>
      </c>
      <c r="P1153" s="74">
        <v>3</v>
      </c>
    </row>
    <row r="1154" ht="18" spans="4:16">
      <c r="D1154" s="195"/>
      <c r="E1154" s="195" t="s">
        <v>213</v>
      </c>
      <c r="F1154" s="195" t="s">
        <v>282</v>
      </c>
      <c r="G1154" s="195" t="s">
        <v>293</v>
      </c>
      <c r="H1154" s="201" t="s">
        <v>294</v>
      </c>
      <c r="I1154" s="197" t="s">
        <v>295</v>
      </c>
      <c r="J1154" s="197">
        <v>1000</v>
      </c>
      <c r="K1154" s="200">
        <v>0.06</v>
      </c>
      <c r="L1154" s="200">
        <v>0.075</v>
      </c>
      <c r="M1154" s="188" t="s">
        <v>217</v>
      </c>
      <c r="N1154" s="188">
        <v>66</v>
      </c>
      <c r="O1154" s="74">
        <v>10000</v>
      </c>
      <c r="P1154" s="74">
        <v>4</v>
      </c>
    </row>
    <row r="1155" ht="18" spans="4:16">
      <c r="D1155" s="195" t="s">
        <v>32</v>
      </c>
      <c r="E1155" s="195" t="s">
        <v>213</v>
      </c>
      <c r="F1155" s="195" t="s">
        <v>282</v>
      </c>
      <c r="G1155" s="195" t="s">
        <v>296</v>
      </c>
      <c r="H1155" s="201" t="s">
        <v>297</v>
      </c>
      <c r="I1155" s="197" t="str">
        <f>_xlfn.XLOOKUP(H1155,Sheet2!B:B,Sheet2!C:C)</f>
        <v>法师暴击伤害</v>
      </c>
      <c r="J1155" s="197">
        <v>1000</v>
      </c>
      <c r="K1155" s="200">
        <v>0.2</v>
      </c>
      <c r="L1155" s="200">
        <v>0.24</v>
      </c>
      <c r="M1155" s="188" t="s">
        <v>217</v>
      </c>
      <c r="N1155" s="188">
        <v>66</v>
      </c>
      <c r="O1155" s="74">
        <v>10000</v>
      </c>
      <c r="P1155" s="74">
        <v>10</v>
      </c>
    </row>
    <row r="1156" ht="18" spans="4:16">
      <c r="D1156" s="89"/>
      <c r="E1156" s="89" t="s">
        <v>213</v>
      </c>
      <c r="F1156" s="89" t="s">
        <v>282</v>
      </c>
      <c r="G1156" s="89" t="str">
        <f>"全职小队"&amp;RIGHT(G1158,1)</f>
        <v>全职小队Ⅱ</v>
      </c>
      <c r="H1156" s="189" t="s">
        <v>215</v>
      </c>
      <c r="I1156" s="190" t="s">
        <v>216</v>
      </c>
      <c r="J1156" s="190">
        <v>1000</v>
      </c>
      <c r="K1156" s="187">
        <v>0.044</v>
      </c>
      <c r="L1156" s="187">
        <v>0.058</v>
      </c>
      <c r="M1156" s="188" t="s">
        <v>217</v>
      </c>
      <c r="N1156" s="188">
        <v>67</v>
      </c>
      <c r="O1156" s="74">
        <v>10000</v>
      </c>
      <c r="P1156" s="74">
        <v>2</v>
      </c>
    </row>
    <row r="1157" ht="18" spans="4:16">
      <c r="D1157" s="89" t="s">
        <v>33</v>
      </c>
      <c r="E1157" s="89" t="s">
        <v>213</v>
      </c>
      <c r="F1157" s="89" t="s">
        <v>282</v>
      </c>
      <c r="G1157" s="89" t="s">
        <v>251</v>
      </c>
      <c r="H1157" s="189" t="s">
        <v>219</v>
      </c>
      <c r="I1157" s="190" t="s">
        <v>220</v>
      </c>
      <c r="J1157" s="190">
        <v>1000</v>
      </c>
      <c r="K1157" s="187">
        <v>0.015</v>
      </c>
      <c r="L1157" s="187">
        <v>0.019</v>
      </c>
      <c r="M1157" s="188" t="s">
        <v>217</v>
      </c>
      <c r="N1157" s="188">
        <v>68</v>
      </c>
      <c r="O1157" s="74">
        <v>10000</v>
      </c>
      <c r="P1157" s="74">
        <v>6</v>
      </c>
    </row>
    <row r="1158" ht="18" spans="4:16">
      <c r="D1158" s="89" t="s">
        <v>33</v>
      </c>
      <c r="E1158" s="195" t="s">
        <v>213</v>
      </c>
      <c r="F1158" s="89" t="s">
        <v>282</v>
      </c>
      <c r="G1158" s="195" t="s">
        <v>252</v>
      </c>
      <c r="H1158" s="192" t="s">
        <v>222</v>
      </c>
      <c r="I1158" s="197" t="s">
        <v>223</v>
      </c>
      <c r="J1158" s="197">
        <v>1000</v>
      </c>
      <c r="K1158" s="200">
        <v>0.044</v>
      </c>
      <c r="L1158" s="200">
        <v>0.058</v>
      </c>
      <c r="M1158" s="188" t="s">
        <v>217</v>
      </c>
      <c r="N1158" s="188">
        <v>69</v>
      </c>
      <c r="O1158" s="74">
        <v>10000</v>
      </c>
      <c r="P1158" s="74">
        <v>2</v>
      </c>
    </row>
    <row r="1159" ht="18" spans="4:16">
      <c r="D1159" s="195"/>
      <c r="E1159" s="195" t="s">
        <v>213</v>
      </c>
      <c r="F1159" s="89" t="s">
        <v>282</v>
      </c>
      <c r="G1159" s="195" t="s">
        <v>224</v>
      </c>
      <c r="H1159" s="197" t="s">
        <v>225</v>
      </c>
      <c r="I1159" s="197" t="s">
        <v>226</v>
      </c>
      <c r="J1159" s="198">
        <v>1000</v>
      </c>
      <c r="K1159" s="199">
        <f>L1159</f>
        <v>0.2</v>
      </c>
      <c r="L1159" s="200">
        <v>0.2</v>
      </c>
      <c r="M1159" s="188" t="s">
        <v>227</v>
      </c>
      <c r="N1159" s="188">
        <v>70</v>
      </c>
      <c r="O1159" s="74">
        <v>10000</v>
      </c>
      <c r="P1159" s="74">
        <v>9</v>
      </c>
    </row>
    <row r="1160" ht="18" spans="4:16">
      <c r="D1160" s="195"/>
      <c r="E1160" s="195" t="s">
        <v>213</v>
      </c>
      <c r="F1160" s="89" t="s">
        <v>282</v>
      </c>
      <c r="G1160" s="195" t="s">
        <v>228</v>
      </c>
      <c r="H1160" s="197" t="s">
        <v>229</v>
      </c>
      <c r="I1160" s="197" t="s">
        <v>230</v>
      </c>
      <c r="J1160" s="198">
        <v>1000</v>
      </c>
      <c r="K1160" s="199">
        <f>L1160</f>
        <v>0.25</v>
      </c>
      <c r="L1160" s="200">
        <v>0.25</v>
      </c>
      <c r="M1160" s="188" t="s">
        <v>227</v>
      </c>
      <c r="N1160" s="188">
        <v>71</v>
      </c>
      <c r="O1160" s="74">
        <v>10000</v>
      </c>
      <c r="P1160" s="74">
        <v>7</v>
      </c>
    </row>
    <row r="1161" ht="18" spans="4:16">
      <c r="D1161" s="195"/>
      <c r="E1161" s="195" t="s">
        <v>213</v>
      </c>
      <c r="F1161" s="89" t="s">
        <v>282</v>
      </c>
      <c r="G1161" s="195" t="s">
        <v>231</v>
      </c>
      <c r="H1161" s="197" t="s">
        <v>232</v>
      </c>
      <c r="I1161" s="197" t="s">
        <v>233</v>
      </c>
      <c r="J1161" s="198">
        <v>1000</v>
      </c>
      <c r="K1161" s="199">
        <f>L1161</f>
        <v>0.5</v>
      </c>
      <c r="L1161" s="200">
        <v>0.5</v>
      </c>
      <c r="M1161" s="188" t="s">
        <v>227</v>
      </c>
      <c r="N1161" s="188">
        <v>72</v>
      </c>
      <c r="O1161" s="74">
        <v>10000</v>
      </c>
      <c r="P1161" s="74">
        <v>8</v>
      </c>
    </row>
    <row r="1162" ht="18" spans="4:16">
      <c r="D1162" s="195"/>
      <c r="E1162" s="195" t="s">
        <v>213</v>
      </c>
      <c r="F1162" s="195" t="s">
        <v>282</v>
      </c>
      <c r="G1162" s="195" t="s">
        <v>248</v>
      </c>
      <c r="H1162" s="195" t="s">
        <v>283</v>
      </c>
      <c r="I1162" s="197" t="s">
        <v>284</v>
      </c>
      <c r="J1162" s="197">
        <v>1000</v>
      </c>
      <c r="K1162" s="200">
        <v>1</v>
      </c>
      <c r="L1162" s="200">
        <v>1</v>
      </c>
      <c r="M1162" s="188" t="s">
        <v>227</v>
      </c>
      <c r="N1162" s="188">
        <v>73</v>
      </c>
      <c r="O1162" s="74">
        <v>10000</v>
      </c>
      <c r="P1162" s="74">
        <v>1</v>
      </c>
    </row>
    <row r="1163" ht="18" spans="4:16">
      <c r="D1163" s="89"/>
      <c r="E1163" s="89" t="s">
        <v>213</v>
      </c>
      <c r="F1163" s="89" t="s">
        <v>282</v>
      </c>
      <c r="G1163" s="189" t="s">
        <v>298</v>
      </c>
      <c r="H1163" s="89" t="s">
        <v>286</v>
      </c>
      <c r="I1163" s="190" t="s">
        <v>287</v>
      </c>
      <c r="J1163" s="190">
        <v>1000</v>
      </c>
      <c r="K1163" s="187">
        <v>0.058</v>
      </c>
      <c r="L1163" s="187">
        <v>0.072</v>
      </c>
      <c r="M1163" s="188" t="s">
        <v>237</v>
      </c>
      <c r="N1163" s="188">
        <v>74</v>
      </c>
      <c r="O1163" s="74">
        <v>10000</v>
      </c>
      <c r="P1163" s="74">
        <v>6</v>
      </c>
    </row>
    <row r="1164" ht="18" spans="4:16">
      <c r="D1164" s="89" t="s">
        <v>33</v>
      </c>
      <c r="E1164" s="89" t="s">
        <v>213</v>
      </c>
      <c r="F1164" s="89" t="s">
        <v>282</v>
      </c>
      <c r="G1164" s="89" t="s">
        <v>299</v>
      </c>
      <c r="H1164" s="189" t="s">
        <v>289</v>
      </c>
      <c r="I1164" s="190" t="s">
        <v>290</v>
      </c>
      <c r="J1164" s="190">
        <v>1000</v>
      </c>
      <c r="K1164" s="187">
        <v>0.02</v>
      </c>
      <c r="L1164" s="187">
        <v>0.024</v>
      </c>
      <c r="M1164" s="188" t="s">
        <v>217</v>
      </c>
      <c r="N1164" s="188">
        <v>75</v>
      </c>
      <c r="O1164" s="74">
        <v>10000</v>
      </c>
      <c r="P1164" s="74">
        <v>5</v>
      </c>
    </row>
    <row r="1165" ht="18" spans="4:16">
      <c r="D1165" s="89" t="s">
        <v>33</v>
      </c>
      <c r="E1165" s="89" t="s">
        <v>213</v>
      </c>
      <c r="F1165" s="89" t="s">
        <v>282</v>
      </c>
      <c r="G1165" s="89" t="s">
        <v>300</v>
      </c>
      <c r="H1165" s="189" t="s">
        <v>97</v>
      </c>
      <c r="I1165" s="190" t="s">
        <v>292</v>
      </c>
      <c r="J1165" s="190">
        <v>1000</v>
      </c>
      <c r="K1165" s="187">
        <v>0.058</v>
      </c>
      <c r="L1165" s="187">
        <v>0.072</v>
      </c>
      <c r="M1165" s="188" t="s">
        <v>217</v>
      </c>
      <c r="N1165" s="188">
        <v>76</v>
      </c>
      <c r="O1165" s="74">
        <v>10000</v>
      </c>
      <c r="P1165" s="74">
        <v>3</v>
      </c>
    </row>
    <row r="1166" ht="18" spans="4:16">
      <c r="D1166" s="195"/>
      <c r="E1166" s="195" t="s">
        <v>213</v>
      </c>
      <c r="F1166" s="195" t="s">
        <v>282</v>
      </c>
      <c r="G1166" s="195" t="s">
        <v>301</v>
      </c>
      <c r="H1166" s="201" t="s">
        <v>294</v>
      </c>
      <c r="I1166" s="197" t="s">
        <v>295</v>
      </c>
      <c r="J1166" s="197">
        <v>1000</v>
      </c>
      <c r="K1166" s="200">
        <v>0.075</v>
      </c>
      <c r="L1166" s="200">
        <v>0.09</v>
      </c>
      <c r="M1166" s="188" t="s">
        <v>217</v>
      </c>
      <c r="N1166" s="188">
        <v>77</v>
      </c>
      <c r="O1166" s="74">
        <v>10000</v>
      </c>
      <c r="P1166" s="74">
        <v>4</v>
      </c>
    </row>
    <row r="1167" ht="18" spans="4:16">
      <c r="D1167" s="195" t="s">
        <v>33</v>
      </c>
      <c r="E1167" s="195" t="s">
        <v>213</v>
      </c>
      <c r="F1167" s="195" t="s">
        <v>282</v>
      </c>
      <c r="G1167" s="195" t="s">
        <v>302</v>
      </c>
      <c r="H1167" s="201" t="s">
        <v>297</v>
      </c>
      <c r="I1167" s="197" t="str">
        <f>_xlfn.XLOOKUP(H1167,Sheet2!B:B,Sheet2!C:C)</f>
        <v>法师暴击伤害</v>
      </c>
      <c r="J1167" s="197">
        <v>1000</v>
      </c>
      <c r="K1167" s="200">
        <v>0.24</v>
      </c>
      <c r="L1167" s="200">
        <v>0.27</v>
      </c>
      <c r="M1167" s="188" t="s">
        <v>217</v>
      </c>
      <c r="N1167" s="188">
        <v>77</v>
      </c>
      <c r="O1167" s="74">
        <v>10000</v>
      </c>
      <c r="P1167" s="74">
        <v>10</v>
      </c>
    </row>
    <row r="1168" ht="18" spans="4:16">
      <c r="D1168" s="89"/>
      <c r="E1168" s="89" t="s">
        <v>258</v>
      </c>
      <c r="F1168" s="89" t="s">
        <v>282</v>
      </c>
      <c r="G1168" s="89" t="str">
        <f>"全职小队"&amp;RIGHT(G1170,1)</f>
        <v>全职小队Ⅲ</v>
      </c>
      <c r="H1168" s="189" t="s">
        <v>215</v>
      </c>
      <c r="I1168" s="190" t="s">
        <v>216</v>
      </c>
      <c r="J1168" s="190">
        <v>1000</v>
      </c>
      <c r="K1168" s="187">
        <v>0.052</v>
      </c>
      <c r="L1168" s="187">
        <v>0.058</v>
      </c>
      <c r="M1168" s="188" t="s">
        <v>217</v>
      </c>
      <c r="N1168" s="188">
        <v>78</v>
      </c>
      <c r="O1168" s="74">
        <v>10000</v>
      </c>
      <c r="P1168" s="74">
        <v>2</v>
      </c>
    </row>
    <row r="1169" ht="18" spans="4:16">
      <c r="D1169" s="89" t="s">
        <v>34</v>
      </c>
      <c r="E1169" s="89" t="s">
        <v>258</v>
      </c>
      <c r="F1169" s="89" t="s">
        <v>282</v>
      </c>
      <c r="G1169" s="89" t="s">
        <v>259</v>
      </c>
      <c r="H1169" s="189" t="s">
        <v>219</v>
      </c>
      <c r="I1169" s="190" t="s">
        <v>220</v>
      </c>
      <c r="J1169" s="190">
        <v>1000</v>
      </c>
      <c r="K1169" s="187">
        <v>0.02</v>
      </c>
      <c r="L1169" s="187">
        <v>0.024</v>
      </c>
      <c r="M1169" s="188" t="s">
        <v>217</v>
      </c>
      <c r="N1169" s="188">
        <v>79</v>
      </c>
      <c r="O1169" s="74">
        <v>10000</v>
      </c>
      <c r="P1169" s="74">
        <v>6</v>
      </c>
    </row>
    <row r="1170" ht="18" spans="4:16">
      <c r="D1170" s="195" t="s">
        <v>34</v>
      </c>
      <c r="E1170" s="195" t="s">
        <v>258</v>
      </c>
      <c r="F1170" s="89" t="s">
        <v>282</v>
      </c>
      <c r="G1170" s="195" t="s">
        <v>260</v>
      </c>
      <c r="H1170" s="192" t="s">
        <v>222</v>
      </c>
      <c r="I1170" s="197" t="s">
        <v>223</v>
      </c>
      <c r="J1170" s="197">
        <v>1000</v>
      </c>
      <c r="K1170" s="200">
        <v>0.052</v>
      </c>
      <c r="L1170" s="200">
        <v>0.058</v>
      </c>
      <c r="M1170" s="188" t="s">
        <v>217</v>
      </c>
      <c r="N1170" s="188">
        <v>80</v>
      </c>
      <c r="O1170" s="74">
        <v>10000</v>
      </c>
      <c r="P1170" s="74">
        <v>2</v>
      </c>
    </row>
    <row r="1171" ht="18" spans="4:16">
      <c r="D1171" s="195"/>
      <c r="E1171" s="195" t="s">
        <v>258</v>
      </c>
      <c r="F1171" s="89" t="s">
        <v>282</v>
      </c>
      <c r="G1171" s="195" t="s">
        <v>224</v>
      </c>
      <c r="H1171" s="196" t="s">
        <v>225</v>
      </c>
      <c r="I1171" s="197" t="s">
        <v>226</v>
      </c>
      <c r="J1171" s="198">
        <v>1000</v>
      </c>
      <c r="K1171" s="199">
        <f>L1171</f>
        <v>0.2</v>
      </c>
      <c r="L1171" s="200">
        <v>0.2</v>
      </c>
      <c r="M1171" s="188" t="s">
        <v>227</v>
      </c>
      <c r="N1171" s="188">
        <v>81</v>
      </c>
      <c r="O1171" s="74">
        <v>10000</v>
      </c>
      <c r="P1171" s="74">
        <v>9</v>
      </c>
    </row>
    <row r="1172" ht="18" spans="4:16">
      <c r="D1172" s="195"/>
      <c r="E1172" s="195" t="s">
        <v>258</v>
      </c>
      <c r="F1172" s="89" t="s">
        <v>282</v>
      </c>
      <c r="G1172" s="195" t="s">
        <v>228</v>
      </c>
      <c r="H1172" s="196" t="s">
        <v>229</v>
      </c>
      <c r="I1172" s="197" t="s">
        <v>230</v>
      </c>
      <c r="J1172" s="198">
        <v>1000</v>
      </c>
      <c r="K1172" s="199">
        <f>L1172</f>
        <v>0.25</v>
      </c>
      <c r="L1172" s="200">
        <v>0.25</v>
      </c>
      <c r="M1172" s="188" t="s">
        <v>227</v>
      </c>
      <c r="N1172" s="188">
        <v>82</v>
      </c>
      <c r="O1172" s="74">
        <v>10000</v>
      </c>
      <c r="P1172" s="74">
        <v>7</v>
      </c>
    </row>
    <row r="1173" ht="18" spans="4:16">
      <c r="D1173" s="195"/>
      <c r="E1173" s="195" t="s">
        <v>258</v>
      </c>
      <c r="F1173" s="89" t="s">
        <v>282</v>
      </c>
      <c r="G1173" s="195" t="s">
        <v>231</v>
      </c>
      <c r="H1173" s="196" t="s">
        <v>232</v>
      </c>
      <c r="I1173" s="197" t="s">
        <v>233</v>
      </c>
      <c r="J1173" s="198">
        <v>1000</v>
      </c>
      <c r="K1173" s="199">
        <f>L1173</f>
        <v>0.5</v>
      </c>
      <c r="L1173" s="200">
        <v>0.5</v>
      </c>
      <c r="M1173" s="188" t="s">
        <v>227</v>
      </c>
      <c r="N1173" s="188">
        <v>83</v>
      </c>
      <c r="O1173" s="74">
        <v>10000</v>
      </c>
      <c r="P1173" s="74">
        <v>8</v>
      </c>
    </row>
    <row r="1174" ht="18" spans="4:16">
      <c r="D1174" s="195"/>
      <c r="E1174" s="195" t="s">
        <v>258</v>
      </c>
      <c r="F1174" s="195" t="s">
        <v>282</v>
      </c>
      <c r="G1174" s="195" t="s">
        <v>248</v>
      </c>
      <c r="H1174" s="201" t="s">
        <v>283</v>
      </c>
      <c r="I1174" s="197" t="s">
        <v>284</v>
      </c>
      <c r="J1174" s="197">
        <v>1000</v>
      </c>
      <c r="K1174" s="200">
        <v>1</v>
      </c>
      <c r="L1174" s="200">
        <v>1</v>
      </c>
      <c r="M1174" s="188" t="s">
        <v>227</v>
      </c>
      <c r="N1174" s="188">
        <v>84</v>
      </c>
      <c r="O1174" s="74">
        <v>10000</v>
      </c>
      <c r="P1174" s="74">
        <v>1</v>
      </c>
    </row>
    <row r="1175" ht="18" spans="4:16">
      <c r="D1175" s="89" t="s">
        <v>34</v>
      </c>
      <c r="E1175" s="89" t="s">
        <v>258</v>
      </c>
      <c r="F1175" s="89" t="s">
        <v>282</v>
      </c>
      <c r="G1175" s="89" t="s">
        <v>303</v>
      </c>
      <c r="H1175" s="189" t="s">
        <v>286</v>
      </c>
      <c r="I1175" s="190" t="s">
        <v>287</v>
      </c>
      <c r="J1175" s="190">
        <v>1000</v>
      </c>
      <c r="K1175" s="187">
        <v>0.072</v>
      </c>
      <c r="L1175" s="187">
        <v>0.086</v>
      </c>
      <c r="M1175" s="188" t="s">
        <v>237</v>
      </c>
      <c r="N1175" s="188">
        <v>85</v>
      </c>
      <c r="O1175" s="74">
        <v>10000</v>
      </c>
      <c r="P1175" s="74">
        <v>6</v>
      </c>
    </row>
    <row r="1176" ht="18" spans="4:16">
      <c r="D1176" s="89" t="s">
        <v>34</v>
      </c>
      <c r="E1176" s="89" t="s">
        <v>258</v>
      </c>
      <c r="F1176" s="89" t="s">
        <v>282</v>
      </c>
      <c r="G1176" s="89" t="s">
        <v>304</v>
      </c>
      <c r="H1176" s="189" t="s">
        <v>289</v>
      </c>
      <c r="I1176" s="190" t="s">
        <v>290</v>
      </c>
      <c r="J1176" s="190">
        <v>1000</v>
      </c>
      <c r="K1176" s="187">
        <v>0.025</v>
      </c>
      <c r="L1176" s="187">
        <v>0.029</v>
      </c>
      <c r="M1176" s="188" t="s">
        <v>217</v>
      </c>
      <c r="N1176" s="188">
        <v>86</v>
      </c>
      <c r="O1176" s="74">
        <v>10000</v>
      </c>
      <c r="P1176" s="74">
        <v>5</v>
      </c>
    </row>
    <row r="1177" ht="18" spans="4:16">
      <c r="D1177" s="89" t="s">
        <v>34</v>
      </c>
      <c r="E1177" s="89" t="s">
        <v>258</v>
      </c>
      <c r="F1177" s="89" t="s">
        <v>282</v>
      </c>
      <c r="G1177" s="89" t="s">
        <v>305</v>
      </c>
      <c r="H1177" s="189" t="s">
        <v>97</v>
      </c>
      <c r="I1177" s="190" t="s">
        <v>292</v>
      </c>
      <c r="J1177" s="190">
        <v>1000</v>
      </c>
      <c r="K1177" s="187">
        <v>0.072</v>
      </c>
      <c r="L1177" s="187">
        <v>0.086</v>
      </c>
      <c r="M1177" s="188" t="s">
        <v>217</v>
      </c>
      <c r="N1177" s="188">
        <v>87</v>
      </c>
      <c r="O1177" s="74">
        <v>10000</v>
      </c>
      <c r="P1177" s="74">
        <v>3</v>
      </c>
    </row>
    <row r="1178" ht="18" spans="4:16">
      <c r="D1178" s="195" t="s">
        <v>34</v>
      </c>
      <c r="E1178" s="195" t="s">
        <v>258</v>
      </c>
      <c r="F1178" s="195" t="s">
        <v>282</v>
      </c>
      <c r="G1178" s="195" t="s">
        <v>306</v>
      </c>
      <c r="H1178" s="201" t="s">
        <v>294</v>
      </c>
      <c r="I1178" s="197" t="s">
        <v>295</v>
      </c>
      <c r="J1178" s="197">
        <v>1000</v>
      </c>
      <c r="K1178" s="200">
        <v>0.09</v>
      </c>
      <c r="L1178" s="200">
        <v>0.11</v>
      </c>
      <c r="M1178" s="188" t="s">
        <v>217</v>
      </c>
      <c r="N1178" s="188">
        <v>88</v>
      </c>
      <c r="O1178" s="74">
        <v>10000</v>
      </c>
      <c r="P1178" s="74">
        <v>4</v>
      </c>
    </row>
    <row r="1179" ht="18" spans="4:16">
      <c r="D1179" s="195" t="s">
        <v>34</v>
      </c>
      <c r="E1179" s="195" t="s">
        <v>258</v>
      </c>
      <c r="F1179" s="195" t="s">
        <v>282</v>
      </c>
      <c r="G1179" s="195" t="s">
        <v>307</v>
      </c>
      <c r="H1179" s="201" t="s">
        <v>297</v>
      </c>
      <c r="I1179" s="197" t="str">
        <f>_xlfn.XLOOKUP(H1179,Sheet2!B:B,Sheet2!C:C)</f>
        <v>法师暴击伤害</v>
      </c>
      <c r="J1179" s="197">
        <v>1000</v>
      </c>
      <c r="K1179" s="200">
        <v>0.27</v>
      </c>
      <c r="L1179" s="200">
        <v>0.33</v>
      </c>
      <c r="M1179" s="188" t="s">
        <v>217</v>
      </c>
      <c r="N1179" s="188">
        <v>88</v>
      </c>
      <c r="O1179" s="74">
        <v>10000</v>
      </c>
      <c r="P1179" s="74">
        <v>10</v>
      </c>
    </row>
    <row r="1180" ht="18" spans="4:16">
      <c r="D1180" s="89"/>
      <c r="E1180" s="89" t="s">
        <v>266</v>
      </c>
      <c r="F1180" s="89" t="s">
        <v>282</v>
      </c>
      <c r="G1180" s="89" t="str">
        <f>"全职小队"&amp;RIGHT(G1182,1)</f>
        <v>全职小队Ⅳ</v>
      </c>
      <c r="H1180" s="189" t="s">
        <v>215</v>
      </c>
      <c r="I1180" s="190" t="s">
        <v>216</v>
      </c>
      <c r="J1180" s="190">
        <v>1000</v>
      </c>
      <c r="K1180" s="187">
        <v>0.058</v>
      </c>
      <c r="L1180" s="187">
        <v>0.072</v>
      </c>
      <c r="M1180" s="188" t="s">
        <v>217</v>
      </c>
      <c r="N1180" s="188">
        <v>89</v>
      </c>
      <c r="O1180" s="74">
        <v>10000</v>
      </c>
      <c r="P1180" s="74">
        <v>2</v>
      </c>
    </row>
    <row r="1181" ht="18" spans="4:16">
      <c r="D1181" s="89" t="s">
        <v>35</v>
      </c>
      <c r="E1181" s="89" t="s">
        <v>266</v>
      </c>
      <c r="F1181" s="89" t="s">
        <v>282</v>
      </c>
      <c r="G1181" s="89" t="s">
        <v>267</v>
      </c>
      <c r="H1181" s="189" t="s">
        <v>219</v>
      </c>
      <c r="I1181" s="190" t="s">
        <v>220</v>
      </c>
      <c r="J1181" s="190">
        <v>1000</v>
      </c>
      <c r="K1181" s="187">
        <v>0.025</v>
      </c>
      <c r="L1181" s="187">
        <v>0.029</v>
      </c>
      <c r="M1181" s="188" t="s">
        <v>217</v>
      </c>
      <c r="N1181" s="188">
        <v>90</v>
      </c>
      <c r="O1181" s="74">
        <v>10000</v>
      </c>
      <c r="P1181" s="74">
        <v>6</v>
      </c>
    </row>
    <row r="1182" ht="18" spans="4:16">
      <c r="D1182" s="195" t="s">
        <v>35</v>
      </c>
      <c r="E1182" s="195" t="s">
        <v>266</v>
      </c>
      <c r="F1182" s="89" t="s">
        <v>282</v>
      </c>
      <c r="G1182" s="195" t="s">
        <v>268</v>
      </c>
      <c r="H1182" s="192" t="s">
        <v>222</v>
      </c>
      <c r="I1182" s="197" t="s">
        <v>223</v>
      </c>
      <c r="J1182" s="197">
        <v>1000</v>
      </c>
      <c r="K1182" s="200">
        <v>0.058</v>
      </c>
      <c r="L1182" s="200">
        <v>0.072</v>
      </c>
      <c r="M1182" s="188" t="s">
        <v>217</v>
      </c>
      <c r="N1182" s="188">
        <v>91</v>
      </c>
      <c r="O1182" s="74">
        <v>10000</v>
      </c>
      <c r="P1182" s="74">
        <v>2</v>
      </c>
    </row>
    <row r="1183" ht="18" spans="4:16">
      <c r="D1183" s="195"/>
      <c r="E1183" s="195" t="s">
        <v>266</v>
      </c>
      <c r="F1183" s="89" t="s">
        <v>282</v>
      </c>
      <c r="G1183" s="195" t="s">
        <v>224</v>
      </c>
      <c r="H1183" s="196" t="s">
        <v>225</v>
      </c>
      <c r="I1183" s="197" t="s">
        <v>226</v>
      </c>
      <c r="J1183" s="198">
        <v>1000</v>
      </c>
      <c r="K1183" s="199">
        <f>L1183</f>
        <v>0.2</v>
      </c>
      <c r="L1183" s="200">
        <v>0.2</v>
      </c>
      <c r="M1183" s="188" t="s">
        <v>227</v>
      </c>
      <c r="N1183" s="188">
        <v>92</v>
      </c>
      <c r="O1183" s="74">
        <v>10000</v>
      </c>
      <c r="P1183" s="74">
        <v>9</v>
      </c>
    </row>
    <row r="1184" ht="18" spans="4:16">
      <c r="D1184" s="195" t="s">
        <v>35</v>
      </c>
      <c r="E1184" s="195" t="s">
        <v>266</v>
      </c>
      <c r="F1184" s="89" t="s">
        <v>282</v>
      </c>
      <c r="G1184" s="195" t="s">
        <v>228</v>
      </c>
      <c r="H1184" s="196" t="s">
        <v>229</v>
      </c>
      <c r="I1184" s="197" t="s">
        <v>230</v>
      </c>
      <c r="J1184" s="198">
        <v>1000</v>
      </c>
      <c r="K1184" s="199">
        <f>L1184</f>
        <v>0.25</v>
      </c>
      <c r="L1184" s="200">
        <v>0.25</v>
      </c>
      <c r="M1184" s="188" t="s">
        <v>227</v>
      </c>
      <c r="N1184" s="188">
        <v>93</v>
      </c>
      <c r="O1184" s="74">
        <v>10000</v>
      </c>
      <c r="P1184" s="74">
        <v>7</v>
      </c>
    </row>
    <row r="1185" ht="18" spans="4:16">
      <c r="D1185" s="195"/>
      <c r="E1185" s="195" t="s">
        <v>266</v>
      </c>
      <c r="F1185" s="89" t="s">
        <v>282</v>
      </c>
      <c r="G1185" s="195" t="s">
        <v>231</v>
      </c>
      <c r="H1185" s="196" t="s">
        <v>232</v>
      </c>
      <c r="I1185" s="197" t="s">
        <v>233</v>
      </c>
      <c r="J1185" s="198">
        <v>1000</v>
      </c>
      <c r="K1185" s="199">
        <f>L1185</f>
        <v>0.5</v>
      </c>
      <c r="L1185" s="200">
        <v>0.5</v>
      </c>
      <c r="M1185" s="188" t="s">
        <v>227</v>
      </c>
      <c r="N1185" s="188">
        <v>94</v>
      </c>
      <c r="O1185" s="74">
        <v>10000</v>
      </c>
      <c r="P1185" s="74">
        <v>8</v>
      </c>
    </row>
    <row r="1186" ht="18" spans="4:16">
      <c r="D1186" s="195" t="s">
        <v>35</v>
      </c>
      <c r="E1186" s="195" t="s">
        <v>266</v>
      </c>
      <c r="F1186" s="195" t="s">
        <v>282</v>
      </c>
      <c r="G1186" s="195" t="s">
        <v>248</v>
      </c>
      <c r="H1186" s="201" t="s">
        <v>283</v>
      </c>
      <c r="I1186" s="197" t="s">
        <v>284</v>
      </c>
      <c r="J1186" s="197">
        <v>1000</v>
      </c>
      <c r="K1186" s="200">
        <v>1</v>
      </c>
      <c r="L1186" s="200">
        <v>1</v>
      </c>
      <c r="M1186" s="188" t="s">
        <v>227</v>
      </c>
      <c r="N1186" s="188">
        <v>95</v>
      </c>
      <c r="O1186" s="74">
        <v>10000</v>
      </c>
      <c r="P1186" s="74">
        <v>1</v>
      </c>
    </row>
    <row r="1187" ht="18" spans="4:16">
      <c r="D1187" s="89" t="s">
        <v>35</v>
      </c>
      <c r="E1187" s="89" t="s">
        <v>266</v>
      </c>
      <c r="F1187" s="89" t="s">
        <v>282</v>
      </c>
      <c r="G1187" s="89" t="s">
        <v>308</v>
      </c>
      <c r="H1187" s="189" t="s">
        <v>286</v>
      </c>
      <c r="I1187" s="190" t="s">
        <v>287</v>
      </c>
      <c r="J1187" s="190">
        <v>1000</v>
      </c>
      <c r="K1187" s="187">
        <v>0.08</v>
      </c>
      <c r="L1187" s="187">
        <v>0.09</v>
      </c>
      <c r="M1187" s="188" t="s">
        <v>237</v>
      </c>
      <c r="N1187" s="188">
        <v>96</v>
      </c>
      <c r="O1187" s="74">
        <v>10000</v>
      </c>
      <c r="P1187" s="74">
        <v>6</v>
      </c>
    </row>
    <row r="1188" ht="18" spans="4:16">
      <c r="D1188" s="89" t="s">
        <v>35</v>
      </c>
      <c r="E1188" s="89" t="s">
        <v>266</v>
      </c>
      <c r="F1188" s="89" t="s">
        <v>282</v>
      </c>
      <c r="G1188" s="89" t="s">
        <v>309</v>
      </c>
      <c r="H1188" s="189" t="s">
        <v>289</v>
      </c>
      <c r="I1188" s="190" t="s">
        <v>290</v>
      </c>
      <c r="J1188" s="190">
        <v>1000</v>
      </c>
      <c r="K1188" s="187">
        <v>0.03</v>
      </c>
      <c r="L1188" s="187">
        <v>0.034</v>
      </c>
      <c r="M1188" s="188" t="s">
        <v>217</v>
      </c>
      <c r="N1188" s="188">
        <v>97</v>
      </c>
      <c r="O1188" s="74">
        <v>10000</v>
      </c>
      <c r="P1188" s="74">
        <v>5</v>
      </c>
    </row>
    <row r="1189" ht="18" spans="4:16">
      <c r="D1189" s="89" t="s">
        <v>35</v>
      </c>
      <c r="E1189" s="89" t="s">
        <v>266</v>
      </c>
      <c r="F1189" s="89" t="s">
        <v>282</v>
      </c>
      <c r="G1189" s="89" t="s">
        <v>310</v>
      </c>
      <c r="H1189" s="189" t="s">
        <v>97</v>
      </c>
      <c r="I1189" s="190" t="s">
        <v>292</v>
      </c>
      <c r="J1189" s="190">
        <v>1000</v>
      </c>
      <c r="K1189" s="187">
        <v>0.08</v>
      </c>
      <c r="L1189" s="187">
        <v>0.09</v>
      </c>
      <c r="M1189" s="188" t="s">
        <v>217</v>
      </c>
      <c r="N1189" s="188">
        <v>98</v>
      </c>
      <c r="O1189" s="74">
        <v>10000</v>
      </c>
      <c r="P1189" s="74">
        <v>3</v>
      </c>
    </row>
    <row r="1190" ht="18" spans="4:16">
      <c r="D1190" s="195" t="s">
        <v>35</v>
      </c>
      <c r="E1190" s="195" t="s">
        <v>266</v>
      </c>
      <c r="F1190" s="195" t="s">
        <v>282</v>
      </c>
      <c r="G1190" s="195" t="s">
        <v>311</v>
      </c>
      <c r="H1190" s="201" t="s">
        <v>294</v>
      </c>
      <c r="I1190" s="197" t="s">
        <v>295</v>
      </c>
      <c r="J1190" s="197">
        <v>1000</v>
      </c>
      <c r="K1190" s="200">
        <v>0.11</v>
      </c>
      <c r="L1190" s="200">
        <v>0.13</v>
      </c>
      <c r="M1190" s="188" t="s">
        <v>217</v>
      </c>
      <c r="N1190" s="188">
        <v>99</v>
      </c>
      <c r="O1190" s="74">
        <v>10000</v>
      </c>
      <c r="P1190" s="74">
        <v>4</v>
      </c>
    </row>
    <row r="1191" ht="18" spans="4:16">
      <c r="D1191" s="195" t="s">
        <v>35</v>
      </c>
      <c r="E1191" s="195" t="s">
        <v>266</v>
      </c>
      <c r="F1191" s="195" t="s">
        <v>282</v>
      </c>
      <c r="G1191" s="195" t="s">
        <v>312</v>
      </c>
      <c r="H1191" s="201" t="s">
        <v>297</v>
      </c>
      <c r="I1191" s="197" t="str">
        <f>_xlfn.XLOOKUP(H1191,Sheet2!B:B,Sheet2!C:C)</f>
        <v>法师暴击伤害</v>
      </c>
      <c r="J1191" s="197">
        <v>1000</v>
      </c>
      <c r="K1191" s="200">
        <v>0.33</v>
      </c>
      <c r="L1191" s="200">
        <v>0.39</v>
      </c>
      <c r="M1191" s="188" t="s">
        <v>217</v>
      </c>
      <c r="N1191" s="188">
        <v>99</v>
      </c>
      <c r="O1191" s="74">
        <v>10000</v>
      </c>
      <c r="P1191" s="74">
        <v>10</v>
      </c>
    </row>
    <row r="1192" ht="18" spans="4:16">
      <c r="D1192" s="89"/>
      <c r="E1192" s="89" t="s">
        <v>274</v>
      </c>
      <c r="F1192" s="89" t="s">
        <v>282</v>
      </c>
      <c r="G1192" s="89" t="str">
        <f>"全职小队"&amp;RIGHT(G1194,1)</f>
        <v>全职小队Ⅴ</v>
      </c>
      <c r="H1192" s="189" t="s">
        <v>215</v>
      </c>
      <c r="I1192" s="190" t="s">
        <v>216</v>
      </c>
      <c r="J1192" s="190">
        <v>1000</v>
      </c>
      <c r="K1192" s="187">
        <v>0.072</v>
      </c>
      <c r="L1192" s="187">
        <v>0.086</v>
      </c>
      <c r="M1192" s="188" t="s">
        <v>217</v>
      </c>
      <c r="N1192" s="188">
        <v>100</v>
      </c>
      <c r="O1192" s="74">
        <v>10000</v>
      </c>
      <c r="P1192" s="74">
        <v>2</v>
      </c>
    </row>
    <row r="1193" ht="18" spans="4:16">
      <c r="D1193" s="89" t="s">
        <v>36</v>
      </c>
      <c r="E1193" s="89" t="s">
        <v>274</v>
      </c>
      <c r="F1193" s="89" t="s">
        <v>282</v>
      </c>
      <c r="G1193" s="89" t="s">
        <v>275</v>
      </c>
      <c r="H1193" s="189" t="s">
        <v>219</v>
      </c>
      <c r="I1193" s="190" t="s">
        <v>220</v>
      </c>
      <c r="J1193" s="190">
        <v>1000</v>
      </c>
      <c r="K1193" s="187">
        <v>0.03</v>
      </c>
      <c r="L1193" s="187">
        <v>0.034</v>
      </c>
      <c r="M1193" s="188" t="s">
        <v>217</v>
      </c>
      <c r="N1193" s="188">
        <v>101</v>
      </c>
      <c r="O1193" s="74">
        <v>10000</v>
      </c>
      <c r="P1193" s="74">
        <v>6</v>
      </c>
    </row>
    <row r="1194" ht="18" spans="4:16">
      <c r="D1194" s="195" t="s">
        <v>36</v>
      </c>
      <c r="E1194" s="195" t="s">
        <v>274</v>
      </c>
      <c r="F1194" s="89" t="s">
        <v>282</v>
      </c>
      <c r="G1194" s="195" t="s">
        <v>276</v>
      </c>
      <c r="H1194" s="192" t="s">
        <v>222</v>
      </c>
      <c r="I1194" s="197" t="s">
        <v>223</v>
      </c>
      <c r="J1194" s="197">
        <v>1000</v>
      </c>
      <c r="K1194" s="200">
        <v>0.072</v>
      </c>
      <c r="L1194" s="200">
        <v>0.086</v>
      </c>
      <c r="M1194" s="188" t="s">
        <v>217</v>
      </c>
      <c r="N1194" s="188">
        <v>102</v>
      </c>
      <c r="O1194" s="74">
        <v>10000</v>
      </c>
      <c r="P1194" s="74">
        <v>2</v>
      </c>
    </row>
    <row r="1195" ht="18" spans="4:16">
      <c r="D1195" s="195"/>
      <c r="E1195" s="195" t="s">
        <v>274</v>
      </c>
      <c r="F1195" s="89" t="s">
        <v>282</v>
      </c>
      <c r="G1195" s="195" t="s">
        <v>224</v>
      </c>
      <c r="H1195" s="196" t="s">
        <v>225</v>
      </c>
      <c r="I1195" s="197" t="s">
        <v>226</v>
      </c>
      <c r="J1195" s="198">
        <v>1000</v>
      </c>
      <c r="K1195" s="199">
        <f>L1195</f>
        <v>0.2</v>
      </c>
      <c r="L1195" s="200">
        <v>0.2</v>
      </c>
      <c r="M1195" s="188" t="s">
        <v>227</v>
      </c>
      <c r="N1195" s="188">
        <v>103</v>
      </c>
      <c r="O1195" s="74">
        <v>10000</v>
      </c>
      <c r="P1195" s="74">
        <v>9</v>
      </c>
    </row>
    <row r="1196" ht="18" spans="4:16">
      <c r="D1196" s="195" t="s">
        <v>36</v>
      </c>
      <c r="E1196" s="195" t="s">
        <v>274</v>
      </c>
      <c r="F1196" s="89" t="s">
        <v>282</v>
      </c>
      <c r="G1196" s="195" t="s">
        <v>228</v>
      </c>
      <c r="H1196" s="196" t="s">
        <v>229</v>
      </c>
      <c r="I1196" s="197" t="s">
        <v>230</v>
      </c>
      <c r="J1196" s="198">
        <v>1000</v>
      </c>
      <c r="K1196" s="199">
        <f>L1196</f>
        <v>0.25</v>
      </c>
      <c r="L1196" s="200">
        <v>0.25</v>
      </c>
      <c r="M1196" s="188" t="s">
        <v>227</v>
      </c>
      <c r="N1196" s="188">
        <v>104</v>
      </c>
      <c r="O1196" s="74">
        <v>10000</v>
      </c>
      <c r="P1196" s="74">
        <v>7</v>
      </c>
    </row>
    <row r="1197" ht="18" spans="4:16">
      <c r="D1197" s="195" t="s">
        <v>36</v>
      </c>
      <c r="E1197" s="195" t="s">
        <v>274</v>
      </c>
      <c r="F1197" s="89" t="s">
        <v>282</v>
      </c>
      <c r="G1197" s="195" t="s">
        <v>231</v>
      </c>
      <c r="H1197" s="196" t="s">
        <v>232</v>
      </c>
      <c r="I1197" s="197" t="s">
        <v>233</v>
      </c>
      <c r="J1197" s="198">
        <v>1000</v>
      </c>
      <c r="K1197" s="199">
        <f>L1197</f>
        <v>0.5</v>
      </c>
      <c r="L1197" s="200">
        <v>0.5</v>
      </c>
      <c r="M1197" s="188" t="s">
        <v>227</v>
      </c>
      <c r="N1197" s="188">
        <v>105</v>
      </c>
      <c r="O1197" s="74">
        <v>10000</v>
      </c>
      <c r="P1197" s="74">
        <v>8</v>
      </c>
    </row>
    <row r="1198" ht="18" spans="4:16">
      <c r="D1198" s="195" t="s">
        <v>36</v>
      </c>
      <c r="E1198" s="195" t="s">
        <v>274</v>
      </c>
      <c r="F1198" s="195" t="s">
        <v>282</v>
      </c>
      <c r="G1198" s="195" t="s">
        <v>248</v>
      </c>
      <c r="H1198" s="201" t="s">
        <v>283</v>
      </c>
      <c r="I1198" s="197" t="s">
        <v>284</v>
      </c>
      <c r="J1198" s="197">
        <v>1000</v>
      </c>
      <c r="K1198" s="200">
        <v>1</v>
      </c>
      <c r="L1198" s="200">
        <v>1</v>
      </c>
      <c r="M1198" s="188" t="s">
        <v>227</v>
      </c>
      <c r="N1198" s="188">
        <v>106</v>
      </c>
      <c r="O1198" s="74">
        <v>10000</v>
      </c>
      <c r="P1198" s="74">
        <v>1</v>
      </c>
    </row>
    <row r="1199" ht="18" spans="4:16">
      <c r="D1199" s="89" t="s">
        <v>36</v>
      </c>
      <c r="E1199" s="89" t="s">
        <v>274</v>
      </c>
      <c r="F1199" s="89" t="s">
        <v>282</v>
      </c>
      <c r="G1199" s="89" t="s">
        <v>313</v>
      </c>
      <c r="H1199" s="189" t="s">
        <v>286</v>
      </c>
      <c r="I1199" s="190" t="s">
        <v>287</v>
      </c>
      <c r="J1199" s="190">
        <v>1000</v>
      </c>
      <c r="K1199" s="187">
        <v>0.09</v>
      </c>
      <c r="L1199" s="187">
        <v>0.1</v>
      </c>
      <c r="M1199" s="188" t="s">
        <v>237</v>
      </c>
      <c r="N1199" s="188">
        <v>107</v>
      </c>
      <c r="O1199" s="74">
        <v>10000</v>
      </c>
      <c r="P1199" s="74">
        <v>6</v>
      </c>
    </row>
    <row r="1200" ht="18" spans="4:16">
      <c r="D1200" s="89" t="s">
        <v>36</v>
      </c>
      <c r="E1200" s="89" t="s">
        <v>274</v>
      </c>
      <c r="F1200" s="89" t="s">
        <v>282</v>
      </c>
      <c r="G1200" s="89" t="s">
        <v>314</v>
      </c>
      <c r="H1200" s="189" t="s">
        <v>289</v>
      </c>
      <c r="I1200" s="190" t="s">
        <v>290</v>
      </c>
      <c r="J1200" s="190">
        <v>1000</v>
      </c>
      <c r="K1200" s="187">
        <v>0.035</v>
      </c>
      <c r="L1200" s="187">
        <v>0.039</v>
      </c>
      <c r="M1200" s="188" t="s">
        <v>217</v>
      </c>
      <c r="N1200" s="188">
        <v>108</v>
      </c>
      <c r="O1200" s="74">
        <v>10000</v>
      </c>
      <c r="P1200" s="74">
        <v>5</v>
      </c>
    </row>
    <row r="1201" ht="18" spans="4:16">
      <c r="D1201" s="89" t="s">
        <v>36</v>
      </c>
      <c r="E1201" s="89" t="s">
        <v>274</v>
      </c>
      <c r="F1201" s="89" t="s">
        <v>282</v>
      </c>
      <c r="G1201" s="89" t="s">
        <v>315</v>
      </c>
      <c r="H1201" s="189" t="s">
        <v>97</v>
      </c>
      <c r="I1201" s="190" t="s">
        <v>292</v>
      </c>
      <c r="J1201" s="190">
        <v>1000</v>
      </c>
      <c r="K1201" s="187">
        <v>0.09</v>
      </c>
      <c r="L1201" s="187">
        <v>0.1</v>
      </c>
      <c r="M1201" s="188" t="s">
        <v>217</v>
      </c>
      <c r="N1201" s="188">
        <v>109</v>
      </c>
      <c r="O1201" s="74">
        <v>10000</v>
      </c>
      <c r="P1201" s="74">
        <v>3</v>
      </c>
    </row>
    <row r="1202" ht="18" spans="4:16">
      <c r="D1202" s="195" t="s">
        <v>36</v>
      </c>
      <c r="E1202" s="195" t="s">
        <v>274</v>
      </c>
      <c r="F1202" s="195" t="s">
        <v>282</v>
      </c>
      <c r="G1202" s="195" t="s">
        <v>316</v>
      </c>
      <c r="H1202" s="201" t="s">
        <v>294</v>
      </c>
      <c r="I1202" s="197" t="s">
        <v>295</v>
      </c>
      <c r="J1202" s="197">
        <v>1000</v>
      </c>
      <c r="K1202" s="200">
        <v>0.13</v>
      </c>
      <c r="L1202" s="200">
        <v>0.15</v>
      </c>
      <c r="M1202" s="188" t="s">
        <v>217</v>
      </c>
      <c r="N1202" s="188">
        <v>110</v>
      </c>
      <c r="O1202" s="74">
        <v>10000</v>
      </c>
      <c r="P1202" s="74">
        <v>4</v>
      </c>
    </row>
    <row r="1203" ht="18" spans="4:16">
      <c r="D1203" s="195" t="s">
        <v>36</v>
      </c>
      <c r="E1203" s="195" t="s">
        <v>274</v>
      </c>
      <c r="F1203" s="195" t="s">
        <v>282</v>
      </c>
      <c r="G1203" s="195" t="s">
        <v>317</v>
      </c>
      <c r="H1203" s="201" t="s">
        <v>297</v>
      </c>
      <c r="I1203" s="197" t="str">
        <f>_xlfn.XLOOKUP(H1203,Sheet2!B:B,Sheet2!C:C)</f>
        <v>法师暴击伤害</v>
      </c>
      <c r="J1203" s="197">
        <v>1000</v>
      </c>
      <c r="K1203" s="200">
        <v>0.39</v>
      </c>
      <c r="L1203" s="200">
        <v>0.45</v>
      </c>
      <c r="M1203" s="188" t="s">
        <v>217</v>
      </c>
      <c r="N1203" s="188">
        <v>110</v>
      </c>
      <c r="O1203" s="74">
        <v>10000</v>
      </c>
      <c r="P1203" s="74">
        <v>10</v>
      </c>
    </row>
    <row r="1204" ht="18" spans="4:16">
      <c r="D1204" s="89"/>
      <c r="E1204" s="89" t="s">
        <v>213</v>
      </c>
      <c r="F1204" s="89" t="s">
        <v>318</v>
      </c>
      <c r="G1204" s="89" t="str">
        <f>"全职小队"&amp;RIGHT(G1206,1)</f>
        <v>全职小队Ⅰ</v>
      </c>
      <c r="H1204" s="205" t="s">
        <v>215</v>
      </c>
      <c r="I1204" s="190" t="s">
        <v>216</v>
      </c>
      <c r="J1204" s="206">
        <v>1000</v>
      </c>
      <c r="K1204" s="207">
        <v>0.03</v>
      </c>
      <c r="L1204" s="187">
        <v>0.042</v>
      </c>
      <c r="M1204" s="188" t="s">
        <v>217</v>
      </c>
      <c r="N1204" s="188">
        <v>111</v>
      </c>
      <c r="O1204" s="74">
        <v>10000</v>
      </c>
      <c r="P1204" s="74">
        <v>2</v>
      </c>
    </row>
    <row r="1205" ht="18" spans="4:16">
      <c r="D1205" s="89" t="s">
        <v>32</v>
      </c>
      <c r="E1205" s="89" t="s">
        <v>213</v>
      </c>
      <c r="F1205" s="89" t="s">
        <v>318</v>
      </c>
      <c r="G1205" s="89" t="s">
        <v>218</v>
      </c>
      <c r="H1205" s="205" t="s">
        <v>219</v>
      </c>
      <c r="I1205" s="190" t="s">
        <v>220</v>
      </c>
      <c r="J1205" s="206">
        <v>1000</v>
      </c>
      <c r="K1205" s="207">
        <v>0.01</v>
      </c>
      <c r="L1205" s="187">
        <v>0.014</v>
      </c>
      <c r="M1205" s="188" t="s">
        <v>217</v>
      </c>
      <c r="N1205" s="188">
        <v>112</v>
      </c>
      <c r="O1205" s="74">
        <v>10000</v>
      </c>
      <c r="P1205" s="74">
        <v>6</v>
      </c>
    </row>
    <row r="1206" ht="18" spans="4:16">
      <c r="D1206" s="89" t="s">
        <v>32</v>
      </c>
      <c r="E1206" s="191" t="s">
        <v>213</v>
      </c>
      <c r="F1206" s="89" t="s">
        <v>318</v>
      </c>
      <c r="G1206" s="191" t="s">
        <v>221</v>
      </c>
      <c r="H1206" s="205" t="s">
        <v>222</v>
      </c>
      <c r="I1206" s="193" t="s">
        <v>223</v>
      </c>
      <c r="J1206" s="208">
        <v>1000</v>
      </c>
      <c r="K1206" s="209">
        <v>0.03</v>
      </c>
      <c r="L1206" s="194">
        <v>0.042</v>
      </c>
      <c r="M1206" s="188" t="s">
        <v>217</v>
      </c>
      <c r="N1206" s="188">
        <v>113</v>
      </c>
      <c r="O1206" s="74">
        <v>10000</v>
      </c>
      <c r="P1206" s="74">
        <v>2</v>
      </c>
    </row>
    <row r="1207" ht="18" spans="4:16">
      <c r="D1207" s="195"/>
      <c r="E1207" s="195" t="s">
        <v>213</v>
      </c>
      <c r="F1207" s="89" t="s">
        <v>318</v>
      </c>
      <c r="G1207" s="195" t="s">
        <v>224</v>
      </c>
      <c r="H1207" s="196" t="s">
        <v>225</v>
      </c>
      <c r="I1207" s="197" t="s">
        <v>226</v>
      </c>
      <c r="J1207" s="198">
        <v>1000</v>
      </c>
      <c r="K1207" s="199">
        <f>L1207</f>
        <v>0.2</v>
      </c>
      <c r="L1207" s="200">
        <v>0.2</v>
      </c>
      <c r="M1207" s="188" t="s">
        <v>227</v>
      </c>
      <c r="N1207" s="188">
        <v>114</v>
      </c>
      <c r="O1207" s="74">
        <v>10000</v>
      </c>
      <c r="P1207" s="74">
        <v>9</v>
      </c>
    </row>
    <row r="1208" ht="18" spans="4:16">
      <c r="D1208" s="195"/>
      <c r="E1208" s="195" t="s">
        <v>213</v>
      </c>
      <c r="F1208" s="89" t="s">
        <v>318</v>
      </c>
      <c r="G1208" s="195" t="s">
        <v>228</v>
      </c>
      <c r="H1208" s="196" t="s">
        <v>229</v>
      </c>
      <c r="I1208" s="197" t="s">
        <v>230</v>
      </c>
      <c r="J1208" s="198">
        <v>1000</v>
      </c>
      <c r="K1208" s="199">
        <f>L1208</f>
        <v>0.25</v>
      </c>
      <c r="L1208" s="200">
        <v>0.25</v>
      </c>
      <c r="M1208" s="188" t="s">
        <v>227</v>
      </c>
      <c r="N1208" s="188">
        <v>115</v>
      </c>
      <c r="O1208" s="74">
        <v>10000</v>
      </c>
      <c r="P1208" s="74">
        <v>7</v>
      </c>
    </row>
    <row r="1209" ht="18" spans="4:16">
      <c r="D1209" s="195"/>
      <c r="E1209" s="195" t="s">
        <v>213</v>
      </c>
      <c r="F1209" s="89" t="s">
        <v>318</v>
      </c>
      <c r="G1209" s="195" t="s">
        <v>231</v>
      </c>
      <c r="H1209" s="196" t="s">
        <v>232</v>
      </c>
      <c r="I1209" s="197" t="s">
        <v>233</v>
      </c>
      <c r="J1209" s="198">
        <v>1000</v>
      </c>
      <c r="K1209" s="199">
        <f>L1209</f>
        <v>0.5</v>
      </c>
      <c r="L1209" s="200">
        <v>0.5</v>
      </c>
      <c r="M1209" s="188" t="s">
        <v>227</v>
      </c>
      <c r="N1209" s="188">
        <v>116</v>
      </c>
      <c r="O1209" s="74">
        <v>10000</v>
      </c>
      <c r="P1209" s="74">
        <v>8</v>
      </c>
    </row>
    <row r="1210" ht="18" spans="4:16">
      <c r="D1210" s="89"/>
      <c r="E1210" s="89" t="s">
        <v>213</v>
      </c>
      <c r="F1210" s="89" t="s">
        <v>318</v>
      </c>
      <c r="G1210" s="189" t="s">
        <v>234</v>
      </c>
      <c r="H1210" s="89" t="s">
        <v>235</v>
      </c>
      <c r="I1210" s="190" t="s">
        <v>236</v>
      </c>
      <c r="J1210" s="190">
        <v>1000</v>
      </c>
      <c r="K1210" s="187">
        <v>0.044</v>
      </c>
      <c r="L1210" s="187">
        <v>0.058</v>
      </c>
      <c r="M1210" s="188" t="s">
        <v>237</v>
      </c>
      <c r="N1210" s="188">
        <v>117</v>
      </c>
      <c r="O1210" s="74">
        <v>10000</v>
      </c>
      <c r="P1210" s="74">
        <v>1</v>
      </c>
    </row>
    <row r="1211" ht="18" spans="4:16">
      <c r="D1211" s="195"/>
      <c r="E1211" s="195" t="s">
        <v>213</v>
      </c>
      <c r="F1211" s="195" t="s">
        <v>318</v>
      </c>
      <c r="G1211" s="195" t="s">
        <v>248</v>
      </c>
      <c r="H1211" s="195" t="s">
        <v>319</v>
      </c>
      <c r="I1211" s="197" t="s">
        <v>320</v>
      </c>
      <c r="J1211" s="197">
        <v>1000</v>
      </c>
      <c r="K1211" s="200">
        <v>1</v>
      </c>
      <c r="L1211" s="200">
        <v>1</v>
      </c>
      <c r="M1211" s="188" t="s">
        <v>227</v>
      </c>
      <c r="N1211" s="188">
        <v>118</v>
      </c>
      <c r="O1211" s="74">
        <v>10000</v>
      </c>
      <c r="P1211" s="74">
        <v>6</v>
      </c>
    </row>
    <row r="1212" ht="18" spans="4:16">
      <c r="D1212" s="89" t="s">
        <v>32</v>
      </c>
      <c r="E1212" s="89" t="s">
        <v>213</v>
      </c>
      <c r="F1212" s="89" t="s">
        <v>318</v>
      </c>
      <c r="G1212" s="189" t="s">
        <v>321</v>
      </c>
      <c r="H1212" s="89" t="s">
        <v>322</v>
      </c>
      <c r="I1212" s="190" t="s">
        <v>323</v>
      </c>
      <c r="J1212" s="190">
        <v>1000</v>
      </c>
      <c r="K1212" s="187">
        <v>0.015</v>
      </c>
      <c r="L1212" s="187">
        <v>0.019</v>
      </c>
      <c r="M1212" s="188" t="s">
        <v>217</v>
      </c>
      <c r="N1212" s="188">
        <v>119</v>
      </c>
      <c r="O1212" s="74">
        <v>10000</v>
      </c>
      <c r="P1212" s="74">
        <v>5</v>
      </c>
    </row>
    <row r="1213" ht="18" spans="4:16">
      <c r="D1213" s="89" t="s">
        <v>32</v>
      </c>
      <c r="E1213" s="89" t="s">
        <v>213</v>
      </c>
      <c r="F1213" s="89" t="s">
        <v>318</v>
      </c>
      <c r="G1213" s="189" t="s">
        <v>324</v>
      </c>
      <c r="H1213" s="89" t="s">
        <v>98</v>
      </c>
      <c r="I1213" s="190" t="s">
        <v>325</v>
      </c>
      <c r="J1213" s="190">
        <v>1000</v>
      </c>
      <c r="K1213" s="187">
        <v>0.044</v>
      </c>
      <c r="L1213" s="187">
        <v>0.058</v>
      </c>
      <c r="M1213" s="188" t="s">
        <v>217</v>
      </c>
      <c r="N1213" s="188">
        <v>120</v>
      </c>
      <c r="O1213" s="74">
        <v>10000</v>
      </c>
      <c r="P1213" s="74">
        <v>3</v>
      </c>
    </row>
    <row r="1214" ht="18" spans="4:16">
      <c r="D1214" s="195"/>
      <c r="E1214" s="195" t="s">
        <v>213</v>
      </c>
      <c r="F1214" s="195" t="s">
        <v>318</v>
      </c>
      <c r="G1214" s="201" t="s">
        <v>326</v>
      </c>
      <c r="H1214" s="195" t="s">
        <v>327</v>
      </c>
      <c r="I1214" s="197" t="s">
        <v>328</v>
      </c>
      <c r="J1214" s="197">
        <v>1000</v>
      </c>
      <c r="K1214" s="200">
        <v>0.06</v>
      </c>
      <c r="L1214" s="200">
        <v>0.075</v>
      </c>
      <c r="M1214" s="188" t="s">
        <v>217</v>
      </c>
      <c r="N1214" s="188">
        <v>121</v>
      </c>
      <c r="O1214" s="74">
        <v>10000</v>
      </c>
      <c r="P1214" s="74">
        <v>4</v>
      </c>
    </row>
    <row r="1215" ht="18" spans="4:16">
      <c r="D1215" s="195" t="s">
        <v>32</v>
      </c>
      <c r="E1215" s="195" t="s">
        <v>213</v>
      </c>
      <c r="F1215" s="195" t="s">
        <v>318</v>
      </c>
      <c r="G1215" s="195" t="s">
        <v>329</v>
      </c>
      <c r="H1215" s="201" t="s">
        <v>330</v>
      </c>
      <c r="I1215" s="197" t="str">
        <f>_xlfn.XLOOKUP(H1215,Sheet2!B:B,Sheet2!C:C)</f>
        <v>射手暴击伤害</v>
      </c>
      <c r="J1215" s="197">
        <v>1000</v>
      </c>
      <c r="K1215" s="200">
        <v>0.2</v>
      </c>
      <c r="L1215" s="200">
        <v>0.24</v>
      </c>
      <c r="M1215" s="188" t="s">
        <v>217</v>
      </c>
      <c r="N1215" s="188">
        <v>121</v>
      </c>
      <c r="O1215" s="74">
        <v>10000</v>
      </c>
      <c r="P1215" s="74">
        <v>10</v>
      </c>
    </row>
    <row r="1216" ht="18" spans="4:16">
      <c r="D1216" s="89"/>
      <c r="E1216" s="89" t="s">
        <v>213</v>
      </c>
      <c r="F1216" s="89" t="s">
        <v>318</v>
      </c>
      <c r="G1216" s="89" t="str">
        <f>"全职小队"&amp;RIGHT(G1218,1)</f>
        <v>全职小队Ⅱ</v>
      </c>
      <c r="H1216" s="205" t="s">
        <v>215</v>
      </c>
      <c r="I1216" s="190" t="s">
        <v>216</v>
      </c>
      <c r="J1216" s="206">
        <v>1000</v>
      </c>
      <c r="K1216" s="207">
        <v>0.044</v>
      </c>
      <c r="L1216" s="187">
        <v>0.058</v>
      </c>
      <c r="M1216" s="188" t="s">
        <v>217</v>
      </c>
      <c r="N1216" s="188">
        <v>122</v>
      </c>
      <c r="O1216" s="74">
        <v>10000</v>
      </c>
      <c r="P1216" s="74">
        <v>2</v>
      </c>
    </row>
    <row r="1217" ht="18" spans="4:16">
      <c r="D1217" s="89" t="s">
        <v>33</v>
      </c>
      <c r="E1217" s="89" t="s">
        <v>213</v>
      </c>
      <c r="F1217" s="89" t="s">
        <v>318</v>
      </c>
      <c r="G1217" s="89" t="s">
        <v>251</v>
      </c>
      <c r="H1217" s="205" t="s">
        <v>219</v>
      </c>
      <c r="I1217" s="190" t="s">
        <v>220</v>
      </c>
      <c r="J1217" s="206">
        <v>1000</v>
      </c>
      <c r="K1217" s="207">
        <v>0.015</v>
      </c>
      <c r="L1217" s="187">
        <v>0.019</v>
      </c>
      <c r="M1217" s="188" t="s">
        <v>217</v>
      </c>
      <c r="N1217" s="188">
        <v>123</v>
      </c>
      <c r="O1217" s="74">
        <v>10000</v>
      </c>
      <c r="P1217" s="74">
        <v>6</v>
      </c>
    </row>
    <row r="1218" ht="18" spans="4:16">
      <c r="D1218" s="89" t="s">
        <v>33</v>
      </c>
      <c r="E1218" s="195" t="s">
        <v>213</v>
      </c>
      <c r="F1218" s="89" t="s">
        <v>318</v>
      </c>
      <c r="G1218" s="195" t="s">
        <v>252</v>
      </c>
      <c r="H1218" s="205" t="s">
        <v>222</v>
      </c>
      <c r="I1218" s="197" t="s">
        <v>223</v>
      </c>
      <c r="J1218" s="198">
        <v>1000</v>
      </c>
      <c r="K1218" s="199">
        <v>0.044</v>
      </c>
      <c r="L1218" s="200">
        <v>0.058</v>
      </c>
      <c r="M1218" s="188" t="s">
        <v>217</v>
      </c>
      <c r="N1218" s="188">
        <v>124</v>
      </c>
      <c r="O1218" s="74">
        <v>10000</v>
      </c>
      <c r="P1218" s="74">
        <v>2</v>
      </c>
    </row>
    <row r="1219" ht="18" spans="4:16">
      <c r="D1219" s="195"/>
      <c r="E1219" s="195" t="s">
        <v>213</v>
      </c>
      <c r="F1219" s="89" t="s">
        <v>318</v>
      </c>
      <c r="G1219" s="195" t="s">
        <v>224</v>
      </c>
      <c r="H1219" s="196" t="s">
        <v>225</v>
      </c>
      <c r="I1219" s="197" t="s">
        <v>226</v>
      </c>
      <c r="J1219" s="198">
        <v>1000</v>
      </c>
      <c r="K1219" s="199">
        <f>L1219</f>
        <v>0.2</v>
      </c>
      <c r="L1219" s="200">
        <v>0.2</v>
      </c>
      <c r="M1219" s="188" t="s">
        <v>227</v>
      </c>
      <c r="N1219" s="188">
        <v>125</v>
      </c>
      <c r="O1219" s="74">
        <v>10000</v>
      </c>
      <c r="P1219" s="74">
        <v>9</v>
      </c>
    </row>
    <row r="1220" ht="18" spans="4:16">
      <c r="D1220" s="195"/>
      <c r="E1220" s="195" t="s">
        <v>213</v>
      </c>
      <c r="F1220" s="89" t="s">
        <v>318</v>
      </c>
      <c r="G1220" s="195" t="s">
        <v>228</v>
      </c>
      <c r="H1220" s="196" t="s">
        <v>229</v>
      </c>
      <c r="I1220" s="197" t="s">
        <v>230</v>
      </c>
      <c r="J1220" s="198">
        <v>1000</v>
      </c>
      <c r="K1220" s="199">
        <f>L1220</f>
        <v>0.25</v>
      </c>
      <c r="L1220" s="200">
        <v>0.25</v>
      </c>
      <c r="M1220" s="188" t="s">
        <v>227</v>
      </c>
      <c r="N1220" s="188">
        <v>126</v>
      </c>
      <c r="O1220" s="74">
        <v>10000</v>
      </c>
      <c r="P1220" s="74">
        <v>7</v>
      </c>
    </row>
    <row r="1221" ht="18" spans="4:16">
      <c r="D1221" s="195"/>
      <c r="E1221" s="195" t="s">
        <v>213</v>
      </c>
      <c r="F1221" s="89" t="s">
        <v>318</v>
      </c>
      <c r="G1221" s="195" t="s">
        <v>231</v>
      </c>
      <c r="H1221" s="196" t="s">
        <v>232</v>
      </c>
      <c r="I1221" s="197" t="s">
        <v>233</v>
      </c>
      <c r="J1221" s="198">
        <v>1000</v>
      </c>
      <c r="K1221" s="199">
        <f>L1221</f>
        <v>0.5</v>
      </c>
      <c r="L1221" s="200">
        <v>0.5</v>
      </c>
      <c r="M1221" s="188" t="s">
        <v>227</v>
      </c>
      <c r="N1221" s="188">
        <v>127</v>
      </c>
      <c r="O1221" s="74">
        <v>10000</v>
      </c>
      <c r="P1221" s="74">
        <v>8</v>
      </c>
    </row>
    <row r="1222" ht="18" spans="4:16">
      <c r="D1222" s="89"/>
      <c r="E1222" s="89" t="s">
        <v>213</v>
      </c>
      <c r="F1222" s="89" t="s">
        <v>318</v>
      </c>
      <c r="G1222" s="89" t="s">
        <v>253</v>
      </c>
      <c r="H1222" s="189" t="s">
        <v>235</v>
      </c>
      <c r="I1222" s="190" t="s">
        <v>236</v>
      </c>
      <c r="J1222" s="190">
        <v>1000</v>
      </c>
      <c r="K1222" s="187">
        <v>0.058</v>
      </c>
      <c r="L1222" s="187">
        <v>0.072</v>
      </c>
      <c r="M1222" s="188" t="s">
        <v>237</v>
      </c>
      <c r="N1222" s="188">
        <v>128</v>
      </c>
      <c r="O1222" s="74">
        <v>10000</v>
      </c>
      <c r="P1222" s="74">
        <v>1</v>
      </c>
    </row>
    <row r="1223" ht="18" spans="4:16">
      <c r="D1223" s="195"/>
      <c r="E1223" s="195" t="s">
        <v>213</v>
      </c>
      <c r="F1223" s="195" t="s">
        <v>318</v>
      </c>
      <c r="G1223" s="195" t="s">
        <v>248</v>
      </c>
      <c r="H1223" s="201" t="s">
        <v>319</v>
      </c>
      <c r="I1223" s="197" t="s">
        <v>320</v>
      </c>
      <c r="J1223" s="197">
        <v>1000</v>
      </c>
      <c r="K1223" s="200">
        <v>1</v>
      </c>
      <c r="L1223" s="200">
        <v>1</v>
      </c>
      <c r="M1223" s="188" t="s">
        <v>227</v>
      </c>
      <c r="N1223" s="188">
        <v>129</v>
      </c>
      <c r="O1223" s="74">
        <v>10000</v>
      </c>
      <c r="P1223" s="74">
        <v>6</v>
      </c>
    </row>
    <row r="1224" ht="18" spans="4:16">
      <c r="D1224" s="89" t="s">
        <v>33</v>
      </c>
      <c r="E1224" s="89" t="s">
        <v>213</v>
      </c>
      <c r="F1224" s="89" t="s">
        <v>318</v>
      </c>
      <c r="G1224" s="89" t="s">
        <v>331</v>
      </c>
      <c r="H1224" s="189" t="s">
        <v>322</v>
      </c>
      <c r="I1224" s="190" t="s">
        <v>323</v>
      </c>
      <c r="J1224" s="190">
        <v>1000</v>
      </c>
      <c r="K1224" s="187">
        <v>0.02</v>
      </c>
      <c r="L1224" s="187">
        <v>0.024</v>
      </c>
      <c r="M1224" s="188" t="s">
        <v>217</v>
      </c>
      <c r="N1224" s="188">
        <v>130</v>
      </c>
      <c r="O1224" s="74">
        <v>10000</v>
      </c>
      <c r="P1224" s="74">
        <v>5</v>
      </c>
    </row>
    <row r="1225" ht="18" spans="4:16">
      <c r="D1225" s="89" t="s">
        <v>33</v>
      </c>
      <c r="E1225" s="89" t="s">
        <v>213</v>
      </c>
      <c r="F1225" s="89" t="s">
        <v>318</v>
      </c>
      <c r="G1225" s="89" t="s">
        <v>332</v>
      </c>
      <c r="H1225" s="189" t="s">
        <v>98</v>
      </c>
      <c r="I1225" s="190" t="s">
        <v>325</v>
      </c>
      <c r="J1225" s="190">
        <v>1000</v>
      </c>
      <c r="K1225" s="187">
        <v>0.058</v>
      </c>
      <c r="L1225" s="187">
        <v>0.072</v>
      </c>
      <c r="M1225" s="188" t="s">
        <v>217</v>
      </c>
      <c r="N1225" s="188">
        <v>131</v>
      </c>
      <c r="O1225" s="74">
        <v>10000</v>
      </c>
      <c r="P1225" s="74">
        <v>3</v>
      </c>
    </row>
    <row r="1226" ht="18" spans="4:16">
      <c r="D1226" s="195"/>
      <c r="E1226" s="195" t="s">
        <v>213</v>
      </c>
      <c r="F1226" s="195" t="s">
        <v>318</v>
      </c>
      <c r="G1226" s="195" t="s">
        <v>333</v>
      </c>
      <c r="H1226" s="201" t="s">
        <v>327</v>
      </c>
      <c r="I1226" s="197" t="s">
        <v>328</v>
      </c>
      <c r="J1226" s="197">
        <v>1000</v>
      </c>
      <c r="K1226" s="200">
        <v>0.075</v>
      </c>
      <c r="L1226" s="200">
        <v>0.09</v>
      </c>
      <c r="M1226" s="188" t="s">
        <v>217</v>
      </c>
      <c r="N1226" s="188">
        <v>132</v>
      </c>
      <c r="O1226" s="74">
        <v>10000</v>
      </c>
      <c r="P1226" s="74">
        <v>4</v>
      </c>
    </row>
    <row r="1227" ht="18" spans="4:16">
      <c r="D1227" s="195" t="s">
        <v>33</v>
      </c>
      <c r="E1227" s="195" t="s">
        <v>213</v>
      </c>
      <c r="F1227" s="195" t="s">
        <v>318</v>
      </c>
      <c r="G1227" s="195" t="s">
        <v>334</v>
      </c>
      <c r="H1227" s="201" t="s">
        <v>330</v>
      </c>
      <c r="I1227" s="197" t="str">
        <f>_xlfn.XLOOKUP(H1227,Sheet2!B:B,Sheet2!C:C)</f>
        <v>射手暴击伤害</v>
      </c>
      <c r="J1227" s="197">
        <v>1000</v>
      </c>
      <c r="K1227" s="200">
        <v>0.24</v>
      </c>
      <c r="L1227" s="200">
        <v>0.27</v>
      </c>
      <c r="M1227" s="188" t="s">
        <v>217</v>
      </c>
      <c r="N1227" s="188">
        <v>132</v>
      </c>
      <c r="O1227" s="74">
        <v>10000</v>
      </c>
      <c r="P1227" s="74">
        <v>10</v>
      </c>
    </row>
    <row r="1228" ht="18" spans="4:16">
      <c r="D1228" s="89"/>
      <c r="E1228" s="89" t="s">
        <v>258</v>
      </c>
      <c r="F1228" s="89" t="s">
        <v>318</v>
      </c>
      <c r="G1228" s="89" t="str">
        <f>"全职小队"&amp;RIGHT(G1230,1)</f>
        <v>全职小队Ⅲ</v>
      </c>
      <c r="H1228" s="205" t="s">
        <v>215</v>
      </c>
      <c r="I1228" s="190" t="s">
        <v>216</v>
      </c>
      <c r="J1228" s="206">
        <v>1000</v>
      </c>
      <c r="K1228" s="207">
        <v>0.052</v>
      </c>
      <c r="L1228" s="187">
        <v>0.058</v>
      </c>
      <c r="M1228" s="188" t="s">
        <v>217</v>
      </c>
      <c r="N1228" s="188">
        <v>133</v>
      </c>
      <c r="O1228" s="74">
        <v>10000</v>
      </c>
      <c r="P1228" s="74">
        <v>2</v>
      </c>
    </row>
    <row r="1229" ht="18" spans="4:16">
      <c r="D1229" s="89" t="s">
        <v>34</v>
      </c>
      <c r="E1229" s="89" t="s">
        <v>258</v>
      </c>
      <c r="F1229" s="89" t="s">
        <v>318</v>
      </c>
      <c r="G1229" s="89" t="s">
        <v>259</v>
      </c>
      <c r="H1229" s="205" t="s">
        <v>219</v>
      </c>
      <c r="I1229" s="190" t="s">
        <v>220</v>
      </c>
      <c r="J1229" s="206">
        <v>1000</v>
      </c>
      <c r="K1229" s="207">
        <v>0.02</v>
      </c>
      <c r="L1229" s="187">
        <v>0.024</v>
      </c>
      <c r="M1229" s="188" t="s">
        <v>217</v>
      </c>
      <c r="N1229" s="188">
        <v>134</v>
      </c>
      <c r="O1229" s="74">
        <v>10000</v>
      </c>
      <c r="P1229" s="74">
        <v>6</v>
      </c>
    </row>
    <row r="1230" ht="18" spans="4:16">
      <c r="D1230" s="195" t="s">
        <v>34</v>
      </c>
      <c r="E1230" s="195" t="s">
        <v>258</v>
      </c>
      <c r="F1230" s="89" t="s">
        <v>318</v>
      </c>
      <c r="G1230" s="195" t="s">
        <v>260</v>
      </c>
      <c r="H1230" s="205" t="s">
        <v>222</v>
      </c>
      <c r="I1230" s="197" t="s">
        <v>223</v>
      </c>
      <c r="J1230" s="198">
        <v>1000</v>
      </c>
      <c r="K1230" s="199">
        <v>0.052</v>
      </c>
      <c r="L1230" s="200">
        <v>0.058</v>
      </c>
      <c r="M1230" s="188" t="s">
        <v>217</v>
      </c>
      <c r="N1230" s="188">
        <v>135</v>
      </c>
      <c r="O1230" s="74">
        <v>10000</v>
      </c>
      <c r="P1230" s="74">
        <v>2</v>
      </c>
    </row>
    <row r="1231" ht="18" spans="4:16">
      <c r="D1231" s="195"/>
      <c r="E1231" s="195" t="s">
        <v>258</v>
      </c>
      <c r="F1231" s="89" t="s">
        <v>318</v>
      </c>
      <c r="G1231" s="195" t="s">
        <v>224</v>
      </c>
      <c r="H1231" s="196" t="s">
        <v>225</v>
      </c>
      <c r="I1231" s="197" t="s">
        <v>226</v>
      </c>
      <c r="J1231" s="198">
        <v>1000</v>
      </c>
      <c r="K1231" s="199">
        <f>L1231</f>
        <v>0.2</v>
      </c>
      <c r="L1231" s="200">
        <v>0.2</v>
      </c>
      <c r="M1231" s="188" t="s">
        <v>227</v>
      </c>
      <c r="N1231" s="188">
        <v>136</v>
      </c>
      <c r="O1231" s="74">
        <v>10000</v>
      </c>
      <c r="P1231" s="74">
        <v>9</v>
      </c>
    </row>
    <row r="1232" ht="18" spans="4:16">
      <c r="D1232" s="195"/>
      <c r="E1232" s="195" t="s">
        <v>258</v>
      </c>
      <c r="F1232" s="89" t="s">
        <v>318</v>
      </c>
      <c r="G1232" s="195" t="s">
        <v>228</v>
      </c>
      <c r="H1232" s="196" t="s">
        <v>229</v>
      </c>
      <c r="I1232" s="197" t="s">
        <v>230</v>
      </c>
      <c r="J1232" s="198">
        <v>1000</v>
      </c>
      <c r="K1232" s="199">
        <f>L1232</f>
        <v>0.25</v>
      </c>
      <c r="L1232" s="200">
        <v>0.25</v>
      </c>
      <c r="M1232" s="188" t="s">
        <v>227</v>
      </c>
      <c r="N1232" s="188">
        <v>137</v>
      </c>
      <c r="O1232" s="74">
        <v>10000</v>
      </c>
      <c r="P1232" s="74">
        <v>7</v>
      </c>
    </row>
    <row r="1233" ht="18" spans="4:16">
      <c r="D1233" s="195"/>
      <c r="E1233" s="195" t="s">
        <v>258</v>
      </c>
      <c r="F1233" s="89" t="s">
        <v>318</v>
      </c>
      <c r="G1233" s="195" t="s">
        <v>231</v>
      </c>
      <c r="H1233" s="196" t="s">
        <v>232</v>
      </c>
      <c r="I1233" s="197" t="s">
        <v>233</v>
      </c>
      <c r="J1233" s="198">
        <v>1000</v>
      </c>
      <c r="K1233" s="199">
        <f>L1233</f>
        <v>0.5</v>
      </c>
      <c r="L1233" s="200">
        <v>0.5</v>
      </c>
      <c r="M1233" s="188" t="s">
        <v>227</v>
      </c>
      <c r="N1233" s="188">
        <v>138</v>
      </c>
      <c r="O1233" s="74">
        <v>10000</v>
      </c>
      <c r="P1233" s="74">
        <v>8</v>
      </c>
    </row>
    <row r="1234" ht="18" spans="4:16">
      <c r="D1234" s="89" t="s">
        <v>34</v>
      </c>
      <c r="E1234" s="89" t="s">
        <v>258</v>
      </c>
      <c r="F1234" s="89" t="s">
        <v>318</v>
      </c>
      <c r="G1234" s="89" t="s">
        <v>261</v>
      </c>
      <c r="H1234" s="189" t="s">
        <v>235</v>
      </c>
      <c r="I1234" s="190" t="s">
        <v>236</v>
      </c>
      <c r="J1234" s="190">
        <v>1000</v>
      </c>
      <c r="K1234" s="187">
        <v>0.072</v>
      </c>
      <c r="L1234" s="187">
        <v>0.086</v>
      </c>
      <c r="M1234" s="188" t="s">
        <v>237</v>
      </c>
      <c r="N1234" s="188">
        <v>139</v>
      </c>
      <c r="O1234" s="74">
        <v>10000</v>
      </c>
      <c r="P1234" s="74">
        <v>1</v>
      </c>
    </row>
    <row r="1235" ht="18" spans="4:16">
      <c r="D1235" s="195"/>
      <c r="E1235" s="195" t="s">
        <v>258</v>
      </c>
      <c r="F1235" s="195" t="s">
        <v>318</v>
      </c>
      <c r="G1235" s="195" t="s">
        <v>248</v>
      </c>
      <c r="H1235" s="201" t="s">
        <v>319</v>
      </c>
      <c r="I1235" s="197" t="s">
        <v>320</v>
      </c>
      <c r="J1235" s="197">
        <v>1000</v>
      </c>
      <c r="K1235" s="200">
        <v>1</v>
      </c>
      <c r="L1235" s="200">
        <v>1</v>
      </c>
      <c r="M1235" s="188" t="s">
        <v>227</v>
      </c>
      <c r="N1235" s="188">
        <v>140</v>
      </c>
      <c r="O1235" s="74">
        <v>10000</v>
      </c>
      <c r="P1235" s="74">
        <v>6</v>
      </c>
    </row>
    <row r="1236" ht="18" spans="4:16">
      <c r="D1236" s="89" t="s">
        <v>34</v>
      </c>
      <c r="E1236" s="89" t="s">
        <v>258</v>
      </c>
      <c r="F1236" s="89" t="s">
        <v>318</v>
      </c>
      <c r="G1236" s="89" t="s">
        <v>335</v>
      </c>
      <c r="H1236" s="189" t="s">
        <v>322</v>
      </c>
      <c r="I1236" s="190" t="s">
        <v>323</v>
      </c>
      <c r="J1236" s="190">
        <v>1000</v>
      </c>
      <c r="K1236" s="187">
        <v>0.025</v>
      </c>
      <c r="L1236" s="187">
        <v>0.029</v>
      </c>
      <c r="M1236" s="188" t="s">
        <v>217</v>
      </c>
      <c r="N1236" s="188">
        <v>141</v>
      </c>
      <c r="O1236" s="74">
        <v>10000</v>
      </c>
      <c r="P1236" s="74">
        <v>5</v>
      </c>
    </row>
    <row r="1237" ht="18" spans="4:16">
      <c r="D1237" s="89" t="s">
        <v>34</v>
      </c>
      <c r="E1237" s="89" t="s">
        <v>258</v>
      </c>
      <c r="F1237" s="89" t="s">
        <v>318</v>
      </c>
      <c r="G1237" s="89" t="s">
        <v>336</v>
      </c>
      <c r="H1237" s="189" t="s">
        <v>98</v>
      </c>
      <c r="I1237" s="190" t="s">
        <v>325</v>
      </c>
      <c r="J1237" s="190">
        <v>1000</v>
      </c>
      <c r="K1237" s="187">
        <v>0.072</v>
      </c>
      <c r="L1237" s="187">
        <v>0.086</v>
      </c>
      <c r="M1237" s="188" t="s">
        <v>217</v>
      </c>
      <c r="N1237" s="188">
        <v>142</v>
      </c>
      <c r="O1237" s="74">
        <v>10000</v>
      </c>
      <c r="P1237" s="74">
        <v>3</v>
      </c>
    </row>
    <row r="1238" ht="18" spans="4:16">
      <c r="D1238" s="195" t="s">
        <v>34</v>
      </c>
      <c r="E1238" s="195" t="s">
        <v>258</v>
      </c>
      <c r="F1238" s="195" t="s">
        <v>318</v>
      </c>
      <c r="G1238" s="195" t="s">
        <v>337</v>
      </c>
      <c r="H1238" s="210" t="s">
        <v>327</v>
      </c>
      <c r="I1238" s="211" t="s">
        <v>328</v>
      </c>
      <c r="J1238" s="211">
        <v>1000</v>
      </c>
      <c r="K1238" s="200">
        <v>0.09</v>
      </c>
      <c r="L1238" s="200">
        <v>0.11</v>
      </c>
      <c r="M1238" s="188" t="s">
        <v>217</v>
      </c>
      <c r="N1238" s="188">
        <v>143</v>
      </c>
      <c r="O1238" s="74">
        <v>10000</v>
      </c>
      <c r="P1238" s="74">
        <v>4</v>
      </c>
    </row>
    <row r="1239" ht="18" spans="4:16">
      <c r="D1239" s="195" t="s">
        <v>34</v>
      </c>
      <c r="E1239" s="195" t="s">
        <v>258</v>
      </c>
      <c r="F1239" s="195" t="s">
        <v>318</v>
      </c>
      <c r="G1239" s="195" t="s">
        <v>338</v>
      </c>
      <c r="H1239" s="201" t="s">
        <v>330</v>
      </c>
      <c r="I1239" s="197" t="str">
        <f>_xlfn.XLOOKUP(H1239,Sheet2!B:B,Sheet2!C:C)</f>
        <v>射手暴击伤害</v>
      </c>
      <c r="J1239" s="197">
        <v>1000</v>
      </c>
      <c r="K1239" s="200">
        <v>0.27</v>
      </c>
      <c r="L1239" s="200">
        <v>0.33</v>
      </c>
      <c r="M1239" s="188" t="s">
        <v>217</v>
      </c>
      <c r="N1239" s="188">
        <v>143</v>
      </c>
      <c r="O1239" s="74">
        <v>10000</v>
      </c>
      <c r="P1239" s="74">
        <v>10</v>
      </c>
    </row>
    <row r="1240" ht="18" spans="4:16">
      <c r="D1240" s="89"/>
      <c r="E1240" s="89" t="s">
        <v>266</v>
      </c>
      <c r="F1240" s="89" t="s">
        <v>318</v>
      </c>
      <c r="G1240" s="89" t="str">
        <f>"全职小队"&amp;RIGHT(G1242,1)</f>
        <v>全职小队Ⅳ</v>
      </c>
      <c r="H1240" s="205" t="s">
        <v>215</v>
      </c>
      <c r="I1240" s="190" t="s">
        <v>216</v>
      </c>
      <c r="J1240" s="206">
        <v>1000</v>
      </c>
      <c r="K1240" s="207">
        <v>0.058</v>
      </c>
      <c r="L1240" s="187">
        <v>0.072</v>
      </c>
      <c r="M1240" s="188" t="s">
        <v>217</v>
      </c>
      <c r="N1240" s="188">
        <v>144</v>
      </c>
      <c r="O1240" s="74">
        <v>10000</v>
      </c>
      <c r="P1240" s="74">
        <v>2</v>
      </c>
    </row>
    <row r="1241" ht="18" spans="4:16">
      <c r="D1241" s="89" t="s">
        <v>35</v>
      </c>
      <c r="E1241" s="89" t="s">
        <v>266</v>
      </c>
      <c r="F1241" s="89" t="s">
        <v>318</v>
      </c>
      <c r="G1241" s="89" t="s">
        <v>267</v>
      </c>
      <c r="H1241" s="205" t="s">
        <v>219</v>
      </c>
      <c r="I1241" s="190" t="s">
        <v>220</v>
      </c>
      <c r="J1241" s="206">
        <v>1000</v>
      </c>
      <c r="K1241" s="207">
        <v>0.025</v>
      </c>
      <c r="L1241" s="187">
        <v>0.029</v>
      </c>
      <c r="M1241" s="188" t="s">
        <v>217</v>
      </c>
      <c r="N1241" s="188">
        <v>145</v>
      </c>
      <c r="O1241" s="74">
        <v>10000</v>
      </c>
      <c r="P1241" s="74">
        <v>6</v>
      </c>
    </row>
    <row r="1242" ht="18" spans="4:16">
      <c r="D1242" s="195" t="s">
        <v>35</v>
      </c>
      <c r="E1242" s="195" t="s">
        <v>266</v>
      </c>
      <c r="F1242" s="89" t="s">
        <v>318</v>
      </c>
      <c r="G1242" s="195" t="s">
        <v>268</v>
      </c>
      <c r="H1242" s="205" t="s">
        <v>222</v>
      </c>
      <c r="I1242" s="197" t="s">
        <v>223</v>
      </c>
      <c r="J1242" s="198">
        <v>1000</v>
      </c>
      <c r="K1242" s="199">
        <v>0.058</v>
      </c>
      <c r="L1242" s="200">
        <v>0.072</v>
      </c>
      <c r="M1242" s="188" t="s">
        <v>217</v>
      </c>
      <c r="N1242" s="188">
        <v>146</v>
      </c>
      <c r="O1242" s="74">
        <v>10000</v>
      </c>
      <c r="P1242" s="74">
        <v>2</v>
      </c>
    </row>
    <row r="1243" ht="18" spans="4:16">
      <c r="D1243" s="195"/>
      <c r="E1243" s="195" t="s">
        <v>266</v>
      </c>
      <c r="F1243" s="89" t="s">
        <v>318</v>
      </c>
      <c r="G1243" s="195" t="s">
        <v>224</v>
      </c>
      <c r="H1243" s="196" t="s">
        <v>225</v>
      </c>
      <c r="I1243" s="211" t="s">
        <v>226</v>
      </c>
      <c r="J1243" s="212">
        <v>1000</v>
      </c>
      <c r="K1243" s="199">
        <f>L1243</f>
        <v>0.2</v>
      </c>
      <c r="L1243" s="200">
        <v>0.2</v>
      </c>
      <c r="M1243" s="188" t="s">
        <v>227</v>
      </c>
      <c r="N1243" s="188">
        <v>147</v>
      </c>
      <c r="O1243" s="74">
        <v>10000</v>
      </c>
      <c r="P1243" s="74">
        <v>9</v>
      </c>
    </row>
    <row r="1244" ht="18" spans="4:16">
      <c r="D1244" s="195" t="s">
        <v>35</v>
      </c>
      <c r="E1244" s="195" t="s">
        <v>266</v>
      </c>
      <c r="F1244" s="189" t="s">
        <v>318</v>
      </c>
      <c r="G1244" s="195" t="s">
        <v>228</v>
      </c>
      <c r="H1244" s="197" t="s">
        <v>229</v>
      </c>
      <c r="I1244" s="197" t="s">
        <v>230</v>
      </c>
      <c r="J1244" s="198">
        <v>1000</v>
      </c>
      <c r="K1244" s="199">
        <f>L1244</f>
        <v>0.25</v>
      </c>
      <c r="L1244" s="200">
        <v>0.25</v>
      </c>
      <c r="M1244" s="188" t="s">
        <v>227</v>
      </c>
      <c r="N1244" s="188">
        <v>148</v>
      </c>
      <c r="O1244" s="74">
        <v>10000</v>
      </c>
      <c r="P1244" s="74">
        <v>7</v>
      </c>
    </row>
    <row r="1245" ht="18" spans="4:16">
      <c r="D1245" s="195"/>
      <c r="E1245" s="195" t="s">
        <v>266</v>
      </c>
      <c r="F1245" s="189" t="s">
        <v>318</v>
      </c>
      <c r="G1245" s="195" t="s">
        <v>231</v>
      </c>
      <c r="H1245" s="197" t="s">
        <v>232</v>
      </c>
      <c r="I1245" s="197" t="s">
        <v>233</v>
      </c>
      <c r="J1245" s="198">
        <v>1000</v>
      </c>
      <c r="K1245" s="199">
        <f>L1245</f>
        <v>0.5</v>
      </c>
      <c r="L1245" s="200">
        <v>0.5</v>
      </c>
      <c r="M1245" s="188" t="s">
        <v>227</v>
      </c>
      <c r="N1245" s="188">
        <v>149</v>
      </c>
      <c r="O1245" s="74">
        <v>10000</v>
      </c>
      <c r="P1245" s="74">
        <v>8</v>
      </c>
    </row>
    <row r="1246" ht="18" spans="4:16">
      <c r="D1246" s="89" t="s">
        <v>35</v>
      </c>
      <c r="E1246" s="89" t="s">
        <v>266</v>
      </c>
      <c r="F1246" s="189" t="s">
        <v>318</v>
      </c>
      <c r="G1246" s="189" t="s">
        <v>269</v>
      </c>
      <c r="H1246" s="89" t="s">
        <v>235</v>
      </c>
      <c r="I1246" s="190" t="s">
        <v>236</v>
      </c>
      <c r="J1246" s="190">
        <v>1000</v>
      </c>
      <c r="K1246" s="187">
        <v>0.08</v>
      </c>
      <c r="L1246" s="187">
        <v>0.09</v>
      </c>
      <c r="M1246" s="188" t="s">
        <v>237</v>
      </c>
      <c r="N1246" s="188">
        <v>150</v>
      </c>
      <c r="O1246" s="74">
        <v>10000</v>
      </c>
      <c r="P1246" s="74">
        <v>1</v>
      </c>
    </row>
    <row r="1247" ht="18" spans="4:16">
      <c r="D1247" s="195" t="s">
        <v>35</v>
      </c>
      <c r="E1247" s="195" t="s">
        <v>266</v>
      </c>
      <c r="F1247" s="201" t="s">
        <v>318</v>
      </c>
      <c r="G1247" s="195" t="s">
        <v>248</v>
      </c>
      <c r="H1247" s="195" t="s">
        <v>319</v>
      </c>
      <c r="I1247" s="197" t="s">
        <v>320</v>
      </c>
      <c r="J1247" s="197">
        <v>1000</v>
      </c>
      <c r="K1247" s="200">
        <v>1</v>
      </c>
      <c r="L1247" s="200">
        <v>1</v>
      </c>
      <c r="M1247" s="188" t="s">
        <v>227</v>
      </c>
      <c r="N1247" s="188">
        <v>151</v>
      </c>
      <c r="O1247" s="74">
        <v>10000</v>
      </c>
      <c r="P1247" s="74">
        <v>6</v>
      </c>
    </row>
    <row r="1248" ht="18" spans="4:16">
      <c r="D1248" s="89" t="s">
        <v>35</v>
      </c>
      <c r="E1248" s="89" t="s">
        <v>266</v>
      </c>
      <c r="F1248" s="189" t="s">
        <v>318</v>
      </c>
      <c r="G1248" s="189" t="s">
        <v>339</v>
      </c>
      <c r="H1248" s="89" t="s">
        <v>322</v>
      </c>
      <c r="I1248" s="190" t="s">
        <v>323</v>
      </c>
      <c r="J1248" s="190">
        <v>1000</v>
      </c>
      <c r="K1248" s="187">
        <v>0.03</v>
      </c>
      <c r="L1248" s="187">
        <v>0.034</v>
      </c>
      <c r="M1248" s="188" t="s">
        <v>217</v>
      </c>
      <c r="N1248" s="188">
        <v>152</v>
      </c>
      <c r="O1248" s="74">
        <v>10000</v>
      </c>
      <c r="P1248" s="74">
        <v>5</v>
      </c>
    </row>
    <row r="1249" ht="18" spans="4:16">
      <c r="D1249" s="89" t="s">
        <v>35</v>
      </c>
      <c r="E1249" s="89" t="s">
        <v>266</v>
      </c>
      <c r="F1249" s="89" t="s">
        <v>318</v>
      </c>
      <c r="G1249" s="89" t="s">
        <v>340</v>
      </c>
      <c r="H1249" s="189" t="s">
        <v>98</v>
      </c>
      <c r="I1249" s="190" t="s">
        <v>325</v>
      </c>
      <c r="J1249" s="190">
        <v>1000</v>
      </c>
      <c r="K1249" s="187">
        <v>0.08</v>
      </c>
      <c r="L1249" s="187">
        <v>0.09</v>
      </c>
      <c r="M1249" s="188" t="s">
        <v>217</v>
      </c>
      <c r="N1249" s="188">
        <v>153</v>
      </c>
      <c r="O1249" s="74">
        <v>10000</v>
      </c>
      <c r="P1249" s="74">
        <v>3</v>
      </c>
    </row>
    <row r="1250" ht="18" spans="4:16">
      <c r="D1250" s="195" t="s">
        <v>35</v>
      </c>
      <c r="E1250" s="195" t="s">
        <v>266</v>
      </c>
      <c r="F1250" s="195" t="s">
        <v>318</v>
      </c>
      <c r="G1250" s="195" t="s">
        <v>341</v>
      </c>
      <c r="H1250" s="201" t="s">
        <v>327</v>
      </c>
      <c r="I1250" s="197" t="s">
        <v>328</v>
      </c>
      <c r="J1250" s="197">
        <v>1000</v>
      </c>
      <c r="K1250" s="200">
        <v>0.11</v>
      </c>
      <c r="L1250" s="200">
        <v>0.13</v>
      </c>
      <c r="M1250" s="188" t="s">
        <v>217</v>
      </c>
      <c r="N1250" s="188">
        <v>154</v>
      </c>
      <c r="O1250" s="74">
        <v>10000</v>
      </c>
      <c r="P1250" s="74">
        <v>4</v>
      </c>
    </row>
    <row r="1251" ht="18" spans="4:16">
      <c r="D1251" s="195" t="s">
        <v>35</v>
      </c>
      <c r="E1251" s="195" t="s">
        <v>266</v>
      </c>
      <c r="F1251" s="195" t="s">
        <v>318</v>
      </c>
      <c r="G1251" s="195" t="s">
        <v>342</v>
      </c>
      <c r="H1251" s="201" t="s">
        <v>330</v>
      </c>
      <c r="I1251" s="197" t="str">
        <f>_xlfn.XLOOKUP(H1251,Sheet2!B:B,Sheet2!C:C)</f>
        <v>射手暴击伤害</v>
      </c>
      <c r="J1251" s="197">
        <v>1000</v>
      </c>
      <c r="K1251" s="200">
        <v>0.33</v>
      </c>
      <c r="L1251" s="200">
        <v>0.39</v>
      </c>
      <c r="M1251" s="188" t="s">
        <v>217</v>
      </c>
      <c r="N1251" s="188">
        <v>154</v>
      </c>
      <c r="O1251" s="74">
        <v>10000</v>
      </c>
      <c r="P1251" s="74">
        <v>10</v>
      </c>
    </row>
    <row r="1252" ht="18" spans="4:16">
      <c r="D1252" s="89"/>
      <c r="E1252" s="89" t="s">
        <v>274</v>
      </c>
      <c r="F1252" s="89" t="s">
        <v>318</v>
      </c>
      <c r="G1252" s="89" t="str">
        <f>"全职小队"&amp;RIGHT(G1254,1)</f>
        <v>全职小队Ⅴ</v>
      </c>
      <c r="H1252" s="205" t="s">
        <v>215</v>
      </c>
      <c r="I1252" s="190" t="s">
        <v>216</v>
      </c>
      <c r="J1252" s="206">
        <v>1000</v>
      </c>
      <c r="K1252" s="207">
        <v>0.072</v>
      </c>
      <c r="L1252" s="187">
        <v>0.086</v>
      </c>
      <c r="M1252" s="188" t="s">
        <v>217</v>
      </c>
      <c r="N1252" s="188">
        <v>155</v>
      </c>
      <c r="O1252" s="74">
        <v>10000</v>
      </c>
      <c r="P1252" s="74">
        <v>2</v>
      </c>
    </row>
    <row r="1253" ht="18" spans="4:16">
      <c r="D1253" s="89" t="s">
        <v>36</v>
      </c>
      <c r="E1253" s="89" t="s">
        <v>274</v>
      </c>
      <c r="F1253" s="89" t="s">
        <v>318</v>
      </c>
      <c r="G1253" s="89" t="s">
        <v>275</v>
      </c>
      <c r="H1253" s="205" t="s">
        <v>219</v>
      </c>
      <c r="I1253" s="190" t="s">
        <v>220</v>
      </c>
      <c r="J1253" s="206">
        <v>1000</v>
      </c>
      <c r="K1253" s="207">
        <v>0.03</v>
      </c>
      <c r="L1253" s="187">
        <v>0.034</v>
      </c>
      <c r="M1253" s="188" t="s">
        <v>217</v>
      </c>
      <c r="N1253" s="188">
        <v>156</v>
      </c>
      <c r="O1253" s="74">
        <v>10000</v>
      </c>
      <c r="P1253" s="74">
        <v>6</v>
      </c>
    </row>
    <row r="1254" ht="18" spans="4:16">
      <c r="D1254" s="195" t="s">
        <v>36</v>
      </c>
      <c r="E1254" s="195" t="s">
        <v>274</v>
      </c>
      <c r="F1254" s="89" t="s">
        <v>318</v>
      </c>
      <c r="G1254" s="201" t="s">
        <v>276</v>
      </c>
      <c r="H1254" s="190" t="s">
        <v>222</v>
      </c>
      <c r="I1254" s="197" t="s">
        <v>223</v>
      </c>
      <c r="J1254" s="198">
        <v>1000</v>
      </c>
      <c r="K1254" s="199">
        <v>0.072</v>
      </c>
      <c r="L1254" s="200">
        <v>0.086</v>
      </c>
      <c r="M1254" s="188" t="s">
        <v>217</v>
      </c>
      <c r="N1254" s="188">
        <v>157</v>
      </c>
      <c r="O1254" s="74">
        <v>10000</v>
      </c>
      <c r="P1254" s="74">
        <v>2</v>
      </c>
    </row>
    <row r="1255" ht="18" spans="4:16">
      <c r="D1255" s="195"/>
      <c r="E1255" s="195" t="s">
        <v>274</v>
      </c>
      <c r="F1255" s="89" t="s">
        <v>318</v>
      </c>
      <c r="G1255" s="195" t="s">
        <v>224</v>
      </c>
      <c r="H1255" s="197" t="s">
        <v>225</v>
      </c>
      <c r="I1255" s="197" t="s">
        <v>226</v>
      </c>
      <c r="J1255" s="198">
        <v>1000</v>
      </c>
      <c r="K1255" s="199">
        <f>L1255</f>
        <v>0.2</v>
      </c>
      <c r="L1255" s="200">
        <v>0.2</v>
      </c>
      <c r="M1255" s="188" t="s">
        <v>227</v>
      </c>
      <c r="N1255" s="188">
        <v>158</v>
      </c>
      <c r="O1255" s="74">
        <v>10000</v>
      </c>
      <c r="P1255" s="74">
        <v>9</v>
      </c>
    </row>
    <row r="1256" ht="18" spans="4:16">
      <c r="D1256" s="195" t="s">
        <v>36</v>
      </c>
      <c r="E1256" s="195" t="s">
        <v>274</v>
      </c>
      <c r="F1256" s="89" t="s">
        <v>318</v>
      </c>
      <c r="G1256" s="195" t="s">
        <v>228</v>
      </c>
      <c r="H1256" s="197" t="s">
        <v>229</v>
      </c>
      <c r="I1256" s="197" t="s">
        <v>230</v>
      </c>
      <c r="J1256" s="198">
        <v>1000</v>
      </c>
      <c r="K1256" s="199">
        <f>L1256</f>
        <v>0.25</v>
      </c>
      <c r="L1256" s="200">
        <v>0.25</v>
      </c>
      <c r="M1256" s="188" t="s">
        <v>227</v>
      </c>
      <c r="N1256" s="188">
        <v>159</v>
      </c>
      <c r="O1256" s="74">
        <v>10000</v>
      </c>
      <c r="P1256" s="74">
        <v>7</v>
      </c>
    </row>
    <row r="1257" ht="18" spans="4:16">
      <c r="D1257" s="195" t="s">
        <v>36</v>
      </c>
      <c r="E1257" s="195" t="s">
        <v>274</v>
      </c>
      <c r="F1257" s="89" t="s">
        <v>318</v>
      </c>
      <c r="G1257" s="195" t="s">
        <v>231</v>
      </c>
      <c r="H1257" s="197" t="s">
        <v>232</v>
      </c>
      <c r="I1257" s="197" t="s">
        <v>233</v>
      </c>
      <c r="J1257" s="198">
        <v>1000</v>
      </c>
      <c r="K1257" s="199">
        <f>L1257</f>
        <v>0.5</v>
      </c>
      <c r="L1257" s="200">
        <v>0.5</v>
      </c>
      <c r="M1257" s="188" t="s">
        <v>227</v>
      </c>
      <c r="N1257" s="188">
        <v>160</v>
      </c>
      <c r="O1257" s="74">
        <v>10000</v>
      </c>
      <c r="P1257" s="74">
        <v>8</v>
      </c>
    </row>
    <row r="1258" ht="18" spans="4:16">
      <c r="D1258" s="89" t="s">
        <v>36</v>
      </c>
      <c r="E1258" s="89" t="s">
        <v>274</v>
      </c>
      <c r="F1258" s="89" t="s">
        <v>318</v>
      </c>
      <c r="G1258" s="189" t="s">
        <v>277</v>
      </c>
      <c r="H1258" s="89" t="s">
        <v>235</v>
      </c>
      <c r="I1258" s="190" t="s">
        <v>236</v>
      </c>
      <c r="J1258" s="190">
        <v>1000</v>
      </c>
      <c r="K1258" s="187">
        <v>0.09</v>
      </c>
      <c r="L1258" s="187">
        <v>0.1</v>
      </c>
      <c r="M1258" s="188" t="s">
        <v>237</v>
      </c>
      <c r="N1258" s="188">
        <v>161</v>
      </c>
      <c r="O1258" s="74">
        <v>10000</v>
      </c>
      <c r="P1258" s="74">
        <v>1</v>
      </c>
    </row>
    <row r="1259" ht="18" spans="4:16">
      <c r="D1259" s="195" t="s">
        <v>36</v>
      </c>
      <c r="E1259" s="195" t="s">
        <v>274</v>
      </c>
      <c r="F1259" s="195" t="s">
        <v>318</v>
      </c>
      <c r="G1259" s="195" t="s">
        <v>248</v>
      </c>
      <c r="H1259" s="195" t="s">
        <v>319</v>
      </c>
      <c r="I1259" s="197" t="s">
        <v>320</v>
      </c>
      <c r="J1259" s="197">
        <v>1000</v>
      </c>
      <c r="K1259" s="200">
        <v>1</v>
      </c>
      <c r="L1259" s="200">
        <v>1</v>
      </c>
      <c r="M1259" s="188" t="s">
        <v>227</v>
      </c>
      <c r="N1259" s="188">
        <v>162</v>
      </c>
      <c r="O1259" s="74">
        <v>10000</v>
      </c>
      <c r="P1259" s="74">
        <v>6</v>
      </c>
    </row>
    <row r="1260" ht="18" spans="4:16">
      <c r="D1260" s="89" t="s">
        <v>36</v>
      </c>
      <c r="E1260" s="89" t="s">
        <v>274</v>
      </c>
      <c r="F1260" s="89" t="s">
        <v>318</v>
      </c>
      <c r="G1260" s="189" t="s">
        <v>343</v>
      </c>
      <c r="H1260" s="89" t="s">
        <v>322</v>
      </c>
      <c r="I1260" s="190" t="s">
        <v>323</v>
      </c>
      <c r="J1260" s="190">
        <v>1000</v>
      </c>
      <c r="K1260" s="187">
        <v>0.035</v>
      </c>
      <c r="L1260" s="187">
        <v>0.039</v>
      </c>
      <c r="M1260" s="188" t="s">
        <v>217</v>
      </c>
      <c r="N1260" s="188">
        <v>163</v>
      </c>
      <c r="O1260" s="74">
        <v>10000</v>
      </c>
      <c r="P1260" s="74">
        <v>5</v>
      </c>
    </row>
    <row r="1261" ht="18" spans="4:16">
      <c r="D1261" s="89" t="s">
        <v>36</v>
      </c>
      <c r="E1261" s="89" t="s">
        <v>274</v>
      </c>
      <c r="F1261" s="89" t="s">
        <v>318</v>
      </c>
      <c r="G1261" s="189" t="s">
        <v>344</v>
      </c>
      <c r="H1261" s="89" t="s">
        <v>98</v>
      </c>
      <c r="I1261" s="190" t="s">
        <v>325</v>
      </c>
      <c r="J1261" s="190">
        <v>1000</v>
      </c>
      <c r="K1261" s="187">
        <v>0.09</v>
      </c>
      <c r="L1261" s="187">
        <v>0.1</v>
      </c>
      <c r="M1261" s="188" t="s">
        <v>217</v>
      </c>
      <c r="N1261" s="188">
        <v>164</v>
      </c>
      <c r="O1261" s="74">
        <v>10000</v>
      </c>
      <c r="P1261" s="74">
        <v>3</v>
      </c>
    </row>
    <row r="1262" ht="18" spans="4:16">
      <c r="D1262" s="195" t="s">
        <v>36</v>
      </c>
      <c r="E1262" s="195" t="s">
        <v>274</v>
      </c>
      <c r="F1262" s="195" t="s">
        <v>318</v>
      </c>
      <c r="G1262" s="201" t="s">
        <v>345</v>
      </c>
      <c r="H1262" s="195" t="s">
        <v>327</v>
      </c>
      <c r="I1262" s="197" t="s">
        <v>328</v>
      </c>
      <c r="J1262" s="197">
        <v>1000</v>
      </c>
      <c r="K1262" s="200">
        <v>0.13</v>
      </c>
      <c r="L1262" s="200">
        <v>0.15</v>
      </c>
      <c r="M1262" s="188" t="s">
        <v>217</v>
      </c>
      <c r="N1262" s="188">
        <v>165</v>
      </c>
      <c r="O1262" s="74">
        <v>10000</v>
      </c>
      <c r="P1262" s="74">
        <v>4</v>
      </c>
    </row>
    <row r="1263" ht="18" spans="4:16">
      <c r="D1263" s="195" t="s">
        <v>36</v>
      </c>
      <c r="E1263" s="195" t="s">
        <v>274</v>
      </c>
      <c r="F1263" s="195" t="s">
        <v>318</v>
      </c>
      <c r="G1263" s="201" t="s">
        <v>346</v>
      </c>
      <c r="H1263" s="195" t="s">
        <v>330</v>
      </c>
      <c r="I1263" s="197" t="str">
        <f>_xlfn.XLOOKUP(H1263,Sheet2!B:B,Sheet2!C:C)</f>
        <v>射手暴击伤害</v>
      </c>
      <c r="J1263" s="197">
        <v>1000</v>
      </c>
      <c r="K1263" s="200">
        <v>0.39</v>
      </c>
      <c r="L1263" s="200">
        <v>0.45</v>
      </c>
      <c r="M1263" s="188" t="s">
        <v>217</v>
      </c>
      <c r="N1263" s="188">
        <v>165</v>
      </c>
      <c r="O1263" s="74">
        <v>10000</v>
      </c>
      <c r="P1263" s="74">
        <v>10</v>
      </c>
    </row>
    <row r="1264" ht="18" spans="4:16">
      <c r="D1264" s="89"/>
      <c r="E1264" s="89" t="s">
        <v>213</v>
      </c>
      <c r="F1264" s="89" t="s">
        <v>347</v>
      </c>
      <c r="G1264" s="89" t="str">
        <f>"全职小队"&amp;RIGHT(G1266,1)</f>
        <v>全职小队Ⅰ</v>
      </c>
      <c r="H1264" s="190" t="s">
        <v>215</v>
      </c>
      <c r="I1264" s="190" t="s">
        <v>216</v>
      </c>
      <c r="J1264" s="206">
        <v>1000</v>
      </c>
      <c r="K1264" s="207">
        <v>0.03</v>
      </c>
      <c r="L1264" s="187">
        <v>0.042</v>
      </c>
      <c r="M1264" s="188" t="s">
        <v>217</v>
      </c>
      <c r="N1264" s="188">
        <v>166</v>
      </c>
      <c r="O1264" s="74">
        <v>10000</v>
      </c>
      <c r="P1264" s="74">
        <v>2</v>
      </c>
    </row>
    <row r="1265" ht="18" spans="4:16">
      <c r="D1265" s="89" t="s">
        <v>32</v>
      </c>
      <c r="E1265" s="89" t="s">
        <v>213</v>
      </c>
      <c r="F1265" s="89" t="s">
        <v>347</v>
      </c>
      <c r="G1265" s="189" t="s">
        <v>218</v>
      </c>
      <c r="H1265" s="190" t="s">
        <v>219</v>
      </c>
      <c r="I1265" s="190" t="s">
        <v>220</v>
      </c>
      <c r="J1265" s="206">
        <v>1000</v>
      </c>
      <c r="K1265" s="207">
        <v>0.01</v>
      </c>
      <c r="L1265" s="187">
        <v>0.014</v>
      </c>
      <c r="M1265" s="188" t="s">
        <v>217</v>
      </c>
      <c r="N1265" s="188">
        <v>167</v>
      </c>
      <c r="O1265" s="74">
        <v>10000</v>
      </c>
      <c r="P1265" s="74">
        <v>6</v>
      </c>
    </row>
    <row r="1266" ht="18" spans="4:16">
      <c r="D1266" s="89" t="s">
        <v>32</v>
      </c>
      <c r="E1266" s="191" t="s">
        <v>213</v>
      </c>
      <c r="F1266" s="89" t="s">
        <v>347</v>
      </c>
      <c r="G1266" s="213" t="s">
        <v>221</v>
      </c>
      <c r="H1266" s="190" t="s">
        <v>222</v>
      </c>
      <c r="I1266" s="193" t="s">
        <v>223</v>
      </c>
      <c r="J1266" s="208">
        <v>1000</v>
      </c>
      <c r="K1266" s="209">
        <v>0.03</v>
      </c>
      <c r="L1266" s="194">
        <v>0.042</v>
      </c>
      <c r="M1266" s="188" t="s">
        <v>217</v>
      </c>
      <c r="N1266" s="188">
        <v>168</v>
      </c>
      <c r="O1266" s="74">
        <v>10000</v>
      </c>
      <c r="P1266" s="74">
        <v>2</v>
      </c>
    </row>
    <row r="1267" ht="18" spans="4:16">
      <c r="D1267" s="195"/>
      <c r="E1267" s="195" t="s">
        <v>213</v>
      </c>
      <c r="F1267" s="89" t="s">
        <v>347</v>
      </c>
      <c r="G1267" s="195" t="s">
        <v>224</v>
      </c>
      <c r="H1267" s="197" t="s">
        <v>225</v>
      </c>
      <c r="I1267" s="197" t="s">
        <v>226</v>
      </c>
      <c r="J1267" s="198">
        <v>1000</v>
      </c>
      <c r="K1267" s="199">
        <f>L1267</f>
        <v>0.2</v>
      </c>
      <c r="L1267" s="200">
        <v>0.2</v>
      </c>
      <c r="M1267" s="188" t="s">
        <v>227</v>
      </c>
      <c r="N1267" s="188">
        <v>169</v>
      </c>
      <c r="O1267" s="74">
        <v>10000</v>
      </c>
      <c r="P1267" s="74">
        <v>9</v>
      </c>
    </row>
    <row r="1268" ht="18" spans="4:16">
      <c r="D1268" s="195"/>
      <c r="E1268" s="195" t="s">
        <v>213</v>
      </c>
      <c r="F1268" s="89" t="s">
        <v>347</v>
      </c>
      <c r="G1268" s="195" t="s">
        <v>228</v>
      </c>
      <c r="H1268" s="197" t="s">
        <v>229</v>
      </c>
      <c r="I1268" s="197" t="s">
        <v>230</v>
      </c>
      <c r="J1268" s="198">
        <v>1000</v>
      </c>
      <c r="K1268" s="199">
        <f>L1268</f>
        <v>0.25</v>
      </c>
      <c r="L1268" s="200">
        <v>0.25</v>
      </c>
      <c r="M1268" s="188" t="s">
        <v>227</v>
      </c>
      <c r="N1268" s="188">
        <v>170</v>
      </c>
      <c r="O1268" s="74">
        <v>10000</v>
      </c>
      <c r="P1268" s="74">
        <v>7</v>
      </c>
    </row>
    <row r="1269" ht="18" spans="4:16">
      <c r="D1269" s="195"/>
      <c r="E1269" s="195" t="s">
        <v>213</v>
      </c>
      <c r="F1269" s="89" t="s">
        <v>347</v>
      </c>
      <c r="G1269" s="195" t="s">
        <v>231</v>
      </c>
      <c r="H1269" s="197" t="s">
        <v>232</v>
      </c>
      <c r="I1269" s="197" t="s">
        <v>233</v>
      </c>
      <c r="J1269" s="198">
        <v>1000</v>
      </c>
      <c r="K1269" s="199">
        <f>L1269</f>
        <v>0.5</v>
      </c>
      <c r="L1269" s="200">
        <v>0.5</v>
      </c>
      <c r="M1269" s="188" t="s">
        <v>227</v>
      </c>
      <c r="N1269" s="188">
        <v>171</v>
      </c>
      <c r="O1269" s="74">
        <v>10000</v>
      </c>
      <c r="P1269" s="74">
        <v>8</v>
      </c>
    </row>
    <row r="1270" ht="18" spans="4:16">
      <c r="D1270" s="195"/>
      <c r="E1270" s="195" t="s">
        <v>213</v>
      </c>
      <c r="F1270" s="195" t="s">
        <v>347</v>
      </c>
      <c r="G1270" s="195" t="s">
        <v>248</v>
      </c>
      <c r="H1270" s="195" t="s">
        <v>348</v>
      </c>
      <c r="I1270" s="197" t="s">
        <v>349</v>
      </c>
      <c r="J1270" s="197">
        <v>1000</v>
      </c>
      <c r="K1270" s="199">
        <f>L1270</f>
        <v>1</v>
      </c>
      <c r="L1270" s="200">
        <v>1</v>
      </c>
      <c r="M1270" s="188" t="s">
        <v>227</v>
      </c>
      <c r="N1270" s="188">
        <v>172</v>
      </c>
      <c r="O1270" s="74">
        <v>10000</v>
      </c>
      <c r="P1270" s="74">
        <v>1</v>
      </c>
    </row>
    <row r="1271" ht="18" spans="4:16">
      <c r="D1271" s="89"/>
      <c r="E1271" s="89" t="s">
        <v>213</v>
      </c>
      <c r="F1271" s="89" t="s">
        <v>347</v>
      </c>
      <c r="G1271" s="189" t="s">
        <v>285</v>
      </c>
      <c r="H1271" s="89" t="s">
        <v>286</v>
      </c>
      <c r="I1271" s="190" t="s">
        <v>287</v>
      </c>
      <c r="J1271" s="190">
        <v>1000</v>
      </c>
      <c r="K1271" s="187">
        <v>0.044</v>
      </c>
      <c r="L1271" s="187">
        <v>0.058</v>
      </c>
      <c r="M1271" s="188" t="s">
        <v>237</v>
      </c>
      <c r="N1271" s="188">
        <v>173</v>
      </c>
      <c r="O1271" s="74">
        <v>10000</v>
      </c>
      <c r="P1271" s="74">
        <v>6</v>
      </c>
    </row>
    <row r="1272" ht="18" spans="4:16">
      <c r="D1272" s="89" t="s">
        <v>32</v>
      </c>
      <c r="E1272" s="89" t="s">
        <v>213</v>
      </c>
      <c r="F1272" s="89" t="s">
        <v>347</v>
      </c>
      <c r="G1272" s="189" t="s">
        <v>350</v>
      </c>
      <c r="H1272" s="89" t="s">
        <v>351</v>
      </c>
      <c r="I1272" s="190" t="s">
        <v>352</v>
      </c>
      <c r="J1272" s="190">
        <v>1000</v>
      </c>
      <c r="K1272" s="187">
        <v>0.015</v>
      </c>
      <c r="L1272" s="187">
        <v>0.019</v>
      </c>
      <c r="M1272" s="188" t="s">
        <v>217</v>
      </c>
      <c r="N1272" s="188">
        <v>174</v>
      </c>
      <c r="O1272" s="74">
        <v>10000</v>
      </c>
      <c r="P1272" s="74">
        <v>5</v>
      </c>
    </row>
    <row r="1273" ht="18" spans="4:16">
      <c r="D1273" s="89" t="s">
        <v>32</v>
      </c>
      <c r="E1273" s="89" t="s">
        <v>213</v>
      </c>
      <c r="F1273" s="89" t="s">
        <v>347</v>
      </c>
      <c r="G1273" s="189" t="s">
        <v>353</v>
      </c>
      <c r="H1273" s="89" t="s">
        <v>101</v>
      </c>
      <c r="I1273" s="190" t="s">
        <v>354</v>
      </c>
      <c r="J1273" s="190">
        <v>1000</v>
      </c>
      <c r="K1273" s="187">
        <v>0.044</v>
      </c>
      <c r="L1273" s="187">
        <v>0.058</v>
      </c>
      <c r="M1273" s="188" t="s">
        <v>217</v>
      </c>
      <c r="N1273" s="188">
        <v>175</v>
      </c>
      <c r="O1273" s="74">
        <v>10000</v>
      </c>
      <c r="P1273" s="74">
        <v>3</v>
      </c>
    </row>
    <row r="1274" ht="18" spans="4:16">
      <c r="D1274" s="195"/>
      <c r="E1274" s="195" t="s">
        <v>213</v>
      </c>
      <c r="F1274" s="195" t="s">
        <v>347</v>
      </c>
      <c r="G1274" s="201" t="s">
        <v>355</v>
      </c>
      <c r="H1274" s="195" t="s">
        <v>356</v>
      </c>
      <c r="I1274" s="197" t="s">
        <v>357</v>
      </c>
      <c r="J1274" s="197">
        <v>1000</v>
      </c>
      <c r="K1274" s="200">
        <v>0.06</v>
      </c>
      <c r="L1274" s="200">
        <v>0.075</v>
      </c>
      <c r="M1274" s="188" t="s">
        <v>217</v>
      </c>
      <c r="N1274" s="188">
        <v>176</v>
      </c>
      <c r="O1274" s="74">
        <v>10000</v>
      </c>
      <c r="P1274" s="74">
        <v>4</v>
      </c>
    </row>
    <row r="1275" ht="18" spans="4:16">
      <c r="D1275" s="195" t="s">
        <v>32</v>
      </c>
      <c r="E1275" s="195" t="s">
        <v>213</v>
      </c>
      <c r="F1275" s="195" t="s">
        <v>347</v>
      </c>
      <c r="G1275" s="201" t="s">
        <v>358</v>
      </c>
      <c r="H1275" s="195" t="s">
        <v>359</v>
      </c>
      <c r="I1275" s="197" t="str">
        <f>_xlfn.XLOOKUP(H1275,Sheet2!B:B,Sheet2!C:C)</f>
        <v>毒系暴击伤害</v>
      </c>
      <c r="J1275" s="197">
        <v>1000</v>
      </c>
      <c r="K1275" s="200">
        <v>0.2</v>
      </c>
      <c r="L1275" s="200">
        <v>0.24</v>
      </c>
      <c r="M1275" s="188" t="s">
        <v>217</v>
      </c>
      <c r="N1275" s="188">
        <v>176</v>
      </c>
      <c r="O1275" s="74">
        <v>10000</v>
      </c>
      <c r="P1275" s="74">
        <v>10</v>
      </c>
    </row>
    <row r="1276" ht="18" spans="4:16">
      <c r="D1276" s="89"/>
      <c r="E1276" s="89" t="s">
        <v>213</v>
      </c>
      <c r="F1276" s="89" t="s">
        <v>347</v>
      </c>
      <c r="G1276" s="89" t="str">
        <f>"全职小队"&amp;RIGHT(G1278,1)</f>
        <v>全职小队Ⅱ</v>
      </c>
      <c r="H1276" s="190" t="s">
        <v>215</v>
      </c>
      <c r="I1276" s="190" t="s">
        <v>216</v>
      </c>
      <c r="J1276" s="206">
        <v>1000</v>
      </c>
      <c r="K1276" s="207">
        <v>0.044</v>
      </c>
      <c r="L1276" s="187">
        <v>0.058</v>
      </c>
      <c r="M1276" s="188" t="s">
        <v>217</v>
      </c>
      <c r="N1276" s="188">
        <v>177</v>
      </c>
      <c r="O1276" s="74">
        <v>10000</v>
      </c>
      <c r="P1276" s="74">
        <v>2</v>
      </c>
    </row>
    <row r="1277" ht="18" spans="4:16">
      <c r="D1277" s="89" t="s">
        <v>33</v>
      </c>
      <c r="E1277" s="89" t="s">
        <v>213</v>
      </c>
      <c r="F1277" s="89" t="s">
        <v>347</v>
      </c>
      <c r="G1277" s="189" t="s">
        <v>251</v>
      </c>
      <c r="H1277" s="190" t="s">
        <v>219</v>
      </c>
      <c r="I1277" s="190" t="s">
        <v>220</v>
      </c>
      <c r="J1277" s="206">
        <v>1000</v>
      </c>
      <c r="K1277" s="207">
        <v>0.015</v>
      </c>
      <c r="L1277" s="187">
        <v>0.019</v>
      </c>
      <c r="M1277" s="188" t="s">
        <v>217</v>
      </c>
      <c r="N1277" s="188">
        <v>178</v>
      </c>
      <c r="O1277" s="74">
        <v>10000</v>
      </c>
      <c r="P1277" s="74">
        <v>6</v>
      </c>
    </row>
    <row r="1278" ht="18" spans="4:16">
      <c r="D1278" s="89" t="s">
        <v>33</v>
      </c>
      <c r="E1278" s="195" t="s">
        <v>213</v>
      </c>
      <c r="F1278" s="89" t="s">
        <v>347</v>
      </c>
      <c r="G1278" s="201" t="s">
        <v>252</v>
      </c>
      <c r="H1278" s="190" t="s">
        <v>222</v>
      </c>
      <c r="I1278" s="197" t="s">
        <v>223</v>
      </c>
      <c r="J1278" s="198">
        <v>1000</v>
      </c>
      <c r="K1278" s="199">
        <v>0.044</v>
      </c>
      <c r="L1278" s="200">
        <v>0.058</v>
      </c>
      <c r="M1278" s="188" t="s">
        <v>217</v>
      </c>
      <c r="N1278" s="188">
        <v>179</v>
      </c>
      <c r="O1278" s="74">
        <v>10000</v>
      </c>
      <c r="P1278" s="74">
        <v>2</v>
      </c>
    </row>
    <row r="1279" ht="18" spans="4:16">
      <c r="D1279" s="195"/>
      <c r="E1279" s="195" t="s">
        <v>213</v>
      </c>
      <c r="F1279" s="89" t="s">
        <v>347</v>
      </c>
      <c r="G1279" s="195" t="s">
        <v>224</v>
      </c>
      <c r="H1279" s="214" t="s">
        <v>225</v>
      </c>
      <c r="I1279" s="202" t="s">
        <v>226</v>
      </c>
      <c r="J1279" s="215">
        <v>1000</v>
      </c>
      <c r="K1279" s="199">
        <f>L1279</f>
        <v>0.2</v>
      </c>
      <c r="L1279" s="200">
        <v>0.2</v>
      </c>
      <c r="M1279" s="188" t="s">
        <v>227</v>
      </c>
      <c r="N1279" s="188">
        <v>180</v>
      </c>
      <c r="O1279" s="74">
        <v>10000</v>
      </c>
      <c r="P1279" s="74">
        <v>9</v>
      </c>
    </row>
    <row r="1280" ht="18" spans="4:16">
      <c r="D1280" s="195"/>
      <c r="E1280" s="195" t="s">
        <v>213</v>
      </c>
      <c r="F1280" s="89" t="s">
        <v>347</v>
      </c>
      <c r="G1280" s="195" t="s">
        <v>228</v>
      </c>
      <c r="H1280" s="196" t="s">
        <v>229</v>
      </c>
      <c r="I1280" s="197" t="s">
        <v>230</v>
      </c>
      <c r="J1280" s="198">
        <v>1000</v>
      </c>
      <c r="K1280" s="199">
        <f>L1280</f>
        <v>0.25</v>
      </c>
      <c r="L1280" s="200">
        <v>0.25</v>
      </c>
      <c r="M1280" s="188" t="s">
        <v>227</v>
      </c>
      <c r="N1280" s="188">
        <v>181</v>
      </c>
      <c r="O1280" s="74">
        <v>10000</v>
      </c>
      <c r="P1280" s="74">
        <v>7</v>
      </c>
    </row>
    <row r="1281" ht="18" spans="4:16">
      <c r="D1281" s="195"/>
      <c r="E1281" s="195" t="s">
        <v>213</v>
      </c>
      <c r="F1281" s="89" t="s">
        <v>347</v>
      </c>
      <c r="G1281" s="195" t="s">
        <v>231</v>
      </c>
      <c r="H1281" s="196" t="s">
        <v>232</v>
      </c>
      <c r="I1281" s="197" t="s">
        <v>233</v>
      </c>
      <c r="J1281" s="198">
        <v>1000</v>
      </c>
      <c r="K1281" s="199">
        <f>L1281</f>
        <v>0.5</v>
      </c>
      <c r="L1281" s="200">
        <v>0.5</v>
      </c>
      <c r="M1281" s="188" t="s">
        <v>227</v>
      </c>
      <c r="N1281" s="188">
        <v>182</v>
      </c>
      <c r="O1281" s="74">
        <v>10000</v>
      </c>
      <c r="P1281" s="74">
        <v>8</v>
      </c>
    </row>
    <row r="1282" ht="18" spans="4:16">
      <c r="D1282" s="195"/>
      <c r="E1282" s="195" t="s">
        <v>213</v>
      </c>
      <c r="F1282" s="195" t="s">
        <v>347</v>
      </c>
      <c r="G1282" s="195" t="s">
        <v>248</v>
      </c>
      <c r="H1282" s="201" t="s">
        <v>348</v>
      </c>
      <c r="I1282" s="197" t="s">
        <v>349</v>
      </c>
      <c r="J1282" s="197">
        <v>1000</v>
      </c>
      <c r="K1282" s="199">
        <f>L1282</f>
        <v>1</v>
      </c>
      <c r="L1282" s="200">
        <v>1</v>
      </c>
      <c r="M1282" s="188" t="s">
        <v>227</v>
      </c>
      <c r="N1282" s="188">
        <v>183</v>
      </c>
      <c r="O1282" s="74">
        <v>10000</v>
      </c>
      <c r="P1282" s="74">
        <v>1</v>
      </c>
    </row>
    <row r="1283" ht="18" spans="4:16">
      <c r="D1283" s="89"/>
      <c r="E1283" s="89" t="s">
        <v>213</v>
      </c>
      <c r="F1283" s="89" t="s">
        <v>347</v>
      </c>
      <c r="G1283" s="89" t="s">
        <v>298</v>
      </c>
      <c r="H1283" s="189" t="s">
        <v>286</v>
      </c>
      <c r="I1283" s="190" t="s">
        <v>287</v>
      </c>
      <c r="J1283" s="190">
        <v>1000</v>
      </c>
      <c r="K1283" s="187">
        <v>0.058</v>
      </c>
      <c r="L1283" s="187">
        <v>0.072</v>
      </c>
      <c r="M1283" s="188" t="s">
        <v>237</v>
      </c>
      <c r="N1283" s="188">
        <v>184</v>
      </c>
      <c r="O1283" s="74">
        <v>10000</v>
      </c>
      <c r="P1283" s="74">
        <v>6</v>
      </c>
    </row>
    <row r="1284" ht="18" spans="4:16">
      <c r="D1284" s="89" t="s">
        <v>33</v>
      </c>
      <c r="E1284" s="89" t="s">
        <v>213</v>
      </c>
      <c r="F1284" s="89" t="s">
        <v>347</v>
      </c>
      <c r="G1284" s="89" t="s">
        <v>360</v>
      </c>
      <c r="H1284" s="189" t="s">
        <v>351</v>
      </c>
      <c r="I1284" s="190" t="s">
        <v>352</v>
      </c>
      <c r="J1284" s="190">
        <v>1000</v>
      </c>
      <c r="K1284" s="187">
        <v>0.02</v>
      </c>
      <c r="L1284" s="187">
        <v>0.024</v>
      </c>
      <c r="M1284" s="188" t="s">
        <v>217</v>
      </c>
      <c r="N1284" s="188">
        <v>185</v>
      </c>
      <c r="O1284" s="74">
        <v>10000</v>
      </c>
      <c r="P1284" s="74">
        <v>5</v>
      </c>
    </row>
    <row r="1285" ht="18" spans="4:16">
      <c r="D1285" s="89" t="s">
        <v>33</v>
      </c>
      <c r="E1285" s="89" t="s">
        <v>213</v>
      </c>
      <c r="F1285" s="89" t="s">
        <v>347</v>
      </c>
      <c r="G1285" s="89" t="s">
        <v>361</v>
      </c>
      <c r="H1285" s="189" t="s">
        <v>101</v>
      </c>
      <c r="I1285" s="190" t="s">
        <v>354</v>
      </c>
      <c r="J1285" s="190">
        <v>1000</v>
      </c>
      <c r="K1285" s="187">
        <v>0.058</v>
      </c>
      <c r="L1285" s="187">
        <v>0.072</v>
      </c>
      <c r="M1285" s="188" t="s">
        <v>217</v>
      </c>
      <c r="N1285" s="188">
        <v>186</v>
      </c>
      <c r="O1285" s="74">
        <v>10000</v>
      </c>
      <c r="P1285" s="74">
        <v>3</v>
      </c>
    </row>
    <row r="1286" ht="18" spans="4:16">
      <c r="D1286" s="195"/>
      <c r="E1286" s="195" t="s">
        <v>213</v>
      </c>
      <c r="F1286" s="195" t="s">
        <v>347</v>
      </c>
      <c r="G1286" s="195" t="s">
        <v>362</v>
      </c>
      <c r="H1286" s="201" t="s">
        <v>356</v>
      </c>
      <c r="I1286" s="197" t="s">
        <v>357</v>
      </c>
      <c r="J1286" s="197">
        <v>1000</v>
      </c>
      <c r="K1286" s="200">
        <v>0.075</v>
      </c>
      <c r="L1286" s="200">
        <v>0.09</v>
      </c>
      <c r="M1286" s="188" t="s">
        <v>217</v>
      </c>
      <c r="N1286" s="188">
        <v>187</v>
      </c>
      <c r="O1286" s="74">
        <v>10000</v>
      </c>
      <c r="P1286" s="74">
        <v>4</v>
      </c>
    </row>
    <row r="1287" ht="18" spans="4:16">
      <c r="D1287" s="195" t="s">
        <v>33</v>
      </c>
      <c r="E1287" s="195" t="s">
        <v>213</v>
      </c>
      <c r="F1287" s="195" t="s">
        <v>347</v>
      </c>
      <c r="G1287" s="195" t="s">
        <v>363</v>
      </c>
      <c r="H1287" s="201" t="s">
        <v>359</v>
      </c>
      <c r="I1287" s="197" t="str">
        <f>_xlfn.XLOOKUP(H1287,Sheet2!B:B,Sheet2!C:C)</f>
        <v>毒系暴击伤害</v>
      </c>
      <c r="J1287" s="197">
        <v>1000</v>
      </c>
      <c r="K1287" s="200">
        <v>0.24</v>
      </c>
      <c r="L1287" s="200">
        <v>0.27</v>
      </c>
      <c r="M1287" s="188" t="s">
        <v>217</v>
      </c>
      <c r="N1287" s="188">
        <v>187</v>
      </c>
      <c r="O1287" s="74">
        <v>10000</v>
      </c>
      <c r="P1287" s="74">
        <v>10</v>
      </c>
    </row>
    <row r="1288" ht="18" spans="4:16">
      <c r="D1288" s="89"/>
      <c r="E1288" s="89" t="s">
        <v>258</v>
      </c>
      <c r="F1288" s="89" t="s">
        <v>347</v>
      </c>
      <c r="G1288" s="89" t="str">
        <f>"全职小队"&amp;RIGHT(G1290,1)</f>
        <v>全职小队Ⅲ</v>
      </c>
      <c r="H1288" s="205" t="s">
        <v>215</v>
      </c>
      <c r="I1288" s="190" t="s">
        <v>216</v>
      </c>
      <c r="J1288" s="206">
        <v>1000</v>
      </c>
      <c r="K1288" s="207">
        <v>0.052</v>
      </c>
      <c r="L1288" s="187">
        <v>0.058</v>
      </c>
      <c r="M1288" s="188" t="s">
        <v>217</v>
      </c>
      <c r="N1288" s="188">
        <v>188</v>
      </c>
      <c r="O1288" s="74">
        <v>10000</v>
      </c>
      <c r="P1288" s="74">
        <v>2</v>
      </c>
    </row>
    <row r="1289" ht="18" spans="4:16">
      <c r="D1289" s="89" t="s">
        <v>34</v>
      </c>
      <c r="E1289" s="89" t="s">
        <v>258</v>
      </c>
      <c r="F1289" s="89" t="s">
        <v>347</v>
      </c>
      <c r="G1289" s="89" t="s">
        <v>259</v>
      </c>
      <c r="H1289" s="205" t="s">
        <v>219</v>
      </c>
      <c r="I1289" s="185" t="s">
        <v>220</v>
      </c>
      <c r="J1289" s="216">
        <v>1000</v>
      </c>
      <c r="K1289" s="207">
        <v>0.02</v>
      </c>
      <c r="L1289" s="187">
        <v>0.024</v>
      </c>
      <c r="M1289" s="188" t="s">
        <v>217</v>
      </c>
      <c r="N1289" s="188">
        <v>189</v>
      </c>
      <c r="O1289" s="74">
        <v>10000</v>
      </c>
      <c r="P1289" s="74">
        <v>6</v>
      </c>
    </row>
    <row r="1290" ht="18" spans="4:16">
      <c r="D1290" s="195" t="s">
        <v>34</v>
      </c>
      <c r="E1290" s="195" t="s">
        <v>258</v>
      </c>
      <c r="F1290" s="89" t="s">
        <v>347</v>
      </c>
      <c r="G1290" s="195" t="s">
        <v>260</v>
      </c>
      <c r="H1290" s="205" t="s">
        <v>222</v>
      </c>
      <c r="I1290" s="197" t="s">
        <v>223</v>
      </c>
      <c r="J1290" s="198">
        <v>1000</v>
      </c>
      <c r="K1290" s="199">
        <v>0.052</v>
      </c>
      <c r="L1290" s="200">
        <v>0.058</v>
      </c>
      <c r="M1290" s="188" t="s">
        <v>217</v>
      </c>
      <c r="N1290" s="188">
        <v>190</v>
      </c>
      <c r="O1290" s="74">
        <v>10000</v>
      </c>
      <c r="P1290" s="74">
        <v>2</v>
      </c>
    </row>
    <row r="1291" ht="18" spans="4:16">
      <c r="D1291" s="195"/>
      <c r="E1291" s="195" t="s">
        <v>258</v>
      </c>
      <c r="F1291" s="89" t="s">
        <v>347</v>
      </c>
      <c r="G1291" s="195" t="s">
        <v>224</v>
      </c>
      <c r="H1291" s="196" t="s">
        <v>225</v>
      </c>
      <c r="I1291" s="197" t="s">
        <v>226</v>
      </c>
      <c r="J1291" s="198">
        <v>1000</v>
      </c>
      <c r="K1291" s="199">
        <f>L1291</f>
        <v>0.2</v>
      </c>
      <c r="L1291" s="200">
        <v>0.2</v>
      </c>
      <c r="M1291" s="188" t="s">
        <v>227</v>
      </c>
      <c r="N1291" s="188">
        <v>191</v>
      </c>
      <c r="O1291" s="74">
        <v>10000</v>
      </c>
      <c r="P1291" s="74">
        <v>9</v>
      </c>
    </row>
    <row r="1292" ht="18" spans="4:16">
      <c r="D1292" s="195"/>
      <c r="E1292" s="195" t="s">
        <v>258</v>
      </c>
      <c r="F1292" s="89" t="s">
        <v>347</v>
      </c>
      <c r="G1292" s="195" t="s">
        <v>228</v>
      </c>
      <c r="H1292" s="196" t="s">
        <v>229</v>
      </c>
      <c r="I1292" s="197" t="s">
        <v>230</v>
      </c>
      <c r="J1292" s="198">
        <v>1000</v>
      </c>
      <c r="K1292" s="199">
        <f>L1292</f>
        <v>0.25</v>
      </c>
      <c r="L1292" s="200">
        <v>0.25</v>
      </c>
      <c r="M1292" s="188" t="s">
        <v>227</v>
      </c>
      <c r="N1292" s="188">
        <v>192</v>
      </c>
      <c r="O1292" s="74">
        <v>10000</v>
      </c>
      <c r="P1292" s="74">
        <v>7</v>
      </c>
    </row>
    <row r="1293" ht="18" spans="4:16">
      <c r="D1293" s="195"/>
      <c r="E1293" s="195" t="s">
        <v>258</v>
      </c>
      <c r="F1293" s="89" t="s">
        <v>347</v>
      </c>
      <c r="G1293" s="195" t="s">
        <v>231</v>
      </c>
      <c r="H1293" s="196" t="s">
        <v>232</v>
      </c>
      <c r="I1293" s="197" t="s">
        <v>233</v>
      </c>
      <c r="J1293" s="198">
        <v>1000</v>
      </c>
      <c r="K1293" s="199">
        <f>L1293</f>
        <v>0.5</v>
      </c>
      <c r="L1293" s="200">
        <v>0.5</v>
      </c>
      <c r="M1293" s="188" t="s">
        <v>227</v>
      </c>
      <c r="N1293" s="188">
        <v>193</v>
      </c>
      <c r="O1293" s="74">
        <v>10000</v>
      </c>
      <c r="P1293" s="74">
        <v>8</v>
      </c>
    </row>
    <row r="1294" ht="18" spans="4:16">
      <c r="D1294" s="195"/>
      <c r="E1294" s="195" t="s">
        <v>258</v>
      </c>
      <c r="F1294" s="195" t="s">
        <v>347</v>
      </c>
      <c r="G1294" s="195" t="s">
        <v>248</v>
      </c>
      <c r="H1294" s="195" t="s">
        <v>348</v>
      </c>
      <c r="I1294" s="197" t="s">
        <v>349</v>
      </c>
      <c r="J1294" s="197">
        <v>1000</v>
      </c>
      <c r="K1294" s="199">
        <f>L1294</f>
        <v>1</v>
      </c>
      <c r="L1294" s="200">
        <v>1</v>
      </c>
      <c r="M1294" s="188" t="s">
        <v>227</v>
      </c>
      <c r="N1294" s="188">
        <v>194</v>
      </c>
      <c r="O1294" s="74">
        <v>10000</v>
      </c>
      <c r="P1294" s="74">
        <v>1</v>
      </c>
    </row>
    <row r="1295" ht="18" spans="4:16">
      <c r="D1295" s="89" t="s">
        <v>34</v>
      </c>
      <c r="E1295" s="89" t="s">
        <v>258</v>
      </c>
      <c r="F1295" s="89" t="s">
        <v>347</v>
      </c>
      <c r="G1295" s="189" t="s">
        <v>303</v>
      </c>
      <c r="H1295" s="89" t="s">
        <v>286</v>
      </c>
      <c r="I1295" s="190" t="s">
        <v>287</v>
      </c>
      <c r="J1295" s="190">
        <v>1000</v>
      </c>
      <c r="K1295" s="187">
        <v>0.072</v>
      </c>
      <c r="L1295" s="187">
        <v>0.086</v>
      </c>
      <c r="M1295" s="188" t="s">
        <v>237</v>
      </c>
      <c r="N1295" s="188">
        <v>195</v>
      </c>
      <c r="O1295" s="74">
        <v>10000</v>
      </c>
      <c r="P1295" s="74">
        <v>6</v>
      </c>
    </row>
    <row r="1296" ht="18" spans="4:16">
      <c r="D1296" s="89" t="s">
        <v>34</v>
      </c>
      <c r="E1296" s="89" t="s">
        <v>258</v>
      </c>
      <c r="F1296" s="89" t="s">
        <v>347</v>
      </c>
      <c r="G1296" s="189" t="s">
        <v>364</v>
      </c>
      <c r="H1296" s="89" t="s">
        <v>351</v>
      </c>
      <c r="I1296" s="190" t="s">
        <v>352</v>
      </c>
      <c r="J1296" s="190">
        <v>1000</v>
      </c>
      <c r="K1296" s="187">
        <v>0.025</v>
      </c>
      <c r="L1296" s="187">
        <v>0.029</v>
      </c>
      <c r="M1296" s="188" t="s">
        <v>217</v>
      </c>
      <c r="N1296" s="188">
        <v>196</v>
      </c>
      <c r="O1296" s="74">
        <v>10000</v>
      </c>
      <c r="P1296" s="74">
        <v>5</v>
      </c>
    </row>
    <row r="1297" ht="18" spans="4:16">
      <c r="D1297" s="89" t="s">
        <v>34</v>
      </c>
      <c r="E1297" s="89" t="s">
        <v>258</v>
      </c>
      <c r="F1297" s="89" t="s">
        <v>347</v>
      </c>
      <c r="G1297" s="189" t="s">
        <v>365</v>
      </c>
      <c r="H1297" s="89" t="s">
        <v>101</v>
      </c>
      <c r="I1297" s="190" t="s">
        <v>354</v>
      </c>
      <c r="J1297" s="190">
        <v>1000</v>
      </c>
      <c r="K1297" s="187">
        <v>0.072</v>
      </c>
      <c r="L1297" s="187">
        <v>0.086</v>
      </c>
      <c r="M1297" s="188" t="s">
        <v>217</v>
      </c>
      <c r="N1297" s="188">
        <v>197</v>
      </c>
      <c r="O1297" s="74">
        <v>10000</v>
      </c>
      <c r="P1297" s="74">
        <v>3</v>
      </c>
    </row>
    <row r="1298" ht="18" spans="4:16">
      <c r="D1298" s="195" t="s">
        <v>34</v>
      </c>
      <c r="E1298" s="195" t="s">
        <v>258</v>
      </c>
      <c r="F1298" s="195" t="s">
        <v>347</v>
      </c>
      <c r="G1298" s="201" t="s">
        <v>366</v>
      </c>
      <c r="H1298" s="195" t="s">
        <v>356</v>
      </c>
      <c r="I1298" s="197" t="s">
        <v>357</v>
      </c>
      <c r="J1298" s="197">
        <v>1000</v>
      </c>
      <c r="K1298" s="200">
        <v>0.09</v>
      </c>
      <c r="L1298" s="200">
        <v>0.11</v>
      </c>
      <c r="M1298" s="188" t="s">
        <v>217</v>
      </c>
      <c r="N1298" s="188">
        <v>198</v>
      </c>
      <c r="O1298" s="74">
        <v>10000</v>
      </c>
      <c r="P1298" s="74">
        <v>4</v>
      </c>
    </row>
    <row r="1299" ht="18" spans="4:16">
      <c r="D1299" s="195" t="s">
        <v>34</v>
      </c>
      <c r="E1299" s="195" t="s">
        <v>258</v>
      </c>
      <c r="F1299" s="195" t="s">
        <v>347</v>
      </c>
      <c r="G1299" s="201" t="s">
        <v>367</v>
      </c>
      <c r="H1299" s="195" t="s">
        <v>359</v>
      </c>
      <c r="I1299" s="197" t="str">
        <f>_xlfn.XLOOKUP(H1299,Sheet2!B:B,Sheet2!C:C)</f>
        <v>毒系暴击伤害</v>
      </c>
      <c r="J1299" s="197">
        <v>1000</v>
      </c>
      <c r="K1299" s="200">
        <v>0.27</v>
      </c>
      <c r="L1299" s="200">
        <v>0.33</v>
      </c>
      <c r="M1299" s="188" t="s">
        <v>217</v>
      </c>
      <c r="N1299" s="188">
        <v>198</v>
      </c>
      <c r="O1299" s="74">
        <v>10000</v>
      </c>
      <c r="P1299" s="74">
        <v>10</v>
      </c>
    </row>
    <row r="1300" ht="18" spans="4:16">
      <c r="D1300" s="89"/>
      <c r="E1300" s="89" t="s">
        <v>266</v>
      </c>
      <c r="F1300" s="89" t="s">
        <v>347</v>
      </c>
      <c r="G1300" s="89" t="str">
        <f>"全职小队"&amp;RIGHT(G1302,1)</f>
        <v>全职小队Ⅳ</v>
      </c>
      <c r="H1300" s="190" t="s">
        <v>215</v>
      </c>
      <c r="I1300" s="190" t="s">
        <v>216</v>
      </c>
      <c r="J1300" s="206">
        <v>1000</v>
      </c>
      <c r="K1300" s="207">
        <v>0.058</v>
      </c>
      <c r="L1300" s="187">
        <v>0.072</v>
      </c>
      <c r="M1300" s="188" t="s">
        <v>217</v>
      </c>
      <c r="N1300" s="188">
        <v>199</v>
      </c>
      <c r="O1300" s="74">
        <v>10000</v>
      </c>
      <c r="P1300" s="74">
        <v>2</v>
      </c>
    </row>
    <row r="1301" ht="18" spans="4:16">
      <c r="D1301" s="89" t="s">
        <v>35</v>
      </c>
      <c r="E1301" s="89" t="s">
        <v>266</v>
      </c>
      <c r="F1301" s="89" t="s">
        <v>347</v>
      </c>
      <c r="G1301" s="189" t="s">
        <v>267</v>
      </c>
      <c r="H1301" s="190" t="s">
        <v>219</v>
      </c>
      <c r="I1301" s="190" t="s">
        <v>220</v>
      </c>
      <c r="J1301" s="206">
        <v>1000</v>
      </c>
      <c r="K1301" s="207">
        <v>0.025</v>
      </c>
      <c r="L1301" s="187">
        <v>0.029</v>
      </c>
      <c r="M1301" s="188" t="s">
        <v>217</v>
      </c>
      <c r="N1301" s="188">
        <v>200</v>
      </c>
      <c r="O1301" s="74">
        <v>10000</v>
      </c>
      <c r="P1301" s="74">
        <v>6</v>
      </c>
    </row>
    <row r="1302" ht="18" spans="4:16">
      <c r="D1302" s="195" t="s">
        <v>35</v>
      </c>
      <c r="E1302" s="195" t="s">
        <v>266</v>
      </c>
      <c r="F1302" s="89" t="s">
        <v>347</v>
      </c>
      <c r="G1302" s="201" t="s">
        <v>268</v>
      </c>
      <c r="H1302" s="190" t="s">
        <v>222</v>
      </c>
      <c r="I1302" s="197" t="s">
        <v>223</v>
      </c>
      <c r="J1302" s="198">
        <v>1000</v>
      </c>
      <c r="K1302" s="199">
        <v>0.058</v>
      </c>
      <c r="L1302" s="200">
        <v>0.072</v>
      </c>
      <c r="M1302" s="188" t="s">
        <v>217</v>
      </c>
      <c r="N1302" s="188">
        <v>201</v>
      </c>
      <c r="O1302" s="74">
        <v>10000</v>
      </c>
      <c r="P1302" s="74">
        <v>2</v>
      </c>
    </row>
    <row r="1303" ht="18" spans="4:16">
      <c r="D1303" s="195" t="s">
        <v>35</v>
      </c>
      <c r="E1303" s="195" t="s">
        <v>266</v>
      </c>
      <c r="F1303" s="89" t="s">
        <v>347</v>
      </c>
      <c r="G1303" s="195" t="s">
        <v>224</v>
      </c>
      <c r="H1303" s="197" t="s">
        <v>225</v>
      </c>
      <c r="I1303" s="197" t="s">
        <v>226</v>
      </c>
      <c r="J1303" s="198">
        <v>1000</v>
      </c>
      <c r="K1303" s="199">
        <f>L1303</f>
        <v>0.2</v>
      </c>
      <c r="L1303" s="200">
        <v>0.2</v>
      </c>
      <c r="M1303" s="188" t="s">
        <v>227</v>
      </c>
      <c r="N1303" s="188">
        <v>202</v>
      </c>
      <c r="O1303" s="74">
        <v>10000</v>
      </c>
      <c r="P1303" s="74">
        <v>9</v>
      </c>
    </row>
    <row r="1304" ht="18" spans="4:16">
      <c r="D1304" s="195" t="s">
        <v>35</v>
      </c>
      <c r="E1304" s="195" t="s">
        <v>266</v>
      </c>
      <c r="F1304" s="89" t="s">
        <v>347</v>
      </c>
      <c r="G1304" s="195" t="s">
        <v>228</v>
      </c>
      <c r="H1304" s="197" t="s">
        <v>229</v>
      </c>
      <c r="I1304" s="197" t="s">
        <v>230</v>
      </c>
      <c r="J1304" s="198">
        <v>1000</v>
      </c>
      <c r="K1304" s="199">
        <f>L1304</f>
        <v>0.25</v>
      </c>
      <c r="L1304" s="200">
        <v>0.25</v>
      </c>
      <c r="M1304" s="188" t="s">
        <v>227</v>
      </c>
      <c r="N1304" s="188">
        <v>203</v>
      </c>
      <c r="O1304" s="74">
        <v>10000</v>
      </c>
      <c r="P1304" s="74">
        <v>7</v>
      </c>
    </row>
    <row r="1305" ht="18" spans="4:16">
      <c r="D1305" s="195"/>
      <c r="E1305" s="195" t="s">
        <v>266</v>
      </c>
      <c r="F1305" s="89" t="s">
        <v>347</v>
      </c>
      <c r="G1305" s="195" t="s">
        <v>231</v>
      </c>
      <c r="H1305" s="197" t="s">
        <v>232</v>
      </c>
      <c r="I1305" s="197" t="s">
        <v>233</v>
      </c>
      <c r="J1305" s="198">
        <v>1000</v>
      </c>
      <c r="K1305" s="199">
        <f>L1305</f>
        <v>0.5</v>
      </c>
      <c r="L1305" s="200">
        <v>0.5</v>
      </c>
      <c r="M1305" s="188" t="s">
        <v>227</v>
      </c>
      <c r="N1305" s="188">
        <v>204</v>
      </c>
      <c r="O1305" s="74">
        <v>10000</v>
      </c>
      <c r="P1305" s="74">
        <v>8</v>
      </c>
    </row>
    <row r="1306" ht="18" spans="4:16">
      <c r="D1306" s="195"/>
      <c r="E1306" s="195" t="s">
        <v>266</v>
      </c>
      <c r="F1306" s="195" t="s">
        <v>347</v>
      </c>
      <c r="G1306" s="195" t="s">
        <v>248</v>
      </c>
      <c r="H1306" s="195" t="s">
        <v>348</v>
      </c>
      <c r="I1306" s="197" t="s">
        <v>349</v>
      </c>
      <c r="J1306" s="197">
        <v>1000</v>
      </c>
      <c r="K1306" s="199">
        <f>L1306</f>
        <v>1</v>
      </c>
      <c r="L1306" s="200">
        <v>1</v>
      </c>
      <c r="M1306" s="188" t="s">
        <v>227</v>
      </c>
      <c r="N1306" s="188">
        <v>205</v>
      </c>
      <c r="O1306" s="74">
        <v>10000</v>
      </c>
      <c r="P1306" s="74">
        <v>1</v>
      </c>
    </row>
    <row r="1307" ht="18" spans="4:16">
      <c r="D1307" s="89" t="s">
        <v>35</v>
      </c>
      <c r="E1307" s="89" t="s">
        <v>266</v>
      </c>
      <c r="F1307" s="89" t="s">
        <v>347</v>
      </c>
      <c r="G1307" s="189" t="s">
        <v>308</v>
      </c>
      <c r="H1307" s="89" t="s">
        <v>286</v>
      </c>
      <c r="I1307" s="190" t="s">
        <v>287</v>
      </c>
      <c r="J1307" s="190">
        <v>1000</v>
      </c>
      <c r="K1307" s="187">
        <v>0.08</v>
      </c>
      <c r="L1307" s="187">
        <v>0.09</v>
      </c>
      <c r="M1307" s="188" t="s">
        <v>237</v>
      </c>
      <c r="N1307" s="188">
        <v>206</v>
      </c>
      <c r="O1307" s="74">
        <v>10000</v>
      </c>
      <c r="P1307" s="74">
        <v>6</v>
      </c>
    </row>
    <row r="1308" ht="18" spans="4:16">
      <c r="D1308" s="89" t="s">
        <v>35</v>
      </c>
      <c r="E1308" s="89" t="s">
        <v>266</v>
      </c>
      <c r="F1308" s="89" t="s">
        <v>347</v>
      </c>
      <c r="G1308" s="189" t="s">
        <v>368</v>
      </c>
      <c r="H1308" s="89" t="s">
        <v>351</v>
      </c>
      <c r="I1308" s="190" t="s">
        <v>352</v>
      </c>
      <c r="J1308" s="190">
        <v>1000</v>
      </c>
      <c r="K1308" s="187">
        <v>0.03</v>
      </c>
      <c r="L1308" s="187">
        <v>0.034</v>
      </c>
      <c r="M1308" s="188" t="s">
        <v>217</v>
      </c>
      <c r="N1308" s="188">
        <v>207</v>
      </c>
      <c r="O1308" s="74">
        <v>10000</v>
      </c>
      <c r="P1308" s="74">
        <v>5</v>
      </c>
    </row>
    <row r="1309" ht="18" spans="4:16">
      <c r="D1309" s="89" t="s">
        <v>35</v>
      </c>
      <c r="E1309" s="89" t="s">
        <v>266</v>
      </c>
      <c r="F1309" s="89" t="s">
        <v>347</v>
      </c>
      <c r="G1309" s="189" t="s">
        <v>369</v>
      </c>
      <c r="H1309" s="89" t="s">
        <v>101</v>
      </c>
      <c r="I1309" s="190" t="s">
        <v>354</v>
      </c>
      <c r="J1309" s="190">
        <v>1000</v>
      </c>
      <c r="K1309" s="186">
        <v>0.08</v>
      </c>
      <c r="L1309" s="187">
        <v>0.09</v>
      </c>
      <c r="M1309" s="188" t="s">
        <v>217</v>
      </c>
      <c r="N1309" s="188">
        <v>208</v>
      </c>
      <c r="O1309" s="74">
        <v>10000</v>
      </c>
      <c r="P1309" s="74">
        <v>3</v>
      </c>
    </row>
    <row r="1310" ht="18" spans="4:16">
      <c r="D1310" s="195" t="s">
        <v>35</v>
      </c>
      <c r="E1310" s="195" t="s">
        <v>266</v>
      </c>
      <c r="F1310" s="195" t="s">
        <v>347</v>
      </c>
      <c r="G1310" s="201" t="s">
        <v>370</v>
      </c>
      <c r="H1310" s="195" t="s">
        <v>356</v>
      </c>
      <c r="I1310" s="197" t="s">
        <v>357</v>
      </c>
      <c r="J1310" s="197">
        <v>1000</v>
      </c>
      <c r="K1310" s="200">
        <v>0.11</v>
      </c>
      <c r="L1310" s="200">
        <v>0.13</v>
      </c>
      <c r="M1310" s="188" t="s">
        <v>217</v>
      </c>
      <c r="N1310" s="188">
        <v>209</v>
      </c>
      <c r="O1310" s="74">
        <v>10000</v>
      </c>
      <c r="P1310" s="74">
        <v>4</v>
      </c>
    </row>
    <row r="1311" ht="18" spans="4:16">
      <c r="D1311" s="195" t="s">
        <v>35</v>
      </c>
      <c r="E1311" s="195" t="s">
        <v>266</v>
      </c>
      <c r="F1311" s="195" t="s">
        <v>347</v>
      </c>
      <c r="G1311" s="201" t="s">
        <v>371</v>
      </c>
      <c r="H1311" s="195" t="s">
        <v>359</v>
      </c>
      <c r="I1311" s="197" t="str">
        <f>_xlfn.XLOOKUP(H1311,Sheet2!B:B,Sheet2!C:C)</f>
        <v>毒系暴击伤害</v>
      </c>
      <c r="J1311" s="197">
        <v>1000</v>
      </c>
      <c r="K1311" s="200">
        <v>0.33</v>
      </c>
      <c r="L1311" s="200">
        <v>0.39</v>
      </c>
      <c r="M1311" s="188" t="s">
        <v>217</v>
      </c>
      <c r="N1311" s="188">
        <v>209</v>
      </c>
      <c r="O1311" s="74">
        <v>10000</v>
      </c>
      <c r="P1311" s="74">
        <v>10</v>
      </c>
    </row>
    <row r="1312" ht="18" spans="4:16">
      <c r="D1312" s="89"/>
      <c r="E1312" s="89" t="s">
        <v>274</v>
      </c>
      <c r="F1312" s="89" t="s">
        <v>347</v>
      </c>
      <c r="G1312" s="89" t="str">
        <f>"全职小队"&amp;RIGHT(G1314,1)</f>
        <v>全职小队Ⅴ</v>
      </c>
      <c r="H1312" s="190" t="s">
        <v>215</v>
      </c>
      <c r="I1312" s="190" t="s">
        <v>216</v>
      </c>
      <c r="J1312" s="206">
        <v>1000</v>
      </c>
      <c r="K1312" s="207">
        <v>0.072</v>
      </c>
      <c r="L1312" s="187">
        <v>0.086</v>
      </c>
      <c r="M1312" s="188" t="s">
        <v>217</v>
      </c>
      <c r="N1312" s="188">
        <v>210</v>
      </c>
      <c r="O1312" s="74">
        <v>10000</v>
      </c>
      <c r="P1312" s="74">
        <v>2</v>
      </c>
    </row>
    <row r="1313" ht="18" spans="4:16">
      <c r="D1313" s="89" t="s">
        <v>36</v>
      </c>
      <c r="E1313" s="89" t="s">
        <v>274</v>
      </c>
      <c r="F1313" s="89" t="s">
        <v>347</v>
      </c>
      <c r="G1313" s="189" t="s">
        <v>275</v>
      </c>
      <c r="H1313" s="190" t="s">
        <v>219</v>
      </c>
      <c r="I1313" s="190" t="s">
        <v>220</v>
      </c>
      <c r="J1313" s="206">
        <v>1000</v>
      </c>
      <c r="K1313" s="207">
        <v>0.03</v>
      </c>
      <c r="L1313" s="187">
        <v>0.034</v>
      </c>
      <c r="M1313" s="188" t="s">
        <v>217</v>
      </c>
      <c r="N1313" s="188">
        <v>211</v>
      </c>
      <c r="O1313" s="74">
        <v>10000</v>
      </c>
      <c r="P1313" s="74">
        <v>6</v>
      </c>
    </row>
    <row r="1314" ht="18" spans="4:16">
      <c r="D1314" s="195" t="s">
        <v>36</v>
      </c>
      <c r="E1314" s="195" t="s">
        <v>274</v>
      </c>
      <c r="F1314" s="89" t="s">
        <v>347</v>
      </c>
      <c r="G1314" s="201" t="s">
        <v>276</v>
      </c>
      <c r="H1314" s="190" t="s">
        <v>222</v>
      </c>
      <c r="I1314" s="197" t="s">
        <v>223</v>
      </c>
      <c r="J1314" s="198">
        <v>1000</v>
      </c>
      <c r="K1314" s="199">
        <v>0.072</v>
      </c>
      <c r="L1314" s="200">
        <v>0.086</v>
      </c>
      <c r="M1314" s="188" t="s">
        <v>217</v>
      </c>
      <c r="N1314" s="188">
        <v>212</v>
      </c>
      <c r="O1314" s="74">
        <v>10000</v>
      </c>
      <c r="P1314" s="74">
        <v>2</v>
      </c>
    </row>
    <row r="1315" ht="18" spans="4:16">
      <c r="D1315" s="195" t="s">
        <v>36</v>
      </c>
      <c r="E1315" s="195" t="s">
        <v>274</v>
      </c>
      <c r="F1315" s="89" t="s">
        <v>347</v>
      </c>
      <c r="G1315" s="195" t="s">
        <v>224</v>
      </c>
      <c r="H1315" s="197" t="s">
        <v>225</v>
      </c>
      <c r="I1315" s="197" t="s">
        <v>226</v>
      </c>
      <c r="J1315" s="198">
        <v>1000</v>
      </c>
      <c r="K1315" s="199">
        <f>L1315</f>
        <v>0.2</v>
      </c>
      <c r="L1315" s="200">
        <v>0.2</v>
      </c>
      <c r="M1315" s="188" t="s">
        <v>227</v>
      </c>
      <c r="N1315" s="188">
        <v>213</v>
      </c>
      <c r="O1315" s="74">
        <v>10000</v>
      </c>
      <c r="P1315" s="74">
        <v>9</v>
      </c>
    </row>
    <row r="1316" ht="18" spans="4:16">
      <c r="D1316" s="195" t="s">
        <v>36</v>
      </c>
      <c r="E1316" s="195" t="s">
        <v>274</v>
      </c>
      <c r="F1316" s="89" t="s">
        <v>347</v>
      </c>
      <c r="G1316" s="195" t="s">
        <v>228</v>
      </c>
      <c r="H1316" s="197" t="s">
        <v>229</v>
      </c>
      <c r="I1316" s="197" t="s">
        <v>230</v>
      </c>
      <c r="J1316" s="198">
        <v>1000</v>
      </c>
      <c r="K1316" s="199">
        <f>L1316</f>
        <v>0.25</v>
      </c>
      <c r="L1316" s="200">
        <v>0.25</v>
      </c>
      <c r="M1316" s="188" t="s">
        <v>227</v>
      </c>
      <c r="N1316" s="188">
        <v>214</v>
      </c>
      <c r="O1316" s="74">
        <v>10000</v>
      </c>
      <c r="P1316" s="74">
        <v>7</v>
      </c>
    </row>
    <row r="1317" ht="18" spans="4:16">
      <c r="D1317" s="195" t="s">
        <v>36</v>
      </c>
      <c r="E1317" s="195" t="s">
        <v>274</v>
      </c>
      <c r="F1317" s="89" t="s">
        <v>347</v>
      </c>
      <c r="G1317" s="195" t="s">
        <v>231</v>
      </c>
      <c r="H1317" s="197" t="s">
        <v>232</v>
      </c>
      <c r="I1317" s="197" t="s">
        <v>233</v>
      </c>
      <c r="J1317" s="198">
        <v>1000</v>
      </c>
      <c r="K1317" s="199">
        <f>L1317</f>
        <v>0.5</v>
      </c>
      <c r="L1317" s="200">
        <v>0.5</v>
      </c>
      <c r="M1317" s="188" t="s">
        <v>227</v>
      </c>
      <c r="N1317" s="188">
        <v>215</v>
      </c>
      <c r="O1317" s="74">
        <v>10000</v>
      </c>
      <c r="P1317" s="74">
        <v>8</v>
      </c>
    </row>
    <row r="1318" ht="18" spans="4:16">
      <c r="D1318" s="195"/>
      <c r="E1318" s="195" t="s">
        <v>274</v>
      </c>
      <c r="F1318" s="195" t="s">
        <v>347</v>
      </c>
      <c r="G1318" s="195" t="s">
        <v>248</v>
      </c>
      <c r="H1318" s="195" t="s">
        <v>348</v>
      </c>
      <c r="I1318" s="197" t="s">
        <v>349</v>
      </c>
      <c r="J1318" s="197">
        <v>1000</v>
      </c>
      <c r="K1318" s="199">
        <f>L1318</f>
        <v>1</v>
      </c>
      <c r="L1318" s="200">
        <v>1</v>
      </c>
      <c r="M1318" s="188" t="s">
        <v>227</v>
      </c>
      <c r="N1318" s="188">
        <v>216</v>
      </c>
      <c r="O1318" s="74">
        <v>10000</v>
      </c>
      <c r="P1318" s="74">
        <v>1</v>
      </c>
    </row>
    <row r="1319" ht="18" spans="4:16">
      <c r="D1319" s="89" t="s">
        <v>36</v>
      </c>
      <c r="E1319" s="89" t="s">
        <v>274</v>
      </c>
      <c r="F1319" s="89" t="s">
        <v>347</v>
      </c>
      <c r="G1319" s="189" t="s">
        <v>313</v>
      </c>
      <c r="H1319" s="89" t="s">
        <v>286</v>
      </c>
      <c r="I1319" s="190" t="s">
        <v>287</v>
      </c>
      <c r="J1319" s="190">
        <v>1000</v>
      </c>
      <c r="K1319" s="186">
        <v>0.09</v>
      </c>
      <c r="L1319" s="187">
        <v>0.1</v>
      </c>
      <c r="M1319" s="188" t="s">
        <v>237</v>
      </c>
      <c r="N1319" s="188">
        <v>217</v>
      </c>
      <c r="O1319" s="74">
        <v>10000</v>
      </c>
      <c r="P1319" s="74">
        <v>6</v>
      </c>
    </row>
    <row r="1320" ht="18" spans="4:16">
      <c r="D1320" s="89" t="s">
        <v>36</v>
      </c>
      <c r="E1320" s="89" t="s">
        <v>274</v>
      </c>
      <c r="F1320" s="89" t="s">
        <v>347</v>
      </c>
      <c r="G1320" s="189" t="s">
        <v>372</v>
      </c>
      <c r="H1320" s="89" t="s">
        <v>351</v>
      </c>
      <c r="I1320" s="190" t="s">
        <v>352</v>
      </c>
      <c r="J1320" s="190">
        <v>1000</v>
      </c>
      <c r="K1320" s="187">
        <v>0.035</v>
      </c>
      <c r="L1320" s="187">
        <v>0.039</v>
      </c>
      <c r="M1320" s="188" t="s">
        <v>217</v>
      </c>
      <c r="N1320" s="188">
        <v>218</v>
      </c>
      <c r="O1320" s="74">
        <v>10000</v>
      </c>
      <c r="P1320" s="74">
        <v>5</v>
      </c>
    </row>
    <row r="1321" ht="18" spans="4:16">
      <c r="D1321" s="89" t="s">
        <v>36</v>
      </c>
      <c r="E1321" s="89" t="s">
        <v>274</v>
      </c>
      <c r="F1321" s="89" t="s">
        <v>347</v>
      </c>
      <c r="G1321" s="189" t="s">
        <v>373</v>
      </c>
      <c r="H1321" s="89" t="s">
        <v>101</v>
      </c>
      <c r="I1321" s="190" t="s">
        <v>354</v>
      </c>
      <c r="J1321" s="190">
        <v>1000</v>
      </c>
      <c r="K1321" s="187">
        <v>0.09</v>
      </c>
      <c r="L1321" s="187">
        <v>0.1</v>
      </c>
      <c r="M1321" s="188" t="s">
        <v>217</v>
      </c>
      <c r="N1321" s="188">
        <v>219</v>
      </c>
      <c r="O1321" s="74">
        <v>10000</v>
      </c>
      <c r="P1321" s="74">
        <v>3</v>
      </c>
    </row>
    <row r="1322" ht="18" spans="4:16">
      <c r="D1322" s="195" t="s">
        <v>36</v>
      </c>
      <c r="E1322" s="195" t="s">
        <v>274</v>
      </c>
      <c r="F1322" s="195" t="s">
        <v>347</v>
      </c>
      <c r="G1322" s="201" t="s">
        <v>374</v>
      </c>
      <c r="H1322" s="195" t="s">
        <v>356</v>
      </c>
      <c r="I1322" s="197" t="s">
        <v>357</v>
      </c>
      <c r="J1322" s="197">
        <v>1000</v>
      </c>
      <c r="K1322" s="200">
        <v>0.13</v>
      </c>
      <c r="L1322" s="200">
        <v>0.15</v>
      </c>
      <c r="M1322" s="188" t="s">
        <v>217</v>
      </c>
      <c r="N1322" s="188">
        <v>220</v>
      </c>
      <c r="O1322" s="74">
        <v>10000</v>
      </c>
      <c r="P1322" s="74">
        <v>4</v>
      </c>
    </row>
    <row r="1323" ht="18" spans="4:16">
      <c r="D1323" s="195" t="s">
        <v>36</v>
      </c>
      <c r="E1323" s="195" t="s">
        <v>274</v>
      </c>
      <c r="F1323" s="195" t="s">
        <v>347</v>
      </c>
      <c r="G1323" s="201" t="s">
        <v>375</v>
      </c>
      <c r="H1323" s="195" t="s">
        <v>359</v>
      </c>
      <c r="I1323" s="197" t="str">
        <f>_xlfn.XLOOKUP(H1323,Sheet2!B:B,Sheet2!C:C)</f>
        <v>毒系暴击伤害</v>
      </c>
      <c r="J1323" s="197">
        <v>1000</v>
      </c>
      <c r="K1323" s="200">
        <v>0.39</v>
      </c>
      <c r="L1323" s="200">
        <v>0.45</v>
      </c>
      <c r="M1323" s="188" t="s">
        <v>217</v>
      </c>
      <c r="N1323" s="188">
        <v>220</v>
      </c>
      <c r="O1323" s="74">
        <v>10000</v>
      </c>
      <c r="P1323" s="74">
        <v>10</v>
      </c>
    </row>
    <row r="1324" ht="18" spans="4:16">
      <c r="D1324" s="89"/>
      <c r="E1324" s="89" t="s">
        <v>213</v>
      </c>
      <c r="F1324" s="89" t="s">
        <v>376</v>
      </c>
      <c r="G1324" s="89" t="str">
        <f>"全职小队"&amp;RIGHT(G1326,1)</f>
        <v>全职小队Ⅰ</v>
      </c>
      <c r="H1324" s="190" t="s">
        <v>215</v>
      </c>
      <c r="I1324" s="190" t="s">
        <v>216</v>
      </c>
      <c r="J1324" s="206">
        <v>1000</v>
      </c>
      <c r="K1324" s="207">
        <v>0.03</v>
      </c>
      <c r="L1324" s="187">
        <v>0.042</v>
      </c>
      <c r="M1324" s="188" t="s">
        <v>217</v>
      </c>
      <c r="N1324" s="188">
        <v>221</v>
      </c>
      <c r="O1324" s="74">
        <v>10000</v>
      </c>
      <c r="P1324" s="74">
        <v>2</v>
      </c>
    </row>
    <row r="1325" ht="18" spans="4:16">
      <c r="D1325" s="89" t="s">
        <v>32</v>
      </c>
      <c r="E1325" s="89" t="s">
        <v>213</v>
      </c>
      <c r="F1325" s="89" t="s">
        <v>376</v>
      </c>
      <c r="G1325" s="189" t="s">
        <v>218</v>
      </c>
      <c r="H1325" s="190" t="s">
        <v>219</v>
      </c>
      <c r="I1325" s="190" t="s">
        <v>220</v>
      </c>
      <c r="J1325" s="206">
        <v>1000</v>
      </c>
      <c r="K1325" s="207">
        <v>0.01</v>
      </c>
      <c r="L1325" s="187">
        <v>0.014</v>
      </c>
      <c r="M1325" s="188" t="s">
        <v>217</v>
      </c>
      <c r="N1325" s="188">
        <v>222</v>
      </c>
      <c r="O1325" s="74">
        <v>10000</v>
      </c>
      <c r="P1325" s="74">
        <v>6</v>
      </c>
    </row>
    <row r="1326" ht="18" spans="4:16">
      <c r="D1326" s="89" t="s">
        <v>32</v>
      </c>
      <c r="E1326" s="191" t="s">
        <v>213</v>
      </c>
      <c r="F1326" s="89" t="s">
        <v>376</v>
      </c>
      <c r="G1326" s="213" t="s">
        <v>221</v>
      </c>
      <c r="H1326" s="190" t="s">
        <v>222</v>
      </c>
      <c r="I1326" s="193" t="s">
        <v>223</v>
      </c>
      <c r="J1326" s="208">
        <v>1000</v>
      </c>
      <c r="K1326" s="209">
        <v>0.03</v>
      </c>
      <c r="L1326" s="194">
        <v>0.042</v>
      </c>
      <c r="M1326" s="188" t="s">
        <v>217</v>
      </c>
      <c r="N1326" s="188">
        <v>223</v>
      </c>
      <c r="O1326" s="74">
        <v>10000</v>
      </c>
      <c r="P1326" s="74">
        <v>2</v>
      </c>
    </row>
    <row r="1327" ht="18" spans="4:16">
      <c r="D1327" s="195"/>
      <c r="E1327" s="195" t="s">
        <v>213</v>
      </c>
      <c r="F1327" s="89" t="s">
        <v>376</v>
      </c>
      <c r="G1327" s="195" t="s">
        <v>224</v>
      </c>
      <c r="H1327" s="197" t="s">
        <v>225</v>
      </c>
      <c r="I1327" s="197" t="s">
        <v>226</v>
      </c>
      <c r="J1327" s="198">
        <v>1000</v>
      </c>
      <c r="K1327" s="199">
        <f>L1327</f>
        <v>0.2</v>
      </c>
      <c r="L1327" s="200">
        <v>0.2</v>
      </c>
      <c r="M1327" s="188" t="s">
        <v>227</v>
      </c>
      <c r="N1327" s="188">
        <v>224</v>
      </c>
      <c r="O1327" s="74">
        <v>10000</v>
      </c>
      <c r="P1327" s="74">
        <v>9</v>
      </c>
    </row>
    <row r="1328" ht="18" spans="4:16">
      <c r="D1328" s="195"/>
      <c r="E1328" s="195" t="s">
        <v>213</v>
      </c>
      <c r="F1328" s="89" t="s">
        <v>376</v>
      </c>
      <c r="G1328" s="195" t="s">
        <v>228</v>
      </c>
      <c r="H1328" s="197" t="s">
        <v>229</v>
      </c>
      <c r="I1328" s="197" t="s">
        <v>230</v>
      </c>
      <c r="J1328" s="198">
        <v>1000</v>
      </c>
      <c r="K1328" s="199">
        <f>L1328</f>
        <v>0.25</v>
      </c>
      <c r="L1328" s="200">
        <v>0.25</v>
      </c>
      <c r="M1328" s="188" t="s">
        <v>227</v>
      </c>
      <c r="N1328" s="188">
        <v>225</v>
      </c>
      <c r="O1328" s="74">
        <v>10000</v>
      </c>
      <c r="P1328" s="74">
        <v>7</v>
      </c>
    </row>
    <row r="1329" ht="18" spans="4:16">
      <c r="D1329" s="195"/>
      <c r="E1329" s="195" t="s">
        <v>213</v>
      </c>
      <c r="F1329" s="89" t="s">
        <v>376</v>
      </c>
      <c r="G1329" s="195" t="s">
        <v>231</v>
      </c>
      <c r="H1329" s="197" t="s">
        <v>232</v>
      </c>
      <c r="I1329" s="197" t="s">
        <v>233</v>
      </c>
      <c r="J1329" s="198">
        <v>1000</v>
      </c>
      <c r="K1329" s="199">
        <f>L1329</f>
        <v>0.5</v>
      </c>
      <c r="L1329" s="200">
        <v>0.5</v>
      </c>
      <c r="M1329" s="188" t="s">
        <v>227</v>
      </c>
      <c r="N1329" s="188">
        <v>226</v>
      </c>
      <c r="O1329" s="74">
        <v>10000</v>
      </c>
      <c r="P1329" s="74">
        <v>8</v>
      </c>
    </row>
    <row r="1330" ht="18" spans="4:16">
      <c r="D1330" s="195"/>
      <c r="E1330" s="195" t="s">
        <v>213</v>
      </c>
      <c r="F1330" s="195" t="s">
        <v>376</v>
      </c>
      <c r="G1330" s="195" t="s">
        <v>248</v>
      </c>
      <c r="H1330" s="195" t="s">
        <v>377</v>
      </c>
      <c r="I1330" s="197" t="s">
        <v>378</v>
      </c>
      <c r="J1330" s="197">
        <v>1000</v>
      </c>
      <c r="K1330" s="200">
        <v>1</v>
      </c>
      <c r="L1330" s="200">
        <v>1</v>
      </c>
      <c r="M1330" s="188" t="s">
        <v>227</v>
      </c>
      <c r="N1330" s="188">
        <v>227</v>
      </c>
      <c r="O1330" s="74">
        <v>10000</v>
      </c>
      <c r="P1330" s="74">
        <v>1</v>
      </c>
    </row>
    <row r="1331" ht="18" spans="4:16">
      <c r="D1331" s="89"/>
      <c r="E1331" s="89" t="s">
        <v>213</v>
      </c>
      <c r="F1331" s="89" t="s">
        <v>376</v>
      </c>
      <c r="G1331" s="189" t="s">
        <v>379</v>
      </c>
      <c r="H1331" s="89" t="s">
        <v>380</v>
      </c>
      <c r="I1331" s="190" t="s">
        <v>381</v>
      </c>
      <c r="J1331" s="190">
        <v>1000</v>
      </c>
      <c r="K1331" s="187">
        <v>0.062</v>
      </c>
      <c r="L1331" s="207">
        <v>0.074</v>
      </c>
      <c r="M1331" s="188" t="s">
        <v>237</v>
      </c>
      <c r="N1331" s="188">
        <v>228</v>
      </c>
      <c r="O1331" s="74">
        <v>10000</v>
      </c>
      <c r="P1331" s="74">
        <v>6</v>
      </c>
    </row>
    <row r="1332" ht="18" spans="4:16">
      <c r="D1332" s="89" t="s">
        <v>32</v>
      </c>
      <c r="E1332" s="89" t="s">
        <v>213</v>
      </c>
      <c r="F1332" s="89" t="s">
        <v>376</v>
      </c>
      <c r="G1332" s="189" t="s">
        <v>382</v>
      </c>
      <c r="H1332" s="89" t="s">
        <v>100</v>
      </c>
      <c r="I1332" s="190" t="s">
        <v>383</v>
      </c>
      <c r="J1332" s="190">
        <v>1000</v>
      </c>
      <c r="K1332" s="187">
        <v>0.044</v>
      </c>
      <c r="L1332" s="187">
        <v>0.058</v>
      </c>
      <c r="M1332" s="188" t="s">
        <v>217</v>
      </c>
      <c r="N1332" s="188">
        <v>229</v>
      </c>
      <c r="O1332" s="74">
        <v>10000</v>
      </c>
      <c r="P1332" s="74">
        <v>5</v>
      </c>
    </row>
    <row r="1333" ht="18" spans="4:16">
      <c r="D1333" s="89" t="s">
        <v>32</v>
      </c>
      <c r="E1333" s="89" t="s">
        <v>213</v>
      </c>
      <c r="F1333" s="89" t="s">
        <v>376</v>
      </c>
      <c r="G1333" s="189" t="s">
        <v>384</v>
      </c>
      <c r="H1333" s="89" t="s">
        <v>385</v>
      </c>
      <c r="I1333" s="190" t="s">
        <v>386</v>
      </c>
      <c r="J1333" s="190">
        <v>1000</v>
      </c>
      <c r="K1333" s="187">
        <v>0.015</v>
      </c>
      <c r="L1333" s="187">
        <v>0.019</v>
      </c>
      <c r="M1333" s="188" t="s">
        <v>217</v>
      </c>
      <c r="N1333" s="188">
        <v>230</v>
      </c>
      <c r="O1333" s="74">
        <v>10000</v>
      </c>
      <c r="P1333" s="74">
        <v>3</v>
      </c>
    </row>
    <row r="1334" ht="18" spans="4:16">
      <c r="D1334" s="195"/>
      <c r="E1334" s="195" t="s">
        <v>213</v>
      </c>
      <c r="F1334" s="195" t="s">
        <v>376</v>
      </c>
      <c r="G1334" s="201" t="s">
        <v>387</v>
      </c>
      <c r="H1334" s="197" t="s">
        <v>388</v>
      </c>
      <c r="I1334" s="197" t="s">
        <v>389</v>
      </c>
      <c r="J1334" s="198">
        <v>1000</v>
      </c>
      <c r="K1334" s="200">
        <v>0.06</v>
      </c>
      <c r="L1334" s="200">
        <v>0.075</v>
      </c>
      <c r="M1334" s="188" t="s">
        <v>217</v>
      </c>
      <c r="N1334" s="188">
        <v>231</v>
      </c>
      <c r="O1334" s="74">
        <v>10000</v>
      </c>
      <c r="P1334" s="74">
        <v>4</v>
      </c>
    </row>
    <row r="1335" ht="18" spans="4:16">
      <c r="D1335" s="195" t="s">
        <v>32</v>
      </c>
      <c r="E1335" s="195" t="s">
        <v>213</v>
      </c>
      <c r="F1335" s="195" t="s">
        <v>376</v>
      </c>
      <c r="G1335" s="201" t="s">
        <v>390</v>
      </c>
      <c r="H1335" s="195" t="s">
        <v>391</v>
      </c>
      <c r="I1335" s="197" t="str">
        <f>_xlfn.XLOOKUP(H1335,Sheet2!B:B,Sheet2!C:C)</f>
        <v>控制暴击伤害</v>
      </c>
      <c r="J1335" s="197">
        <v>1000</v>
      </c>
      <c r="K1335" s="200">
        <v>0.2</v>
      </c>
      <c r="L1335" s="200">
        <v>0.24</v>
      </c>
      <c r="M1335" s="188" t="s">
        <v>217</v>
      </c>
      <c r="N1335" s="188">
        <v>231</v>
      </c>
      <c r="O1335" s="74">
        <v>10000</v>
      </c>
      <c r="P1335" s="74">
        <v>10</v>
      </c>
    </row>
    <row r="1336" ht="18" spans="4:16">
      <c r="D1336" s="89"/>
      <c r="E1336" s="89" t="s">
        <v>213</v>
      </c>
      <c r="F1336" s="89" t="s">
        <v>376</v>
      </c>
      <c r="G1336" s="89" t="str">
        <f>"全职小队"&amp;RIGHT(G1338,1)</f>
        <v>全职小队Ⅱ</v>
      </c>
      <c r="H1336" s="190" t="s">
        <v>215</v>
      </c>
      <c r="I1336" s="190" t="s">
        <v>216</v>
      </c>
      <c r="J1336" s="206">
        <v>1000</v>
      </c>
      <c r="K1336" s="207">
        <v>0.044</v>
      </c>
      <c r="L1336" s="187">
        <v>0.058</v>
      </c>
      <c r="M1336" s="188" t="s">
        <v>217</v>
      </c>
      <c r="N1336" s="188">
        <v>232</v>
      </c>
      <c r="O1336" s="74">
        <v>10000</v>
      </c>
      <c r="P1336" s="74">
        <v>2</v>
      </c>
    </row>
    <row r="1337" ht="18" spans="4:16">
      <c r="D1337" s="89" t="s">
        <v>33</v>
      </c>
      <c r="E1337" s="89" t="s">
        <v>213</v>
      </c>
      <c r="F1337" s="89" t="s">
        <v>376</v>
      </c>
      <c r="G1337" s="189" t="s">
        <v>251</v>
      </c>
      <c r="H1337" s="190" t="s">
        <v>219</v>
      </c>
      <c r="I1337" s="190" t="s">
        <v>220</v>
      </c>
      <c r="J1337" s="206">
        <v>1000</v>
      </c>
      <c r="K1337" s="207">
        <v>0.015</v>
      </c>
      <c r="L1337" s="187">
        <v>0.019</v>
      </c>
      <c r="M1337" s="188" t="s">
        <v>217</v>
      </c>
      <c r="N1337" s="188">
        <v>233</v>
      </c>
      <c r="O1337" s="74">
        <v>10000</v>
      </c>
      <c r="P1337" s="74">
        <v>6</v>
      </c>
    </row>
    <row r="1338" ht="18" spans="4:16">
      <c r="D1338" s="89" t="s">
        <v>33</v>
      </c>
      <c r="E1338" s="195" t="s">
        <v>213</v>
      </c>
      <c r="F1338" s="89" t="s">
        <v>376</v>
      </c>
      <c r="G1338" s="201" t="s">
        <v>252</v>
      </c>
      <c r="H1338" s="190" t="s">
        <v>222</v>
      </c>
      <c r="I1338" s="197" t="s">
        <v>223</v>
      </c>
      <c r="J1338" s="198">
        <v>1000</v>
      </c>
      <c r="K1338" s="199">
        <v>0.044</v>
      </c>
      <c r="L1338" s="200">
        <v>0.058</v>
      </c>
      <c r="M1338" s="188" t="s">
        <v>217</v>
      </c>
      <c r="N1338" s="188">
        <v>234</v>
      </c>
      <c r="O1338" s="74">
        <v>10000</v>
      </c>
      <c r="P1338" s="74">
        <v>2</v>
      </c>
    </row>
    <row r="1339" ht="18" spans="4:16">
      <c r="D1339" s="195"/>
      <c r="E1339" s="195" t="s">
        <v>213</v>
      </c>
      <c r="F1339" s="89" t="s">
        <v>376</v>
      </c>
      <c r="G1339" s="195" t="s">
        <v>224</v>
      </c>
      <c r="H1339" s="197" t="s">
        <v>225</v>
      </c>
      <c r="I1339" s="197" t="s">
        <v>226</v>
      </c>
      <c r="J1339" s="198">
        <v>1000</v>
      </c>
      <c r="K1339" s="199">
        <f>L1339</f>
        <v>0.2</v>
      </c>
      <c r="L1339" s="200">
        <v>0.2</v>
      </c>
      <c r="M1339" s="188" t="s">
        <v>227</v>
      </c>
      <c r="N1339" s="188">
        <v>235</v>
      </c>
      <c r="O1339" s="74">
        <v>10000</v>
      </c>
      <c r="P1339" s="74">
        <v>9</v>
      </c>
    </row>
    <row r="1340" ht="18" spans="4:16">
      <c r="D1340" s="195"/>
      <c r="E1340" s="195" t="s">
        <v>213</v>
      </c>
      <c r="F1340" s="89" t="s">
        <v>376</v>
      </c>
      <c r="G1340" s="195" t="s">
        <v>228</v>
      </c>
      <c r="H1340" s="197" t="s">
        <v>229</v>
      </c>
      <c r="I1340" s="197" t="s">
        <v>230</v>
      </c>
      <c r="J1340" s="198">
        <v>1000</v>
      </c>
      <c r="K1340" s="199">
        <f>L1340</f>
        <v>0.25</v>
      </c>
      <c r="L1340" s="200">
        <v>0.25</v>
      </c>
      <c r="M1340" s="188" t="s">
        <v>227</v>
      </c>
      <c r="N1340" s="188">
        <v>236</v>
      </c>
      <c r="O1340" s="74">
        <v>10000</v>
      </c>
      <c r="P1340" s="74">
        <v>7</v>
      </c>
    </row>
    <row r="1341" ht="18" spans="4:16">
      <c r="D1341" s="195"/>
      <c r="E1341" s="195" t="s">
        <v>213</v>
      </c>
      <c r="F1341" s="89" t="s">
        <v>376</v>
      </c>
      <c r="G1341" s="195" t="s">
        <v>231</v>
      </c>
      <c r="H1341" s="197" t="s">
        <v>232</v>
      </c>
      <c r="I1341" s="197" t="s">
        <v>233</v>
      </c>
      <c r="J1341" s="198">
        <v>1000</v>
      </c>
      <c r="K1341" s="199">
        <f>L1341</f>
        <v>0.5</v>
      </c>
      <c r="L1341" s="200">
        <v>0.5</v>
      </c>
      <c r="M1341" s="188" t="s">
        <v>227</v>
      </c>
      <c r="N1341" s="188">
        <v>237</v>
      </c>
      <c r="O1341" s="74">
        <v>10000</v>
      </c>
      <c r="P1341" s="74">
        <v>8</v>
      </c>
    </row>
    <row r="1342" ht="18" spans="4:16">
      <c r="D1342" s="195"/>
      <c r="E1342" s="195" t="s">
        <v>213</v>
      </c>
      <c r="F1342" s="195" t="s">
        <v>376</v>
      </c>
      <c r="G1342" s="195" t="s">
        <v>248</v>
      </c>
      <c r="H1342" s="195" t="s">
        <v>377</v>
      </c>
      <c r="I1342" s="197" t="s">
        <v>378</v>
      </c>
      <c r="J1342" s="197">
        <v>1000</v>
      </c>
      <c r="K1342" s="200">
        <v>1</v>
      </c>
      <c r="L1342" s="200">
        <v>1</v>
      </c>
      <c r="M1342" s="188" t="s">
        <v>227</v>
      </c>
      <c r="N1342" s="188">
        <v>238</v>
      </c>
      <c r="O1342" s="74">
        <v>10000</v>
      </c>
      <c r="P1342" s="74">
        <v>1</v>
      </c>
    </row>
    <row r="1343" ht="18" spans="4:16">
      <c r="D1343" s="89"/>
      <c r="E1343" s="89" t="s">
        <v>213</v>
      </c>
      <c r="F1343" s="89" t="s">
        <v>376</v>
      </c>
      <c r="G1343" s="189" t="s">
        <v>392</v>
      </c>
      <c r="H1343" s="89" t="s">
        <v>380</v>
      </c>
      <c r="I1343" s="190" t="s">
        <v>381</v>
      </c>
      <c r="J1343" s="190">
        <v>1000</v>
      </c>
      <c r="K1343" s="187">
        <v>0.074</v>
      </c>
      <c r="L1343" s="207">
        <v>0.086</v>
      </c>
      <c r="M1343" s="188" t="s">
        <v>237</v>
      </c>
      <c r="N1343" s="188">
        <v>239</v>
      </c>
      <c r="O1343" s="74">
        <v>10000</v>
      </c>
      <c r="P1343" s="74">
        <v>6</v>
      </c>
    </row>
    <row r="1344" ht="18" spans="4:16">
      <c r="D1344" s="89" t="s">
        <v>33</v>
      </c>
      <c r="E1344" s="89" t="s">
        <v>213</v>
      </c>
      <c r="F1344" s="89" t="s">
        <v>376</v>
      </c>
      <c r="G1344" s="189" t="s">
        <v>393</v>
      </c>
      <c r="H1344" s="89" t="s">
        <v>100</v>
      </c>
      <c r="I1344" s="190" t="s">
        <v>383</v>
      </c>
      <c r="J1344" s="190">
        <v>1000</v>
      </c>
      <c r="K1344" s="186">
        <v>0.058</v>
      </c>
      <c r="L1344" s="187">
        <v>0.072</v>
      </c>
      <c r="M1344" s="188" t="s">
        <v>217</v>
      </c>
      <c r="N1344" s="188">
        <v>240</v>
      </c>
      <c r="O1344" s="74">
        <v>10000</v>
      </c>
      <c r="P1344" s="74">
        <v>5</v>
      </c>
    </row>
    <row r="1345" ht="18" spans="4:16">
      <c r="D1345" s="89" t="s">
        <v>33</v>
      </c>
      <c r="E1345" s="89" t="s">
        <v>213</v>
      </c>
      <c r="F1345" s="89" t="s">
        <v>376</v>
      </c>
      <c r="G1345" s="189" t="s">
        <v>394</v>
      </c>
      <c r="H1345" s="89" t="s">
        <v>385</v>
      </c>
      <c r="I1345" s="190" t="s">
        <v>386</v>
      </c>
      <c r="J1345" s="190">
        <v>1000</v>
      </c>
      <c r="K1345" s="187">
        <v>0.02</v>
      </c>
      <c r="L1345" s="187">
        <v>0.024</v>
      </c>
      <c r="M1345" s="188" t="s">
        <v>217</v>
      </c>
      <c r="N1345" s="188">
        <v>241</v>
      </c>
      <c r="O1345" s="74">
        <v>10000</v>
      </c>
      <c r="P1345" s="74">
        <v>3</v>
      </c>
    </row>
    <row r="1346" ht="18" spans="4:16">
      <c r="D1346" s="195"/>
      <c r="E1346" s="195" t="s">
        <v>213</v>
      </c>
      <c r="F1346" s="195" t="s">
        <v>376</v>
      </c>
      <c r="G1346" s="201" t="s">
        <v>395</v>
      </c>
      <c r="H1346" s="197" t="s">
        <v>388</v>
      </c>
      <c r="I1346" s="197" t="s">
        <v>389</v>
      </c>
      <c r="J1346" s="198">
        <v>1000</v>
      </c>
      <c r="K1346" s="200">
        <v>0.075</v>
      </c>
      <c r="L1346" s="200">
        <v>0.09</v>
      </c>
      <c r="M1346" s="188" t="s">
        <v>217</v>
      </c>
      <c r="N1346" s="188">
        <v>242</v>
      </c>
      <c r="O1346" s="74">
        <v>10000</v>
      </c>
      <c r="P1346" s="74">
        <v>4</v>
      </c>
    </row>
    <row r="1347" ht="18" spans="4:16">
      <c r="D1347" s="195" t="s">
        <v>33</v>
      </c>
      <c r="E1347" s="195" t="s">
        <v>213</v>
      </c>
      <c r="F1347" s="195" t="s">
        <v>376</v>
      </c>
      <c r="G1347" s="201" t="s">
        <v>396</v>
      </c>
      <c r="H1347" s="195" t="s">
        <v>391</v>
      </c>
      <c r="I1347" s="197" t="str">
        <f>_xlfn.XLOOKUP(H1347,Sheet2!B:B,Sheet2!C:C)</f>
        <v>控制暴击伤害</v>
      </c>
      <c r="J1347" s="197">
        <v>1000</v>
      </c>
      <c r="K1347" s="200">
        <v>0.24</v>
      </c>
      <c r="L1347" s="200">
        <v>0.27</v>
      </c>
      <c r="M1347" s="188" t="s">
        <v>217</v>
      </c>
      <c r="N1347" s="188">
        <v>242</v>
      </c>
      <c r="O1347" s="74">
        <v>10000</v>
      </c>
      <c r="P1347" s="74">
        <v>10</v>
      </c>
    </row>
    <row r="1348" ht="18" spans="4:16">
      <c r="D1348" s="89"/>
      <c r="E1348" s="89" t="s">
        <v>258</v>
      </c>
      <c r="F1348" s="89" t="s">
        <v>376</v>
      </c>
      <c r="G1348" s="89" t="str">
        <f>"全职小队"&amp;RIGHT(G1350,1)</f>
        <v>全职小队Ⅲ</v>
      </c>
      <c r="H1348" s="190" t="s">
        <v>215</v>
      </c>
      <c r="I1348" s="190" t="s">
        <v>216</v>
      </c>
      <c r="J1348" s="206">
        <v>1000</v>
      </c>
      <c r="K1348" s="207">
        <v>0.052</v>
      </c>
      <c r="L1348" s="187">
        <v>0.058</v>
      </c>
      <c r="M1348" s="188" t="s">
        <v>217</v>
      </c>
      <c r="N1348" s="188">
        <v>243</v>
      </c>
      <c r="O1348" s="74">
        <v>10000</v>
      </c>
      <c r="P1348" s="74">
        <v>2</v>
      </c>
    </row>
    <row r="1349" ht="18" spans="4:16">
      <c r="D1349" s="89" t="s">
        <v>34</v>
      </c>
      <c r="E1349" s="89" t="s">
        <v>258</v>
      </c>
      <c r="F1349" s="89" t="s">
        <v>376</v>
      </c>
      <c r="G1349" s="189" t="s">
        <v>259</v>
      </c>
      <c r="H1349" s="190" t="s">
        <v>219</v>
      </c>
      <c r="I1349" s="190" t="s">
        <v>220</v>
      </c>
      <c r="J1349" s="206">
        <v>1000</v>
      </c>
      <c r="K1349" s="207">
        <v>0.02</v>
      </c>
      <c r="L1349" s="187">
        <v>0.024</v>
      </c>
      <c r="M1349" s="188" t="s">
        <v>217</v>
      </c>
      <c r="N1349" s="188">
        <v>244</v>
      </c>
      <c r="O1349" s="74">
        <v>10000</v>
      </c>
      <c r="P1349" s="74">
        <v>6</v>
      </c>
    </row>
    <row r="1350" ht="18" spans="4:16">
      <c r="D1350" s="195" t="s">
        <v>34</v>
      </c>
      <c r="E1350" s="195" t="s">
        <v>258</v>
      </c>
      <c r="F1350" s="89" t="s">
        <v>376</v>
      </c>
      <c r="G1350" s="201" t="s">
        <v>260</v>
      </c>
      <c r="H1350" s="190" t="s">
        <v>222</v>
      </c>
      <c r="I1350" s="197" t="s">
        <v>223</v>
      </c>
      <c r="J1350" s="198">
        <v>1000</v>
      </c>
      <c r="K1350" s="199">
        <v>0.052</v>
      </c>
      <c r="L1350" s="200">
        <v>0.058</v>
      </c>
      <c r="M1350" s="188" t="s">
        <v>217</v>
      </c>
      <c r="N1350" s="188">
        <v>245</v>
      </c>
      <c r="O1350" s="74">
        <v>10000</v>
      </c>
      <c r="P1350" s="74">
        <v>2</v>
      </c>
    </row>
    <row r="1351" ht="18" spans="4:16">
      <c r="D1351" s="195"/>
      <c r="E1351" s="195" t="s">
        <v>258</v>
      </c>
      <c r="F1351" s="89" t="s">
        <v>376</v>
      </c>
      <c r="G1351" s="195" t="s">
        <v>224</v>
      </c>
      <c r="H1351" s="197" t="s">
        <v>225</v>
      </c>
      <c r="I1351" s="197" t="s">
        <v>226</v>
      </c>
      <c r="J1351" s="198">
        <v>1000</v>
      </c>
      <c r="K1351" s="199">
        <f>L1351</f>
        <v>0.2</v>
      </c>
      <c r="L1351" s="200">
        <v>0.2</v>
      </c>
      <c r="M1351" s="188" t="s">
        <v>227</v>
      </c>
      <c r="N1351" s="188">
        <v>246</v>
      </c>
      <c r="O1351" s="74">
        <v>10000</v>
      </c>
      <c r="P1351" s="74">
        <v>9</v>
      </c>
    </row>
    <row r="1352" ht="18" spans="4:16">
      <c r="D1352" s="195"/>
      <c r="E1352" s="195" t="s">
        <v>258</v>
      </c>
      <c r="F1352" s="89" t="s">
        <v>376</v>
      </c>
      <c r="G1352" s="195" t="s">
        <v>228</v>
      </c>
      <c r="H1352" s="197" t="s">
        <v>229</v>
      </c>
      <c r="I1352" s="197" t="s">
        <v>230</v>
      </c>
      <c r="J1352" s="198">
        <v>1000</v>
      </c>
      <c r="K1352" s="199">
        <f>L1352</f>
        <v>0.25</v>
      </c>
      <c r="L1352" s="200">
        <v>0.25</v>
      </c>
      <c r="M1352" s="188" t="s">
        <v>227</v>
      </c>
      <c r="N1352" s="188">
        <v>247</v>
      </c>
      <c r="O1352" s="74">
        <v>10000</v>
      </c>
      <c r="P1352" s="74">
        <v>7</v>
      </c>
    </row>
    <row r="1353" ht="18" spans="4:16">
      <c r="D1353" s="195"/>
      <c r="E1353" s="195" t="s">
        <v>258</v>
      </c>
      <c r="F1353" s="89" t="s">
        <v>376</v>
      </c>
      <c r="G1353" s="195" t="s">
        <v>231</v>
      </c>
      <c r="H1353" s="197" t="s">
        <v>232</v>
      </c>
      <c r="I1353" s="197" t="s">
        <v>233</v>
      </c>
      <c r="J1353" s="198">
        <v>1000</v>
      </c>
      <c r="K1353" s="199">
        <f>L1353</f>
        <v>0.5</v>
      </c>
      <c r="L1353" s="200">
        <v>0.5</v>
      </c>
      <c r="M1353" s="188" t="s">
        <v>227</v>
      </c>
      <c r="N1353" s="188">
        <v>248</v>
      </c>
      <c r="O1353" s="74">
        <v>10000</v>
      </c>
      <c r="P1353" s="74">
        <v>8</v>
      </c>
    </row>
    <row r="1354" ht="18" spans="4:16">
      <c r="D1354" s="195"/>
      <c r="E1354" s="195" t="s">
        <v>258</v>
      </c>
      <c r="F1354" s="195" t="s">
        <v>376</v>
      </c>
      <c r="G1354" s="195" t="s">
        <v>248</v>
      </c>
      <c r="H1354" s="195" t="s">
        <v>377</v>
      </c>
      <c r="I1354" s="197" t="s">
        <v>378</v>
      </c>
      <c r="J1354" s="197">
        <v>1000</v>
      </c>
      <c r="K1354" s="203">
        <v>1</v>
      </c>
      <c r="L1354" s="200">
        <v>1</v>
      </c>
      <c r="M1354" s="188" t="s">
        <v>227</v>
      </c>
      <c r="N1354" s="188">
        <v>249</v>
      </c>
      <c r="O1354" s="74">
        <v>10000</v>
      </c>
      <c r="P1354" s="74">
        <v>1</v>
      </c>
    </row>
    <row r="1355" ht="18" spans="4:16">
      <c r="D1355" s="89" t="s">
        <v>34</v>
      </c>
      <c r="E1355" s="89" t="s">
        <v>258</v>
      </c>
      <c r="F1355" s="89" t="s">
        <v>376</v>
      </c>
      <c r="G1355" s="189" t="s">
        <v>397</v>
      </c>
      <c r="H1355" s="89" t="s">
        <v>380</v>
      </c>
      <c r="I1355" s="190" t="s">
        <v>381</v>
      </c>
      <c r="J1355" s="190">
        <v>1000</v>
      </c>
      <c r="K1355" s="187">
        <v>0.086</v>
      </c>
      <c r="L1355" s="207">
        <v>0.098</v>
      </c>
      <c r="M1355" s="188" t="s">
        <v>237</v>
      </c>
      <c r="N1355" s="188">
        <v>250</v>
      </c>
      <c r="O1355" s="74">
        <v>10000</v>
      </c>
      <c r="P1355" s="74">
        <v>6</v>
      </c>
    </row>
    <row r="1356" ht="18" spans="4:16">
      <c r="D1356" s="89" t="s">
        <v>34</v>
      </c>
      <c r="E1356" s="89" t="s">
        <v>258</v>
      </c>
      <c r="F1356" s="89" t="s">
        <v>376</v>
      </c>
      <c r="G1356" s="189" t="s">
        <v>398</v>
      </c>
      <c r="H1356" s="89" t="s">
        <v>100</v>
      </c>
      <c r="I1356" s="190" t="s">
        <v>383</v>
      </c>
      <c r="J1356" s="190">
        <v>1000</v>
      </c>
      <c r="K1356" s="187">
        <v>0.072</v>
      </c>
      <c r="L1356" s="187">
        <v>0.086</v>
      </c>
      <c r="M1356" s="188" t="s">
        <v>217</v>
      </c>
      <c r="N1356" s="188">
        <v>251</v>
      </c>
      <c r="O1356" s="74">
        <v>10000</v>
      </c>
      <c r="P1356" s="74">
        <v>5</v>
      </c>
    </row>
    <row r="1357" ht="18" spans="4:16">
      <c r="D1357" s="89" t="s">
        <v>34</v>
      </c>
      <c r="E1357" s="89" t="s">
        <v>258</v>
      </c>
      <c r="F1357" s="89" t="s">
        <v>376</v>
      </c>
      <c r="G1357" s="189" t="s">
        <v>399</v>
      </c>
      <c r="H1357" s="89" t="s">
        <v>385</v>
      </c>
      <c r="I1357" s="190" t="s">
        <v>386</v>
      </c>
      <c r="J1357" s="190">
        <v>1000</v>
      </c>
      <c r="K1357" s="187">
        <v>0.025</v>
      </c>
      <c r="L1357" s="187">
        <v>0.029</v>
      </c>
      <c r="M1357" s="188" t="s">
        <v>217</v>
      </c>
      <c r="N1357" s="188">
        <v>252</v>
      </c>
      <c r="O1357" s="74">
        <v>10000</v>
      </c>
      <c r="P1357" s="74">
        <v>3</v>
      </c>
    </row>
    <row r="1358" ht="18" spans="4:16">
      <c r="D1358" s="195" t="s">
        <v>34</v>
      </c>
      <c r="E1358" s="195" t="s">
        <v>258</v>
      </c>
      <c r="F1358" s="195" t="s">
        <v>376</v>
      </c>
      <c r="G1358" s="201" t="s">
        <v>400</v>
      </c>
      <c r="H1358" s="197" t="s">
        <v>388</v>
      </c>
      <c r="I1358" s="197" t="s">
        <v>389</v>
      </c>
      <c r="J1358" s="198">
        <v>1000</v>
      </c>
      <c r="K1358" s="200">
        <v>0.09</v>
      </c>
      <c r="L1358" s="200">
        <v>0.11</v>
      </c>
      <c r="M1358" s="188" t="s">
        <v>217</v>
      </c>
      <c r="N1358" s="188">
        <v>253</v>
      </c>
      <c r="O1358" s="74">
        <v>10000</v>
      </c>
      <c r="P1358" s="74">
        <v>4</v>
      </c>
    </row>
    <row r="1359" ht="18" spans="4:16">
      <c r="D1359" s="195" t="s">
        <v>34</v>
      </c>
      <c r="E1359" s="195" t="s">
        <v>258</v>
      </c>
      <c r="F1359" s="195" t="s">
        <v>376</v>
      </c>
      <c r="G1359" s="201" t="s">
        <v>401</v>
      </c>
      <c r="H1359" s="195" t="s">
        <v>391</v>
      </c>
      <c r="I1359" s="197" t="str">
        <f>_xlfn.XLOOKUP(H1359,Sheet2!B:B,Sheet2!C:C)</f>
        <v>控制暴击伤害</v>
      </c>
      <c r="J1359" s="197">
        <v>1000</v>
      </c>
      <c r="K1359" s="200">
        <v>0.27</v>
      </c>
      <c r="L1359" s="200">
        <v>0.33</v>
      </c>
      <c r="M1359" s="188" t="s">
        <v>217</v>
      </c>
      <c r="N1359" s="188">
        <v>253</v>
      </c>
      <c r="O1359" s="74">
        <v>10000</v>
      </c>
      <c r="P1359" s="74">
        <v>10</v>
      </c>
    </row>
    <row r="1360" ht="18" spans="4:16">
      <c r="D1360" s="89"/>
      <c r="E1360" s="89" t="s">
        <v>266</v>
      </c>
      <c r="F1360" s="89" t="s">
        <v>376</v>
      </c>
      <c r="G1360" s="89" t="str">
        <f>"全职小队"&amp;RIGHT(G1362,1)</f>
        <v>全职小队Ⅳ</v>
      </c>
      <c r="H1360" s="190" t="s">
        <v>215</v>
      </c>
      <c r="I1360" s="190" t="s">
        <v>216</v>
      </c>
      <c r="J1360" s="206">
        <v>1000</v>
      </c>
      <c r="K1360" s="207">
        <v>0.058</v>
      </c>
      <c r="L1360" s="187">
        <v>0.072</v>
      </c>
      <c r="M1360" s="188" t="s">
        <v>217</v>
      </c>
      <c r="N1360" s="188">
        <v>254</v>
      </c>
      <c r="O1360" s="74">
        <v>10000</v>
      </c>
      <c r="P1360" s="74">
        <v>2</v>
      </c>
    </row>
    <row r="1361" ht="18" spans="4:16">
      <c r="D1361" s="89" t="s">
        <v>35</v>
      </c>
      <c r="E1361" s="89" t="s">
        <v>266</v>
      </c>
      <c r="F1361" s="89" t="s">
        <v>376</v>
      </c>
      <c r="G1361" s="189" t="s">
        <v>267</v>
      </c>
      <c r="H1361" s="190" t="s">
        <v>219</v>
      </c>
      <c r="I1361" s="190" t="s">
        <v>220</v>
      </c>
      <c r="J1361" s="206">
        <v>1000</v>
      </c>
      <c r="K1361" s="207">
        <v>0.025</v>
      </c>
      <c r="L1361" s="187">
        <v>0.029</v>
      </c>
      <c r="M1361" s="188" t="s">
        <v>217</v>
      </c>
      <c r="N1361" s="188">
        <v>255</v>
      </c>
      <c r="O1361" s="74">
        <v>10000</v>
      </c>
      <c r="P1361" s="74">
        <v>6</v>
      </c>
    </row>
    <row r="1362" ht="18" spans="4:16">
      <c r="D1362" s="195" t="s">
        <v>35</v>
      </c>
      <c r="E1362" s="195" t="s">
        <v>266</v>
      </c>
      <c r="F1362" s="89" t="s">
        <v>376</v>
      </c>
      <c r="G1362" s="201" t="s">
        <v>268</v>
      </c>
      <c r="H1362" s="190" t="s">
        <v>222</v>
      </c>
      <c r="I1362" s="197" t="s">
        <v>223</v>
      </c>
      <c r="J1362" s="198">
        <v>1000</v>
      </c>
      <c r="K1362" s="199">
        <v>0.058</v>
      </c>
      <c r="L1362" s="200">
        <v>0.072</v>
      </c>
      <c r="M1362" s="188" t="s">
        <v>217</v>
      </c>
      <c r="N1362" s="188">
        <v>256</v>
      </c>
      <c r="O1362" s="74">
        <v>10000</v>
      </c>
      <c r="P1362" s="74">
        <v>2</v>
      </c>
    </row>
    <row r="1363" ht="18" spans="4:16">
      <c r="D1363" s="195" t="s">
        <v>35</v>
      </c>
      <c r="E1363" s="195" t="s">
        <v>266</v>
      </c>
      <c r="F1363" s="89" t="s">
        <v>376</v>
      </c>
      <c r="G1363" s="195" t="s">
        <v>224</v>
      </c>
      <c r="H1363" s="197" t="s">
        <v>225</v>
      </c>
      <c r="I1363" s="197" t="s">
        <v>226</v>
      </c>
      <c r="J1363" s="198">
        <v>1000</v>
      </c>
      <c r="K1363" s="199">
        <f>L1363</f>
        <v>0.2</v>
      </c>
      <c r="L1363" s="200">
        <v>0.2</v>
      </c>
      <c r="M1363" s="188" t="s">
        <v>227</v>
      </c>
      <c r="N1363" s="188">
        <v>257</v>
      </c>
      <c r="O1363" s="74">
        <v>10000</v>
      </c>
      <c r="P1363" s="74">
        <v>9</v>
      </c>
    </row>
    <row r="1364" ht="18" spans="4:16">
      <c r="D1364" s="195" t="s">
        <v>35</v>
      </c>
      <c r="E1364" s="195" t="s">
        <v>266</v>
      </c>
      <c r="F1364" s="89" t="s">
        <v>376</v>
      </c>
      <c r="G1364" s="195" t="s">
        <v>228</v>
      </c>
      <c r="H1364" s="197" t="s">
        <v>229</v>
      </c>
      <c r="I1364" s="197" t="s">
        <v>230</v>
      </c>
      <c r="J1364" s="198">
        <v>1000</v>
      </c>
      <c r="K1364" s="199">
        <f>L1364</f>
        <v>0.25</v>
      </c>
      <c r="L1364" s="200">
        <v>0.25</v>
      </c>
      <c r="M1364" s="188" t="s">
        <v>227</v>
      </c>
      <c r="N1364" s="188">
        <v>258</v>
      </c>
      <c r="O1364" s="74">
        <v>10000</v>
      </c>
      <c r="P1364" s="74">
        <v>7</v>
      </c>
    </row>
    <row r="1365" ht="18" spans="4:16">
      <c r="D1365" s="195"/>
      <c r="E1365" s="195" t="s">
        <v>266</v>
      </c>
      <c r="F1365" s="89" t="s">
        <v>376</v>
      </c>
      <c r="G1365" s="195" t="s">
        <v>231</v>
      </c>
      <c r="H1365" s="197" t="s">
        <v>232</v>
      </c>
      <c r="I1365" s="197" t="s">
        <v>233</v>
      </c>
      <c r="J1365" s="198">
        <v>1000</v>
      </c>
      <c r="K1365" s="199">
        <f>L1365</f>
        <v>0.5</v>
      </c>
      <c r="L1365" s="200">
        <v>0.5</v>
      </c>
      <c r="M1365" s="188" t="s">
        <v>227</v>
      </c>
      <c r="N1365" s="188">
        <v>259</v>
      </c>
      <c r="O1365" s="74">
        <v>10000</v>
      </c>
      <c r="P1365" s="74">
        <v>8</v>
      </c>
    </row>
    <row r="1366" ht="18" spans="4:16">
      <c r="D1366" s="195"/>
      <c r="E1366" s="195" t="s">
        <v>266</v>
      </c>
      <c r="F1366" s="195" t="s">
        <v>376</v>
      </c>
      <c r="G1366" s="195" t="s">
        <v>248</v>
      </c>
      <c r="H1366" s="195" t="s">
        <v>377</v>
      </c>
      <c r="I1366" s="197" t="s">
        <v>378</v>
      </c>
      <c r="J1366" s="197">
        <v>1000</v>
      </c>
      <c r="K1366" s="200">
        <v>1</v>
      </c>
      <c r="L1366" s="200">
        <v>1</v>
      </c>
      <c r="M1366" s="188" t="s">
        <v>227</v>
      </c>
      <c r="N1366" s="188">
        <v>260</v>
      </c>
      <c r="O1366" s="74">
        <v>10000</v>
      </c>
      <c r="P1366" s="74">
        <v>1</v>
      </c>
    </row>
    <row r="1367" ht="18" spans="4:16">
      <c r="D1367" s="89" t="s">
        <v>35</v>
      </c>
      <c r="E1367" s="89" t="s">
        <v>266</v>
      </c>
      <c r="F1367" s="89" t="s">
        <v>376</v>
      </c>
      <c r="G1367" s="189" t="s">
        <v>402</v>
      </c>
      <c r="H1367" s="89" t="s">
        <v>380</v>
      </c>
      <c r="I1367" s="190" t="s">
        <v>381</v>
      </c>
      <c r="J1367" s="190">
        <v>1000</v>
      </c>
      <c r="K1367" s="187">
        <v>0.098</v>
      </c>
      <c r="L1367" s="207">
        <v>0.11</v>
      </c>
      <c r="M1367" s="188" t="s">
        <v>237</v>
      </c>
      <c r="N1367" s="188">
        <v>261</v>
      </c>
      <c r="O1367" s="74">
        <v>10000</v>
      </c>
      <c r="P1367" s="74">
        <v>6</v>
      </c>
    </row>
    <row r="1368" ht="18" spans="4:16">
      <c r="D1368" s="89" t="s">
        <v>35</v>
      </c>
      <c r="E1368" s="89" t="s">
        <v>266</v>
      </c>
      <c r="F1368" s="89" t="s">
        <v>376</v>
      </c>
      <c r="G1368" s="189" t="s">
        <v>403</v>
      </c>
      <c r="H1368" s="89" t="s">
        <v>100</v>
      </c>
      <c r="I1368" s="190" t="s">
        <v>383</v>
      </c>
      <c r="J1368" s="190">
        <v>1000</v>
      </c>
      <c r="K1368" s="187">
        <v>0.08</v>
      </c>
      <c r="L1368" s="187">
        <v>0.09</v>
      </c>
      <c r="M1368" s="188" t="s">
        <v>217</v>
      </c>
      <c r="N1368" s="188">
        <v>262</v>
      </c>
      <c r="O1368" s="74">
        <v>10000</v>
      </c>
      <c r="P1368" s="74">
        <v>5</v>
      </c>
    </row>
    <row r="1369" ht="18" spans="4:16">
      <c r="D1369" s="89" t="s">
        <v>35</v>
      </c>
      <c r="E1369" s="89" t="s">
        <v>266</v>
      </c>
      <c r="F1369" s="89" t="s">
        <v>376</v>
      </c>
      <c r="G1369" s="189" t="s">
        <v>404</v>
      </c>
      <c r="H1369" s="89" t="s">
        <v>385</v>
      </c>
      <c r="I1369" s="190" t="s">
        <v>386</v>
      </c>
      <c r="J1369" s="190">
        <v>1000</v>
      </c>
      <c r="K1369" s="187">
        <v>0.03</v>
      </c>
      <c r="L1369" s="187">
        <v>0.034</v>
      </c>
      <c r="M1369" s="188" t="s">
        <v>217</v>
      </c>
      <c r="N1369" s="188">
        <v>263</v>
      </c>
      <c r="O1369" s="74">
        <v>10000</v>
      </c>
      <c r="P1369" s="74">
        <v>3</v>
      </c>
    </row>
    <row r="1370" ht="18" spans="4:16">
      <c r="D1370" s="195" t="s">
        <v>35</v>
      </c>
      <c r="E1370" s="195" t="s">
        <v>266</v>
      </c>
      <c r="F1370" s="195" t="s">
        <v>376</v>
      </c>
      <c r="G1370" s="201" t="s">
        <v>405</v>
      </c>
      <c r="H1370" s="197" t="s">
        <v>388</v>
      </c>
      <c r="I1370" s="197" t="s">
        <v>389</v>
      </c>
      <c r="J1370" s="198">
        <v>1000</v>
      </c>
      <c r="K1370" s="200">
        <v>0.11</v>
      </c>
      <c r="L1370" s="200">
        <v>0.13</v>
      </c>
      <c r="M1370" s="188" t="s">
        <v>217</v>
      </c>
      <c r="N1370" s="188">
        <v>264</v>
      </c>
      <c r="O1370" s="74">
        <v>10000</v>
      </c>
      <c r="P1370" s="74">
        <v>4</v>
      </c>
    </row>
    <row r="1371" ht="18" spans="4:16">
      <c r="D1371" s="195" t="s">
        <v>35</v>
      </c>
      <c r="E1371" s="195" t="s">
        <v>266</v>
      </c>
      <c r="F1371" s="195" t="s">
        <v>376</v>
      </c>
      <c r="G1371" s="201" t="s">
        <v>406</v>
      </c>
      <c r="H1371" s="195" t="s">
        <v>391</v>
      </c>
      <c r="I1371" s="197" t="str">
        <f>_xlfn.XLOOKUP(H1371,Sheet2!B:B,Sheet2!C:C)</f>
        <v>控制暴击伤害</v>
      </c>
      <c r="J1371" s="197">
        <v>1000</v>
      </c>
      <c r="K1371" s="200">
        <v>0.33</v>
      </c>
      <c r="L1371" s="200">
        <v>0.39</v>
      </c>
      <c r="M1371" s="188" t="s">
        <v>217</v>
      </c>
      <c r="N1371" s="188">
        <v>264</v>
      </c>
      <c r="O1371" s="74">
        <v>10000</v>
      </c>
      <c r="P1371" s="74">
        <v>10</v>
      </c>
    </row>
    <row r="1372" ht="18" spans="4:16">
      <c r="D1372" s="89"/>
      <c r="E1372" s="89" t="s">
        <v>274</v>
      </c>
      <c r="F1372" s="89" t="s">
        <v>376</v>
      </c>
      <c r="G1372" s="89" t="str">
        <f>"全职小队"&amp;RIGHT(G1374,1)</f>
        <v>全职小队Ⅴ</v>
      </c>
      <c r="H1372" s="190" t="s">
        <v>215</v>
      </c>
      <c r="I1372" s="190" t="s">
        <v>216</v>
      </c>
      <c r="J1372" s="206">
        <v>1000</v>
      </c>
      <c r="K1372" s="207">
        <v>0.072</v>
      </c>
      <c r="L1372" s="187">
        <v>0.086</v>
      </c>
      <c r="M1372" s="188" t="s">
        <v>217</v>
      </c>
      <c r="N1372" s="188">
        <v>265</v>
      </c>
      <c r="O1372" s="74">
        <v>10000</v>
      </c>
      <c r="P1372" s="74">
        <v>2</v>
      </c>
    </row>
    <row r="1373" ht="18" spans="4:16">
      <c r="D1373" s="89" t="s">
        <v>36</v>
      </c>
      <c r="E1373" s="89" t="s">
        <v>274</v>
      </c>
      <c r="F1373" s="89" t="s">
        <v>376</v>
      </c>
      <c r="G1373" s="189" t="s">
        <v>275</v>
      </c>
      <c r="H1373" s="190" t="s">
        <v>219</v>
      </c>
      <c r="I1373" s="190" t="s">
        <v>220</v>
      </c>
      <c r="J1373" s="206">
        <v>1000</v>
      </c>
      <c r="K1373" s="207">
        <v>0.03</v>
      </c>
      <c r="L1373" s="187">
        <v>0.034</v>
      </c>
      <c r="M1373" s="188" t="s">
        <v>217</v>
      </c>
      <c r="N1373" s="188">
        <v>266</v>
      </c>
      <c r="O1373" s="74">
        <v>10000</v>
      </c>
      <c r="P1373" s="74">
        <v>6</v>
      </c>
    </row>
    <row r="1374" ht="18" spans="4:16">
      <c r="D1374" s="195" t="s">
        <v>36</v>
      </c>
      <c r="E1374" s="195" t="s">
        <v>274</v>
      </c>
      <c r="F1374" s="89" t="s">
        <v>376</v>
      </c>
      <c r="G1374" s="201" t="s">
        <v>276</v>
      </c>
      <c r="H1374" s="190" t="s">
        <v>222</v>
      </c>
      <c r="I1374" s="197" t="s">
        <v>223</v>
      </c>
      <c r="J1374" s="198">
        <v>1000</v>
      </c>
      <c r="K1374" s="217">
        <v>0.072</v>
      </c>
      <c r="L1374" s="200">
        <v>0.086</v>
      </c>
      <c r="M1374" s="188" t="s">
        <v>217</v>
      </c>
      <c r="N1374" s="188">
        <v>267</v>
      </c>
      <c r="O1374" s="74">
        <v>10000</v>
      </c>
      <c r="P1374" s="74">
        <v>2</v>
      </c>
    </row>
    <row r="1375" ht="18" spans="4:16">
      <c r="D1375" s="195" t="s">
        <v>36</v>
      </c>
      <c r="E1375" s="195" t="s">
        <v>274</v>
      </c>
      <c r="F1375" s="89" t="s">
        <v>376</v>
      </c>
      <c r="G1375" s="195" t="s">
        <v>224</v>
      </c>
      <c r="H1375" s="197" t="s">
        <v>225</v>
      </c>
      <c r="I1375" s="197" t="s">
        <v>226</v>
      </c>
      <c r="J1375" s="198">
        <v>1000</v>
      </c>
      <c r="K1375" s="199">
        <f>L1375</f>
        <v>0.2</v>
      </c>
      <c r="L1375" s="200">
        <v>0.2</v>
      </c>
      <c r="M1375" s="188" t="s">
        <v>227</v>
      </c>
      <c r="N1375" s="188">
        <v>268</v>
      </c>
      <c r="O1375" s="74">
        <v>10000</v>
      </c>
      <c r="P1375" s="74">
        <v>9</v>
      </c>
    </row>
    <row r="1376" ht="18" spans="4:16">
      <c r="D1376" s="195" t="s">
        <v>36</v>
      </c>
      <c r="E1376" s="195" t="s">
        <v>274</v>
      </c>
      <c r="F1376" s="89" t="s">
        <v>376</v>
      </c>
      <c r="G1376" s="195" t="s">
        <v>228</v>
      </c>
      <c r="H1376" s="197" t="s">
        <v>229</v>
      </c>
      <c r="I1376" s="197" t="s">
        <v>230</v>
      </c>
      <c r="J1376" s="198">
        <v>1000</v>
      </c>
      <c r="K1376" s="199">
        <f>L1376</f>
        <v>0.25</v>
      </c>
      <c r="L1376" s="200">
        <v>0.25</v>
      </c>
      <c r="M1376" s="188" t="s">
        <v>227</v>
      </c>
      <c r="N1376" s="188">
        <v>269</v>
      </c>
      <c r="O1376" s="74">
        <v>10000</v>
      </c>
      <c r="P1376" s="74">
        <v>7</v>
      </c>
    </row>
    <row r="1377" ht="18" spans="4:16">
      <c r="D1377" s="195" t="s">
        <v>36</v>
      </c>
      <c r="E1377" s="195" t="s">
        <v>274</v>
      </c>
      <c r="F1377" s="89" t="s">
        <v>376</v>
      </c>
      <c r="G1377" s="195" t="s">
        <v>231</v>
      </c>
      <c r="H1377" s="197" t="s">
        <v>232</v>
      </c>
      <c r="I1377" s="197" t="s">
        <v>233</v>
      </c>
      <c r="J1377" s="198">
        <v>1000</v>
      </c>
      <c r="K1377" s="199">
        <f>L1377</f>
        <v>0.5</v>
      </c>
      <c r="L1377" s="200">
        <v>0.5</v>
      </c>
      <c r="M1377" s="188" t="s">
        <v>227</v>
      </c>
      <c r="N1377" s="188">
        <v>270</v>
      </c>
      <c r="O1377" s="74">
        <v>10000</v>
      </c>
      <c r="P1377" s="74">
        <v>8</v>
      </c>
    </row>
    <row r="1378" ht="18" spans="4:16">
      <c r="D1378" s="195"/>
      <c r="E1378" s="195" t="s">
        <v>274</v>
      </c>
      <c r="F1378" s="195" t="s">
        <v>376</v>
      </c>
      <c r="G1378" s="195" t="s">
        <v>248</v>
      </c>
      <c r="H1378" s="195" t="s">
        <v>377</v>
      </c>
      <c r="I1378" s="197" t="s">
        <v>378</v>
      </c>
      <c r="J1378" s="197">
        <v>1000</v>
      </c>
      <c r="K1378" s="200">
        <v>1</v>
      </c>
      <c r="L1378" s="200">
        <v>1</v>
      </c>
      <c r="M1378" s="188" t="s">
        <v>227</v>
      </c>
      <c r="N1378" s="188">
        <v>271</v>
      </c>
      <c r="O1378" s="74">
        <v>10000</v>
      </c>
      <c r="P1378" s="74">
        <v>1</v>
      </c>
    </row>
    <row r="1379" ht="18" spans="4:16">
      <c r="D1379" s="89" t="s">
        <v>36</v>
      </c>
      <c r="E1379" s="89" t="s">
        <v>274</v>
      </c>
      <c r="F1379" s="89" t="s">
        <v>376</v>
      </c>
      <c r="G1379" s="189" t="s">
        <v>407</v>
      </c>
      <c r="H1379" s="89" t="s">
        <v>380</v>
      </c>
      <c r="I1379" s="190" t="s">
        <v>381</v>
      </c>
      <c r="J1379" s="190">
        <v>1000</v>
      </c>
      <c r="K1379" s="187">
        <v>0.11</v>
      </c>
      <c r="L1379" s="207">
        <v>0.12</v>
      </c>
      <c r="M1379" s="188" t="s">
        <v>237</v>
      </c>
      <c r="N1379" s="188">
        <v>272</v>
      </c>
      <c r="O1379" s="74">
        <v>10000</v>
      </c>
      <c r="P1379" s="74">
        <v>6</v>
      </c>
    </row>
    <row r="1380" ht="18" spans="4:16">
      <c r="D1380" s="89" t="s">
        <v>36</v>
      </c>
      <c r="E1380" s="89" t="s">
        <v>274</v>
      </c>
      <c r="F1380" s="89" t="s">
        <v>376</v>
      </c>
      <c r="G1380" s="189" t="s">
        <v>408</v>
      </c>
      <c r="H1380" s="89" t="s">
        <v>100</v>
      </c>
      <c r="I1380" s="190" t="s">
        <v>383</v>
      </c>
      <c r="J1380" s="190">
        <v>1000</v>
      </c>
      <c r="K1380" s="187">
        <v>0.09</v>
      </c>
      <c r="L1380" s="187">
        <v>0.1</v>
      </c>
      <c r="M1380" s="188" t="s">
        <v>217</v>
      </c>
      <c r="N1380" s="188">
        <v>273</v>
      </c>
      <c r="O1380" s="74">
        <v>10000</v>
      </c>
      <c r="P1380" s="74">
        <v>5</v>
      </c>
    </row>
    <row r="1381" ht="18" spans="4:16">
      <c r="D1381" s="89" t="s">
        <v>36</v>
      </c>
      <c r="E1381" s="89" t="s">
        <v>274</v>
      </c>
      <c r="F1381" s="89" t="s">
        <v>376</v>
      </c>
      <c r="G1381" s="189" t="s">
        <v>409</v>
      </c>
      <c r="H1381" s="89" t="s">
        <v>385</v>
      </c>
      <c r="I1381" s="190" t="s">
        <v>386</v>
      </c>
      <c r="J1381" s="190">
        <v>1000</v>
      </c>
      <c r="K1381" s="187">
        <v>0.035</v>
      </c>
      <c r="L1381" s="187">
        <v>0.039</v>
      </c>
      <c r="M1381" s="188" t="s">
        <v>217</v>
      </c>
      <c r="N1381" s="188">
        <v>274</v>
      </c>
      <c r="O1381" s="74">
        <v>10000</v>
      </c>
      <c r="P1381" s="74">
        <v>3</v>
      </c>
    </row>
    <row r="1382" ht="18" spans="4:16">
      <c r="D1382" s="195" t="s">
        <v>36</v>
      </c>
      <c r="E1382" s="195" t="s">
        <v>274</v>
      </c>
      <c r="F1382" s="195" t="s">
        <v>376</v>
      </c>
      <c r="G1382" s="201" t="s">
        <v>410</v>
      </c>
      <c r="H1382" s="197" t="s">
        <v>388</v>
      </c>
      <c r="I1382" s="197" t="s">
        <v>389</v>
      </c>
      <c r="J1382" s="198">
        <v>1000</v>
      </c>
      <c r="K1382" s="200">
        <v>0.13</v>
      </c>
      <c r="L1382" s="200">
        <v>0.15</v>
      </c>
      <c r="M1382" s="188" t="s">
        <v>217</v>
      </c>
      <c r="N1382" s="188">
        <v>275</v>
      </c>
      <c r="O1382" s="74">
        <v>10000</v>
      </c>
      <c r="P1382" s="74">
        <v>4</v>
      </c>
    </row>
    <row r="1383" ht="18" spans="4:16">
      <c r="D1383" s="195" t="s">
        <v>36</v>
      </c>
      <c r="E1383" s="195" t="s">
        <v>274</v>
      </c>
      <c r="F1383" s="195" t="s">
        <v>376</v>
      </c>
      <c r="G1383" s="201" t="s">
        <v>411</v>
      </c>
      <c r="H1383" s="195" t="s">
        <v>391</v>
      </c>
      <c r="I1383" s="197" t="str">
        <f>_xlfn.XLOOKUP(H1383,Sheet2!B:B,Sheet2!C:C)</f>
        <v>控制暴击伤害</v>
      </c>
      <c r="J1383" s="197">
        <v>1000</v>
      </c>
      <c r="K1383" s="200">
        <v>0.39</v>
      </c>
      <c r="L1383" s="200">
        <v>0.45</v>
      </c>
      <c r="M1383" s="188" t="s">
        <v>217</v>
      </c>
      <c r="N1383" s="188">
        <v>275</v>
      </c>
      <c r="O1383" s="74">
        <v>10000</v>
      </c>
      <c r="P1383" s="74">
        <v>10</v>
      </c>
    </row>
    <row r="1384" ht="18" spans="4:16">
      <c r="D1384" s="89"/>
      <c r="E1384" s="89" t="s">
        <v>213</v>
      </c>
      <c r="F1384" s="89" t="s">
        <v>412</v>
      </c>
      <c r="G1384" s="89" t="str">
        <f>"全职小队"&amp;RIGHT(G1386,1)</f>
        <v>全职小队Ⅰ</v>
      </c>
      <c r="H1384" s="190" t="s">
        <v>215</v>
      </c>
      <c r="I1384" s="190" t="s">
        <v>216</v>
      </c>
      <c r="J1384" s="206">
        <v>1000</v>
      </c>
      <c r="K1384" s="207">
        <v>0.03</v>
      </c>
      <c r="L1384" s="187">
        <v>0.042</v>
      </c>
      <c r="M1384" s="188" t="s">
        <v>217</v>
      </c>
      <c r="N1384" s="188">
        <v>276</v>
      </c>
      <c r="O1384" s="74">
        <v>10000</v>
      </c>
      <c r="P1384" s="74">
        <v>2</v>
      </c>
    </row>
    <row r="1385" ht="18" spans="4:16">
      <c r="D1385" s="89" t="s">
        <v>32</v>
      </c>
      <c r="E1385" s="89" t="s">
        <v>213</v>
      </c>
      <c r="F1385" s="89" t="s">
        <v>412</v>
      </c>
      <c r="G1385" s="189" t="s">
        <v>218</v>
      </c>
      <c r="H1385" s="190" t="s">
        <v>219</v>
      </c>
      <c r="I1385" s="190" t="s">
        <v>220</v>
      </c>
      <c r="J1385" s="206">
        <v>1000</v>
      </c>
      <c r="K1385" s="207">
        <v>0.01</v>
      </c>
      <c r="L1385" s="187">
        <v>0.014</v>
      </c>
      <c r="M1385" s="188" t="s">
        <v>217</v>
      </c>
      <c r="N1385" s="188">
        <v>277</v>
      </c>
      <c r="O1385" s="74">
        <v>10000</v>
      </c>
      <c r="P1385" s="74">
        <v>6</v>
      </c>
    </row>
    <row r="1386" ht="18" spans="4:16">
      <c r="D1386" s="89" t="s">
        <v>32</v>
      </c>
      <c r="E1386" s="191" t="s">
        <v>213</v>
      </c>
      <c r="F1386" s="89" t="s">
        <v>412</v>
      </c>
      <c r="G1386" s="213" t="s">
        <v>221</v>
      </c>
      <c r="H1386" s="190" t="s">
        <v>222</v>
      </c>
      <c r="I1386" s="193" t="s">
        <v>223</v>
      </c>
      <c r="J1386" s="208">
        <v>1000</v>
      </c>
      <c r="K1386" s="209">
        <v>0.03</v>
      </c>
      <c r="L1386" s="194">
        <v>0.042</v>
      </c>
      <c r="M1386" s="188" t="s">
        <v>217</v>
      </c>
      <c r="N1386" s="188">
        <v>278</v>
      </c>
      <c r="O1386" s="74">
        <v>10000</v>
      </c>
      <c r="P1386" s="74">
        <v>2</v>
      </c>
    </row>
    <row r="1387" ht="18" spans="4:16">
      <c r="D1387" s="195"/>
      <c r="E1387" s="195" t="s">
        <v>213</v>
      </c>
      <c r="F1387" s="89" t="s">
        <v>412</v>
      </c>
      <c r="G1387" s="195" t="s">
        <v>224</v>
      </c>
      <c r="H1387" s="197" t="s">
        <v>225</v>
      </c>
      <c r="I1387" s="197" t="s">
        <v>226</v>
      </c>
      <c r="J1387" s="198">
        <v>1000</v>
      </c>
      <c r="K1387" s="199">
        <f>L1387</f>
        <v>0.2</v>
      </c>
      <c r="L1387" s="200">
        <v>0.2</v>
      </c>
      <c r="M1387" s="188" t="s">
        <v>227</v>
      </c>
      <c r="N1387" s="188">
        <v>279</v>
      </c>
      <c r="O1387" s="74">
        <v>10000</v>
      </c>
      <c r="P1387" s="74">
        <v>9</v>
      </c>
    </row>
    <row r="1388" ht="18" spans="4:16">
      <c r="D1388" s="195"/>
      <c r="E1388" s="195" t="s">
        <v>213</v>
      </c>
      <c r="F1388" s="89" t="s">
        <v>412</v>
      </c>
      <c r="G1388" s="195" t="s">
        <v>228</v>
      </c>
      <c r="H1388" s="197" t="s">
        <v>229</v>
      </c>
      <c r="I1388" s="197" t="s">
        <v>230</v>
      </c>
      <c r="J1388" s="198">
        <v>1000</v>
      </c>
      <c r="K1388" s="199">
        <f>L1388</f>
        <v>0.25</v>
      </c>
      <c r="L1388" s="200">
        <v>0.25</v>
      </c>
      <c r="M1388" s="188" t="s">
        <v>227</v>
      </c>
      <c r="N1388" s="188">
        <v>280</v>
      </c>
      <c r="O1388" s="74">
        <v>10000</v>
      </c>
      <c r="P1388" s="74">
        <v>7</v>
      </c>
    </row>
    <row r="1389" ht="18" spans="4:16">
      <c r="D1389" s="195"/>
      <c r="E1389" s="195" t="s">
        <v>213</v>
      </c>
      <c r="F1389" s="89" t="s">
        <v>412</v>
      </c>
      <c r="G1389" s="195" t="s">
        <v>231</v>
      </c>
      <c r="H1389" s="197" t="s">
        <v>232</v>
      </c>
      <c r="I1389" s="197" t="s">
        <v>233</v>
      </c>
      <c r="J1389" s="198">
        <v>1000</v>
      </c>
      <c r="K1389" s="199">
        <f>L1389</f>
        <v>0.5</v>
      </c>
      <c r="L1389" s="200">
        <v>0.5</v>
      </c>
      <c r="M1389" s="188" t="s">
        <v>227</v>
      </c>
      <c r="N1389" s="188">
        <v>281</v>
      </c>
      <c r="O1389" s="74">
        <v>10000</v>
      </c>
      <c r="P1389" s="74">
        <v>8</v>
      </c>
    </row>
    <row r="1390" ht="18" spans="4:16">
      <c r="D1390" s="195"/>
      <c r="E1390" s="195" t="s">
        <v>213</v>
      </c>
      <c r="F1390" s="89" t="s">
        <v>412</v>
      </c>
      <c r="G1390" s="195" t="s">
        <v>248</v>
      </c>
      <c r="H1390" s="197" t="s">
        <v>413</v>
      </c>
      <c r="I1390" s="197" t="s">
        <v>414</v>
      </c>
      <c r="J1390" s="198">
        <v>1000</v>
      </c>
      <c r="K1390" s="200">
        <v>1</v>
      </c>
      <c r="L1390" s="200">
        <v>1</v>
      </c>
      <c r="M1390" s="188" t="s">
        <v>227</v>
      </c>
      <c r="N1390" s="188">
        <v>282</v>
      </c>
      <c r="O1390" s="74">
        <v>10000</v>
      </c>
      <c r="P1390" s="74">
        <v>1</v>
      </c>
    </row>
    <row r="1391" ht="18" spans="4:16">
      <c r="D1391" s="89"/>
      <c r="E1391" s="89" t="s">
        <v>213</v>
      </c>
      <c r="F1391" s="89" t="s">
        <v>412</v>
      </c>
      <c r="G1391" s="189" t="s">
        <v>379</v>
      </c>
      <c r="H1391" s="190" t="s">
        <v>380</v>
      </c>
      <c r="I1391" s="190" t="s">
        <v>381</v>
      </c>
      <c r="J1391" s="206">
        <v>1000</v>
      </c>
      <c r="K1391" s="187">
        <v>0.062</v>
      </c>
      <c r="L1391" s="207">
        <v>0.074</v>
      </c>
      <c r="M1391" s="188" t="s">
        <v>237</v>
      </c>
      <c r="N1391" s="188">
        <v>283</v>
      </c>
      <c r="O1391" s="74">
        <v>10000</v>
      </c>
      <c r="P1391" s="74">
        <v>6</v>
      </c>
    </row>
    <row r="1392" ht="18" spans="4:16">
      <c r="D1392" s="89" t="s">
        <v>32</v>
      </c>
      <c r="E1392" s="89" t="s">
        <v>213</v>
      </c>
      <c r="F1392" s="89" t="s">
        <v>412</v>
      </c>
      <c r="G1392" s="189" t="s">
        <v>415</v>
      </c>
      <c r="H1392" s="190" t="s">
        <v>416</v>
      </c>
      <c r="I1392" s="190" t="s">
        <v>417</v>
      </c>
      <c r="J1392" s="206">
        <v>1000</v>
      </c>
      <c r="K1392" s="187">
        <v>0.044</v>
      </c>
      <c r="L1392" s="187">
        <v>0.058</v>
      </c>
      <c r="M1392" s="188" t="s">
        <v>217</v>
      </c>
      <c r="N1392" s="188">
        <v>284</v>
      </c>
      <c r="O1392" s="74">
        <v>10000</v>
      </c>
      <c r="P1392" s="74">
        <v>5</v>
      </c>
    </row>
    <row r="1393" ht="18" spans="4:16">
      <c r="D1393" s="195" t="s">
        <v>32</v>
      </c>
      <c r="E1393" s="195" t="s">
        <v>213</v>
      </c>
      <c r="F1393" s="89" t="s">
        <v>412</v>
      </c>
      <c r="G1393" s="189" t="s">
        <v>418</v>
      </c>
      <c r="H1393" s="190" t="s">
        <v>419</v>
      </c>
      <c r="I1393" s="190" t="s">
        <v>420</v>
      </c>
      <c r="J1393" s="198">
        <v>1000</v>
      </c>
      <c r="K1393" s="187">
        <v>0.02</v>
      </c>
      <c r="L1393" s="187">
        <v>0.024</v>
      </c>
      <c r="M1393" s="188" t="s">
        <v>217</v>
      </c>
      <c r="N1393" s="188">
        <f>N1394-N1395+N1394</f>
        <v>286</v>
      </c>
      <c r="O1393" s="74">
        <v>10000</v>
      </c>
      <c r="P1393" s="74">
        <v>3</v>
      </c>
    </row>
    <row r="1394" ht="18" spans="4:16">
      <c r="D1394" s="195"/>
      <c r="E1394" s="195" t="s">
        <v>213</v>
      </c>
      <c r="F1394" s="89" t="s">
        <v>412</v>
      </c>
      <c r="G1394" s="201" t="s">
        <v>421</v>
      </c>
      <c r="H1394" s="197" t="s">
        <v>422</v>
      </c>
      <c r="I1394" s="197" t="s">
        <v>423</v>
      </c>
      <c r="J1394" s="198">
        <v>1000</v>
      </c>
      <c r="K1394" s="200">
        <v>0.06</v>
      </c>
      <c r="L1394" s="200">
        <v>0.075</v>
      </c>
      <c r="M1394" s="188" t="s">
        <v>217</v>
      </c>
      <c r="N1394" s="188">
        <v>286</v>
      </c>
      <c r="O1394" s="74">
        <v>10000</v>
      </c>
      <c r="P1394" s="74">
        <v>4</v>
      </c>
    </row>
    <row r="1395" ht="18" spans="4:16">
      <c r="D1395" s="195" t="s">
        <v>32</v>
      </c>
      <c r="E1395" s="195" t="s">
        <v>213</v>
      </c>
      <c r="F1395" s="89" t="s">
        <v>412</v>
      </c>
      <c r="G1395" s="201" t="s">
        <v>424</v>
      </c>
      <c r="H1395" s="195" t="s">
        <v>425</v>
      </c>
      <c r="I1395" s="197" t="str">
        <f>_xlfn.XLOOKUP(H1395,Sheet2!B:B,Sheet2!C:C)</f>
        <v>召唤暴击伤害</v>
      </c>
      <c r="J1395" s="197">
        <v>1000</v>
      </c>
      <c r="K1395" s="200">
        <v>0.2</v>
      </c>
      <c r="L1395" s="200">
        <v>0.24</v>
      </c>
      <c r="M1395" s="188" t="s">
        <v>217</v>
      </c>
      <c r="N1395" s="188">
        <v>286</v>
      </c>
      <c r="O1395" s="74">
        <v>10000</v>
      </c>
      <c r="P1395" s="74">
        <v>10</v>
      </c>
    </row>
    <row r="1396" ht="18" spans="4:16">
      <c r="D1396" s="89"/>
      <c r="E1396" s="89" t="s">
        <v>213</v>
      </c>
      <c r="F1396" s="89" t="s">
        <v>412</v>
      </c>
      <c r="G1396" s="89" t="str">
        <f>"全职小队"&amp;RIGHT(G1398,1)</f>
        <v>全职小队Ⅱ</v>
      </c>
      <c r="H1396" s="190" t="s">
        <v>215</v>
      </c>
      <c r="I1396" s="190" t="s">
        <v>216</v>
      </c>
      <c r="J1396" s="206">
        <v>1000</v>
      </c>
      <c r="K1396" s="207">
        <v>0.044</v>
      </c>
      <c r="L1396" s="187">
        <v>0.058</v>
      </c>
      <c r="M1396" s="188" t="s">
        <v>217</v>
      </c>
      <c r="N1396" s="188">
        <v>287</v>
      </c>
      <c r="O1396" s="74">
        <v>10000</v>
      </c>
      <c r="P1396" s="74">
        <f t="shared" ref="P1396:P1443" si="207">P1384</f>
        <v>2</v>
      </c>
    </row>
    <row r="1397" ht="18" spans="4:16">
      <c r="D1397" s="89" t="s">
        <v>33</v>
      </c>
      <c r="E1397" s="89" t="s">
        <v>213</v>
      </c>
      <c r="F1397" s="89" t="s">
        <v>412</v>
      </c>
      <c r="G1397" s="189" t="s">
        <v>251</v>
      </c>
      <c r="H1397" s="190" t="s">
        <v>219</v>
      </c>
      <c r="I1397" s="190" t="s">
        <v>220</v>
      </c>
      <c r="J1397" s="206">
        <v>1000</v>
      </c>
      <c r="K1397" s="207">
        <v>0.015</v>
      </c>
      <c r="L1397" s="187">
        <v>0.019</v>
      </c>
      <c r="M1397" s="188" t="s">
        <v>217</v>
      </c>
      <c r="N1397" s="188">
        <v>288</v>
      </c>
      <c r="O1397" s="74">
        <v>10000</v>
      </c>
      <c r="P1397" s="74">
        <f t="shared" si="207"/>
        <v>6</v>
      </c>
    </row>
    <row r="1398" ht="18" spans="4:16">
      <c r="D1398" s="89" t="s">
        <v>33</v>
      </c>
      <c r="E1398" s="195" t="s">
        <v>213</v>
      </c>
      <c r="F1398" s="89" t="s">
        <v>412</v>
      </c>
      <c r="G1398" s="201" t="s">
        <v>252</v>
      </c>
      <c r="H1398" s="190" t="s">
        <v>222</v>
      </c>
      <c r="I1398" s="197" t="s">
        <v>223</v>
      </c>
      <c r="J1398" s="198">
        <v>1000</v>
      </c>
      <c r="K1398" s="199">
        <v>0.044</v>
      </c>
      <c r="L1398" s="200">
        <v>0.058</v>
      </c>
      <c r="M1398" s="188" t="s">
        <v>217</v>
      </c>
      <c r="N1398" s="188">
        <v>289</v>
      </c>
      <c r="O1398" s="74">
        <v>10000</v>
      </c>
      <c r="P1398" s="74">
        <f t="shared" si="207"/>
        <v>2</v>
      </c>
    </row>
    <row r="1399" ht="18" spans="4:16">
      <c r="D1399" s="195"/>
      <c r="E1399" s="195" t="s">
        <v>213</v>
      </c>
      <c r="F1399" s="89" t="s">
        <v>412</v>
      </c>
      <c r="G1399" s="195" t="s">
        <v>224</v>
      </c>
      <c r="H1399" s="197" t="s">
        <v>225</v>
      </c>
      <c r="I1399" s="197" t="s">
        <v>226</v>
      </c>
      <c r="J1399" s="198">
        <v>1000</v>
      </c>
      <c r="K1399" s="199">
        <f>L1399</f>
        <v>0.2</v>
      </c>
      <c r="L1399" s="200">
        <v>0.2</v>
      </c>
      <c r="M1399" s="188" t="s">
        <v>227</v>
      </c>
      <c r="N1399" s="188">
        <v>290</v>
      </c>
      <c r="O1399" s="74">
        <v>10000</v>
      </c>
      <c r="P1399" s="74">
        <f t="shared" si="207"/>
        <v>9</v>
      </c>
    </row>
    <row r="1400" ht="18" spans="4:16">
      <c r="D1400" s="195"/>
      <c r="E1400" s="195" t="s">
        <v>213</v>
      </c>
      <c r="F1400" s="89" t="s">
        <v>412</v>
      </c>
      <c r="G1400" s="195" t="s">
        <v>228</v>
      </c>
      <c r="H1400" s="197" t="s">
        <v>229</v>
      </c>
      <c r="I1400" s="197" t="s">
        <v>230</v>
      </c>
      <c r="J1400" s="198">
        <v>1000</v>
      </c>
      <c r="K1400" s="199">
        <f>L1400</f>
        <v>0.25</v>
      </c>
      <c r="L1400" s="200">
        <v>0.25</v>
      </c>
      <c r="M1400" s="188" t="s">
        <v>227</v>
      </c>
      <c r="N1400" s="188">
        <v>291</v>
      </c>
      <c r="O1400" s="74">
        <v>10000</v>
      </c>
      <c r="P1400" s="74">
        <f t="shared" si="207"/>
        <v>7</v>
      </c>
    </row>
    <row r="1401" ht="18" spans="4:16">
      <c r="D1401" s="195"/>
      <c r="E1401" s="195" t="s">
        <v>213</v>
      </c>
      <c r="F1401" s="89" t="s">
        <v>412</v>
      </c>
      <c r="G1401" s="195" t="s">
        <v>231</v>
      </c>
      <c r="H1401" s="197" t="s">
        <v>232</v>
      </c>
      <c r="I1401" s="197" t="s">
        <v>233</v>
      </c>
      <c r="J1401" s="198">
        <v>1000</v>
      </c>
      <c r="K1401" s="199">
        <f>L1401</f>
        <v>0.5</v>
      </c>
      <c r="L1401" s="200">
        <v>0.5</v>
      </c>
      <c r="M1401" s="188" t="s">
        <v>227</v>
      </c>
      <c r="N1401" s="188">
        <v>292</v>
      </c>
      <c r="O1401" s="74">
        <v>10000</v>
      </c>
      <c r="P1401" s="74">
        <f t="shared" si="207"/>
        <v>8</v>
      </c>
    </row>
    <row r="1402" ht="18" spans="4:16">
      <c r="D1402" s="195"/>
      <c r="E1402" s="195" t="s">
        <v>213</v>
      </c>
      <c r="F1402" s="89" t="s">
        <v>412</v>
      </c>
      <c r="G1402" s="195" t="s">
        <v>248</v>
      </c>
      <c r="H1402" s="197" t="s">
        <v>413</v>
      </c>
      <c r="I1402" s="197" t="s">
        <v>414</v>
      </c>
      <c r="J1402" s="198">
        <v>1000</v>
      </c>
      <c r="K1402" s="200">
        <v>1</v>
      </c>
      <c r="L1402" s="200">
        <v>1</v>
      </c>
      <c r="M1402" s="188" t="s">
        <v>227</v>
      </c>
      <c r="N1402" s="188">
        <v>293</v>
      </c>
      <c r="O1402" s="74">
        <v>10000</v>
      </c>
      <c r="P1402" s="74">
        <f t="shared" si="207"/>
        <v>1</v>
      </c>
    </row>
    <row r="1403" ht="18" spans="4:16">
      <c r="D1403" s="89"/>
      <c r="E1403" s="89" t="s">
        <v>213</v>
      </c>
      <c r="F1403" s="89" t="s">
        <v>412</v>
      </c>
      <c r="G1403" s="189" t="s">
        <v>392</v>
      </c>
      <c r="H1403" s="190" t="s">
        <v>380</v>
      </c>
      <c r="I1403" s="190" t="s">
        <v>381</v>
      </c>
      <c r="J1403" s="206">
        <v>1000</v>
      </c>
      <c r="K1403" s="187">
        <v>0.074</v>
      </c>
      <c r="L1403" s="207">
        <v>0.086</v>
      </c>
      <c r="M1403" s="188" t="s">
        <v>237</v>
      </c>
      <c r="N1403" s="188">
        <v>294</v>
      </c>
      <c r="O1403" s="74">
        <v>10000</v>
      </c>
      <c r="P1403" s="74">
        <f t="shared" si="207"/>
        <v>6</v>
      </c>
    </row>
    <row r="1404" ht="18" spans="4:16">
      <c r="D1404" s="89" t="s">
        <v>33</v>
      </c>
      <c r="E1404" s="89" t="s">
        <v>213</v>
      </c>
      <c r="F1404" s="89" t="s">
        <v>412</v>
      </c>
      <c r="G1404" s="189" t="s">
        <v>426</v>
      </c>
      <c r="H1404" s="190" t="s">
        <v>416</v>
      </c>
      <c r="I1404" s="190" t="s">
        <v>417</v>
      </c>
      <c r="J1404" s="206">
        <v>1000</v>
      </c>
      <c r="K1404" s="187">
        <v>0.058</v>
      </c>
      <c r="L1404" s="187">
        <v>0.072</v>
      </c>
      <c r="M1404" s="188" t="s">
        <v>217</v>
      </c>
      <c r="N1404" s="188">
        <v>295</v>
      </c>
      <c r="O1404" s="74">
        <v>10000</v>
      </c>
      <c r="P1404" s="74">
        <f t="shared" si="207"/>
        <v>5</v>
      </c>
    </row>
    <row r="1405" ht="18" spans="4:16">
      <c r="D1405" s="89" t="s">
        <v>33</v>
      </c>
      <c r="E1405" s="89" t="s">
        <v>213</v>
      </c>
      <c r="F1405" s="89" t="s">
        <v>412</v>
      </c>
      <c r="G1405" s="189" t="s">
        <v>427</v>
      </c>
      <c r="H1405" s="190" t="s">
        <v>419</v>
      </c>
      <c r="I1405" s="190" t="s">
        <v>420</v>
      </c>
      <c r="J1405" s="206">
        <v>1000</v>
      </c>
      <c r="K1405" s="187">
        <v>0.02</v>
      </c>
      <c r="L1405" s="187">
        <v>0.024</v>
      </c>
      <c r="M1405" s="188" t="s">
        <v>217</v>
      </c>
      <c r="N1405" s="188">
        <v>296</v>
      </c>
      <c r="O1405" s="74">
        <v>10000</v>
      </c>
      <c r="P1405" s="74">
        <f t="shared" si="207"/>
        <v>3</v>
      </c>
    </row>
    <row r="1406" ht="18" spans="4:16">
      <c r="D1406" s="195"/>
      <c r="E1406" s="195" t="s">
        <v>213</v>
      </c>
      <c r="F1406" s="89" t="s">
        <v>412</v>
      </c>
      <c r="G1406" s="201" t="s">
        <v>428</v>
      </c>
      <c r="H1406" s="197" t="s">
        <v>422</v>
      </c>
      <c r="I1406" s="197" t="s">
        <v>423</v>
      </c>
      <c r="J1406" s="198">
        <v>1000</v>
      </c>
      <c r="K1406" s="200">
        <v>0.075</v>
      </c>
      <c r="L1406" s="200">
        <v>0.09</v>
      </c>
      <c r="M1406" s="188" t="s">
        <v>217</v>
      </c>
      <c r="N1406" s="188">
        <v>297</v>
      </c>
      <c r="O1406" s="74">
        <v>10000</v>
      </c>
      <c r="P1406" s="74">
        <f t="shared" si="207"/>
        <v>4</v>
      </c>
    </row>
    <row r="1407" ht="18" spans="4:16">
      <c r="D1407" s="195" t="s">
        <v>33</v>
      </c>
      <c r="E1407" s="195" t="s">
        <v>213</v>
      </c>
      <c r="F1407" s="89" t="s">
        <v>412</v>
      </c>
      <c r="G1407" s="201" t="s">
        <v>429</v>
      </c>
      <c r="H1407" s="195" t="s">
        <v>425</v>
      </c>
      <c r="I1407" s="197" t="str">
        <f>_xlfn.XLOOKUP(H1407,Sheet2!B:B,Sheet2!C:C)</f>
        <v>召唤暴击伤害</v>
      </c>
      <c r="J1407" s="197">
        <v>1000</v>
      </c>
      <c r="K1407" s="200">
        <v>0.24</v>
      </c>
      <c r="L1407" s="200">
        <v>0.27</v>
      </c>
      <c r="M1407" s="188" t="s">
        <v>217</v>
      </c>
      <c r="N1407" s="188">
        <v>297</v>
      </c>
      <c r="O1407" s="74">
        <v>10000</v>
      </c>
      <c r="P1407" s="74">
        <f t="shared" si="207"/>
        <v>10</v>
      </c>
    </row>
    <row r="1408" ht="18" spans="4:16">
      <c r="D1408" s="89"/>
      <c r="E1408" s="89" t="s">
        <v>258</v>
      </c>
      <c r="F1408" s="89" t="s">
        <v>412</v>
      </c>
      <c r="G1408" s="89" t="str">
        <f>"全职小队"&amp;RIGHT(G1410,1)</f>
        <v>全职小队Ⅲ</v>
      </c>
      <c r="H1408" s="190" t="s">
        <v>215</v>
      </c>
      <c r="I1408" s="190" t="s">
        <v>216</v>
      </c>
      <c r="J1408" s="206">
        <v>1000</v>
      </c>
      <c r="K1408" s="207">
        <v>0.052</v>
      </c>
      <c r="L1408" s="187">
        <v>0.058</v>
      </c>
      <c r="M1408" s="188" t="s">
        <v>217</v>
      </c>
      <c r="N1408" s="188">
        <v>298</v>
      </c>
      <c r="O1408" s="74">
        <v>10000</v>
      </c>
      <c r="P1408" s="74">
        <f t="shared" si="207"/>
        <v>2</v>
      </c>
    </row>
    <row r="1409" ht="18" spans="4:16">
      <c r="D1409" s="89" t="s">
        <v>34</v>
      </c>
      <c r="E1409" s="89" t="s">
        <v>258</v>
      </c>
      <c r="F1409" s="89" t="s">
        <v>412</v>
      </c>
      <c r="G1409" s="189" t="s">
        <v>259</v>
      </c>
      <c r="H1409" s="190" t="s">
        <v>219</v>
      </c>
      <c r="I1409" s="190" t="s">
        <v>220</v>
      </c>
      <c r="J1409" s="206">
        <v>1000</v>
      </c>
      <c r="K1409" s="207">
        <v>0.02</v>
      </c>
      <c r="L1409" s="187">
        <v>0.024</v>
      </c>
      <c r="M1409" s="188" t="s">
        <v>217</v>
      </c>
      <c r="N1409" s="188">
        <v>299</v>
      </c>
      <c r="O1409" s="74">
        <v>10000</v>
      </c>
      <c r="P1409" s="74">
        <f t="shared" si="207"/>
        <v>6</v>
      </c>
    </row>
    <row r="1410" ht="18" spans="4:16">
      <c r="D1410" s="195" t="s">
        <v>34</v>
      </c>
      <c r="E1410" s="195" t="s">
        <v>258</v>
      </c>
      <c r="F1410" s="89" t="s">
        <v>412</v>
      </c>
      <c r="G1410" s="201" t="s">
        <v>260</v>
      </c>
      <c r="H1410" s="190" t="s">
        <v>222</v>
      </c>
      <c r="I1410" s="197" t="s">
        <v>223</v>
      </c>
      <c r="J1410" s="198">
        <v>1000</v>
      </c>
      <c r="K1410" s="199">
        <v>0.052</v>
      </c>
      <c r="L1410" s="200">
        <v>0.058</v>
      </c>
      <c r="M1410" s="188" t="s">
        <v>217</v>
      </c>
      <c r="N1410" s="188">
        <v>300</v>
      </c>
      <c r="O1410" s="74">
        <v>10000</v>
      </c>
      <c r="P1410" s="74">
        <f t="shared" si="207"/>
        <v>2</v>
      </c>
    </row>
    <row r="1411" ht="18" spans="4:16">
      <c r="D1411" s="195"/>
      <c r="E1411" s="195" t="s">
        <v>258</v>
      </c>
      <c r="F1411" s="89" t="s">
        <v>412</v>
      </c>
      <c r="G1411" s="195" t="s">
        <v>224</v>
      </c>
      <c r="H1411" s="197" t="s">
        <v>225</v>
      </c>
      <c r="I1411" s="197" t="s">
        <v>226</v>
      </c>
      <c r="J1411" s="198">
        <v>1000</v>
      </c>
      <c r="K1411" s="199">
        <f>L1411</f>
        <v>0.2</v>
      </c>
      <c r="L1411" s="200">
        <v>0.2</v>
      </c>
      <c r="M1411" s="188" t="s">
        <v>227</v>
      </c>
      <c r="N1411" s="188">
        <v>301</v>
      </c>
      <c r="O1411" s="74">
        <v>10000</v>
      </c>
      <c r="P1411" s="74">
        <f t="shared" si="207"/>
        <v>9</v>
      </c>
    </row>
    <row r="1412" ht="18" spans="4:16">
      <c r="D1412" s="195"/>
      <c r="E1412" s="195" t="s">
        <v>258</v>
      </c>
      <c r="F1412" s="89" t="s">
        <v>412</v>
      </c>
      <c r="G1412" s="195" t="s">
        <v>228</v>
      </c>
      <c r="H1412" s="197" t="s">
        <v>229</v>
      </c>
      <c r="I1412" s="197" t="s">
        <v>230</v>
      </c>
      <c r="J1412" s="198">
        <v>1000</v>
      </c>
      <c r="K1412" s="199">
        <f>L1412</f>
        <v>0.25</v>
      </c>
      <c r="L1412" s="200">
        <v>0.25</v>
      </c>
      <c r="M1412" s="188" t="s">
        <v>227</v>
      </c>
      <c r="N1412" s="188">
        <v>302</v>
      </c>
      <c r="O1412" s="74">
        <v>10000</v>
      </c>
      <c r="P1412" s="74">
        <f t="shared" si="207"/>
        <v>7</v>
      </c>
    </row>
    <row r="1413" ht="18" spans="4:16">
      <c r="D1413" s="195"/>
      <c r="E1413" s="195" t="s">
        <v>258</v>
      </c>
      <c r="F1413" s="89" t="s">
        <v>412</v>
      </c>
      <c r="G1413" s="195" t="s">
        <v>231</v>
      </c>
      <c r="H1413" s="197" t="s">
        <v>232</v>
      </c>
      <c r="I1413" s="197" t="s">
        <v>233</v>
      </c>
      <c r="J1413" s="198">
        <v>1000</v>
      </c>
      <c r="K1413" s="199">
        <f>L1413</f>
        <v>0.5</v>
      </c>
      <c r="L1413" s="200">
        <v>0.5</v>
      </c>
      <c r="M1413" s="188" t="s">
        <v>227</v>
      </c>
      <c r="N1413" s="188">
        <v>303</v>
      </c>
      <c r="O1413" s="74">
        <v>10000</v>
      </c>
      <c r="P1413" s="74">
        <f t="shared" si="207"/>
        <v>8</v>
      </c>
    </row>
    <row r="1414" ht="18" spans="4:16">
      <c r="D1414" s="195"/>
      <c r="E1414" s="195" t="s">
        <v>258</v>
      </c>
      <c r="F1414" s="89" t="s">
        <v>412</v>
      </c>
      <c r="G1414" s="195" t="s">
        <v>248</v>
      </c>
      <c r="H1414" s="197" t="s">
        <v>413</v>
      </c>
      <c r="I1414" s="197" t="s">
        <v>414</v>
      </c>
      <c r="J1414" s="198">
        <v>1000</v>
      </c>
      <c r="K1414" s="200">
        <v>1</v>
      </c>
      <c r="L1414" s="200">
        <v>1</v>
      </c>
      <c r="M1414" s="188" t="s">
        <v>227</v>
      </c>
      <c r="N1414" s="188">
        <v>304</v>
      </c>
      <c r="O1414" s="74">
        <v>10000</v>
      </c>
      <c r="P1414" s="74">
        <f t="shared" si="207"/>
        <v>1</v>
      </c>
    </row>
    <row r="1415" ht="18" spans="4:16">
      <c r="D1415" s="89" t="s">
        <v>34</v>
      </c>
      <c r="E1415" s="89" t="s">
        <v>258</v>
      </c>
      <c r="F1415" s="89" t="s">
        <v>412</v>
      </c>
      <c r="G1415" s="189" t="s">
        <v>397</v>
      </c>
      <c r="H1415" s="190" t="s">
        <v>380</v>
      </c>
      <c r="I1415" s="190" t="s">
        <v>381</v>
      </c>
      <c r="J1415" s="206">
        <v>1000</v>
      </c>
      <c r="K1415" s="187">
        <v>0.086</v>
      </c>
      <c r="L1415" s="207">
        <v>0.098</v>
      </c>
      <c r="M1415" s="188" t="s">
        <v>237</v>
      </c>
      <c r="N1415" s="188">
        <v>305</v>
      </c>
      <c r="O1415" s="74">
        <v>10000</v>
      </c>
      <c r="P1415" s="74">
        <f t="shared" si="207"/>
        <v>6</v>
      </c>
    </row>
    <row r="1416" ht="18" spans="4:16">
      <c r="D1416" s="89" t="s">
        <v>34</v>
      </c>
      <c r="E1416" s="89" t="s">
        <v>258</v>
      </c>
      <c r="F1416" s="89" t="s">
        <v>412</v>
      </c>
      <c r="G1416" s="189" t="s">
        <v>430</v>
      </c>
      <c r="H1416" s="190" t="s">
        <v>416</v>
      </c>
      <c r="I1416" s="190" t="s">
        <v>417</v>
      </c>
      <c r="J1416" s="206">
        <v>1000</v>
      </c>
      <c r="K1416" s="187">
        <v>0.072</v>
      </c>
      <c r="L1416" s="187">
        <v>0.086</v>
      </c>
      <c r="M1416" s="188" t="s">
        <v>217</v>
      </c>
      <c r="N1416" s="188">
        <v>306</v>
      </c>
      <c r="O1416" s="74">
        <v>10000</v>
      </c>
      <c r="P1416" s="74">
        <f t="shared" si="207"/>
        <v>5</v>
      </c>
    </row>
    <row r="1417" ht="18" spans="4:16">
      <c r="D1417" s="89" t="s">
        <v>34</v>
      </c>
      <c r="E1417" s="89" t="s">
        <v>258</v>
      </c>
      <c r="F1417" s="89" t="s">
        <v>412</v>
      </c>
      <c r="G1417" s="189" t="s">
        <v>431</v>
      </c>
      <c r="H1417" s="190" t="s">
        <v>419</v>
      </c>
      <c r="I1417" s="190" t="s">
        <v>420</v>
      </c>
      <c r="J1417" s="206">
        <v>1000</v>
      </c>
      <c r="K1417" s="187">
        <v>0.025</v>
      </c>
      <c r="L1417" s="187">
        <v>0.029</v>
      </c>
      <c r="M1417" s="188" t="s">
        <v>217</v>
      </c>
      <c r="N1417" s="188">
        <v>307</v>
      </c>
      <c r="O1417" s="74">
        <v>10000</v>
      </c>
      <c r="P1417" s="74">
        <f t="shared" si="207"/>
        <v>3</v>
      </c>
    </row>
    <row r="1418" ht="18" spans="4:16">
      <c r="D1418" s="195" t="s">
        <v>34</v>
      </c>
      <c r="E1418" s="195" t="s">
        <v>258</v>
      </c>
      <c r="F1418" s="89" t="s">
        <v>412</v>
      </c>
      <c r="G1418" s="201" t="s">
        <v>432</v>
      </c>
      <c r="H1418" s="197" t="s">
        <v>422</v>
      </c>
      <c r="I1418" s="197" t="s">
        <v>423</v>
      </c>
      <c r="J1418" s="198">
        <v>1000</v>
      </c>
      <c r="K1418" s="200">
        <v>0.09</v>
      </c>
      <c r="L1418" s="200">
        <v>0.11</v>
      </c>
      <c r="M1418" s="188" t="s">
        <v>217</v>
      </c>
      <c r="N1418" s="188">
        <v>308</v>
      </c>
      <c r="O1418" s="74">
        <v>10000</v>
      </c>
      <c r="P1418" s="74">
        <f t="shared" si="207"/>
        <v>4</v>
      </c>
    </row>
    <row r="1419" ht="18" spans="4:16">
      <c r="D1419" s="195" t="s">
        <v>34</v>
      </c>
      <c r="E1419" s="195" t="s">
        <v>258</v>
      </c>
      <c r="F1419" s="89" t="s">
        <v>412</v>
      </c>
      <c r="G1419" s="201" t="s">
        <v>433</v>
      </c>
      <c r="H1419" s="195" t="s">
        <v>425</v>
      </c>
      <c r="I1419" s="197" t="str">
        <f>_xlfn.XLOOKUP(H1419,Sheet2!B:B,Sheet2!C:C)</f>
        <v>召唤暴击伤害</v>
      </c>
      <c r="J1419" s="197">
        <v>1000</v>
      </c>
      <c r="K1419" s="203">
        <v>0.27</v>
      </c>
      <c r="L1419" s="200">
        <v>0.33</v>
      </c>
      <c r="M1419" s="188" t="s">
        <v>217</v>
      </c>
      <c r="N1419" s="188">
        <v>308</v>
      </c>
      <c r="O1419" s="74">
        <v>10000</v>
      </c>
      <c r="P1419" s="74">
        <f t="shared" si="207"/>
        <v>10</v>
      </c>
    </row>
    <row r="1420" ht="18" spans="4:16">
      <c r="D1420" s="89"/>
      <c r="E1420" s="89" t="s">
        <v>266</v>
      </c>
      <c r="F1420" s="89" t="s">
        <v>412</v>
      </c>
      <c r="G1420" s="89" t="str">
        <f>"全职小队"&amp;RIGHT(G1422,1)</f>
        <v>全职小队Ⅳ</v>
      </c>
      <c r="H1420" s="190" t="s">
        <v>215</v>
      </c>
      <c r="I1420" s="190" t="s">
        <v>216</v>
      </c>
      <c r="J1420" s="206">
        <v>1000</v>
      </c>
      <c r="K1420" s="207">
        <v>0.058</v>
      </c>
      <c r="L1420" s="187">
        <v>0.072</v>
      </c>
      <c r="M1420" s="188" t="s">
        <v>217</v>
      </c>
      <c r="N1420" s="188">
        <v>309</v>
      </c>
      <c r="O1420" s="74">
        <v>10000</v>
      </c>
      <c r="P1420" s="74">
        <f t="shared" si="207"/>
        <v>2</v>
      </c>
    </row>
    <row r="1421" ht="18" spans="4:16">
      <c r="D1421" s="89" t="s">
        <v>35</v>
      </c>
      <c r="E1421" s="89" t="s">
        <v>266</v>
      </c>
      <c r="F1421" s="89" t="s">
        <v>412</v>
      </c>
      <c r="G1421" s="189" t="s">
        <v>267</v>
      </c>
      <c r="H1421" s="190" t="s">
        <v>219</v>
      </c>
      <c r="I1421" s="190" t="s">
        <v>220</v>
      </c>
      <c r="J1421" s="206">
        <v>1000</v>
      </c>
      <c r="K1421" s="207">
        <v>0.025</v>
      </c>
      <c r="L1421" s="187">
        <v>0.029</v>
      </c>
      <c r="M1421" s="188" t="s">
        <v>217</v>
      </c>
      <c r="N1421" s="188">
        <v>310</v>
      </c>
      <c r="O1421" s="74">
        <v>10000</v>
      </c>
      <c r="P1421" s="74">
        <f t="shared" si="207"/>
        <v>6</v>
      </c>
    </row>
    <row r="1422" ht="18" spans="4:16">
      <c r="D1422" s="195" t="s">
        <v>35</v>
      </c>
      <c r="E1422" s="195" t="s">
        <v>266</v>
      </c>
      <c r="F1422" s="89" t="s">
        <v>412</v>
      </c>
      <c r="G1422" s="201" t="s">
        <v>268</v>
      </c>
      <c r="H1422" s="190" t="s">
        <v>222</v>
      </c>
      <c r="I1422" s="197" t="s">
        <v>223</v>
      </c>
      <c r="J1422" s="198">
        <v>1000</v>
      </c>
      <c r="K1422" s="199">
        <v>0.058</v>
      </c>
      <c r="L1422" s="200">
        <v>0.072</v>
      </c>
      <c r="M1422" s="188" t="s">
        <v>217</v>
      </c>
      <c r="N1422" s="188">
        <v>311</v>
      </c>
      <c r="O1422" s="74">
        <v>10000</v>
      </c>
      <c r="P1422" s="74">
        <f t="shared" si="207"/>
        <v>2</v>
      </c>
    </row>
    <row r="1423" ht="18" spans="4:16">
      <c r="D1423" s="195" t="s">
        <v>35</v>
      </c>
      <c r="E1423" s="195" t="s">
        <v>266</v>
      </c>
      <c r="F1423" s="89" t="s">
        <v>412</v>
      </c>
      <c r="G1423" s="195" t="s">
        <v>224</v>
      </c>
      <c r="H1423" s="197" t="s">
        <v>225</v>
      </c>
      <c r="I1423" s="197" t="s">
        <v>226</v>
      </c>
      <c r="J1423" s="198">
        <v>1000</v>
      </c>
      <c r="K1423" s="199">
        <f>L1423</f>
        <v>0.2</v>
      </c>
      <c r="L1423" s="200">
        <v>0.2</v>
      </c>
      <c r="M1423" s="188" t="s">
        <v>227</v>
      </c>
      <c r="N1423" s="188">
        <v>312</v>
      </c>
      <c r="O1423" s="74">
        <v>10000</v>
      </c>
      <c r="P1423" s="74">
        <f t="shared" si="207"/>
        <v>9</v>
      </c>
    </row>
    <row r="1424" ht="18" spans="4:16">
      <c r="D1424" s="195" t="s">
        <v>35</v>
      </c>
      <c r="E1424" s="195" t="s">
        <v>266</v>
      </c>
      <c r="F1424" s="89" t="s">
        <v>412</v>
      </c>
      <c r="G1424" s="195" t="s">
        <v>228</v>
      </c>
      <c r="H1424" s="197" t="s">
        <v>229</v>
      </c>
      <c r="I1424" s="197" t="s">
        <v>230</v>
      </c>
      <c r="J1424" s="198">
        <v>1000</v>
      </c>
      <c r="K1424" s="199">
        <f>L1424</f>
        <v>0.25</v>
      </c>
      <c r="L1424" s="200">
        <v>0.25</v>
      </c>
      <c r="M1424" s="188" t="s">
        <v>227</v>
      </c>
      <c r="N1424" s="188">
        <v>313</v>
      </c>
      <c r="O1424" s="74">
        <v>10000</v>
      </c>
      <c r="P1424" s="74">
        <f t="shared" si="207"/>
        <v>7</v>
      </c>
    </row>
    <row r="1425" ht="18" spans="4:16">
      <c r="D1425" s="195"/>
      <c r="E1425" s="195" t="s">
        <v>266</v>
      </c>
      <c r="F1425" s="89" t="s">
        <v>412</v>
      </c>
      <c r="G1425" s="195" t="s">
        <v>231</v>
      </c>
      <c r="H1425" s="197" t="s">
        <v>232</v>
      </c>
      <c r="I1425" s="197" t="s">
        <v>233</v>
      </c>
      <c r="J1425" s="198">
        <v>1000</v>
      </c>
      <c r="K1425" s="199">
        <f>L1425</f>
        <v>0.5</v>
      </c>
      <c r="L1425" s="200">
        <v>0.5</v>
      </c>
      <c r="M1425" s="188" t="s">
        <v>227</v>
      </c>
      <c r="N1425" s="188">
        <v>314</v>
      </c>
      <c r="O1425" s="74">
        <v>10000</v>
      </c>
      <c r="P1425" s="74">
        <f t="shared" si="207"/>
        <v>8</v>
      </c>
    </row>
    <row r="1426" ht="18" spans="4:16">
      <c r="D1426" s="195"/>
      <c r="E1426" s="195" t="s">
        <v>266</v>
      </c>
      <c r="F1426" s="89" t="s">
        <v>412</v>
      </c>
      <c r="G1426" s="195" t="s">
        <v>248</v>
      </c>
      <c r="H1426" s="197" t="s">
        <v>413</v>
      </c>
      <c r="I1426" s="197" t="s">
        <v>414</v>
      </c>
      <c r="J1426" s="198">
        <v>1000</v>
      </c>
      <c r="K1426" s="200">
        <v>1</v>
      </c>
      <c r="L1426" s="200">
        <v>1</v>
      </c>
      <c r="M1426" s="188" t="s">
        <v>227</v>
      </c>
      <c r="N1426" s="188">
        <v>315</v>
      </c>
      <c r="O1426" s="74">
        <v>10000</v>
      </c>
      <c r="P1426" s="74">
        <f t="shared" si="207"/>
        <v>1</v>
      </c>
    </row>
    <row r="1427" ht="18" spans="4:16">
      <c r="D1427" s="89" t="s">
        <v>35</v>
      </c>
      <c r="E1427" s="89" t="s">
        <v>266</v>
      </c>
      <c r="F1427" s="89" t="s">
        <v>412</v>
      </c>
      <c r="G1427" s="189" t="s">
        <v>402</v>
      </c>
      <c r="H1427" s="190" t="s">
        <v>380</v>
      </c>
      <c r="I1427" s="190" t="s">
        <v>381</v>
      </c>
      <c r="J1427" s="206">
        <v>1000</v>
      </c>
      <c r="K1427" s="187">
        <v>0.098</v>
      </c>
      <c r="L1427" s="207">
        <v>0.11</v>
      </c>
      <c r="M1427" s="188" t="s">
        <v>237</v>
      </c>
      <c r="N1427" s="188">
        <v>316</v>
      </c>
      <c r="O1427" s="74">
        <v>10000</v>
      </c>
      <c r="P1427" s="74">
        <f t="shared" si="207"/>
        <v>6</v>
      </c>
    </row>
    <row r="1428" ht="18" spans="4:16">
      <c r="D1428" s="89" t="s">
        <v>35</v>
      </c>
      <c r="E1428" s="89" t="s">
        <v>266</v>
      </c>
      <c r="F1428" s="89" t="s">
        <v>412</v>
      </c>
      <c r="G1428" s="189" t="s">
        <v>434</v>
      </c>
      <c r="H1428" s="190" t="s">
        <v>416</v>
      </c>
      <c r="I1428" s="190" t="s">
        <v>417</v>
      </c>
      <c r="J1428" s="206">
        <v>1000</v>
      </c>
      <c r="K1428" s="187">
        <v>0.08</v>
      </c>
      <c r="L1428" s="187">
        <v>0.09</v>
      </c>
      <c r="M1428" s="188" t="s">
        <v>217</v>
      </c>
      <c r="N1428" s="188">
        <v>317</v>
      </c>
      <c r="O1428" s="74">
        <v>10000</v>
      </c>
      <c r="P1428" s="74">
        <f t="shared" si="207"/>
        <v>5</v>
      </c>
    </row>
    <row r="1429" ht="18" spans="4:16">
      <c r="D1429" s="89" t="s">
        <v>35</v>
      </c>
      <c r="E1429" s="89" t="s">
        <v>266</v>
      </c>
      <c r="F1429" s="89" t="s">
        <v>412</v>
      </c>
      <c r="G1429" s="189" t="s">
        <v>435</v>
      </c>
      <c r="H1429" s="190" t="s">
        <v>419</v>
      </c>
      <c r="I1429" s="190" t="s">
        <v>420</v>
      </c>
      <c r="J1429" s="206">
        <v>1000</v>
      </c>
      <c r="K1429" s="187">
        <v>0.03</v>
      </c>
      <c r="L1429" s="187">
        <v>0.034</v>
      </c>
      <c r="M1429" s="188" t="s">
        <v>217</v>
      </c>
      <c r="N1429" s="188">
        <v>318</v>
      </c>
      <c r="O1429" s="74">
        <v>10000</v>
      </c>
      <c r="P1429" s="74">
        <f t="shared" si="207"/>
        <v>3</v>
      </c>
    </row>
    <row r="1430" ht="18" spans="4:16">
      <c r="D1430" s="195" t="s">
        <v>35</v>
      </c>
      <c r="E1430" s="195" t="s">
        <v>266</v>
      </c>
      <c r="F1430" s="89" t="s">
        <v>412</v>
      </c>
      <c r="G1430" s="201" t="s">
        <v>436</v>
      </c>
      <c r="H1430" s="197" t="s">
        <v>422</v>
      </c>
      <c r="I1430" s="197" t="s">
        <v>423</v>
      </c>
      <c r="J1430" s="198">
        <v>1000</v>
      </c>
      <c r="K1430" s="200">
        <v>0.11</v>
      </c>
      <c r="L1430" s="200">
        <v>0.13</v>
      </c>
      <c r="M1430" s="188" t="s">
        <v>217</v>
      </c>
      <c r="N1430" s="188">
        <v>319</v>
      </c>
      <c r="O1430" s="74">
        <v>10000</v>
      </c>
      <c r="P1430" s="74">
        <f t="shared" si="207"/>
        <v>4</v>
      </c>
    </row>
    <row r="1431" ht="18" spans="4:16">
      <c r="D1431" s="195" t="s">
        <v>35</v>
      </c>
      <c r="E1431" s="195" t="s">
        <v>266</v>
      </c>
      <c r="F1431" s="89" t="s">
        <v>412</v>
      </c>
      <c r="G1431" s="201" t="s">
        <v>437</v>
      </c>
      <c r="H1431" s="195" t="s">
        <v>425</v>
      </c>
      <c r="I1431" s="197" t="str">
        <f>_xlfn.XLOOKUP(H1431,Sheet2!B:B,Sheet2!C:C)</f>
        <v>召唤暴击伤害</v>
      </c>
      <c r="J1431" s="197">
        <v>1000</v>
      </c>
      <c r="K1431" s="200">
        <v>0.33</v>
      </c>
      <c r="L1431" s="200">
        <v>0.39</v>
      </c>
      <c r="M1431" s="188" t="s">
        <v>217</v>
      </c>
      <c r="N1431" s="188">
        <v>319</v>
      </c>
      <c r="O1431" s="74">
        <v>10000</v>
      </c>
      <c r="P1431" s="74">
        <f t="shared" si="207"/>
        <v>10</v>
      </c>
    </row>
    <row r="1432" ht="18" spans="4:16">
      <c r="D1432" s="89"/>
      <c r="E1432" s="89" t="s">
        <v>274</v>
      </c>
      <c r="F1432" s="89" t="s">
        <v>412</v>
      </c>
      <c r="G1432" s="89" t="str">
        <f>"全职小队"&amp;RIGHT(G1434,1)</f>
        <v>全职小队Ⅴ</v>
      </c>
      <c r="H1432" s="190" t="s">
        <v>215</v>
      </c>
      <c r="I1432" s="190" t="s">
        <v>216</v>
      </c>
      <c r="J1432" s="206">
        <v>1000</v>
      </c>
      <c r="K1432" s="207">
        <v>0.072</v>
      </c>
      <c r="L1432" s="187">
        <v>0.086</v>
      </c>
      <c r="M1432" s="188" t="s">
        <v>217</v>
      </c>
      <c r="N1432" s="188">
        <v>320</v>
      </c>
      <c r="O1432" s="74">
        <v>10000</v>
      </c>
      <c r="P1432" s="74">
        <f t="shared" si="207"/>
        <v>2</v>
      </c>
    </row>
    <row r="1433" ht="18" spans="4:16">
      <c r="D1433" s="89" t="s">
        <v>36</v>
      </c>
      <c r="E1433" s="89" t="s">
        <v>274</v>
      </c>
      <c r="F1433" s="89" t="s">
        <v>412</v>
      </c>
      <c r="G1433" s="189" t="s">
        <v>275</v>
      </c>
      <c r="H1433" s="190" t="s">
        <v>219</v>
      </c>
      <c r="I1433" s="190" t="s">
        <v>220</v>
      </c>
      <c r="J1433" s="206">
        <v>1000</v>
      </c>
      <c r="K1433" s="207">
        <v>0.03</v>
      </c>
      <c r="L1433" s="187">
        <v>0.034</v>
      </c>
      <c r="M1433" s="188" t="s">
        <v>217</v>
      </c>
      <c r="N1433" s="188">
        <v>321</v>
      </c>
      <c r="O1433" s="74">
        <v>10000</v>
      </c>
      <c r="P1433" s="74">
        <f t="shared" si="207"/>
        <v>6</v>
      </c>
    </row>
    <row r="1434" ht="18" spans="4:16">
      <c r="D1434" s="195" t="s">
        <v>36</v>
      </c>
      <c r="E1434" s="195" t="s">
        <v>274</v>
      </c>
      <c r="F1434" s="89" t="s">
        <v>412</v>
      </c>
      <c r="G1434" s="201" t="s">
        <v>276</v>
      </c>
      <c r="H1434" s="190" t="s">
        <v>222</v>
      </c>
      <c r="I1434" s="197" t="s">
        <v>223</v>
      </c>
      <c r="J1434" s="198">
        <v>1000</v>
      </c>
      <c r="K1434" s="199">
        <v>0.072</v>
      </c>
      <c r="L1434" s="200">
        <v>0.086</v>
      </c>
      <c r="M1434" s="188" t="s">
        <v>217</v>
      </c>
      <c r="N1434" s="188">
        <v>322</v>
      </c>
      <c r="O1434" s="74">
        <v>10000</v>
      </c>
      <c r="P1434" s="74">
        <f t="shared" si="207"/>
        <v>2</v>
      </c>
    </row>
    <row r="1435" ht="18" spans="4:16">
      <c r="D1435" s="195" t="s">
        <v>36</v>
      </c>
      <c r="E1435" s="195" t="s">
        <v>274</v>
      </c>
      <c r="F1435" s="89" t="s">
        <v>412</v>
      </c>
      <c r="G1435" s="195" t="s">
        <v>224</v>
      </c>
      <c r="H1435" s="197" t="s">
        <v>225</v>
      </c>
      <c r="I1435" s="197" t="s">
        <v>226</v>
      </c>
      <c r="J1435" s="198">
        <v>1000</v>
      </c>
      <c r="K1435" s="199">
        <f>L1435</f>
        <v>0.2</v>
      </c>
      <c r="L1435" s="200">
        <v>0.2</v>
      </c>
      <c r="M1435" s="188" t="s">
        <v>227</v>
      </c>
      <c r="N1435" s="188">
        <v>323</v>
      </c>
      <c r="O1435" s="74">
        <v>10000</v>
      </c>
      <c r="P1435" s="74">
        <f t="shared" si="207"/>
        <v>9</v>
      </c>
    </row>
    <row r="1436" ht="18" spans="4:16">
      <c r="D1436" s="195" t="s">
        <v>36</v>
      </c>
      <c r="E1436" s="195" t="s">
        <v>274</v>
      </c>
      <c r="F1436" s="89" t="s">
        <v>412</v>
      </c>
      <c r="G1436" s="195" t="s">
        <v>228</v>
      </c>
      <c r="H1436" s="197" t="s">
        <v>229</v>
      </c>
      <c r="I1436" s="197" t="s">
        <v>230</v>
      </c>
      <c r="J1436" s="198">
        <v>1000</v>
      </c>
      <c r="K1436" s="199">
        <f>L1436</f>
        <v>0.25</v>
      </c>
      <c r="L1436" s="200">
        <v>0.25</v>
      </c>
      <c r="M1436" s="188" t="s">
        <v>227</v>
      </c>
      <c r="N1436" s="188">
        <v>324</v>
      </c>
      <c r="O1436" s="74">
        <v>10000</v>
      </c>
      <c r="P1436" s="74">
        <f t="shared" si="207"/>
        <v>7</v>
      </c>
    </row>
    <row r="1437" ht="18" spans="4:16">
      <c r="D1437" s="195" t="s">
        <v>36</v>
      </c>
      <c r="E1437" s="195" t="s">
        <v>274</v>
      </c>
      <c r="F1437" s="89" t="s">
        <v>412</v>
      </c>
      <c r="G1437" s="195" t="s">
        <v>231</v>
      </c>
      <c r="H1437" s="197" t="s">
        <v>232</v>
      </c>
      <c r="I1437" s="197" t="s">
        <v>233</v>
      </c>
      <c r="J1437" s="198">
        <v>1000</v>
      </c>
      <c r="K1437" s="199">
        <f>L1437</f>
        <v>0.5</v>
      </c>
      <c r="L1437" s="200">
        <v>0.5</v>
      </c>
      <c r="M1437" s="188" t="s">
        <v>227</v>
      </c>
      <c r="N1437" s="188">
        <v>325</v>
      </c>
      <c r="O1437" s="74">
        <v>10000</v>
      </c>
      <c r="P1437" s="74">
        <f t="shared" si="207"/>
        <v>8</v>
      </c>
    </row>
    <row r="1438" ht="18" spans="4:16">
      <c r="D1438" s="195"/>
      <c r="E1438" s="195" t="s">
        <v>274</v>
      </c>
      <c r="F1438" s="89" t="s">
        <v>412</v>
      </c>
      <c r="G1438" s="195" t="s">
        <v>248</v>
      </c>
      <c r="H1438" s="197" t="s">
        <v>413</v>
      </c>
      <c r="I1438" s="197" t="s">
        <v>414</v>
      </c>
      <c r="J1438" s="198">
        <v>1000</v>
      </c>
      <c r="K1438" s="200">
        <v>1</v>
      </c>
      <c r="L1438" s="200">
        <v>1</v>
      </c>
      <c r="M1438" s="188" t="s">
        <v>227</v>
      </c>
      <c r="N1438" s="188">
        <v>326</v>
      </c>
      <c r="O1438" s="74">
        <v>10000</v>
      </c>
      <c r="P1438" s="74">
        <f t="shared" si="207"/>
        <v>1</v>
      </c>
    </row>
    <row r="1439" ht="18" spans="4:16">
      <c r="D1439" s="89" t="s">
        <v>36</v>
      </c>
      <c r="E1439" s="89" t="s">
        <v>274</v>
      </c>
      <c r="F1439" s="89" t="s">
        <v>412</v>
      </c>
      <c r="G1439" s="189" t="s">
        <v>407</v>
      </c>
      <c r="H1439" s="190" t="s">
        <v>380</v>
      </c>
      <c r="I1439" s="190" t="s">
        <v>381</v>
      </c>
      <c r="J1439" s="206">
        <v>1000</v>
      </c>
      <c r="K1439" s="187">
        <v>0.11</v>
      </c>
      <c r="L1439" s="207">
        <v>0.12</v>
      </c>
      <c r="M1439" s="188" t="s">
        <v>237</v>
      </c>
      <c r="N1439" s="188">
        <v>327</v>
      </c>
      <c r="O1439" s="74">
        <v>10000</v>
      </c>
      <c r="P1439" s="74">
        <f t="shared" si="207"/>
        <v>6</v>
      </c>
    </row>
    <row r="1440" ht="18" spans="4:16">
      <c r="D1440" s="89" t="s">
        <v>36</v>
      </c>
      <c r="E1440" s="89" t="s">
        <v>274</v>
      </c>
      <c r="F1440" s="89" t="s">
        <v>412</v>
      </c>
      <c r="G1440" s="189" t="s">
        <v>438</v>
      </c>
      <c r="H1440" s="190" t="s">
        <v>416</v>
      </c>
      <c r="I1440" s="190" t="s">
        <v>417</v>
      </c>
      <c r="J1440" s="206">
        <v>1000</v>
      </c>
      <c r="K1440" s="187">
        <v>0.09</v>
      </c>
      <c r="L1440" s="187">
        <v>0.1</v>
      </c>
      <c r="M1440" s="188" t="s">
        <v>217</v>
      </c>
      <c r="N1440" s="188">
        <v>328</v>
      </c>
      <c r="O1440" s="74">
        <v>10000</v>
      </c>
      <c r="P1440" s="74">
        <f t="shared" si="207"/>
        <v>5</v>
      </c>
    </row>
    <row r="1441" ht="18" spans="4:16">
      <c r="D1441" s="89" t="s">
        <v>36</v>
      </c>
      <c r="E1441" s="89" t="s">
        <v>274</v>
      </c>
      <c r="F1441" s="89" t="s">
        <v>412</v>
      </c>
      <c r="G1441" s="189" t="s">
        <v>439</v>
      </c>
      <c r="H1441" s="190" t="s">
        <v>419</v>
      </c>
      <c r="I1441" s="190" t="s">
        <v>420</v>
      </c>
      <c r="J1441" s="206">
        <v>1000</v>
      </c>
      <c r="K1441" s="187">
        <v>0.035</v>
      </c>
      <c r="L1441" s="187">
        <v>0.039</v>
      </c>
      <c r="M1441" s="188" t="s">
        <v>217</v>
      </c>
      <c r="N1441" s="188">
        <v>329</v>
      </c>
      <c r="O1441" s="74">
        <v>10000</v>
      </c>
      <c r="P1441" s="74">
        <f t="shared" si="207"/>
        <v>3</v>
      </c>
    </row>
    <row r="1442" ht="18" spans="4:16">
      <c r="D1442" s="195" t="s">
        <v>36</v>
      </c>
      <c r="E1442" s="195" t="s">
        <v>274</v>
      </c>
      <c r="F1442" s="89" t="s">
        <v>412</v>
      </c>
      <c r="G1442" s="201" t="s">
        <v>440</v>
      </c>
      <c r="H1442" s="197" t="s">
        <v>422</v>
      </c>
      <c r="I1442" s="197" t="s">
        <v>423</v>
      </c>
      <c r="J1442" s="198">
        <v>1000</v>
      </c>
      <c r="K1442" s="200">
        <v>0.13</v>
      </c>
      <c r="L1442" s="200">
        <v>0.15</v>
      </c>
      <c r="M1442" s="188" t="s">
        <v>217</v>
      </c>
      <c r="N1442" s="188">
        <v>330</v>
      </c>
      <c r="O1442" s="74">
        <v>10000</v>
      </c>
      <c r="P1442" s="74">
        <f t="shared" si="207"/>
        <v>4</v>
      </c>
    </row>
    <row r="1443" ht="18" spans="4:16">
      <c r="D1443" s="195" t="s">
        <v>36</v>
      </c>
      <c r="E1443" s="195" t="s">
        <v>274</v>
      </c>
      <c r="F1443" s="89" t="s">
        <v>412</v>
      </c>
      <c r="G1443" s="201" t="s">
        <v>441</v>
      </c>
      <c r="H1443" s="195" t="s">
        <v>425</v>
      </c>
      <c r="I1443" s="197" t="str">
        <f>_xlfn.XLOOKUP(H1443,Sheet2!B:B,Sheet2!C:C)</f>
        <v>召唤暴击伤害</v>
      </c>
      <c r="J1443" s="197">
        <v>1000</v>
      </c>
      <c r="K1443" s="200">
        <v>0.39</v>
      </c>
      <c r="L1443" s="200">
        <v>0.45</v>
      </c>
      <c r="M1443" s="188" t="s">
        <v>217</v>
      </c>
      <c r="N1443" s="188">
        <v>330</v>
      </c>
      <c r="O1443" s="74">
        <v>10000</v>
      </c>
      <c r="P1443" s="74">
        <f t="shared" si="207"/>
        <v>10</v>
      </c>
    </row>
    <row r="1444" ht="18" spans="4:16">
      <c r="D1444" s="89"/>
      <c r="E1444" s="89"/>
      <c r="F1444" s="89"/>
      <c r="G1444" s="189"/>
      <c r="H1444" s="190"/>
      <c r="I1444" s="190"/>
      <c r="J1444" s="206"/>
      <c r="K1444" s="187"/>
      <c r="L1444" s="187"/>
      <c r="M1444" s="188"/>
      <c r="N1444" s="188"/>
      <c r="O1444" s="218">
        <v>0.025</v>
      </c>
      <c r="P1444" s="218">
        <v>0.029</v>
      </c>
    </row>
    <row r="1448" spans="4:16">
      <c r="D1448" s="74" t="s">
        <v>442</v>
      </c>
    </row>
  </sheetData>
  <pageMargins left="0.75" right="0.75" top="1" bottom="1" header="0.5" footer="0.5"/>
  <headerFooter/>
  <drawing r:id="rId1"/>
  <tableParts count="3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梦灵升星">
    <tabColor rgb="FFFFFFFF"/>
  </sheetPr>
  <dimension ref="A1:AA503"/>
  <sheetViews>
    <sheetView zoomScale="85" zoomScaleNormal="85" topLeftCell="A154" workbookViewId="0">
      <selection activeCell="I30" sqref="I30"/>
    </sheetView>
  </sheetViews>
  <sheetFormatPr defaultColWidth="10.2857142857143" defaultRowHeight="16.5"/>
  <cols>
    <col min="1" max="1" width="9.71428571428571" style="74" customWidth="1"/>
    <col min="2" max="3" width="2.71428571428571" style="74" customWidth="1"/>
    <col min="4" max="4" width="19.1428571428571" style="74" customWidth="1"/>
    <col min="5" max="5" width="19.8571428571429" style="45" customWidth="1"/>
    <col min="6" max="6" width="13.5714285714286" style="45" customWidth="1"/>
    <col min="7" max="7" width="14.2857142857143" style="45" customWidth="1"/>
    <col min="8" max="8" width="13.7142857142857" style="45" customWidth="1"/>
    <col min="9" max="10" width="14.1428571428571" style="45" customWidth="1"/>
    <col min="11" max="11" width="13.5714285714286" style="45" customWidth="1"/>
    <col min="12" max="12" width="11.8571428571429" style="45" customWidth="1"/>
    <col min="13" max="13" width="11.4285714285714" style="45" customWidth="1"/>
    <col min="14" max="14" width="9.71428571428571" style="45" customWidth="1"/>
    <col min="15" max="18" width="10.2857142857143" style="45" customWidth="1"/>
    <col min="19" max="23" width="10.2857142857143" style="74" customWidth="1"/>
    <col min="24" max="27" width="22.1428571428571" style="74" customWidth="1"/>
    <col min="28" max="30" width="16" style="74" customWidth="1"/>
    <col min="31" max="31" width="12.8571428571429" style="74"/>
    <col min="32" max="34" width="16" style="74" customWidth="1"/>
    <col min="35" max="35" width="18.5714285714286" style="74" customWidth="1"/>
    <col min="36" max="36" width="10.8571428571429" style="74" customWidth="1"/>
    <col min="37" max="37" width="16" style="74" customWidth="1"/>
    <col min="38" max="38" width="13.4285714285714" style="74" customWidth="1"/>
    <col min="39" max="16383" width="10.2857142857143" style="74"/>
  </cols>
  <sheetData>
    <row r="1" ht="18" spans="1:22">
      <c r="A1" s="90" t="s">
        <v>37</v>
      </c>
      <c r="B1" s="90"/>
      <c r="C1" s="90"/>
      <c r="D1" s="90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ht="18" spans="1:22">
      <c r="A2" s="65"/>
      <c r="B2" s="65"/>
      <c r="C2" s="92"/>
      <c r="D2" s="65"/>
      <c r="E2" s="93"/>
      <c r="F2" s="93"/>
      <c r="G2" s="93"/>
      <c r="H2" s="93"/>
      <c r="I2" s="93"/>
      <c r="J2" s="93"/>
      <c r="K2" s="93"/>
      <c r="L2" s="93"/>
      <c r="M2" s="93"/>
      <c r="N2" s="93"/>
    </row>
    <row r="3" ht="17.25" spans="1:22">
      <c r="A3" s="94"/>
      <c r="D3" s="95" t="s">
        <v>443</v>
      </c>
      <c r="E3" s="95"/>
      <c r="F3" s="96"/>
      <c r="G3" s="93"/>
      <c r="H3" s="93"/>
      <c r="I3" s="93"/>
      <c r="J3" s="93"/>
      <c r="K3" s="93"/>
      <c r="L3" s="93"/>
      <c r="M3" s="93"/>
      <c r="N3" s="93"/>
    </row>
    <row r="4" ht="17.25" spans="1:22">
      <c r="A4" s="94"/>
      <c r="D4" s="95" t="s">
        <v>444</v>
      </c>
      <c r="E4" s="95">
        <v>180</v>
      </c>
      <c r="F4" s="96" t="s">
        <v>445</v>
      </c>
      <c r="G4" s="93"/>
      <c r="H4" s="93"/>
      <c r="I4" s="93"/>
      <c r="J4" s="93"/>
      <c r="K4" s="93"/>
      <c r="L4" s="93"/>
      <c r="M4" s="93"/>
      <c r="N4" s="93"/>
    </row>
    <row r="5" ht="17.25" spans="1:22">
      <c r="A5" s="65"/>
      <c r="D5" s="95" t="s">
        <v>446</v>
      </c>
      <c r="E5" s="95">
        <v>60000</v>
      </c>
      <c r="F5" s="96" t="s">
        <v>445</v>
      </c>
      <c r="G5" s="93"/>
      <c r="H5" s="93"/>
      <c r="K5" s="93"/>
      <c r="L5" s="93"/>
      <c r="M5" s="93"/>
      <c r="N5" s="93"/>
    </row>
    <row r="6" ht="17.25" spans="1:22">
      <c r="A6" s="65"/>
      <c r="D6" s="95" t="s">
        <v>447</v>
      </c>
      <c r="E6" s="95">
        <v>2000</v>
      </c>
      <c r="F6" s="96"/>
      <c r="G6" s="93"/>
      <c r="H6" s="93"/>
      <c r="K6" s="93"/>
      <c r="L6" s="93"/>
      <c r="M6" s="93"/>
      <c r="N6" s="93"/>
      <c r="Q6" s="74"/>
    </row>
    <row r="7" ht="18" spans="1:22">
      <c r="A7" s="65"/>
      <c r="B7" s="65"/>
      <c r="C7" s="92"/>
      <c r="D7" s="65"/>
      <c r="E7" s="93"/>
      <c r="F7" s="93"/>
      <c r="G7" s="93"/>
      <c r="H7" s="93"/>
      <c r="I7" s="93"/>
      <c r="J7" s="93"/>
      <c r="K7" s="93"/>
      <c r="L7" s="93"/>
      <c r="M7" s="93"/>
      <c r="N7" s="93"/>
      <c r="Q7" s="97"/>
      <c r="T7" s="97"/>
      <c r="U7" s="97"/>
    </row>
    <row r="8" ht="18" spans="1:22">
      <c r="A8" s="65"/>
      <c r="B8" s="65"/>
      <c r="C8" s="92"/>
      <c r="D8" s="93" t="s">
        <v>448</v>
      </c>
      <c r="E8" s="93" t="s">
        <v>449</v>
      </c>
      <c r="F8" s="93"/>
      <c r="G8" s="93"/>
      <c r="H8" s="93"/>
      <c r="I8" s="93"/>
      <c r="J8" s="93"/>
      <c r="K8" s="93"/>
      <c r="L8" s="93"/>
      <c r="M8" s="93"/>
      <c r="N8" s="93"/>
    </row>
    <row r="9" ht="18" spans="1:22">
      <c r="A9" s="65"/>
      <c r="B9" s="65"/>
      <c r="C9" s="92"/>
      <c r="D9" s="93" t="s">
        <v>450</v>
      </c>
      <c r="E9" s="93">
        <v>1</v>
      </c>
      <c r="F9" s="93"/>
      <c r="G9" s="93"/>
      <c r="H9" s="93"/>
      <c r="I9" s="93"/>
      <c r="J9" s="93"/>
      <c r="K9" s="93"/>
      <c r="L9" s="93"/>
      <c r="M9" s="93"/>
      <c r="N9" s="93"/>
    </row>
    <row r="10" ht="18" spans="1:22">
      <c r="A10" s="65"/>
      <c r="B10" s="65"/>
      <c r="C10" s="92"/>
      <c r="D10" s="93" t="s">
        <v>451</v>
      </c>
      <c r="E10" s="93">
        <v>3</v>
      </c>
      <c r="F10" s="93"/>
      <c r="G10" s="93"/>
      <c r="H10" s="93"/>
      <c r="I10" s="93"/>
      <c r="J10" s="93"/>
      <c r="K10" s="93"/>
      <c r="L10" s="93"/>
      <c r="M10" s="93"/>
      <c r="N10" s="93"/>
      <c r="R10" s="74"/>
    </row>
    <row r="11" ht="18" spans="1:22">
      <c r="A11" s="65"/>
      <c r="B11" s="65"/>
      <c r="C11" s="92"/>
      <c r="D11" s="65"/>
      <c r="E11" s="93"/>
      <c r="F11" s="93"/>
      <c r="G11" s="93"/>
      <c r="H11" s="93"/>
      <c r="I11" s="93"/>
      <c r="J11" s="93"/>
      <c r="K11" s="93"/>
      <c r="L11" s="93"/>
      <c r="M11" s="93"/>
      <c r="N11" s="93"/>
      <c r="P11" s="45">
        <f>400*0.32/20</f>
        <v>6.4</v>
      </c>
    </row>
    <row r="12" ht="18" spans="1:22">
      <c r="A12" s="90" t="s">
        <v>452</v>
      </c>
      <c r="B12" s="90"/>
      <c r="C12" s="90"/>
      <c r="D12" s="90"/>
      <c r="E12" s="91"/>
      <c r="F12" s="91"/>
      <c r="G12" s="91"/>
      <c r="H12" s="91"/>
      <c r="I12" s="91"/>
      <c r="J12" s="91"/>
      <c r="K12" s="91"/>
      <c r="L12" s="91"/>
      <c r="M12" s="91"/>
      <c r="N12" s="91"/>
    </row>
    <row r="13" ht="18" spans="1:22">
      <c r="A13" s="65"/>
      <c r="B13" s="65"/>
      <c r="C13" s="92"/>
      <c r="D13" s="65"/>
      <c r="E13" s="93"/>
      <c r="F13" s="93"/>
      <c r="G13" s="93"/>
      <c r="H13" s="93"/>
      <c r="I13" s="93"/>
      <c r="J13" s="93"/>
      <c r="K13" s="93"/>
      <c r="L13" s="93"/>
      <c r="M13" s="93"/>
      <c r="N13" s="93"/>
    </row>
    <row r="14" ht="17.25" spans="1:22">
      <c r="A14" s="94"/>
      <c r="B14" s="98"/>
      <c r="C14" s="99" t="s">
        <v>452</v>
      </c>
      <c r="D14" s="65"/>
      <c r="E14" s="93"/>
      <c r="F14" s="93"/>
      <c r="G14" s="93"/>
      <c r="H14" s="93"/>
      <c r="I14" s="93"/>
      <c r="J14" s="93"/>
      <c r="K14" s="93"/>
      <c r="L14" s="93"/>
      <c r="M14" s="93"/>
      <c r="N14" s="93"/>
    </row>
    <row r="15" ht="17.25" spans="1:22">
      <c r="A15" s="94"/>
      <c r="C15" s="99"/>
      <c r="D15" s="74" t="s">
        <v>453</v>
      </c>
      <c r="F15" s="93"/>
      <c r="G15" s="93"/>
      <c r="H15" s="93"/>
      <c r="I15" s="93"/>
      <c r="J15" s="93"/>
      <c r="K15" s="93"/>
      <c r="L15" s="93"/>
      <c r="M15" s="93"/>
      <c r="N15" s="93"/>
    </row>
    <row r="16" ht="18" spans="1:22">
      <c r="A16" s="65"/>
      <c r="B16" s="65"/>
      <c r="C16" s="92"/>
      <c r="D16" s="74" t="s">
        <v>454</v>
      </c>
      <c r="G16" s="93"/>
      <c r="H16" s="93"/>
      <c r="I16" s="93"/>
      <c r="J16" s="93"/>
      <c r="N16" s="93"/>
      <c r="S16" s="45" t="s">
        <v>455</v>
      </c>
      <c r="T16" s="45"/>
      <c r="U16" s="45" t="s">
        <v>456</v>
      </c>
      <c r="V16" s="45"/>
    </row>
    <row r="17" ht="18" spans="1:27">
      <c r="A17" s="65"/>
      <c r="B17" s="65"/>
      <c r="C17" s="92"/>
      <c r="G17" s="93"/>
      <c r="H17" s="93"/>
      <c r="I17" s="93"/>
      <c r="J17" s="93"/>
      <c r="N17" s="93"/>
      <c r="S17" s="45"/>
      <c r="T17" s="45"/>
      <c r="U17" s="45"/>
      <c r="V17" s="45"/>
    </row>
    <row r="18" ht="18" spans="1:27">
      <c r="A18" s="65"/>
      <c r="B18" s="65"/>
      <c r="C18" s="92"/>
      <c r="D18" s="48" t="s">
        <v>457</v>
      </c>
      <c r="E18" s="48" t="s">
        <v>458</v>
      </c>
      <c r="F18" s="48" t="s">
        <v>58</v>
      </c>
      <c r="G18" s="48" t="s">
        <v>59</v>
      </c>
      <c r="H18" s="48" t="s">
        <v>31</v>
      </c>
      <c r="I18" s="48" t="s">
        <v>32</v>
      </c>
      <c r="J18" s="48" t="s">
        <v>33</v>
      </c>
      <c r="K18" s="48" t="s">
        <v>34</v>
      </c>
      <c r="L18" s="49" t="s">
        <v>35</v>
      </c>
      <c r="M18" s="49" t="s">
        <v>36</v>
      </c>
      <c r="N18" s="49" t="s">
        <v>25</v>
      </c>
      <c r="O18" s="49" t="s">
        <v>459</v>
      </c>
      <c r="P18" s="49" t="s">
        <v>460</v>
      </c>
      <c r="S18" s="49" t="s">
        <v>461</v>
      </c>
      <c r="T18" s="49" t="s">
        <v>462</v>
      </c>
      <c r="U18" s="48" t="s">
        <v>463</v>
      </c>
      <c r="V18" s="48" t="s">
        <v>77</v>
      </c>
      <c r="W18" s="48" t="s">
        <v>27</v>
      </c>
      <c r="X18" s="48"/>
      <c r="Z18" s="48" t="s">
        <v>464</v>
      </c>
    </row>
    <row r="19" ht="18" spans="1:27">
      <c r="A19" s="65"/>
      <c r="B19" s="65"/>
      <c r="C19" s="92"/>
      <c r="D19" s="100">
        <v>1</v>
      </c>
      <c r="E19" s="101">
        <v>1</v>
      </c>
      <c r="F19" s="51">
        <v>0.1</v>
      </c>
      <c r="G19" s="51">
        <v>0.35</v>
      </c>
      <c r="H19" s="51">
        <v>0.3</v>
      </c>
      <c r="I19" s="51">
        <v>0.2</v>
      </c>
      <c r="J19" s="51">
        <v>0.05</v>
      </c>
      <c r="K19" s="51"/>
      <c r="L19" s="51"/>
      <c r="M19" s="51"/>
      <c r="N19" s="102">
        <f ca="1">OFFSET(装备属性!$D$15,MATCH($E19,装备属性!$H$16:$H$61,1),0)</f>
        <v>10</v>
      </c>
      <c r="O19" s="103" cm="1">
        <f ca="1" t="array" ref="O19">SUMPRODUCT(F19:M19,OFFSET($E$121:$L$121,MATCH(N19,$D$122:$D$147,0),0))*5</f>
        <v>390</v>
      </c>
      <c r="P19" s="103">
        <f ca="1">O19*5</f>
        <v>1950</v>
      </c>
      <c r="Q19" s="45">
        <f ca="1">P19/10*0.05*3.5</f>
        <v>34.125</v>
      </c>
      <c r="R19" s="45">
        <f ca="1">P19/10*0.05</f>
        <v>9.75</v>
      </c>
      <c r="S19" s="102" cm="1">
        <f ca="1" t="array" ref="S19">SUMPRODUCT($F19:$M19,OFFSET(E$92:L$92,MATCH(N19,$D$93:$D$118,0),0))*$E$74/OFFSET($N$92,MATCH(N19,$N$93:$N$118,0),MATCH(OFFSET($H$18,0,MATCH(MIN(H19:M19),H19:M19,0)-1),$O$92:$V$92,0))</f>
        <v>4.74545454545455</v>
      </c>
      <c r="T19" s="102" cm="1">
        <f ca="1" t="array" ref="T19">SUMPRODUCT($F19:$M19,OFFSET(E$121:L$121,MATCH(N19,$D$93:$D$118,0),0))*$E$74*3</f>
        <v>1404</v>
      </c>
      <c r="U19" s="102">
        <v>4</v>
      </c>
      <c r="V19" s="104">
        <f>_xlfn.MINIFS(F19:M19,F19:M19,"&gt;"&amp;0)*$E$74*U19</f>
        <v>1.2</v>
      </c>
      <c r="W19" s="102" t="str">
        <f ca="1">OFFSET($E$18,0,MATCH(_xlfn.MINIFS(F19:M19,F19:M19,"&gt;"&amp;0),F19:M19,0))&amp;OFFSET($E19,0,MATCH(_xlfn.MINIFS(F19:M19,F19:M19,"&gt;"&amp;0),F19:M19,0))</f>
        <v>橙0.05</v>
      </c>
      <c r="X19" s="102"/>
      <c r="Y19" s="45"/>
      <c r="Z19" s="102">
        <f>6/6</f>
        <v>1</v>
      </c>
    </row>
    <row r="20" ht="18" spans="1:27">
      <c r="A20" s="65"/>
      <c r="B20" s="65"/>
      <c r="C20" s="92"/>
      <c r="D20" s="100">
        <v>2</v>
      </c>
      <c r="E20" s="101">
        <v>2</v>
      </c>
      <c r="F20" s="51">
        <v>0</v>
      </c>
      <c r="G20" s="51">
        <v>0.25</v>
      </c>
      <c r="H20" s="51">
        <v>0.4</v>
      </c>
      <c r="I20" s="51">
        <v>0.25</v>
      </c>
      <c r="J20" s="51">
        <v>0.1</v>
      </c>
      <c r="K20" s="51"/>
      <c r="L20" s="51"/>
      <c r="M20" s="51"/>
      <c r="N20" s="102">
        <f ca="1">OFFSET(装备属性!$D$15,MATCH($E20,装备属性!$H$16:$H$61,1),0)</f>
        <v>10</v>
      </c>
      <c r="O20" s="103" cm="1">
        <f ca="1" t="array" ref="O20">SUMPRODUCT(F20:M20,OFFSET($E$121:$L$121,MATCH(N20,$D$122:$D$147,0),0))*5</f>
        <v>444</v>
      </c>
      <c r="P20" s="103">
        <f ca="1" t="shared" ref="P20:P33" si="0">O20*5</f>
        <v>2220</v>
      </c>
      <c r="Q20" s="45">
        <f ca="1" t="shared" ref="Q20:Q33" si="1">P20/10*0.05*3.5</f>
        <v>38.85</v>
      </c>
      <c r="R20" s="45">
        <f ca="1" t="shared" ref="R20:R33" si="2">P20/10*0.05</f>
        <v>11.1</v>
      </c>
      <c r="S20" s="102" cm="1">
        <f ca="1" t="array" ref="S20">SUMPRODUCT($F20:$M20,OFFSET(E$92:L$92,MATCH(N20,$D$93:$D$118,0),0))*$E$74/OFFSET($N$92,MATCH(N20,$N$93:$N$118,0),MATCH(OFFSET($H$18,0,MATCH(MIN(H20:M20),H20:M20,0)-1),$O$92:$V$92,0))</f>
        <v>5.72727272727273</v>
      </c>
      <c r="T20" s="102" cm="1">
        <f ca="1" t="array" ref="T20">SUMPRODUCT($F20:$M20,OFFSET(E$121:L$121,MATCH(N20,$D$93:$D$118,0),0))*$E$74*3</f>
        <v>1598.4</v>
      </c>
      <c r="U20" s="102">
        <v>4</v>
      </c>
      <c r="V20" s="104">
        <f>_xlfn.MINIFS(F20:M20,F20:M20,"&gt;"&amp;0)*$E$74*U20</f>
        <v>2.4</v>
      </c>
      <c r="W20" s="102" t="str">
        <f ca="1" t="shared" ref="W20:W33" si="3">OFFSET($E$18,0,MATCH(_xlfn.MINIFS(F20:M20,F20:M20,"&gt;"&amp;0),F20:M20,0))&amp;OFFSET($E20,0,MATCH(_xlfn.MINIFS(F20:M20,F20:M20,"&gt;"&amp;0),F20:M20,0))</f>
        <v>橙0.1</v>
      </c>
      <c r="X20" s="102"/>
      <c r="Y20" s="45"/>
      <c r="Z20" s="102">
        <f>6/6+6/5</f>
        <v>2.2</v>
      </c>
    </row>
    <row r="21" ht="18" spans="1:27">
      <c r="A21" s="65"/>
      <c r="B21" s="65"/>
      <c r="C21" s="92"/>
      <c r="D21" s="100">
        <v>3</v>
      </c>
      <c r="E21" s="101">
        <v>4</v>
      </c>
      <c r="F21" s="51">
        <v>0</v>
      </c>
      <c r="G21" s="51">
        <v>0.2</v>
      </c>
      <c r="H21" s="51">
        <v>0.4</v>
      </c>
      <c r="I21" s="51">
        <v>0.25</v>
      </c>
      <c r="J21" s="105">
        <v>0.125</v>
      </c>
      <c r="K21" s="105">
        <v>0.025</v>
      </c>
      <c r="L21" s="51"/>
      <c r="M21" s="51"/>
      <c r="N21" s="102">
        <f ca="1">OFFSET(装备属性!$D$15,MATCH($E21,装备属性!$H$16:$H$61,1),0)</f>
        <v>20</v>
      </c>
      <c r="O21" s="103" cm="1">
        <f ca="1" t="array" ref="O21">SUMPRODUCT(F21:M21,OFFSET($E$121:$L$121,MATCH(N21,$D$122:$D$147,0),0))*5</f>
        <v>566.25</v>
      </c>
      <c r="P21" s="103">
        <f ca="1" t="shared" si="0"/>
        <v>2831.25</v>
      </c>
      <c r="Q21" s="45">
        <f ca="1" t="shared" si="1"/>
        <v>49.546875</v>
      </c>
      <c r="R21" s="45">
        <f ca="1" t="shared" si="2"/>
        <v>14.15625</v>
      </c>
      <c r="S21" s="102" cm="1">
        <f ca="1" t="array" ref="S21">SUMPRODUCT($F21:$M21,OFFSET(E$92:L$92,MATCH(N21,$D$93:$D$118,0),0))*$E$74/OFFSET($N$92,MATCH(N21,$N$93:$N$118,0),MATCH(OFFSET($H$18,0,MATCH(MIN(H21:M21),H21:M21,0)-1),$O$92:$V$92,0))</f>
        <v>4.81764705882353</v>
      </c>
      <c r="T21" s="102" cm="1">
        <f ca="1" t="array" ref="T21">SUMPRODUCT($F21:$M21,OFFSET(E$121:L$121,MATCH(N21,$D$93:$D$118,0),0))*$E$74*3</f>
        <v>2038.5</v>
      </c>
      <c r="U21" s="102">
        <v>4</v>
      </c>
      <c r="V21" s="104">
        <f t="shared" ref="V21:V33" si="4">_xlfn.MINIFS(F21:M21,F21:M21,"&gt;"&amp;0)*$E$74*U21</f>
        <v>0.6</v>
      </c>
      <c r="W21" s="102" t="str">
        <f ca="1" t="shared" si="3"/>
        <v>红0.025</v>
      </c>
      <c r="X21" s="102"/>
      <c r="Y21" s="45"/>
      <c r="Z21" s="102">
        <f>6/6+6/5+6/4</f>
        <v>3.7</v>
      </c>
    </row>
    <row r="22" ht="18" spans="1:27">
      <c r="A22" s="65"/>
      <c r="B22" s="65"/>
      <c r="C22" s="92"/>
      <c r="D22" s="100">
        <v>4</v>
      </c>
      <c r="E22" s="101">
        <v>7</v>
      </c>
      <c r="F22" s="51">
        <v>0</v>
      </c>
      <c r="G22" s="51">
        <v>0.175</v>
      </c>
      <c r="H22" s="51">
        <v>0.4</v>
      </c>
      <c r="I22" s="51">
        <v>0.25</v>
      </c>
      <c r="J22" s="51">
        <v>0.125</v>
      </c>
      <c r="K22" s="51">
        <v>0.05</v>
      </c>
      <c r="L22" s="51"/>
      <c r="M22" s="51"/>
      <c r="N22" s="102">
        <f ca="1">OFFSET(装备属性!$D$15,MATCH($E22,装备属性!$H$16:$H$61,1),0)</f>
        <v>40</v>
      </c>
      <c r="O22" s="103" cm="1">
        <f ca="1" t="array" ref="O22">SUMPRODUCT(F22:M22,OFFSET($E$121:$L$121,MATCH(N22,$D$122:$D$147,0),0))*5</f>
        <v>819.75</v>
      </c>
      <c r="P22" s="103">
        <f ca="1" t="shared" si="0"/>
        <v>4098.75</v>
      </c>
      <c r="Q22" s="45">
        <f ca="1" t="shared" si="1"/>
        <v>71.728125</v>
      </c>
      <c r="R22" s="45">
        <f ca="1" t="shared" si="2"/>
        <v>20.49375</v>
      </c>
      <c r="S22" s="102" cm="1">
        <f ca="1" t="array" ref="S22">SUMPRODUCT($F22:$M22,OFFSET(E$92:L$92,MATCH(N22,$D$93:$D$118,0),0))*$E$74/OFFSET($N$92,MATCH(N22,$N$93:$N$118,0),MATCH(OFFSET($H$18,0,MATCH(MIN(H22:M22),H22:M22,0)-1),$O$92:$V$92,0))</f>
        <v>5.21162790697674</v>
      </c>
      <c r="T22" s="102" cm="1">
        <f ca="1" t="array" ref="T22">SUMPRODUCT($F22:$M22,OFFSET(E$121:L$121,MATCH(N22,$D$93:$D$118,0),0))*$E$74*3</f>
        <v>2951.1</v>
      </c>
      <c r="U22" s="102">
        <v>4</v>
      </c>
      <c r="V22" s="104">
        <f t="shared" si="4"/>
        <v>1.2</v>
      </c>
      <c r="W22" s="102" t="str">
        <f ca="1" t="shared" si="3"/>
        <v>红0.05</v>
      </c>
      <c r="X22" s="102"/>
      <c r="Y22" s="45"/>
      <c r="Z22" s="102">
        <f>6/6+6/5+6/4+6/3</f>
        <v>5.7</v>
      </c>
    </row>
    <row r="23" ht="18" spans="1:27">
      <c r="A23" s="65"/>
      <c r="B23" s="65"/>
      <c r="C23" s="92"/>
      <c r="D23" s="100">
        <v>5</v>
      </c>
      <c r="E23" s="101">
        <v>11</v>
      </c>
      <c r="F23" s="51">
        <v>0</v>
      </c>
      <c r="G23" s="51">
        <v>0.125</v>
      </c>
      <c r="H23" s="51">
        <v>0.4</v>
      </c>
      <c r="I23" s="51">
        <v>0.25</v>
      </c>
      <c r="J23" s="51">
        <v>0.15</v>
      </c>
      <c r="K23" s="51">
        <v>0.075</v>
      </c>
      <c r="L23" s="51"/>
      <c r="M23" s="51"/>
      <c r="N23" s="102">
        <f ca="1">OFFSET(装备属性!$D$15,MATCH($E23,装备属性!$H$16:$H$61,1),0)</f>
        <v>50</v>
      </c>
      <c r="O23" s="103" cm="1">
        <f ca="1" t="array" ref="O23">SUMPRODUCT(F23:M23,OFFSET($E$121:$L$121,MATCH(N23,$D$122:$D$147,0),0))*5</f>
        <v>1022.5</v>
      </c>
      <c r="P23" s="103">
        <f ca="1" t="shared" si="0"/>
        <v>5112.5</v>
      </c>
      <c r="Q23" s="45">
        <f ca="1" t="shared" si="1"/>
        <v>89.46875</v>
      </c>
      <c r="R23" s="45">
        <f ca="1" t="shared" si="2"/>
        <v>25.5625</v>
      </c>
      <c r="S23" s="102" cm="1">
        <f ca="1" t="array" ref="S23">SUMPRODUCT($F23:$M23,OFFSET(E$92:L$92,MATCH(N23,$D$93:$D$118,0),0))*$E$74/OFFSET($N$92,MATCH(N23,$N$93:$N$118,0),MATCH(OFFSET($H$18,0,MATCH(MIN(H23:M23),H23:M23,0)-1),$O$92:$V$92,0))</f>
        <v>5.80851063829787</v>
      </c>
      <c r="T23" s="102" cm="1">
        <f ca="1" t="array" ref="T23">SUMPRODUCT($F23:$M23,OFFSET(E$121:L$121,MATCH(N23,$D$93:$D$118,0),0))*$E$74*3</f>
        <v>3681</v>
      </c>
      <c r="U23" s="102">
        <v>4</v>
      </c>
      <c r="V23" s="104">
        <f t="shared" si="4"/>
        <v>1.8</v>
      </c>
      <c r="W23" s="102" t="str">
        <f ca="1" t="shared" si="3"/>
        <v>红0.075</v>
      </c>
      <c r="X23" s="102"/>
      <c r="Y23" s="45"/>
      <c r="Z23" s="102">
        <f>6/6+6/5+6/4+6/3+6/2</f>
        <v>8.7</v>
      </c>
    </row>
    <row r="24" ht="18" spans="1:27">
      <c r="A24" s="65"/>
      <c r="B24" s="65"/>
      <c r="C24" s="92"/>
      <c r="D24" s="100">
        <v>6</v>
      </c>
      <c r="E24" s="101">
        <v>16</v>
      </c>
      <c r="F24" s="51">
        <v>0</v>
      </c>
      <c r="G24" s="51">
        <v>0.075</v>
      </c>
      <c r="H24" s="51">
        <v>0.4</v>
      </c>
      <c r="I24" s="51">
        <v>0.25</v>
      </c>
      <c r="J24" s="51">
        <v>0.15</v>
      </c>
      <c r="K24" s="105">
        <v>0.1</v>
      </c>
      <c r="L24" s="105">
        <v>0.025</v>
      </c>
      <c r="M24" s="51"/>
      <c r="N24" s="102">
        <f ca="1">OFFSET(装备属性!$D$15,MATCH($E24,装备属性!$H$16:$H$61,1),0)</f>
        <v>55</v>
      </c>
      <c r="O24" s="103" cm="1">
        <f ca="1" t="array" ref="O24">SUMPRODUCT(F24:M24,OFFSET($E$121:$L$121,MATCH(N24,$D$122:$D$147,0),0))*5</f>
        <v>1292.5</v>
      </c>
      <c r="P24" s="103">
        <f ca="1" t="shared" si="0"/>
        <v>6462.5</v>
      </c>
      <c r="Q24" s="45">
        <f ca="1" t="shared" si="1"/>
        <v>113.09375</v>
      </c>
      <c r="R24" s="45">
        <f ca="1" t="shared" si="2"/>
        <v>32.3125</v>
      </c>
      <c r="S24" s="102" t="e" cm="1">
        <f ca="1" t="array" ref="S24">SUMPRODUCT($F24:$M24,OFFSET(E$92:L$92,MATCH(N24,$D$93:$D$118,0),0))*$E$74/OFFSET($N$92,MATCH(N24,$N$93:$N$118,0),MATCH(OFFSET($H$18,0,MATCH(MIN(H24:M24),H24:M24,0)-1),$O$92:$V$92,0))</f>
        <v>#N/A</v>
      </c>
      <c r="T24" s="102" t="e" cm="1">
        <f ca="1" t="array" ref="T24">SUMPRODUCT($F24:$M24,OFFSET(E$121:L$121,MATCH(N24,$D$93:$D$118,0),0))*$E$74*3</f>
        <v>#N/A</v>
      </c>
      <c r="U24" s="102">
        <v>4</v>
      </c>
      <c r="V24" s="104">
        <f t="shared" si="4"/>
        <v>0.6</v>
      </c>
      <c r="W24" s="102" t="str">
        <f ca="1" t="shared" si="3"/>
        <v>粉0.025</v>
      </c>
      <c r="X24" s="102"/>
      <c r="Y24" s="45"/>
      <c r="Z24" s="102">
        <f>6/6+6/5+6/4+6/3+6/2+6/1</f>
        <v>14.7</v>
      </c>
    </row>
    <row r="25" ht="18" spans="1:27">
      <c r="A25" s="65"/>
      <c r="B25" s="65"/>
      <c r="C25" s="92"/>
      <c r="D25" s="100">
        <v>7</v>
      </c>
      <c r="E25" s="101">
        <v>22</v>
      </c>
      <c r="F25" s="51">
        <v>0</v>
      </c>
      <c r="G25" s="51">
        <v>0</v>
      </c>
      <c r="H25" s="51">
        <v>0.36</v>
      </c>
      <c r="I25" s="51">
        <v>0.32</v>
      </c>
      <c r="J25" s="51">
        <v>0.16</v>
      </c>
      <c r="K25" s="51">
        <v>0.12</v>
      </c>
      <c r="L25" s="51">
        <v>0.04</v>
      </c>
      <c r="M25" s="51"/>
      <c r="N25" s="102">
        <f ca="1">OFFSET(装备属性!$D$15,MATCH($E25,装备属性!$H$16:$H$61,1),0)</f>
        <v>60</v>
      </c>
      <c r="O25" s="103" cm="1">
        <f ca="1" t="array" ref="O25">SUMPRODUCT(F25:M25,OFFSET($E$121:$L$121,MATCH(N25,$D$122:$D$147,0),0))*5</f>
        <v>1626</v>
      </c>
      <c r="P25" s="103">
        <f ca="1" t="shared" si="0"/>
        <v>8130</v>
      </c>
      <c r="Q25" s="45">
        <f ca="1" t="shared" si="1"/>
        <v>142.275</v>
      </c>
      <c r="R25" s="45">
        <f ca="1" t="shared" si="2"/>
        <v>40.65</v>
      </c>
      <c r="S25" s="102" cm="1">
        <f ca="1" t="array" ref="S25">SUMPRODUCT($F25:$M25,OFFSET(E$92:L$92,MATCH(N25,$D$93:$D$118,0),0))*$E$74/OFFSET($N$92,MATCH(N25,$N$93:$N$118,0),MATCH(OFFSET($H$18,0,MATCH(MIN(H25:M25),H25:M25,0)-1),$O$92:$V$92,0))</f>
        <v>6.17684210526316</v>
      </c>
      <c r="T25" s="102" cm="1">
        <f ca="1" t="array" ref="T25">SUMPRODUCT($F25:$M25,OFFSET(E$121:L$121,MATCH(N25,$D$93:$D$118,0),0))*$E$74*3</f>
        <v>4960.8</v>
      </c>
      <c r="U25" s="102">
        <v>4</v>
      </c>
      <c r="V25" s="104">
        <f t="shared" si="4"/>
        <v>0.96</v>
      </c>
      <c r="W25" s="102" t="str">
        <f ca="1" t="shared" si="3"/>
        <v>粉0.04</v>
      </c>
      <c r="X25" s="102"/>
      <c r="Y25" s="45"/>
    </row>
    <row r="26" ht="18" spans="1:27">
      <c r="A26" s="65"/>
      <c r="B26" s="65"/>
      <c r="C26" s="92"/>
      <c r="D26" s="100">
        <v>8</v>
      </c>
      <c r="E26" s="101">
        <v>32</v>
      </c>
      <c r="F26" s="51">
        <v>0</v>
      </c>
      <c r="G26" s="51">
        <v>0</v>
      </c>
      <c r="H26" s="51">
        <v>0.3</v>
      </c>
      <c r="I26" s="51">
        <v>0.34</v>
      </c>
      <c r="J26" s="51">
        <v>0.17</v>
      </c>
      <c r="K26" s="51">
        <v>0.135</v>
      </c>
      <c r="L26" s="51">
        <v>0.055</v>
      </c>
      <c r="M26" s="51"/>
      <c r="N26" s="102">
        <f ca="1">OFFSET(装备属性!$D$15,MATCH($E26,装备属性!$H$16:$H$61,1),0)</f>
        <v>70</v>
      </c>
      <c r="O26" s="103" cm="1">
        <f ca="1" t="array" ref="O26">SUMPRODUCT(F26:M26,OFFSET($E$121:$L$121,MATCH(N26,$D$122:$D$147,0),0))*5</f>
        <v>2392.5</v>
      </c>
      <c r="P26" s="103">
        <f ca="1" t="shared" si="0"/>
        <v>11962.5</v>
      </c>
      <c r="Q26" s="45">
        <f ca="1" t="shared" si="1"/>
        <v>209.34375</v>
      </c>
      <c r="R26" s="45">
        <f ca="1" t="shared" si="2"/>
        <v>59.8125</v>
      </c>
      <c r="S26" s="102" cm="1">
        <f ca="1" t="array" ref="S26">SUMPRODUCT($F26:$M26,OFFSET(E$92:L$92,MATCH(N26,$D$93:$D$118,0),0))*$E$74/OFFSET($N$92,MATCH(N26,$N$93:$N$118,0),MATCH(OFFSET($H$18,0,MATCH(MIN(H26:M26),H26:M26,0)-1),$O$92:$V$92,0))</f>
        <v>6.89181818181818</v>
      </c>
      <c r="T26" s="102" cm="1">
        <f ca="1" t="array" ref="T26">SUMPRODUCT($F26:$M26,OFFSET(E$121:L$121,MATCH(N26,$D$93:$D$118,0),0))*$E$74*3</f>
        <v>6036.3</v>
      </c>
      <c r="U26" s="102">
        <v>4</v>
      </c>
      <c r="V26" s="104">
        <f t="shared" si="4"/>
        <v>1.32</v>
      </c>
      <c r="W26" s="102" t="str">
        <f ca="1" t="shared" si="3"/>
        <v>粉0.055</v>
      </c>
      <c r="X26" s="102"/>
      <c r="Y26" s="45"/>
      <c r="Z26" s="48" t="s">
        <v>49</v>
      </c>
      <c r="AA26" s="48" t="s">
        <v>48</v>
      </c>
    </row>
    <row r="27" ht="18" spans="1:27">
      <c r="A27" s="65"/>
      <c r="B27" s="65"/>
      <c r="C27" s="92"/>
      <c r="D27" s="100">
        <v>9</v>
      </c>
      <c r="E27" s="101">
        <v>42</v>
      </c>
      <c r="F27" s="51">
        <v>0</v>
      </c>
      <c r="G27" s="51">
        <v>0</v>
      </c>
      <c r="H27" s="51">
        <v>0.245</v>
      </c>
      <c r="I27" s="51">
        <v>0.35</v>
      </c>
      <c r="J27" s="51">
        <v>0.18</v>
      </c>
      <c r="K27" s="51">
        <v>0.15</v>
      </c>
      <c r="L27" s="51">
        <v>0.075</v>
      </c>
      <c r="M27" s="51"/>
      <c r="N27" s="102">
        <f ca="1">OFFSET(装备属性!$D$15,MATCH($E27,装备属性!$H$16:$H$61,1),0)</f>
        <v>80</v>
      </c>
      <c r="O27" s="103" cm="1">
        <f ca="1" t="array" ref="O27">SUMPRODUCT(F27:M27,OFFSET($E$121:$L$121,MATCH(N27,$D$122:$D$147,0),0))*5</f>
        <v>2678.4</v>
      </c>
      <c r="P27" s="103">
        <f ca="1" t="shared" si="0"/>
        <v>13392</v>
      </c>
      <c r="Q27" s="45">
        <f ca="1" t="shared" si="1"/>
        <v>234.36</v>
      </c>
      <c r="R27" s="45">
        <f ca="1" t="shared" si="2"/>
        <v>66.96</v>
      </c>
      <c r="S27" s="102" cm="1">
        <f ca="1" t="array" ref="S27">SUMPRODUCT($F27:$M27,OFFSET(E$92:L$92,MATCH(N27,$D$93:$D$118,0),0))*$E$74/OFFSET($N$92,MATCH(N27,$N$93:$N$118,0),MATCH(OFFSET($H$18,0,MATCH(MIN(H27:M27),H27:M27,0)-1),$O$92:$V$92,0))</f>
        <v>7.83030303030303</v>
      </c>
      <c r="T27" s="102" cm="1">
        <f ca="1" t="array" ref="T27">SUMPRODUCT($F27:$M27,OFFSET(E$121:L$121,MATCH(N27,$D$93:$D$118,0),0))*$E$74*3</f>
        <v>7463.52</v>
      </c>
      <c r="U27" s="102">
        <v>4</v>
      </c>
      <c r="V27" s="104">
        <f t="shared" si="4"/>
        <v>1.8</v>
      </c>
      <c r="W27" s="102" t="str">
        <f ca="1" t="shared" si="3"/>
        <v>粉0.075</v>
      </c>
      <c r="X27" s="102"/>
      <c r="Y27" s="45"/>
      <c r="Z27" s="102" t="s">
        <v>33</v>
      </c>
      <c r="AA27" s="102">
        <v>1</v>
      </c>
    </row>
    <row r="28" ht="18" spans="1:27">
      <c r="A28" s="65"/>
      <c r="B28" s="65"/>
      <c r="C28" s="92"/>
      <c r="D28" s="100">
        <v>10</v>
      </c>
      <c r="E28" s="101">
        <v>52</v>
      </c>
      <c r="F28" s="51">
        <v>0</v>
      </c>
      <c r="G28" s="51">
        <v>0</v>
      </c>
      <c r="H28" s="51">
        <v>0.15</v>
      </c>
      <c r="I28" s="51">
        <v>0.38</v>
      </c>
      <c r="J28" s="51">
        <v>0.2</v>
      </c>
      <c r="K28" s="51">
        <v>0.165</v>
      </c>
      <c r="L28" s="51">
        <v>0.09</v>
      </c>
      <c r="M28" s="51">
        <v>0.015</v>
      </c>
      <c r="N28" s="102">
        <f ca="1">OFFSET(装备属性!$D$15,MATCH($E28,装备属性!$H$16:$H$61,1),0)</f>
        <v>85</v>
      </c>
      <c r="O28" s="103" cm="1">
        <f ca="1" t="array" ref="O28">SUMPRODUCT(F28:M28,OFFSET($E$121:$L$121,MATCH(N28,$D$122:$D$147,0),0))*5</f>
        <v>2964.7</v>
      </c>
      <c r="P28" s="103">
        <f ca="1" t="shared" si="0"/>
        <v>14823.5</v>
      </c>
      <c r="Q28" s="45">
        <f ca="1" t="shared" si="1"/>
        <v>259.41125</v>
      </c>
      <c r="R28" s="45">
        <f ca="1" t="shared" si="2"/>
        <v>74.1175</v>
      </c>
      <c r="S28" s="102" t="e" cm="1">
        <f ca="1" t="array" ref="S28">SUMPRODUCT($F28:$M28,OFFSET(E$92:L$92,MATCH(N28,$D$93:$D$118,0),0))*$E$74/OFFSET($N$92,MATCH(N28,$N$93:$N$118,0),MATCH(OFFSET($H$18,0,MATCH(MIN(H28:M28),H28:M28,0)-1),$O$92:$V$92,0))</f>
        <v>#N/A</v>
      </c>
      <c r="T28" s="102" t="e" cm="1">
        <f ca="1" t="array" ref="T28">SUMPRODUCT($F28:$M28,OFFSET(E$121:L$121,MATCH(N28,$D$93:$D$118,0),0))*$E$74*3</f>
        <v>#N/A</v>
      </c>
      <c r="U28" s="102">
        <v>4</v>
      </c>
      <c r="V28" s="104">
        <f t="shared" si="4"/>
        <v>0.36</v>
      </c>
      <c r="W28" s="102" t="str">
        <f ca="1" t="shared" si="3"/>
        <v>彩0.015</v>
      </c>
      <c r="X28" s="102"/>
      <c r="Y28" s="45"/>
      <c r="Z28" s="102" t="s">
        <v>34</v>
      </c>
      <c r="AA28" s="102">
        <v>3</v>
      </c>
    </row>
    <row r="29" ht="18" spans="1:27">
      <c r="A29" s="65"/>
      <c r="B29" s="65"/>
      <c r="C29" s="92"/>
      <c r="D29" s="100">
        <v>11</v>
      </c>
      <c r="E29" s="101">
        <v>62</v>
      </c>
      <c r="F29" s="51">
        <v>0</v>
      </c>
      <c r="G29" s="51">
        <v>0</v>
      </c>
      <c r="H29" s="51">
        <v>0</v>
      </c>
      <c r="I29" s="51">
        <v>0.44</v>
      </c>
      <c r="J29" s="51">
        <v>0.25</v>
      </c>
      <c r="K29" s="51">
        <v>0.185</v>
      </c>
      <c r="L29" s="105">
        <v>0.1</v>
      </c>
      <c r="M29" s="105">
        <v>0.025</v>
      </c>
      <c r="N29" s="102">
        <f ca="1">OFFSET(装备属性!$D$15,MATCH($E29,装备属性!$H$16:$H$61,1),0)</f>
        <v>90</v>
      </c>
      <c r="O29" s="103" cm="1">
        <f ca="1" t="array" ref="O29">SUMPRODUCT(F29:M29,OFFSET($E$121:$L$121,MATCH(N29,$D$122:$D$147,0),0))*5</f>
        <v>3302</v>
      </c>
      <c r="P29" s="103">
        <f ca="1" t="shared" si="0"/>
        <v>16510</v>
      </c>
      <c r="Q29" s="45">
        <f ca="1" t="shared" si="1"/>
        <v>288.925</v>
      </c>
      <c r="R29" s="45">
        <f ca="1" t="shared" si="2"/>
        <v>82.55</v>
      </c>
      <c r="S29" s="102" t="e" cm="1">
        <f ca="1" t="array" ref="S29">SUMPRODUCT($F29:$M29,OFFSET(E$92:L$92,MATCH(N29,$D$93:$D$118,0),0))*$E$74/OFFSET($N$92,MATCH(N29,$N$93:$N$118,0),MATCH(OFFSET($H$18,0,MATCH(MIN(H29:M29),H29:M29,0)-1),$O$92:$V$92,0))</f>
        <v>#DIV/0!</v>
      </c>
      <c r="T29" s="102" cm="1">
        <f ca="1" t="array" ref="T29">SUMPRODUCT($F29:$M29,OFFSET(E$121:L$121,MATCH(N29,$D$93:$D$118,0),0))*$E$74*3</f>
        <v>9900</v>
      </c>
      <c r="U29" s="102">
        <v>4</v>
      </c>
      <c r="V29" s="104">
        <f t="shared" si="4"/>
        <v>0.6</v>
      </c>
      <c r="W29" s="102" t="str">
        <f ca="1" t="shared" si="3"/>
        <v>彩0.025</v>
      </c>
      <c r="X29" s="102"/>
      <c r="Y29" s="45"/>
      <c r="Z29" s="102" t="s">
        <v>35</v>
      </c>
      <c r="AA29" s="102">
        <v>10</v>
      </c>
    </row>
    <row r="30" ht="18" spans="1:27">
      <c r="A30" s="65"/>
      <c r="B30" s="65"/>
      <c r="C30" s="92"/>
      <c r="D30" s="100">
        <v>12</v>
      </c>
      <c r="E30" s="101">
        <v>82</v>
      </c>
      <c r="F30" s="51">
        <v>0</v>
      </c>
      <c r="G30" s="51">
        <v>0</v>
      </c>
      <c r="H30" s="51">
        <v>0</v>
      </c>
      <c r="I30" s="51">
        <v>0.4</v>
      </c>
      <c r="J30" s="51">
        <v>0.25</v>
      </c>
      <c r="K30" s="51">
        <v>0.2</v>
      </c>
      <c r="L30" s="51">
        <v>0.11</v>
      </c>
      <c r="M30" s="51">
        <v>0.04</v>
      </c>
      <c r="N30" s="102">
        <f ca="1">OFFSET(装备属性!$D$15,MATCH($E30,装备属性!$H$16:$H$61,1),0)</f>
        <v>105</v>
      </c>
      <c r="O30" s="103" cm="1">
        <f ca="1" t="array" ref="O30">SUMPRODUCT(F30:M30,OFFSET($E$121:$L$121,MATCH(N30,$D$122:$D$147,0),0))*5</f>
        <v>3835.2</v>
      </c>
      <c r="P30" s="103">
        <f ca="1" t="shared" si="0"/>
        <v>19176</v>
      </c>
      <c r="Q30" s="45">
        <f ca="1" t="shared" si="1"/>
        <v>335.58</v>
      </c>
      <c r="R30" s="45">
        <f ca="1" t="shared" si="2"/>
        <v>95.88</v>
      </c>
      <c r="S30" s="102" t="e" cm="1">
        <f ca="1" t="array" ref="S30">SUMPRODUCT($F30:$M30,OFFSET(E$92:L$92,MATCH(N30,$D$93:$D$118,0),0))*$E$74/OFFSET($N$92,MATCH(N30,$N$93:$N$118,0),MATCH(OFFSET($H$18,0,MATCH(MIN(H30:M30),H30:M30,0)-1),$O$92:$V$92,0))</f>
        <v>#N/A</v>
      </c>
      <c r="T30" s="102" t="e" cm="1">
        <f ca="1" t="array" ref="T30">SUMPRODUCT($F30:$M30,OFFSET(E$121:L$121,MATCH(N30,$D$93:$D$118,0),0))*$E$74*3</f>
        <v>#N/A</v>
      </c>
      <c r="U30" s="102">
        <v>4</v>
      </c>
      <c r="V30" s="104">
        <f t="shared" si="4"/>
        <v>0.96</v>
      </c>
      <c r="W30" s="102" t="str">
        <f ca="1" t="shared" si="3"/>
        <v>彩0.04</v>
      </c>
      <c r="X30" s="102"/>
      <c r="Y30" s="45"/>
      <c r="Z30" s="102" t="s">
        <v>36</v>
      </c>
      <c r="AA30" s="102">
        <v>20</v>
      </c>
    </row>
    <row r="31" ht="18" spans="1:27">
      <c r="A31" s="65"/>
      <c r="B31" s="65"/>
      <c r="C31" s="92"/>
      <c r="D31" s="100">
        <v>13</v>
      </c>
      <c r="E31" s="101">
        <v>102</v>
      </c>
      <c r="F31" s="51">
        <v>0</v>
      </c>
      <c r="G31" s="51">
        <v>0</v>
      </c>
      <c r="H31" s="51">
        <v>0</v>
      </c>
      <c r="I31" s="51">
        <v>0.385</v>
      </c>
      <c r="J31" s="51">
        <v>0.25</v>
      </c>
      <c r="K31" s="51">
        <v>0.2</v>
      </c>
      <c r="L31" s="51">
        <v>0.12</v>
      </c>
      <c r="M31" s="51">
        <v>0.045</v>
      </c>
      <c r="N31" s="102">
        <f ca="1">OFFSET(装备属性!$D$15,MATCH($E31,装备属性!$H$16:$H$61,1),0)</f>
        <v>115</v>
      </c>
      <c r="O31" s="103" cm="1">
        <f ca="1" t="array" ref="O31">SUMPRODUCT(F31:M31,OFFSET($E$121:$L$121,MATCH(N31,$D$122:$D$147,0),0))*5</f>
        <v>4262.5</v>
      </c>
      <c r="P31" s="103">
        <f ca="1" t="shared" si="0"/>
        <v>21312.5</v>
      </c>
      <c r="Q31" s="45">
        <f ca="1" t="shared" si="1"/>
        <v>372.96875</v>
      </c>
      <c r="R31" s="45">
        <f ca="1" t="shared" si="2"/>
        <v>106.5625</v>
      </c>
      <c r="S31" s="102" t="e" cm="1">
        <f ca="1" t="array" ref="S31">SUMPRODUCT($F31:$M31,OFFSET(E$92:L$92,MATCH(N31,$D$93:$D$118,0),0))*$E$74/OFFSET($N$92,MATCH(N31,$N$93:$N$118,0),MATCH(OFFSET($H$18,0,MATCH(MIN(H31:M31),H31:M31,0)-1),$O$92:$V$92,0))</f>
        <v>#N/A</v>
      </c>
      <c r="T31" s="102" t="e" cm="1">
        <f ca="1" t="array" ref="T31">SUMPRODUCT($F31:$M31,OFFSET(E$121:L$121,MATCH(N31,$D$93:$D$118,0),0))*$E$74*3</f>
        <v>#N/A</v>
      </c>
      <c r="U31" s="102">
        <v>4</v>
      </c>
      <c r="V31" s="104">
        <f t="shared" si="4"/>
        <v>1.08</v>
      </c>
      <c r="W31" s="102" t="str">
        <f ca="1" t="shared" si="3"/>
        <v>彩0.045</v>
      </c>
      <c r="X31" s="102"/>
      <c r="Y31" s="45"/>
    </row>
    <row r="32" ht="18" spans="1:27">
      <c r="A32" s="65"/>
      <c r="B32" s="65"/>
      <c r="C32" s="92"/>
      <c r="D32" s="100">
        <v>14</v>
      </c>
      <c r="E32" s="101">
        <v>122</v>
      </c>
      <c r="F32" s="51">
        <v>0</v>
      </c>
      <c r="G32" s="51">
        <v>0</v>
      </c>
      <c r="H32" s="51">
        <v>0</v>
      </c>
      <c r="I32" s="51">
        <v>0.365</v>
      </c>
      <c r="J32" s="51">
        <v>0.25</v>
      </c>
      <c r="K32" s="51">
        <v>0.2</v>
      </c>
      <c r="L32" s="51">
        <v>0.135</v>
      </c>
      <c r="M32" s="51">
        <v>0.05</v>
      </c>
      <c r="N32" s="102">
        <f ca="1">OFFSET(装备属性!$D$15,MATCH($E32,装备属性!$H$16:$H$61,1),0)</f>
        <v>125</v>
      </c>
      <c r="O32" s="103" cm="1">
        <f ca="1" t="array" ref="O32">SUMPRODUCT(F32:M32,OFFSET($E$121:$L$121,MATCH(N32,$D$122:$D$147,0),0))*5</f>
        <v>4719.1</v>
      </c>
      <c r="P32" s="103">
        <f ca="1" t="shared" si="0"/>
        <v>23595.5</v>
      </c>
      <c r="Q32" s="45">
        <f ca="1" t="shared" si="1"/>
        <v>412.92125</v>
      </c>
      <c r="R32" s="45">
        <f ca="1" t="shared" si="2"/>
        <v>117.9775</v>
      </c>
      <c r="S32" s="102" t="e" cm="1">
        <f ca="1" t="array" ref="S32">SUMPRODUCT($F32:$M32,OFFSET(E$92:L$92,MATCH(N32,$D$93:$D$118,0),0))*$E$74/OFFSET($N$92,MATCH(N32,$N$93:$N$118,0),MATCH(OFFSET($H$18,0,MATCH(MIN(H32:M32),H32:M32,0)-1),$O$92:$V$92,0))</f>
        <v>#N/A</v>
      </c>
      <c r="T32" s="102" t="e" cm="1">
        <f ca="1" t="array" ref="T32">SUMPRODUCT($F32:$M32,OFFSET(E$121:L$121,MATCH(N32,$D$93:$D$118,0),0))*$E$74*3</f>
        <v>#N/A</v>
      </c>
      <c r="U32" s="102">
        <v>4</v>
      </c>
      <c r="V32" s="104">
        <f t="shared" si="4"/>
        <v>1.2</v>
      </c>
      <c r="W32" s="102" t="str">
        <f ca="1" t="shared" si="3"/>
        <v>彩0.05</v>
      </c>
      <c r="X32" s="102"/>
      <c r="Y32" s="45"/>
    </row>
    <row r="33" ht="18" spans="1:25">
      <c r="A33" s="65"/>
      <c r="B33" s="65"/>
      <c r="C33" s="92"/>
      <c r="D33" s="100">
        <v>15</v>
      </c>
      <c r="E33" s="101">
        <v>142</v>
      </c>
      <c r="F33" s="51">
        <v>0</v>
      </c>
      <c r="G33" s="51">
        <v>0</v>
      </c>
      <c r="H33" s="51">
        <v>0</v>
      </c>
      <c r="I33" s="51">
        <v>0.345</v>
      </c>
      <c r="J33" s="51">
        <v>0.25</v>
      </c>
      <c r="K33" s="51">
        <v>0.2</v>
      </c>
      <c r="L33" s="51">
        <v>0.15</v>
      </c>
      <c r="M33" s="51">
        <v>0.055</v>
      </c>
      <c r="N33" s="102">
        <f ca="1">OFFSET(装备属性!$D$15,MATCH($E33,装备属性!$H$16:$H$61,1),0)</f>
        <v>135</v>
      </c>
      <c r="O33" s="103" cm="1">
        <f ca="1" t="array" ref="O33">SUMPRODUCT(F33:M33,OFFSET($E$121:$L$121,MATCH(N33,$D$122:$D$147,0),0))*5</f>
        <v>5238</v>
      </c>
      <c r="P33" s="103">
        <f ca="1" t="shared" si="0"/>
        <v>26190</v>
      </c>
      <c r="Q33" s="45">
        <f ca="1" t="shared" si="1"/>
        <v>458.325</v>
      </c>
      <c r="R33" s="45">
        <f ca="1" t="shared" si="2"/>
        <v>130.95</v>
      </c>
      <c r="S33" s="102" t="e" cm="1">
        <f ca="1" t="array" ref="S33">SUMPRODUCT($F33:$M33,OFFSET(E$92:L$92,MATCH(N33,$D$93:$D$118,0),0))*$E$74/OFFSET($N$92,MATCH(N33,$N$93:$N$118,0),MATCH(OFFSET($H$18,0,MATCH(MIN(H33:M33),H33:M33,0)-1),$O$92:$V$92,0))</f>
        <v>#N/A</v>
      </c>
      <c r="T33" s="102" t="e" cm="1">
        <f ca="1" t="array" ref="T33">SUMPRODUCT($F33:$M33,OFFSET(E$121:L$121,MATCH(N33,$D$93:$D$118,0),0))*$E$74*3</f>
        <v>#N/A</v>
      </c>
      <c r="U33" s="102">
        <v>4</v>
      </c>
      <c r="V33" s="104">
        <f t="shared" si="4"/>
        <v>1.32</v>
      </c>
      <c r="W33" s="102" t="str">
        <f ca="1" t="shared" si="3"/>
        <v>彩0.055</v>
      </c>
      <c r="X33" s="102"/>
      <c r="Y33" s="45"/>
    </row>
    <row r="34" ht="18" spans="1:25">
      <c r="A34" s="65"/>
      <c r="B34" s="65"/>
      <c r="C34" s="92"/>
      <c r="D34" s="65"/>
      <c r="E34" s="93"/>
      <c r="F34" s="93"/>
      <c r="G34" s="93"/>
      <c r="H34" s="93"/>
      <c r="I34" s="93"/>
      <c r="J34" s="93"/>
      <c r="K34" s="93"/>
      <c r="L34" s="93"/>
      <c r="M34" s="93"/>
      <c r="S34" s="45"/>
      <c r="T34" s="45"/>
      <c r="U34" s="45"/>
    </row>
    <row r="35" ht="18" spans="1:25">
      <c r="A35" s="65"/>
      <c r="B35" s="65"/>
      <c r="C35" s="92"/>
      <c r="D35" s="65" t="s">
        <v>465</v>
      </c>
      <c r="E35" s="93"/>
      <c r="F35" s="93"/>
      <c r="G35" s="93"/>
      <c r="H35" s="93"/>
      <c r="I35" s="93"/>
      <c r="J35" s="93"/>
      <c r="K35" s="93"/>
      <c r="L35" s="93"/>
      <c r="M35" s="93"/>
      <c r="Q35" s="74"/>
    </row>
    <row r="36" ht="18" spans="1:25">
      <c r="A36" s="65"/>
      <c r="B36" s="65"/>
      <c r="C36" s="92"/>
      <c r="D36" s="106" t="s">
        <v>466</v>
      </c>
      <c r="E36" s="106" t="s">
        <v>458</v>
      </c>
      <c r="F36" s="106" t="s">
        <v>58</v>
      </c>
      <c r="G36" s="106" t="s">
        <v>59</v>
      </c>
      <c r="H36" s="106" t="s">
        <v>31</v>
      </c>
      <c r="I36" s="106" t="s">
        <v>32</v>
      </c>
      <c r="J36" s="106" t="s">
        <v>33</v>
      </c>
      <c r="K36" s="106" t="s">
        <v>34</v>
      </c>
      <c r="L36" s="49" t="s">
        <v>35</v>
      </c>
      <c r="M36" s="49" t="s">
        <v>36</v>
      </c>
      <c r="N36" s="93"/>
      <c r="P36" s="45">
        <v>1</v>
      </c>
      <c r="Q36" s="45" t="s">
        <v>33</v>
      </c>
    </row>
    <row r="37" ht="18" spans="1:25">
      <c r="A37" s="65"/>
      <c r="B37" s="65"/>
      <c r="C37" s="92"/>
      <c r="D37" s="107" t="s">
        <v>467</v>
      </c>
      <c r="E37" s="107">
        <v>1</v>
      </c>
      <c r="F37" s="108">
        <v>0.8</v>
      </c>
      <c r="G37" s="108">
        <v>0.2</v>
      </c>
      <c r="H37" s="109"/>
      <c r="I37" s="109"/>
      <c r="J37" s="109"/>
      <c r="K37" s="109"/>
      <c r="L37" s="109"/>
      <c r="M37" s="109"/>
      <c r="N37" s="93"/>
      <c r="Q37" s="74"/>
    </row>
    <row r="38" ht="18" spans="1:25">
      <c r="A38" s="65"/>
      <c r="B38" s="65"/>
      <c r="C38" s="92"/>
      <c r="D38" s="107" t="s">
        <v>468</v>
      </c>
      <c r="E38" s="107">
        <v>1</v>
      </c>
      <c r="F38" s="108">
        <v>0.8</v>
      </c>
      <c r="G38" s="108">
        <v>0.2</v>
      </c>
      <c r="H38" s="109"/>
      <c r="I38" s="109"/>
      <c r="J38" s="109"/>
      <c r="K38" s="109"/>
      <c r="L38" s="109"/>
      <c r="M38" s="109"/>
      <c r="N38" s="93"/>
      <c r="Q38" s="74"/>
    </row>
    <row r="39" ht="18" spans="1:25">
      <c r="A39" s="65"/>
      <c r="B39" s="65"/>
      <c r="C39" s="92"/>
      <c r="D39" s="107" t="s">
        <v>469</v>
      </c>
      <c r="E39" s="107">
        <v>3</v>
      </c>
      <c r="F39" s="108">
        <v>0.8</v>
      </c>
      <c r="G39" s="108">
        <v>0.2</v>
      </c>
      <c r="H39" s="109"/>
      <c r="I39" s="109"/>
      <c r="J39" s="109"/>
      <c r="K39" s="109"/>
      <c r="L39" s="109"/>
      <c r="M39" s="109"/>
      <c r="N39" s="93"/>
      <c r="Q39" s="74"/>
    </row>
    <row r="40" ht="18" spans="1:25">
      <c r="A40" s="65"/>
      <c r="B40" s="65"/>
      <c r="C40" s="92"/>
      <c r="D40" s="107" t="s">
        <v>470</v>
      </c>
      <c r="E40" s="107">
        <v>5</v>
      </c>
      <c r="F40" s="108">
        <v>0.6</v>
      </c>
      <c r="G40" s="108">
        <v>0.3</v>
      </c>
      <c r="H40" s="108">
        <v>0.1</v>
      </c>
      <c r="I40" s="109"/>
      <c r="J40" s="109"/>
      <c r="K40" s="109"/>
      <c r="L40" s="109"/>
      <c r="M40" s="109"/>
      <c r="N40" s="93"/>
      <c r="Q40" s="74"/>
    </row>
    <row r="41" ht="18" spans="1:25">
      <c r="A41" s="65"/>
      <c r="B41" s="65"/>
      <c r="C41" s="92"/>
      <c r="D41" s="107" t="s">
        <v>471</v>
      </c>
      <c r="E41" s="107">
        <v>8</v>
      </c>
      <c r="F41" s="108">
        <v>0.6</v>
      </c>
      <c r="G41" s="108">
        <v>0.3</v>
      </c>
      <c r="H41" s="108">
        <v>0.1</v>
      </c>
      <c r="I41" s="109"/>
      <c r="J41" s="109"/>
      <c r="K41" s="109"/>
      <c r="L41" s="109"/>
      <c r="M41" s="109"/>
      <c r="N41" s="93"/>
      <c r="Q41" s="74"/>
    </row>
    <row r="42" ht="18" spans="1:25">
      <c r="A42" s="65"/>
      <c r="B42" s="65"/>
      <c r="C42" s="92"/>
      <c r="D42" s="107" t="s">
        <v>472</v>
      </c>
      <c r="E42" s="107">
        <v>12</v>
      </c>
      <c r="F42" s="108">
        <v>0.6</v>
      </c>
      <c r="G42" s="108">
        <v>0.3</v>
      </c>
      <c r="H42" s="108">
        <v>0.1</v>
      </c>
      <c r="I42" s="109"/>
      <c r="J42" s="109"/>
      <c r="K42" s="109"/>
      <c r="L42" s="109"/>
      <c r="M42" s="109"/>
      <c r="N42" s="93"/>
      <c r="Q42" s="74"/>
    </row>
    <row r="43" ht="18" spans="1:25">
      <c r="A43" s="65"/>
      <c r="B43" s="65"/>
      <c r="C43" s="92"/>
      <c r="D43" s="107" t="s">
        <v>473</v>
      </c>
      <c r="E43" s="107">
        <v>19</v>
      </c>
      <c r="F43" s="108">
        <v>0.55</v>
      </c>
      <c r="G43" s="108">
        <v>0.3</v>
      </c>
      <c r="H43" s="108">
        <v>0.15</v>
      </c>
      <c r="I43" s="108"/>
      <c r="J43" s="109"/>
      <c r="K43" s="109"/>
      <c r="L43" s="109"/>
      <c r="M43" s="109"/>
      <c r="N43" s="93"/>
      <c r="Q43" s="74"/>
    </row>
    <row r="44" ht="18" spans="1:25">
      <c r="A44" s="65"/>
      <c r="B44" s="65"/>
      <c r="C44" s="92"/>
      <c r="D44" s="107" t="s">
        <v>474</v>
      </c>
      <c r="E44" s="107">
        <v>30</v>
      </c>
      <c r="F44" s="108">
        <v>0.55</v>
      </c>
      <c r="G44" s="108">
        <v>0.3</v>
      </c>
      <c r="H44" s="108">
        <v>0.15</v>
      </c>
      <c r="I44" s="108"/>
      <c r="J44" s="109"/>
      <c r="K44" s="109"/>
      <c r="L44" s="109"/>
      <c r="M44" s="109"/>
      <c r="N44" s="93"/>
      <c r="Q44" s="74"/>
    </row>
    <row r="45" ht="18" spans="1:25">
      <c r="A45" s="65"/>
      <c r="B45" s="65"/>
      <c r="C45" s="92"/>
      <c r="D45" s="107" t="s">
        <v>475</v>
      </c>
      <c r="E45" s="107">
        <v>50</v>
      </c>
      <c r="F45" s="108">
        <v>0.55</v>
      </c>
      <c r="G45" s="108">
        <v>0.3</v>
      </c>
      <c r="H45" s="108">
        <v>0.15</v>
      </c>
      <c r="I45" s="108"/>
      <c r="J45" s="109"/>
      <c r="K45" s="109"/>
      <c r="L45" s="109"/>
      <c r="M45" s="109"/>
      <c r="N45" s="93"/>
      <c r="Q45" s="74"/>
    </row>
    <row r="46" ht="18" spans="1:25">
      <c r="A46" s="65"/>
      <c r="B46" s="65"/>
      <c r="C46" s="92"/>
      <c r="D46" s="107" t="s">
        <v>476</v>
      </c>
      <c r="E46" s="107">
        <v>70</v>
      </c>
      <c r="F46" s="108">
        <v>0.55</v>
      </c>
      <c r="G46" s="108">
        <v>0.3</v>
      </c>
      <c r="H46" s="108">
        <v>0.15</v>
      </c>
      <c r="I46" s="108"/>
      <c r="J46" s="109"/>
      <c r="K46" s="109"/>
      <c r="L46" s="109"/>
      <c r="M46" s="109"/>
      <c r="N46" s="93"/>
      <c r="Q46" s="74"/>
    </row>
    <row r="47" ht="18" spans="1:25">
      <c r="A47" s="65"/>
      <c r="B47" s="65"/>
      <c r="C47" s="92"/>
      <c r="D47" s="107" t="s">
        <v>477</v>
      </c>
      <c r="E47" s="107">
        <v>90</v>
      </c>
      <c r="F47" s="108">
        <v>0.55</v>
      </c>
      <c r="G47" s="108">
        <v>0.3</v>
      </c>
      <c r="H47" s="108">
        <v>0.15</v>
      </c>
      <c r="I47" s="108"/>
      <c r="J47" s="109"/>
      <c r="K47" s="109"/>
      <c r="L47" s="109"/>
      <c r="M47" s="109"/>
      <c r="N47" s="93"/>
      <c r="Q47" s="74"/>
    </row>
    <row r="48" ht="18" spans="1:25">
      <c r="A48" s="65"/>
      <c r="B48" s="65"/>
      <c r="C48" s="92"/>
      <c r="D48" s="107" t="s">
        <v>478</v>
      </c>
      <c r="E48" s="107">
        <v>110</v>
      </c>
      <c r="F48" s="108">
        <v>0.5</v>
      </c>
      <c r="G48" s="108">
        <v>0.3</v>
      </c>
      <c r="H48" s="108">
        <v>0.2</v>
      </c>
      <c r="I48" s="110"/>
      <c r="J48" s="110"/>
      <c r="K48" s="109"/>
      <c r="L48" s="109"/>
      <c r="M48" s="109"/>
      <c r="N48" s="93"/>
      <c r="Q48" s="74"/>
    </row>
    <row r="49" ht="18" spans="1:17">
      <c r="A49" s="65"/>
      <c r="B49" s="65"/>
      <c r="C49" s="92"/>
      <c r="D49" s="107" t="s">
        <v>479</v>
      </c>
      <c r="E49" s="107">
        <v>130</v>
      </c>
      <c r="F49" s="108">
        <v>0.5</v>
      </c>
      <c r="G49" s="108">
        <v>0.3</v>
      </c>
      <c r="H49" s="108">
        <v>0.2</v>
      </c>
      <c r="I49" s="110"/>
      <c r="J49" s="110"/>
      <c r="K49" s="109"/>
      <c r="L49" s="109"/>
      <c r="M49" s="109"/>
      <c r="N49" s="93"/>
      <c r="Q49" s="74"/>
    </row>
    <row r="50" ht="18" spans="1:17">
      <c r="A50" s="65"/>
      <c r="B50" s="65"/>
      <c r="C50" s="92"/>
      <c r="D50" s="107" t="s">
        <v>480</v>
      </c>
      <c r="E50" s="107">
        <v>150</v>
      </c>
      <c r="F50" s="108">
        <v>0.5</v>
      </c>
      <c r="G50" s="108">
        <v>0.3</v>
      </c>
      <c r="H50" s="108">
        <v>0.2</v>
      </c>
      <c r="I50" s="110"/>
      <c r="J50" s="110"/>
      <c r="K50" s="109"/>
      <c r="L50" s="109"/>
      <c r="M50" s="109"/>
      <c r="N50" s="93"/>
      <c r="Q50" s="74"/>
    </row>
    <row r="51" ht="18" spans="1:17">
      <c r="A51" s="65"/>
      <c r="B51" s="65"/>
      <c r="C51" s="92"/>
      <c r="D51" s="107" t="s">
        <v>481</v>
      </c>
      <c r="E51" s="107">
        <v>170</v>
      </c>
      <c r="F51" s="108">
        <v>0.5</v>
      </c>
      <c r="G51" s="108">
        <v>0.3</v>
      </c>
      <c r="H51" s="108">
        <v>0.2</v>
      </c>
      <c r="I51" s="110"/>
      <c r="J51" s="110"/>
      <c r="K51" s="109"/>
      <c r="L51" s="109"/>
      <c r="M51" s="109"/>
      <c r="N51" s="93"/>
    </row>
    <row r="52" ht="18" spans="1:17">
      <c r="A52" s="65"/>
      <c r="B52" s="65"/>
      <c r="C52" s="92"/>
      <c r="D52" s="107" t="s">
        <v>482</v>
      </c>
      <c r="E52" s="107">
        <v>190</v>
      </c>
      <c r="F52" s="108">
        <v>0.5</v>
      </c>
      <c r="G52" s="108">
        <v>0.3</v>
      </c>
      <c r="H52" s="108">
        <v>0.2</v>
      </c>
      <c r="I52" s="110"/>
      <c r="J52" s="110"/>
      <c r="K52" s="109"/>
      <c r="L52" s="109"/>
      <c r="M52" s="109"/>
      <c r="N52" s="93"/>
    </row>
    <row r="53" ht="18" spans="1:17">
      <c r="A53" s="65"/>
      <c r="B53" s="65"/>
      <c r="C53" s="92"/>
      <c r="D53" s="107" t="s">
        <v>483</v>
      </c>
      <c r="E53" s="107">
        <v>210</v>
      </c>
      <c r="F53" s="108">
        <v>0.5</v>
      </c>
      <c r="G53" s="108">
        <v>0.3</v>
      </c>
      <c r="H53" s="108">
        <v>0.2</v>
      </c>
      <c r="I53" s="110"/>
      <c r="J53" s="110"/>
      <c r="K53" s="109"/>
      <c r="L53" s="109"/>
      <c r="M53" s="109"/>
      <c r="N53" s="93"/>
    </row>
    <row r="54" ht="18" spans="1:17">
      <c r="A54" s="65"/>
      <c r="B54" s="65"/>
      <c r="C54" s="92"/>
      <c r="D54" s="107" t="s">
        <v>484</v>
      </c>
      <c r="E54" s="107">
        <v>230</v>
      </c>
      <c r="F54" s="108">
        <v>0.5</v>
      </c>
      <c r="G54" s="108">
        <v>0.3</v>
      </c>
      <c r="H54" s="108">
        <v>0.2</v>
      </c>
      <c r="I54" s="110"/>
      <c r="J54" s="110"/>
      <c r="K54" s="109"/>
      <c r="L54" s="109"/>
      <c r="M54" s="109"/>
      <c r="N54" s="93"/>
    </row>
    <row r="55" ht="18" spans="1:17">
      <c r="A55" s="65"/>
      <c r="B55" s="65"/>
      <c r="C55" s="92"/>
      <c r="D55" s="107" t="s">
        <v>485</v>
      </c>
      <c r="E55" s="107">
        <v>250</v>
      </c>
      <c r="F55" s="108">
        <v>0.5</v>
      </c>
      <c r="G55" s="108">
        <v>0.3</v>
      </c>
      <c r="H55" s="108">
        <v>0.2</v>
      </c>
      <c r="I55" s="110"/>
      <c r="J55" s="110"/>
      <c r="K55" s="109"/>
      <c r="L55" s="109"/>
      <c r="M55" s="109"/>
      <c r="N55" s="93"/>
    </row>
    <row r="56" ht="18" spans="1:17">
      <c r="A56" s="65"/>
      <c r="B56" s="65"/>
      <c r="C56" s="92"/>
      <c r="D56" s="107" t="s">
        <v>486</v>
      </c>
      <c r="E56" s="107">
        <v>270</v>
      </c>
      <c r="F56" s="108">
        <v>0.5</v>
      </c>
      <c r="G56" s="108">
        <v>0.3</v>
      </c>
      <c r="H56" s="108">
        <v>0.2</v>
      </c>
      <c r="I56" s="110"/>
      <c r="J56" s="110"/>
      <c r="K56" s="109"/>
      <c r="L56" s="109"/>
      <c r="M56" s="109"/>
      <c r="N56" s="93"/>
    </row>
    <row r="57" ht="18" spans="1:17">
      <c r="A57" s="65"/>
      <c r="B57" s="65"/>
      <c r="C57" s="92"/>
      <c r="D57" s="107" t="s">
        <v>487</v>
      </c>
      <c r="E57" s="107">
        <v>290</v>
      </c>
      <c r="F57" s="108">
        <v>0.5</v>
      </c>
      <c r="G57" s="108">
        <v>0.3</v>
      </c>
      <c r="H57" s="108">
        <v>0.2</v>
      </c>
      <c r="I57" s="110"/>
      <c r="J57" s="110"/>
      <c r="K57" s="109"/>
      <c r="L57" s="109"/>
      <c r="M57" s="109"/>
      <c r="N57" s="93"/>
    </row>
    <row r="58" ht="18" spans="1:17">
      <c r="A58" s="65"/>
      <c r="B58" s="65"/>
      <c r="C58" s="92"/>
      <c r="D58" s="107" t="s">
        <v>488</v>
      </c>
      <c r="E58" s="107">
        <v>310</v>
      </c>
      <c r="F58" s="108">
        <v>0.5</v>
      </c>
      <c r="G58" s="108">
        <v>0.3</v>
      </c>
      <c r="H58" s="108">
        <v>0.2</v>
      </c>
      <c r="I58" s="110"/>
      <c r="J58" s="110"/>
      <c r="K58" s="109"/>
      <c r="L58" s="109"/>
      <c r="M58" s="109"/>
      <c r="N58" s="93"/>
    </row>
    <row r="59" ht="18" spans="1:17">
      <c r="A59" s="65"/>
      <c r="B59" s="65"/>
      <c r="C59" s="92"/>
      <c r="D59" s="107" t="s">
        <v>489</v>
      </c>
      <c r="E59" s="107">
        <v>330</v>
      </c>
      <c r="F59" s="108">
        <v>0.5</v>
      </c>
      <c r="G59" s="108">
        <v>0.3</v>
      </c>
      <c r="H59" s="108">
        <v>0.2</v>
      </c>
      <c r="I59" s="110"/>
      <c r="J59" s="110"/>
      <c r="K59" s="109"/>
      <c r="L59" s="109"/>
      <c r="M59" s="109"/>
      <c r="N59" s="93"/>
    </row>
    <row r="60" ht="18" spans="1:17">
      <c r="A60" s="65"/>
      <c r="B60" s="65"/>
      <c r="C60" s="92"/>
      <c r="D60" s="107" t="s">
        <v>490</v>
      </c>
      <c r="E60" s="107">
        <v>350</v>
      </c>
      <c r="F60" s="108">
        <v>0.5</v>
      </c>
      <c r="G60" s="108">
        <v>0.3</v>
      </c>
      <c r="H60" s="108">
        <v>0.2</v>
      </c>
      <c r="I60" s="110"/>
      <c r="J60" s="110"/>
      <c r="K60" s="109"/>
      <c r="L60" s="109"/>
      <c r="M60" s="109"/>
      <c r="N60" s="93"/>
    </row>
    <row r="61" ht="18" spans="1:17">
      <c r="A61" s="65"/>
      <c r="B61" s="65"/>
      <c r="C61" s="92"/>
      <c r="D61" s="107" t="s">
        <v>491</v>
      </c>
      <c r="E61" s="107">
        <v>370</v>
      </c>
      <c r="F61" s="108">
        <v>0.5</v>
      </c>
      <c r="G61" s="108">
        <v>0.3</v>
      </c>
      <c r="H61" s="108">
        <v>0.2</v>
      </c>
      <c r="I61" s="110"/>
      <c r="J61" s="110"/>
      <c r="K61" s="109"/>
      <c r="L61" s="109"/>
      <c r="M61" s="109"/>
      <c r="N61" s="93"/>
    </row>
    <row r="62" ht="18" spans="1:17">
      <c r="A62" s="65"/>
      <c r="B62" s="65"/>
      <c r="C62" s="92"/>
      <c r="D62" s="107" t="s">
        <v>492</v>
      </c>
      <c r="E62" s="107">
        <v>390</v>
      </c>
      <c r="F62" s="108">
        <v>0.5</v>
      </c>
      <c r="G62" s="108">
        <v>0.3</v>
      </c>
      <c r="H62" s="108">
        <v>0.2</v>
      </c>
      <c r="I62" s="110"/>
      <c r="J62" s="110"/>
      <c r="K62" s="109"/>
      <c r="L62" s="109"/>
      <c r="M62" s="109"/>
      <c r="N62" s="93"/>
    </row>
    <row r="63" ht="18" spans="1:17">
      <c r="A63" s="65"/>
      <c r="B63" s="65"/>
      <c r="C63" s="92"/>
      <c r="D63" s="107" t="s">
        <v>493</v>
      </c>
      <c r="E63" s="107">
        <v>410</v>
      </c>
      <c r="F63" s="108">
        <v>0.5</v>
      </c>
      <c r="G63" s="108">
        <v>0.3</v>
      </c>
      <c r="H63" s="108">
        <v>0.2</v>
      </c>
      <c r="I63" s="110"/>
      <c r="J63" s="110"/>
      <c r="K63" s="109"/>
      <c r="L63" s="109"/>
      <c r="M63" s="109"/>
      <c r="N63" s="93"/>
    </row>
    <row r="64" ht="18" spans="1:17">
      <c r="A64" s="65"/>
      <c r="B64" s="65"/>
      <c r="C64" s="92"/>
      <c r="D64" s="107" t="s">
        <v>494</v>
      </c>
      <c r="E64" s="107">
        <v>430</v>
      </c>
      <c r="F64" s="108">
        <v>0.5</v>
      </c>
      <c r="G64" s="108">
        <v>0.3</v>
      </c>
      <c r="H64" s="108">
        <v>0.2</v>
      </c>
      <c r="I64" s="110"/>
      <c r="J64" s="110"/>
      <c r="K64" s="109"/>
      <c r="L64" s="109"/>
      <c r="M64" s="109"/>
      <c r="N64" s="93"/>
    </row>
    <row r="65" ht="18" spans="1:14">
      <c r="A65" s="65"/>
      <c r="B65" s="65"/>
      <c r="C65" s="92"/>
      <c r="D65" s="107" t="s">
        <v>495</v>
      </c>
      <c r="E65" s="107">
        <v>450</v>
      </c>
      <c r="F65" s="108">
        <v>0.5</v>
      </c>
      <c r="G65" s="108">
        <v>0.3</v>
      </c>
      <c r="H65" s="108">
        <v>0.2</v>
      </c>
      <c r="I65" s="110"/>
      <c r="J65" s="110"/>
      <c r="K65" s="109"/>
      <c r="L65" s="109"/>
      <c r="M65" s="109"/>
      <c r="N65" s="93"/>
    </row>
    <row r="66" ht="18" spans="1:14">
      <c r="A66" s="65"/>
      <c r="B66" s="65"/>
      <c r="C66" s="92"/>
      <c r="D66" s="107" t="s">
        <v>496</v>
      </c>
      <c r="E66" s="107">
        <v>470</v>
      </c>
      <c r="F66" s="108">
        <v>0.5</v>
      </c>
      <c r="G66" s="108">
        <v>0.3</v>
      </c>
      <c r="H66" s="108">
        <v>0.2</v>
      </c>
      <c r="I66" s="110"/>
      <c r="J66" s="110"/>
      <c r="K66" s="109"/>
      <c r="L66" s="109"/>
      <c r="M66" s="109"/>
      <c r="N66" s="93"/>
    </row>
    <row r="67" ht="18" spans="1:14">
      <c r="A67" s="65"/>
      <c r="B67" s="65"/>
      <c r="C67" s="92"/>
      <c r="D67" s="65"/>
      <c r="E67" s="93"/>
      <c r="F67" s="93"/>
      <c r="G67" s="93"/>
      <c r="H67" s="93"/>
      <c r="I67" s="93"/>
      <c r="J67" s="93"/>
      <c r="K67" s="93"/>
      <c r="L67" s="93"/>
      <c r="M67" s="93"/>
      <c r="N67" s="93"/>
    </row>
    <row r="68" ht="18" spans="1:14">
      <c r="A68" s="65"/>
      <c r="B68" s="65"/>
      <c r="C68" s="92"/>
      <c r="D68" s="65"/>
      <c r="E68" s="93"/>
      <c r="F68" s="93"/>
      <c r="G68" s="93"/>
      <c r="H68" s="93"/>
      <c r="I68" s="93"/>
      <c r="J68" s="93"/>
      <c r="K68" s="93"/>
      <c r="L68" s="93"/>
      <c r="M68" s="93"/>
      <c r="N68" s="93"/>
    </row>
    <row r="69" ht="17.25" spans="1:14">
      <c r="A69" s="65"/>
      <c r="B69" s="98"/>
      <c r="C69" s="99" t="s">
        <v>497</v>
      </c>
      <c r="D69" s="65"/>
      <c r="E69" s="93"/>
      <c r="F69" s="93"/>
      <c r="G69" s="93"/>
      <c r="H69" s="93"/>
      <c r="I69" s="93"/>
      <c r="J69" s="93"/>
      <c r="K69" s="93"/>
      <c r="L69" s="93"/>
      <c r="M69" s="93"/>
      <c r="N69" s="93"/>
    </row>
    <row r="70" ht="18" spans="1:14">
      <c r="A70" s="65"/>
      <c r="B70" s="65"/>
      <c r="C70" s="92"/>
      <c r="L70" s="93"/>
      <c r="M70" s="93"/>
      <c r="N70" s="93"/>
    </row>
    <row r="71" ht="18" spans="1:14">
      <c r="A71" s="65"/>
      <c r="B71" s="65"/>
      <c r="C71" s="92"/>
      <c r="L71" s="93"/>
      <c r="M71" s="93"/>
      <c r="N71" s="93"/>
    </row>
    <row r="72" ht="18" spans="1:14">
      <c r="A72" s="65"/>
      <c r="B72" s="65"/>
      <c r="C72" s="92"/>
      <c r="D72" s="71" t="s">
        <v>452</v>
      </c>
      <c r="E72" s="111" t="s">
        <v>498</v>
      </c>
    </row>
    <row r="73" ht="18" spans="1:14">
      <c r="A73" s="65"/>
      <c r="B73" s="65"/>
      <c r="C73" s="92"/>
      <c r="D73" s="112" t="s">
        <v>457</v>
      </c>
      <c r="E73" s="112" t="s">
        <v>499</v>
      </c>
      <c r="F73" s="112" t="s">
        <v>500</v>
      </c>
      <c r="G73" s="112" t="s">
        <v>501</v>
      </c>
      <c r="H73" s="112" t="s">
        <v>502</v>
      </c>
      <c r="I73" s="112" t="s">
        <v>503</v>
      </c>
      <c r="J73" s="112" t="s">
        <v>504</v>
      </c>
    </row>
    <row r="74" ht="18" spans="1:14">
      <c r="A74" s="65"/>
      <c r="B74" s="65"/>
      <c r="C74" s="92"/>
      <c r="D74" s="113">
        <v>1</v>
      </c>
      <c r="E74" s="114">
        <v>6</v>
      </c>
      <c r="F74" s="115">
        <f>H82/J74</f>
        <v>20</v>
      </c>
      <c r="G74" s="115">
        <f>H83/J74</f>
        <v>20.5</v>
      </c>
      <c r="H74" s="115">
        <f>H86/J74</f>
        <v>23</v>
      </c>
      <c r="I74" s="115">
        <f>H89/J74</f>
        <v>35.6428571428571</v>
      </c>
      <c r="J74" s="115">
        <v>20</v>
      </c>
    </row>
    <row r="75" ht="18" spans="1:14">
      <c r="A75" s="65"/>
      <c r="B75" s="65"/>
      <c r="C75" s="92"/>
      <c r="F75" s="116"/>
      <c r="G75" s="116"/>
      <c r="H75" s="116"/>
      <c r="I75" s="116"/>
      <c r="J75" s="116"/>
      <c r="K75" s="116"/>
      <c r="L75" s="116"/>
    </row>
    <row r="76" ht="18" spans="1:14">
      <c r="A76" s="65"/>
      <c r="B76" s="65"/>
      <c r="C76" s="92"/>
    </row>
    <row r="77" ht="18" spans="1:14">
      <c r="A77" s="65"/>
      <c r="B77" s="65"/>
      <c r="C77" s="92"/>
      <c r="D77" s="117" t="s">
        <v>505</v>
      </c>
      <c r="E77" s="117" t="s">
        <v>463</v>
      </c>
      <c r="F77" s="117" t="s">
        <v>506</v>
      </c>
      <c r="G77" s="118" t="s">
        <v>507</v>
      </c>
      <c r="H77" s="118" t="s">
        <v>508</v>
      </c>
      <c r="I77" s="118" t="s">
        <v>509</v>
      </c>
      <c r="J77" s="118" t="s">
        <v>510</v>
      </c>
      <c r="K77" s="118" t="s">
        <v>511</v>
      </c>
      <c r="L77" s="119" t="s">
        <v>512</v>
      </c>
      <c r="M77" s="120"/>
    </row>
    <row r="78" ht="18" spans="1:14">
      <c r="A78" s="65"/>
      <c r="B78" s="65"/>
      <c r="C78" s="92"/>
      <c r="D78" s="121" t="s">
        <v>513</v>
      </c>
      <c r="E78" s="122">
        <v>0</v>
      </c>
      <c r="F78" s="123">
        <v>60</v>
      </c>
      <c r="G78" s="124"/>
      <c r="H78" s="122"/>
      <c r="I78" s="122">
        <v>0</v>
      </c>
      <c r="J78" s="122"/>
      <c r="K78" s="125" t="s">
        <v>514</v>
      </c>
      <c r="L78" s="123"/>
      <c r="M78" s="126"/>
    </row>
    <row r="79" ht="18" spans="1:14">
      <c r="A79" s="65"/>
      <c r="B79" s="65"/>
      <c r="C79" s="92"/>
      <c r="D79" s="121" t="s">
        <v>515</v>
      </c>
      <c r="E79" s="122">
        <f>10*24</f>
        <v>240</v>
      </c>
      <c r="F79" s="123">
        <v>1</v>
      </c>
      <c r="G79" s="122">
        <f t="shared" ref="G79:G89" si="5">E79*F79</f>
        <v>240</v>
      </c>
      <c r="H79" s="122">
        <f>G79</f>
        <v>240</v>
      </c>
      <c r="I79" s="122">
        <v>0</v>
      </c>
      <c r="J79" s="122"/>
      <c r="K79" s="125" t="s">
        <v>514</v>
      </c>
      <c r="L79" s="123"/>
      <c r="M79" s="126"/>
    </row>
    <row r="80" ht="18" spans="1:14">
      <c r="A80" s="65"/>
      <c r="B80" s="65"/>
      <c r="C80" s="92"/>
      <c r="D80" s="121" t="s">
        <v>516</v>
      </c>
      <c r="E80" s="122">
        <v>3</v>
      </c>
      <c r="F80" s="122">
        <v>10</v>
      </c>
      <c r="G80" s="122">
        <f t="shared" si="5"/>
        <v>30</v>
      </c>
      <c r="H80" s="122">
        <f t="shared" ref="H80:H89" si="6">G80+H79</f>
        <v>270</v>
      </c>
      <c r="I80" s="122">
        <v>0</v>
      </c>
      <c r="J80" s="122"/>
      <c r="K80" s="125" t="s">
        <v>514</v>
      </c>
      <c r="L80" s="123"/>
      <c r="M80" s="126"/>
    </row>
    <row r="81" ht="18" spans="1:22">
      <c r="A81" s="65"/>
      <c r="B81" s="65"/>
      <c r="C81" s="92"/>
      <c r="D81" s="121" t="s">
        <v>517</v>
      </c>
      <c r="E81" s="122">
        <v>4</v>
      </c>
      <c r="F81" s="122">
        <v>30</v>
      </c>
      <c r="G81" s="122">
        <f t="shared" si="5"/>
        <v>120</v>
      </c>
      <c r="H81" s="122">
        <f t="shared" si="6"/>
        <v>390</v>
      </c>
      <c r="I81" s="125">
        <v>0</v>
      </c>
      <c r="J81" s="125"/>
      <c r="K81" s="125" t="s">
        <v>514</v>
      </c>
      <c r="L81" s="123"/>
      <c r="M81" s="126"/>
    </row>
    <row r="82" ht="18" spans="1:22">
      <c r="A82" s="65"/>
      <c r="B82" s="65"/>
      <c r="C82" s="92"/>
      <c r="D82" s="121" t="s">
        <v>518</v>
      </c>
      <c r="E82" s="122">
        <v>1</v>
      </c>
      <c r="F82" s="122">
        <v>10</v>
      </c>
      <c r="G82" s="122">
        <f t="shared" si="5"/>
        <v>10</v>
      </c>
      <c r="H82" s="122">
        <f t="shared" si="6"/>
        <v>400</v>
      </c>
      <c r="I82" s="125">
        <v>0</v>
      </c>
      <c r="J82" s="125"/>
      <c r="K82" s="125" t="s">
        <v>514</v>
      </c>
      <c r="L82" s="123"/>
      <c r="M82" s="126"/>
    </row>
    <row r="83" ht="18" spans="1:22">
      <c r="A83" s="65"/>
      <c r="B83" s="65"/>
      <c r="C83" s="92"/>
      <c r="D83" s="121" t="s">
        <v>519</v>
      </c>
      <c r="E83" s="122">
        <v>1</v>
      </c>
      <c r="F83" s="122">
        <v>10</v>
      </c>
      <c r="G83" s="122">
        <f t="shared" si="5"/>
        <v>10</v>
      </c>
      <c r="H83" s="122">
        <f t="shared" si="6"/>
        <v>410</v>
      </c>
      <c r="I83" s="125"/>
      <c r="J83" s="125">
        <v>1</v>
      </c>
      <c r="K83" s="125" t="s">
        <v>501</v>
      </c>
      <c r="L83" s="123"/>
      <c r="M83" s="126"/>
    </row>
    <row r="84" ht="18" spans="1:22">
      <c r="A84" s="65"/>
      <c r="B84" s="65"/>
      <c r="C84" s="92"/>
      <c r="D84" s="121" t="s">
        <v>520</v>
      </c>
      <c r="E84" s="122">
        <v>1</v>
      </c>
      <c r="F84" s="122">
        <v>10</v>
      </c>
      <c r="G84" s="122">
        <f t="shared" si="5"/>
        <v>10</v>
      </c>
      <c r="H84" s="122">
        <f t="shared" si="6"/>
        <v>420</v>
      </c>
      <c r="I84" s="125"/>
      <c r="J84" s="125">
        <v>1</v>
      </c>
      <c r="K84" s="125" t="s">
        <v>501</v>
      </c>
      <c r="L84" s="123" t="s">
        <v>521</v>
      </c>
      <c r="M84" s="126"/>
    </row>
    <row r="85" ht="18" spans="1:22">
      <c r="A85" s="65"/>
      <c r="B85" s="65"/>
      <c r="C85" s="92"/>
      <c r="D85" s="121" t="s">
        <v>522</v>
      </c>
      <c r="E85" s="122">
        <v>1</v>
      </c>
      <c r="F85" s="122">
        <v>15</v>
      </c>
      <c r="G85" s="122">
        <f t="shared" si="5"/>
        <v>15</v>
      </c>
      <c r="H85" s="122">
        <f t="shared" si="6"/>
        <v>435</v>
      </c>
      <c r="I85" s="125"/>
      <c r="J85" s="125">
        <v>6</v>
      </c>
      <c r="K85" s="125" t="s">
        <v>501</v>
      </c>
      <c r="L85" s="123" t="s">
        <v>521</v>
      </c>
      <c r="M85" s="126"/>
      <c r="Q85" s="45">
        <v>156</v>
      </c>
    </row>
    <row r="86" ht="18" spans="1:22">
      <c r="A86" s="65"/>
      <c r="B86" s="65"/>
      <c r="C86" s="92"/>
      <c r="D86" s="121" t="s">
        <v>523</v>
      </c>
      <c r="E86" s="122">
        <v>1</v>
      </c>
      <c r="F86" s="122">
        <v>25</v>
      </c>
      <c r="G86" s="122">
        <f t="shared" si="5"/>
        <v>25</v>
      </c>
      <c r="H86" s="122">
        <f t="shared" si="6"/>
        <v>460</v>
      </c>
      <c r="I86" s="125"/>
      <c r="J86" s="125">
        <v>18</v>
      </c>
      <c r="K86" s="125" t="s">
        <v>501</v>
      </c>
      <c r="L86" s="123" t="s">
        <v>521</v>
      </c>
      <c r="M86" s="126"/>
      <c r="Q86" s="45">
        <v>280</v>
      </c>
    </row>
    <row r="87" ht="18" spans="1:22">
      <c r="A87" s="65"/>
      <c r="B87" s="65"/>
      <c r="C87" s="92"/>
      <c r="D87" s="121" t="s">
        <v>524</v>
      </c>
      <c r="E87" s="122">
        <v>1</v>
      </c>
      <c r="F87" s="122">
        <v>60</v>
      </c>
      <c r="G87" s="122">
        <f t="shared" si="5"/>
        <v>60</v>
      </c>
      <c r="H87" s="122">
        <f t="shared" si="6"/>
        <v>520</v>
      </c>
      <c r="I87" s="125">
        <v>96</v>
      </c>
      <c r="J87" s="125"/>
      <c r="K87" s="125" t="s">
        <v>502</v>
      </c>
      <c r="L87" s="123"/>
      <c r="M87" s="126"/>
      <c r="Q87" s="45">
        <f>342/280</f>
        <v>1.22142857142857</v>
      </c>
    </row>
    <row r="88" ht="18" spans="1:22">
      <c r="A88" s="65"/>
      <c r="B88" s="65"/>
      <c r="C88" s="92"/>
      <c r="D88" s="121" t="s">
        <v>525</v>
      </c>
      <c r="E88" s="122">
        <f>1/7</f>
        <v>0.142857142857143</v>
      </c>
      <c r="F88" s="122">
        <f>60*5</f>
        <v>300</v>
      </c>
      <c r="G88" s="122">
        <f t="shared" si="5"/>
        <v>42.8571428571429</v>
      </c>
      <c r="H88" s="122">
        <f t="shared" si="6"/>
        <v>562.857142857143</v>
      </c>
      <c r="I88" s="125">
        <f>84*5</f>
        <v>420</v>
      </c>
      <c r="J88" s="125"/>
      <c r="K88" s="125" t="s">
        <v>502</v>
      </c>
      <c r="L88" s="123" t="s">
        <v>526</v>
      </c>
      <c r="M88" s="126"/>
      <c r="Q88" s="45">
        <f>405/342</f>
        <v>1.18421052631579</v>
      </c>
    </row>
    <row r="89" ht="18" spans="1:22">
      <c r="A89" s="65"/>
      <c r="B89" s="65"/>
      <c r="C89" s="92"/>
      <c r="D89" s="121" t="s">
        <v>527</v>
      </c>
      <c r="E89" s="122">
        <v>5</v>
      </c>
      <c r="F89" s="122">
        <v>30</v>
      </c>
      <c r="G89" s="122">
        <f t="shared" si="5"/>
        <v>150</v>
      </c>
      <c r="H89" s="122">
        <f t="shared" si="6"/>
        <v>712.857142857143</v>
      </c>
      <c r="I89" s="122">
        <v>60</v>
      </c>
      <c r="J89" s="124"/>
      <c r="K89" s="125" t="s">
        <v>503</v>
      </c>
      <c r="L89" s="123"/>
      <c r="M89" s="126"/>
    </row>
    <row r="90" ht="18" spans="1:22">
      <c r="A90" s="65"/>
      <c r="B90" s="65"/>
      <c r="C90" s="92"/>
      <c r="M90" s="93"/>
      <c r="N90" s="93"/>
      <c r="R90" s="60" t="s">
        <v>528</v>
      </c>
    </row>
    <row r="91" ht="18" spans="1:22">
      <c r="A91" s="65"/>
      <c r="B91" s="65"/>
      <c r="C91" s="92"/>
      <c r="E91" s="45">
        <v>1</v>
      </c>
      <c r="F91" s="45">
        <v>2</v>
      </c>
      <c r="G91" s="45">
        <v>1.5</v>
      </c>
      <c r="H91" s="45">
        <f>4/3</f>
        <v>1.33333333333333</v>
      </c>
      <c r="I91" s="93">
        <v>2</v>
      </c>
      <c r="J91" s="93">
        <v>1.5</v>
      </c>
      <c r="K91" s="93">
        <v>3</v>
      </c>
      <c r="L91" s="93">
        <v>2</v>
      </c>
      <c r="M91" s="93"/>
      <c r="N91" s="93"/>
      <c r="S91" s="45">
        <v>1.2</v>
      </c>
      <c r="T91" s="45">
        <v>1.3</v>
      </c>
      <c r="U91" s="45">
        <v>1.3</v>
      </c>
      <c r="V91" s="45">
        <v>1.5</v>
      </c>
    </row>
    <row r="92" ht="18" spans="1:22">
      <c r="A92" s="65"/>
      <c r="B92" s="65"/>
      <c r="C92" s="92"/>
      <c r="D92" s="106" t="s">
        <v>529</v>
      </c>
      <c r="E92" s="106" t="s">
        <v>58</v>
      </c>
      <c r="F92" s="106" t="s">
        <v>59</v>
      </c>
      <c r="G92" s="106" t="s">
        <v>31</v>
      </c>
      <c r="H92" s="106" t="s">
        <v>32</v>
      </c>
      <c r="I92" s="106" t="s">
        <v>33</v>
      </c>
      <c r="J92" s="106" t="s">
        <v>34</v>
      </c>
      <c r="K92" s="49" t="s">
        <v>36</v>
      </c>
      <c r="L92" s="49" t="s">
        <v>35</v>
      </c>
      <c r="M92" s="93"/>
      <c r="N92" s="106" t="s">
        <v>530</v>
      </c>
      <c r="O92" s="106" t="s">
        <v>58</v>
      </c>
      <c r="P92" s="106" t="s">
        <v>59</v>
      </c>
      <c r="Q92" s="106" t="s">
        <v>31</v>
      </c>
      <c r="R92" s="106" t="s">
        <v>32</v>
      </c>
      <c r="S92" s="106" t="s">
        <v>33</v>
      </c>
      <c r="T92" s="106" t="s">
        <v>34</v>
      </c>
      <c r="U92" s="49" t="s">
        <v>35</v>
      </c>
      <c r="V92" s="49" t="s">
        <v>36</v>
      </c>
    </row>
    <row r="93" ht="18" spans="1:22">
      <c r="A93" s="65"/>
      <c r="B93" s="65"/>
      <c r="C93" s="92"/>
      <c r="D93" s="45">
        <v>1</v>
      </c>
      <c r="E93" s="45">
        <v>10</v>
      </c>
      <c r="F93" s="73">
        <f>E93*F$91</f>
        <v>20</v>
      </c>
      <c r="G93" s="73">
        <f t="shared" ref="G93:L93" si="7">F93*G$91</f>
        <v>30</v>
      </c>
      <c r="H93" s="73">
        <f t="shared" si="7"/>
        <v>39.9999999999999</v>
      </c>
      <c r="I93" s="73">
        <f t="shared" si="7"/>
        <v>79.9999999999998</v>
      </c>
      <c r="J93" s="73">
        <f t="shared" si="7"/>
        <v>120</v>
      </c>
      <c r="K93" s="73">
        <f t="shared" si="7"/>
        <v>359.999999999999</v>
      </c>
      <c r="L93" s="73">
        <f t="shared" si="7"/>
        <v>719.999999999998</v>
      </c>
      <c r="M93" s="73"/>
      <c r="N93" s="45">
        <v>1</v>
      </c>
      <c r="P93" s="73"/>
      <c r="Q93" s="73"/>
      <c r="R93" s="127">
        <f>G93</f>
        <v>30</v>
      </c>
      <c r="S93" s="127">
        <f>CEILING(R93*S$91,2)</f>
        <v>36</v>
      </c>
      <c r="T93" s="127">
        <f>CEILING(S93*T$91,2)</f>
        <v>48</v>
      </c>
      <c r="U93" s="127">
        <f>CEILING(T93*U$91,2)</f>
        <v>64</v>
      </c>
      <c r="V93" s="127">
        <f>CEILING(U93*V$91,2)</f>
        <v>96</v>
      </c>
    </row>
    <row r="94" ht="18" spans="1:22">
      <c r="A94" s="65"/>
      <c r="B94" s="65"/>
      <c r="C94" s="92"/>
      <c r="D94" s="45">
        <v>10</v>
      </c>
      <c r="E94" s="45">
        <f>E93+2</f>
        <v>12</v>
      </c>
      <c r="F94" s="73">
        <f t="shared" ref="F94:F118" si="8">E94*F$91</f>
        <v>24</v>
      </c>
      <c r="G94" s="73">
        <f t="shared" ref="G94:G118" si="9">F94*G$91</f>
        <v>36</v>
      </c>
      <c r="H94" s="73">
        <f t="shared" ref="H94:H118" si="10">G94*H$91</f>
        <v>48</v>
      </c>
      <c r="I94" s="73">
        <f t="shared" ref="I94:I118" si="11">H94*I$91</f>
        <v>96</v>
      </c>
      <c r="J94" s="73">
        <f t="shared" ref="J94:J118" si="12">I94*J$91</f>
        <v>144</v>
      </c>
      <c r="K94" s="73">
        <f t="shared" ref="K94:K118" si="13">J94*K$91</f>
        <v>432</v>
      </c>
      <c r="L94" s="73">
        <f t="shared" ref="L94:L118" si="14">K94*L$91</f>
        <v>864</v>
      </c>
      <c r="M94" s="93"/>
      <c r="N94" s="45">
        <v>10</v>
      </c>
      <c r="P94" s="73"/>
      <c r="Q94" s="73"/>
      <c r="R94" s="127">
        <f t="shared" ref="R94:R118" si="15">G94</f>
        <v>36</v>
      </c>
      <c r="S94" s="127">
        <f t="shared" ref="S94:S118" si="16">CEILING(R94*S$91,2)</f>
        <v>44</v>
      </c>
      <c r="T94" s="127">
        <f t="shared" ref="T94:T118" si="17">CEILING(S94*T$91,2)</f>
        <v>58</v>
      </c>
      <c r="U94" s="127">
        <f t="shared" ref="U94:U118" si="18">CEILING(T94*U$91,2)</f>
        <v>76</v>
      </c>
      <c r="V94" s="127">
        <f t="shared" ref="V94:V118" si="19">CEILING(U94*V$91,2)</f>
        <v>114</v>
      </c>
    </row>
    <row r="95" ht="18" spans="1:22">
      <c r="A95" s="65"/>
      <c r="B95" s="65"/>
      <c r="C95" s="92"/>
      <c r="D95" s="45">
        <v>20</v>
      </c>
      <c r="E95" s="45">
        <f>E94+2</f>
        <v>14</v>
      </c>
      <c r="F95" s="73">
        <f t="shared" si="8"/>
        <v>28</v>
      </c>
      <c r="G95" s="73">
        <f t="shared" si="9"/>
        <v>42</v>
      </c>
      <c r="H95" s="73">
        <f t="shared" si="10"/>
        <v>56</v>
      </c>
      <c r="I95" s="73">
        <f t="shared" si="11"/>
        <v>112</v>
      </c>
      <c r="J95" s="73">
        <f t="shared" si="12"/>
        <v>168</v>
      </c>
      <c r="K95" s="73">
        <f t="shared" si="13"/>
        <v>504</v>
      </c>
      <c r="L95" s="73">
        <f t="shared" si="14"/>
        <v>1008</v>
      </c>
      <c r="M95" s="93"/>
      <c r="N95" s="45">
        <v>20</v>
      </c>
      <c r="P95" s="73"/>
      <c r="Q95" s="73"/>
      <c r="R95" s="127">
        <f t="shared" si="15"/>
        <v>42</v>
      </c>
      <c r="S95" s="127">
        <f t="shared" si="16"/>
        <v>52</v>
      </c>
      <c r="T95" s="127">
        <f t="shared" si="17"/>
        <v>68</v>
      </c>
      <c r="U95" s="127">
        <f t="shared" si="18"/>
        <v>90</v>
      </c>
      <c r="V95" s="127">
        <f t="shared" si="19"/>
        <v>136</v>
      </c>
    </row>
    <row r="96" ht="18" spans="1:22">
      <c r="A96" s="65"/>
      <c r="B96" s="65"/>
      <c r="C96" s="92"/>
      <c r="D96" s="45">
        <v>30</v>
      </c>
      <c r="E96" s="45">
        <f>E95+2</f>
        <v>16</v>
      </c>
      <c r="F96" s="73">
        <f t="shared" si="8"/>
        <v>32</v>
      </c>
      <c r="G96" s="73">
        <f t="shared" si="9"/>
        <v>48</v>
      </c>
      <c r="H96" s="73">
        <f t="shared" si="10"/>
        <v>64</v>
      </c>
      <c r="I96" s="73">
        <f t="shared" si="11"/>
        <v>128</v>
      </c>
      <c r="J96" s="73">
        <f t="shared" si="12"/>
        <v>192</v>
      </c>
      <c r="K96" s="73">
        <f t="shared" si="13"/>
        <v>576</v>
      </c>
      <c r="L96" s="73">
        <f t="shared" si="14"/>
        <v>1152</v>
      </c>
      <c r="M96" s="93"/>
      <c r="N96" s="45">
        <v>30</v>
      </c>
      <c r="P96" s="73"/>
      <c r="Q96" s="73"/>
      <c r="R96" s="127">
        <f t="shared" si="15"/>
        <v>48</v>
      </c>
      <c r="S96" s="127">
        <f t="shared" si="16"/>
        <v>58</v>
      </c>
      <c r="T96" s="127">
        <f t="shared" si="17"/>
        <v>76</v>
      </c>
      <c r="U96" s="127">
        <f t="shared" si="18"/>
        <v>100</v>
      </c>
      <c r="V96" s="127">
        <f t="shared" si="19"/>
        <v>150</v>
      </c>
    </row>
    <row r="97" ht="18" spans="1:22">
      <c r="A97" s="65"/>
      <c r="B97" s="65"/>
      <c r="C97" s="92"/>
      <c r="D97" s="45">
        <v>40</v>
      </c>
      <c r="E97" s="45">
        <f>E96+2</f>
        <v>18</v>
      </c>
      <c r="F97" s="73">
        <f t="shared" si="8"/>
        <v>36</v>
      </c>
      <c r="G97" s="73">
        <f t="shared" si="9"/>
        <v>54</v>
      </c>
      <c r="H97" s="73">
        <f t="shared" si="10"/>
        <v>72</v>
      </c>
      <c r="I97" s="73">
        <f t="shared" si="11"/>
        <v>144</v>
      </c>
      <c r="J97" s="73">
        <f t="shared" si="12"/>
        <v>216</v>
      </c>
      <c r="K97" s="73">
        <f t="shared" si="13"/>
        <v>648</v>
      </c>
      <c r="L97" s="73">
        <f t="shared" si="14"/>
        <v>1296</v>
      </c>
      <c r="M97" s="93"/>
      <c r="N97" s="45">
        <v>40</v>
      </c>
      <c r="P97" s="73"/>
      <c r="Q97" s="73"/>
      <c r="R97" s="127">
        <f t="shared" si="15"/>
        <v>54</v>
      </c>
      <c r="S97" s="127">
        <f t="shared" si="16"/>
        <v>66</v>
      </c>
      <c r="T97" s="127">
        <f t="shared" si="17"/>
        <v>86</v>
      </c>
      <c r="U97" s="127">
        <f t="shared" si="18"/>
        <v>112</v>
      </c>
      <c r="V97" s="127">
        <f t="shared" si="19"/>
        <v>168</v>
      </c>
    </row>
    <row r="98" ht="18" spans="1:22">
      <c r="A98" s="65"/>
      <c r="B98" s="65"/>
      <c r="C98" s="92"/>
      <c r="D98" s="45">
        <v>50</v>
      </c>
      <c r="E98" s="45">
        <f>E97+2</f>
        <v>20</v>
      </c>
      <c r="F98" s="73">
        <f t="shared" si="8"/>
        <v>40</v>
      </c>
      <c r="G98" s="73">
        <f t="shared" si="9"/>
        <v>60</v>
      </c>
      <c r="H98" s="73">
        <f t="shared" si="10"/>
        <v>80</v>
      </c>
      <c r="I98" s="73">
        <f t="shared" si="11"/>
        <v>160</v>
      </c>
      <c r="J98" s="73">
        <f t="shared" si="12"/>
        <v>240</v>
      </c>
      <c r="K98" s="73">
        <f t="shared" si="13"/>
        <v>720</v>
      </c>
      <c r="L98" s="73">
        <f t="shared" si="14"/>
        <v>1440</v>
      </c>
      <c r="M98" s="93"/>
      <c r="N98" s="45">
        <v>50</v>
      </c>
      <c r="P98" s="73"/>
      <c r="Q98" s="73"/>
      <c r="R98" s="127">
        <f t="shared" si="15"/>
        <v>60</v>
      </c>
      <c r="S98" s="127">
        <f t="shared" si="16"/>
        <v>72</v>
      </c>
      <c r="T98" s="127">
        <f t="shared" si="17"/>
        <v>94</v>
      </c>
      <c r="U98" s="127">
        <f t="shared" si="18"/>
        <v>124</v>
      </c>
      <c r="V98" s="127">
        <f t="shared" si="19"/>
        <v>186</v>
      </c>
    </row>
    <row r="99" ht="18" spans="1:22">
      <c r="A99" s="65"/>
      <c r="B99" s="65"/>
      <c r="C99" s="92"/>
      <c r="D99" s="45">
        <v>60</v>
      </c>
      <c r="E99" s="45">
        <f>E98+4</f>
        <v>24</v>
      </c>
      <c r="F99" s="73">
        <f t="shared" si="8"/>
        <v>48</v>
      </c>
      <c r="G99" s="73">
        <f t="shared" si="9"/>
        <v>72</v>
      </c>
      <c r="H99" s="73">
        <f t="shared" si="10"/>
        <v>96</v>
      </c>
      <c r="I99" s="73">
        <f t="shared" si="11"/>
        <v>192</v>
      </c>
      <c r="J99" s="73">
        <f t="shared" si="12"/>
        <v>288</v>
      </c>
      <c r="K99" s="73">
        <f t="shared" si="13"/>
        <v>864</v>
      </c>
      <c r="L99" s="73">
        <f t="shared" si="14"/>
        <v>1728</v>
      </c>
      <c r="M99" s="93"/>
      <c r="N99" s="45">
        <v>60</v>
      </c>
      <c r="P99" s="73"/>
      <c r="Q99" s="73"/>
      <c r="R99" s="127">
        <f t="shared" si="15"/>
        <v>72</v>
      </c>
      <c r="S99" s="127">
        <f t="shared" si="16"/>
        <v>88</v>
      </c>
      <c r="T99" s="127">
        <f t="shared" si="17"/>
        <v>116</v>
      </c>
      <c r="U99" s="127">
        <f t="shared" si="18"/>
        <v>152</v>
      </c>
      <c r="V99" s="127">
        <f t="shared" si="19"/>
        <v>228</v>
      </c>
    </row>
    <row r="100" ht="18" spans="1:22">
      <c r="A100" s="65"/>
      <c r="B100" s="65"/>
      <c r="C100" s="92"/>
      <c r="D100" s="45">
        <v>70</v>
      </c>
      <c r="E100" s="45">
        <f>E99+4</f>
        <v>28</v>
      </c>
      <c r="F100" s="73">
        <f t="shared" si="8"/>
        <v>56</v>
      </c>
      <c r="G100" s="73">
        <f t="shared" si="9"/>
        <v>84</v>
      </c>
      <c r="H100" s="73">
        <f t="shared" si="10"/>
        <v>112</v>
      </c>
      <c r="I100" s="73">
        <f t="shared" si="11"/>
        <v>224</v>
      </c>
      <c r="J100" s="73">
        <f t="shared" si="12"/>
        <v>336</v>
      </c>
      <c r="K100" s="73">
        <f t="shared" si="13"/>
        <v>1008</v>
      </c>
      <c r="L100" s="73">
        <f t="shared" si="14"/>
        <v>2016</v>
      </c>
      <c r="M100" s="93"/>
      <c r="N100" s="45">
        <v>70</v>
      </c>
      <c r="P100" s="73"/>
      <c r="Q100" s="73"/>
      <c r="R100" s="127">
        <f t="shared" si="15"/>
        <v>84</v>
      </c>
      <c r="S100" s="127">
        <f t="shared" si="16"/>
        <v>102</v>
      </c>
      <c r="T100" s="127">
        <f t="shared" si="17"/>
        <v>134</v>
      </c>
      <c r="U100" s="127">
        <f t="shared" si="18"/>
        <v>176</v>
      </c>
      <c r="V100" s="127">
        <f t="shared" si="19"/>
        <v>264</v>
      </c>
    </row>
    <row r="101" ht="18" spans="1:22">
      <c r="A101" s="65"/>
      <c r="B101" s="65"/>
      <c r="C101" s="92"/>
      <c r="D101" s="45">
        <v>80</v>
      </c>
      <c r="E101" s="45">
        <f>E100+4</f>
        <v>32</v>
      </c>
      <c r="F101" s="73">
        <f t="shared" si="8"/>
        <v>64</v>
      </c>
      <c r="G101" s="73">
        <f t="shared" si="9"/>
        <v>96</v>
      </c>
      <c r="H101" s="73">
        <f t="shared" si="10"/>
        <v>128</v>
      </c>
      <c r="I101" s="73">
        <f t="shared" si="11"/>
        <v>256</v>
      </c>
      <c r="J101" s="73">
        <f t="shared" si="12"/>
        <v>384</v>
      </c>
      <c r="K101" s="73">
        <f t="shared" si="13"/>
        <v>1152</v>
      </c>
      <c r="L101" s="73">
        <f t="shared" si="14"/>
        <v>2304</v>
      </c>
      <c r="M101" s="93"/>
      <c r="N101" s="45">
        <v>80</v>
      </c>
      <c r="P101" s="73"/>
      <c r="Q101" s="73"/>
      <c r="R101" s="127">
        <f t="shared" si="15"/>
        <v>96</v>
      </c>
      <c r="S101" s="127">
        <f t="shared" si="16"/>
        <v>116</v>
      </c>
      <c r="T101" s="127">
        <f t="shared" si="17"/>
        <v>152</v>
      </c>
      <c r="U101" s="127">
        <f t="shared" si="18"/>
        <v>198</v>
      </c>
      <c r="V101" s="127">
        <f t="shared" si="19"/>
        <v>298</v>
      </c>
    </row>
    <row r="102" ht="18" spans="1:22">
      <c r="A102" s="65"/>
      <c r="B102" s="65"/>
      <c r="C102" s="92"/>
      <c r="D102" s="45">
        <v>90</v>
      </c>
      <c r="E102" s="45">
        <f>E101+4</f>
        <v>36</v>
      </c>
      <c r="F102" s="73">
        <f t="shared" si="8"/>
        <v>72</v>
      </c>
      <c r="G102" s="73">
        <f t="shared" si="9"/>
        <v>108</v>
      </c>
      <c r="H102" s="73">
        <f t="shared" si="10"/>
        <v>144</v>
      </c>
      <c r="I102" s="73">
        <f t="shared" si="11"/>
        <v>288</v>
      </c>
      <c r="J102" s="73">
        <f t="shared" si="12"/>
        <v>432</v>
      </c>
      <c r="K102" s="73">
        <f t="shared" si="13"/>
        <v>1296</v>
      </c>
      <c r="L102" s="73">
        <f t="shared" si="14"/>
        <v>2592</v>
      </c>
      <c r="M102" s="93"/>
      <c r="N102" s="45">
        <v>90</v>
      </c>
      <c r="P102" s="73"/>
      <c r="Q102" s="73"/>
      <c r="R102" s="127">
        <f t="shared" si="15"/>
        <v>108</v>
      </c>
      <c r="S102" s="127">
        <f t="shared" si="16"/>
        <v>130</v>
      </c>
      <c r="T102" s="127">
        <f t="shared" si="17"/>
        <v>170</v>
      </c>
      <c r="U102" s="127">
        <f t="shared" si="18"/>
        <v>222</v>
      </c>
      <c r="V102" s="127">
        <f t="shared" si="19"/>
        <v>334</v>
      </c>
    </row>
    <row r="103" ht="18" spans="1:22">
      <c r="A103" s="65"/>
      <c r="B103" s="65"/>
      <c r="C103" s="92"/>
      <c r="D103" s="45">
        <v>100</v>
      </c>
      <c r="E103" s="45">
        <f>E102+4</f>
        <v>40</v>
      </c>
      <c r="F103" s="73">
        <f t="shared" si="8"/>
        <v>80</v>
      </c>
      <c r="G103" s="73">
        <f t="shared" si="9"/>
        <v>120</v>
      </c>
      <c r="H103" s="73">
        <f t="shared" si="10"/>
        <v>160</v>
      </c>
      <c r="I103" s="73">
        <f t="shared" si="11"/>
        <v>320</v>
      </c>
      <c r="J103" s="73">
        <f t="shared" si="12"/>
        <v>480</v>
      </c>
      <c r="K103" s="73">
        <f t="shared" si="13"/>
        <v>1440</v>
      </c>
      <c r="L103" s="73">
        <f t="shared" si="14"/>
        <v>2880</v>
      </c>
      <c r="M103" s="93"/>
      <c r="N103" s="45">
        <v>100</v>
      </c>
      <c r="P103" s="73"/>
      <c r="Q103" s="73"/>
      <c r="R103" s="127">
        <f t="shared" si="15"/>
        <v>120</v>
      </c>
      <c r="S103" s="127">
        <f t="shared" si="16"/>
        <v>144</v>
      </c>
      <c r="T103" s="127">
        <f t="shared" si="17"/>
        <v>188</v>
      </c>
      <c r="U103" s="127">
        <f t="shared" si="18"/>
        <v>246</v>
      </c>
      <c r="V103" s="127">
        <f t="shared" si="19"/>
        <v>370</v>
      </c>
    </row>
    <row r="104" ht="18" spans="1:22">
      <c r="A104" s="65"/>
      <c r="B104" s="65"/>
      <c r="C104" s="92"/>
      <c r="D104" s="45">
        <v>110</v>
      </c>
      <c r="E104" s="45">
        <f>E103+8</f>
        <v>48</v>
      </c>
      <c r="F104" s="73">
        <f t="shared" si="8"/>
        <v>96</v>
      </c>
      <c r="G104" s="73">
        <f t="shared" si="9"/>
        <v>144</v>
      </c>
      <c r="H104" s="73">
        <f t="shared" si="10"/>
        <v>192</v>
      </c>
      <c r="I104" s="73">
        <f t="shared" si="11"/>
        <v>384</v>
      </c>
      <c r="J104" s="73">
        <f t="shared" si="12"/>
        <v>576</v>
      </c>
      <c r="K104" s="73">
        <f t="shared" si="13"/>
        <v>1728</v>
      </c>
      <c r="L104" s="73">
        <f t="shared" si="14"/>
        <v>3456</v>
      </c>
      <c r="M104" s="93"/>
      <c r="N104" s="45">
        <v>110</v>
      </c>
      <c r="P104" s="73"/>
      <c r="Q104" s="73"/>
      <c r="R104" s="127">
        <f t="shared" si="15"/>
        <v>144</v>
      </c>
      <c r="S104" s="127">
        <f t="shared" si="16"/>
        <v>174</v>
      </c>
      <c r="T104" s="127">
        <f t="shared" si="17"/>
        <v>228</v>
      </c>
      <c r="U104" s="127">
        <f t="shared" si="18"/>
        <v>298</v>
      </c>
      <c r="V104" s="127">
        <f t="shared" si="19"/>
        <v>448</v>
      </c>
    </row>
    <row r="105" ht="18" spans="1:22">
      <c r="A105" s="65"/>
      <c r="B105" s="65"/>
      <c r="C105" s="92"/>
      <c r="D105" s="45">
        <v>120</v>
      </c>
      <c r="E105" s="45">
        <f>E104+8</f>
        <v>56</v>
      </c>
      <c r="F105" s="73">
        <f t="shared" si="8"/>
        <v>112</v>
      </c>
      <c r="G105" s="73">
        <f t="shared" si="9"/>
        <v>168</v>
      </c>
      <c r="H105" s="73">
        <f t="shared" si="10"/>
        <v>224</v>
      </c>
      <c r="I105" s="73">
        <f t="shared" si="11"/>
        <v>448</v>
      </c>
      <c r="J105" s="73">
        <f t="shared" si="12"/>
        <v>672</v>
      </c>
      <c r="K105" s="73">
        <f t="shared" si="13"/>
        <v>2016</v>
      </c>
      <c r="L105" s="73">
        <f t="shared" si="14"/>
        <v>4032</v>
      </c>
      <c r="M105" s="93"/>
      <c r="N105" s="45">
        <v>120</v>
      </c>
      <c r="P105" s="73"/>
      <c r="Q105" s="73"/>
      <c r="R105" s="127">
        <f t="shared" si="15"/>
        <v>168</v>
      </c>
      <c r="S105" s="127">
        <f t="shared" si="16"/>
        <v>202</v>
      </c>
      <c r="T105" s="127">
        <f t="shared" si="17"/>
        <v>264</v>
      </c>
      <c r="U105" s="127">
        <f t="shared" si="18"/>
        <v>344</v>
      </c>
      <c r="V105" s="127">
        <f t="shared" si="19"/>
        <v>516</v>
      </c>
    </row>
    <row r="106" ht="18" spans="1:22">
      <c r="A106" s="65"/>
      <c r="B106" s="65"/>
      <c r="C106" s="92"/>
      <c r="D106" s="45">
        <v>130</v>
      </c>
      <c r="E106" s="45">
        <f>E105+8</f>
        <v>64</v>
      </c>
      <c r="F106" s="73">
        <f t="shared" si="8"/>
        <v>128</v>
      </c>
      <c r="G106" s="73">
        <f t="shared" si="9"/>
        <v>192</v>
      </c>
      <c r="H106" s="73">
        <f t="shared" si="10"/>
        <v>256</v>
      </c>
      <c r="I106" s="73">
        <f t="shared" si="11"/>
        <v>512</v>
      </c>
      <c r="J106" s="73">
        <f t="shared" si="12"/>
        <v>768</v>
      </c>
      <c r="K106" s="73">
        <f t="shared" si="13"/>
        <v>2304</v>
      </c>
      <c r="L106" s="73">
        <f t="shared" si="14"/>
        <v>4608</v>
      </c>
      <c r="M106" s="93"/>
      <c r="N106" s="45">
        <v>130</v>
      </c>
      <c r="P106" s="73"/>
      <c r="Q106" s="73"/>
      <c r="R106" s="127">
        <f t="shared" si="15"/>
        <v>192</v>
      </c>
      <c r="S106" s="127">
        <f t="shared" si="16"/>
        <v>232</v>
      </c>
      <c r="T106" s="127">
        <f t="shared" si="17"/>
        <v>302</v>
      </c>
      <c r="U106" s="127">
        <f t="shared" si="18"/>
        <v>394</v>
      </c>
      <c r="V106" s="127">
        <f t="shared" si="19"/>
        <v>592</v>
      </c>
    </row>
    <row r="107" ht="18" spans="1:22">
      <c r="A107" s="65"/>
      <c r="B107" s="65"/>
      <c r="C107" s="92"/>
      <c r="D107" s="45">
        <v>140</v>
      </c>
      <c r="E107" s="45">
        <f>E106+8</f>
        <v>72</v>
      </c>
      <c r="F107" s="73">
        <f t="shared" si="8"/>
        <v>144</v>
      </c>
      <c r="G107" s="73">
        <f t="shared" si="9"/>
        <v>216</v>
      </c>
      <c r="H107" s="73">
        <f t="shared" si="10"/>
        <v>288</v>
      </c>
      <c r="I107" s="73">
        <f t="shared" si="11"/>
        <v>576</v>
      </c>
      <c r="J107" s="73">
        <f t="shared" si="12"/>
        <v>864</v>
      </c>
      <c r="K107" s="73">
        <f t="shared" si="13"/>
        <v>2592</v>
      </c>
      <c r="L107" s="73">
        <f t="shared" si="14"/>
        <v>5184</v>
      </c>
      <c r="M107" s="93"/>
      <c r="N107" s="45">
        <v>140</v>
      </c>
      <c r="P107" s="73"/>
      <c r="Q107" s="73"/>
      <c r="R107" s="127">
        <f t="shared" si="15"/>
        <v>216</v>
      </c>
      <c r="S107" s="127">
        <f t="shared" si="16"/>
        <v>260</v>
      </c>
      <c r="T107" s="127">
        <f t="shared" si="17"/>
        <v>338</v>
      </c>
      <c r="U107" s="127">
        <f t="shared" si="18"/>
        <v>440</v>
      </c>
      <c r="V107" s="127">
        <f t="shared" si="19"/>
        <v>660</v>
      </c>
    </row>
    <row r="108" ht="18" spans="1:22">
      <c r="A108" s="65"/>
      <c r="B108" s="65"/>
      <c r="C108" s="92"/>
      <c r="D108" s="45">
        <v>150</v>
      </c>
      <c r="E108" s="45">
        <f>E107+8</f>
        <v>80</v>
      </c>
      <c r="F108" s="73">
        <f t="shared" si="8"/>
        <v>160</v>
      </c>
      <c r="G108" s="73">
        <f t="shared" si="9"/>
        <v>240</v>
      </c>
      <c r="H108" s="73">
        <f t="shared" si="10"/>
        <v>320</v>
      </c>
      <c r="I108" s="73">
        <f t="shared" si="11"/>
        <v>640</v>
      </c>
      <c r="J108" s="73">
        <f t="shared" si="12"/>
        <v>960</v>
      </c>
      <c r="K108" s="73">
        <f t="shared" si="13"/>
        <v>2880</v>
      </c>
      <c r="L108" s="73">
        <f t="shared" si="14"/>
        <v>5760</v>
      </c>
      <c r="M108" s="93"/>
      <c r="N108" s="45">
        <v>150</v>
      </c>
      <c r="P108" s="73"/>
      <c r="Q108" s="73"/>
      <c r="R108" s="127">
        <f t="shared" si="15"/>
        <v>240</v>
      </c>
      <c r="S108" s="127">
        <f t="shared" si="16"/>
        <v>288</v>
      </c>
      <c r="T108" s="127">
        <f t="shared" si="17"/>
        <v>376</v>
      </c>
      <c r="U108" s="127">
        <f t="shared" si="18"/>
        <v>490</v>
      </c>
      <c r="V108" s="127">
        <f t="shared" si="19"/>
        <v>736</v>
      </c>
    </row>
    <row r="109" ht="18" spans="1:22">
      <c r="A109" s="65"/>
      <c r="B109" s="65"/>
      <c r="C109" s="92"/>
      <c r="D109" s="45">
        <v>160</v>
      </c>
      <c r="E109" s="45">
        <f t="shared" ref="E109:E118" si="20">E108+16</f>
        <v>96</v>
      </c>
      <c r="F109" s="73">
        <f t="shared" si="8"/>
        <v>192</v>
      </c>
      <c r="G109" s="73">
        <f t="shared" si="9"/>
        <v>288</v>
      </c>
      <c r="H109" s="73">
        <f t="shared" si="10"/>
        <v>384</v>
      </c>
      <c r="I109" s="73">
        <f t="shared" si="11"/>
        <v>768</v>
      </c>
      <c r="J109" s="73">
        <f t="shared" si="12"/>
        <v>1152</v>
      </c>
      <c r="K109" s="73">
        <f t="shared" si="13"/>
        <v>3456</v>
      </c>
      <c r="L109" s="73">
        <f t="shared" si="14"/>
        <v>6912</v>
      </c>
      <c r="M109" s="93"/>
      <c r="N109" s="45">
        <v>160</v>
      </c>
      <c r="P109" s="73"/>
      <c r="Q109" s="73"/>
      <c r="R109" s="127">
        <f t="shared" si="15"/>
        <v>288</v>
      </c>
      <c r="S109" s="127">
        <f t="shared" si="16"/>
        <v>346</v>
      </c>
      <c r="T109" s="127">
        <f t="shared" si="17"/>
        <v>450</v>
      </c>
      <c r="U109" s="127">
        <f t="shared" si="18"/>
        <v>586</v>
      </c>
      <c r="V109" s="127">
        <f t="shared" si="19"/>
        <v>880</v>
      </c>
    </row>
    <row r="110" ht="18" spans="1:22">
      <c r="A110" s="65"/>
      <c r="B110" s="65"/>
      <c r="C110" s="92"/>
      <c r="D110" s="45">
        <v>170</v>
      </c>
      <c r="E110" s="45">
        <f t="shared" si="20"/>
        <v>112</v>
      </c>
      <c r="F110" s="73">
        <f t="shared" si="8"/>
        <v>224</v>
      </c>
      <c r="G110" s="73">
        <f t="shared" si="9"/>
        <v>336</v>
      </c>
      <c r="H110" s="73">
        <f t="shared" si="10"/>
        <v>448</v>
      </c>
      <c r="I110" s="73">
        <f t="shared" si="11"/>
        <v>896</v>
      </c>
      <c r="J110" s="73">
        <f t="shared" si="12"/>
        <v>1344</v>
      </c>
      <c r="K110" s="73">
        <f t="shared" si="13"/>
        <v>4032</v>
      </c>
      <c r="L110" s="73">
        <f t="shared" si="14"/>
        <v>8064</v>
      </c>
      <c r="M110" s="93"/>
      <c r="N110" s="45">
        <v>170</v>
      </c>
      <c r="P110" s="73"/>
      <c r="Q110" s="73"/>
      <c r="R110" s="127">
        <f t="shared" si="15"/>
        <v>336</v>
      </c>
      <c r="S110" s="127">
        <f t="shared" si="16"/>
        <v>404</v>
      </c>
      <c r="T110" s="127">
        <f t="shared" si="17"/>
        <v>526</v>
      </c>
      <c r="U110" s="127">
        <f t="shared" si="18"/>
        <v>684</v>
      </c>
      <c r="V110" s="127">
        <f t="shared" si="19"/>
        <v>1026</v>
      </c>
    </row>
    <row r="111" ht="18" spans="1:22">
      <c r="A111" s="65"/>
      <c r="B111" s="65"/>
      <c r="C111" s="92"/>
      <c r="D111" s="45">
        <v>180</v>
      </c>
      <c r="E111" s="45">
        <f t="shared" si="20"/>
        <v>128</v>
      </c>
      <c r="F111" s="73">
        <f t="shared" si="8"/>
        <v>256</v>
      </c>
      <c r="G111" s="73">
        <f t="shared" si="9"/>
        <v>384</v>
      </c>
      <c r="H111" s="73">
        <f t="shared" si="10"/>
        <v>512</v>
      </c>
      <c r="I111" s="73">
        <f t="shared" si="11"/>
        <v>1024</v>
      </c>
      <c r="J111" s="73">
        <f t="shared" si="12"/>
        <v>1536</v>
      </c>
      <c r="K111" s="73">
        <f t="shared" si="13"/>
        <v>4608</v>
      </c>
      <c r="L111" s="73">
        <f t="shared" si="14"/>
        <v>9216</v>
      </c>
      <c r="M111" s="93"/>
      <c r="N111" s="45">
        <v>180</v>
      </c>
      <c r="P111" s="73"/>
      <c r="Q111" s="73"/>
      <c r="R111" s="127">
        <f t="shared" si="15"/>
        <v>384</v>
      </c>
      <c r="S111" s="127">
        <f t="shared" si="16"/>
        <v>462</v>
      </c>
      <c r="T111" s="127">
        <f t="shared" si="17"/>
        <v>602</v>
      </c>
      <c r="U111" s="127">
        <f t="shared" si="18"/>
        <v>784</v>
      </c>
      <c r="V111" s="127">
        <f t="shared" si="19"/>
        <v>1176</v>
      </c>
    </row>
    <row r="112" ht="18" spans="1:22">
      <c r="A112" s="65"/>
      <c r="B112" s="65"/>
      <c r="C112" s="92"/>
      <c r="D112" s="45">
        <v>190</v>
      </c>
      <c r="E112" s="45">
        <f t="shared" si="20"/>
        <v>144</v>
      </c>
      <c r="F112" s="73">
        <f t="shared" si="8"/>
        <v>288</v>
      </c>
      <c r="G112" s="73">
        <f t="shared" si="9"/>
        <v>432</v>
      </c>
      <c r="H112" s="73">
        <f t="shared" si="10"/>
        <v>576</v>
      </c>
      <c r="I112" s="73">
        <f t="shared" si="11"/>
        <v>1152</v>
      </c>
      <c r="J112" s="73">
        <f t="shared" si="12"/>
        <v>1728</v>
      </c>
      <c r="K112" s="73">
        <f t="shared" si="13"/>
        <v>5184</v>
      </c>
      <c r="L112" s="73">
        <f t="shared" si="14"/>
        <v>10368</v>
      </c>
      <c r="M112" s="93"/>
      <c r="N112" s="45">
        <v>190</v>
      </c>
      <c r="P112" s="73"/>
      <c r="Q112" s="73"/>
      <c r="R112" s="127">
        <f t="shared" si="15"/>
        <v>432</v>
      </c>
      <c r="S112" s="127">
        <f t="shared" si="16"/>
        <v>520</v>
      </c>
      <c r="T112" s="127">
        <f t="shared" si="17"/>
        <v>676</v>
      </c>
      <c r="U112" s="127">
        <f t="shared" si="18"/>
        <v>880</v>
      </c>
      <c r="V112" s="127">
        <f t="shared" si="19"/>
        <v>1320</v>
      </c>
    </row>
    <row r="113" ht="18" spans="1:23">
      <c r="A113" s="65"/>
      <c r="B113" s="65"/>
      <c r="C113" s="92"/>
      <c r="D113" s="45">
        <v>200</v>
      </c>
      <c r="E113" s="45">
        <f t="shared" si="20"/>
        <v>160</v>
      </c>
      <c r="F113" s="73">
        <f t="shared" si="8"/>
        <v>320</v>
      </c>
      <c r="G113" s="73">
        <f t="shared" si="9"/>
        <v>480</v>
      </c>
      <c r="H113" s="73">
        <f t="shared" si="10"/>
        <v>640</v>
      </c>
      <c r="I113" s="73">
        <f t="shared" si="11"/>
        <v>1280</v>
      </c>
      <c r="J113" s="73">
        <f t="shared" si="12"/>
        <v>1920</v>
      </c>
      <c r="K113" s="73">
        <f t="shared" si="13"/>
        <v>5760</v>
      </c>
      <c r="L113" s="73">
        <f t="shared" si="14"/>
        <v>11520</v>
      </c>
      <c r="M113" s="93"/>
      <c r="N113" s="45">
        <v>200</v>
      </c>
      <c r="P113" s="73"/>
      <c r="Q113" s="73"/>
      <c r="R113" s="127">
        <f t="shared" si="15"/>
        <v>480</v>
      </c>
      <c r="S113" s="127">
        <f t="shared" si="16"/>
        <v>576</v>
      </c>
      <c r="T113" s="127">
        <f t="shared" si="17"/>
        <v>750</v>
      </c>
      <c r="U113" s="127">
        <f t="shared" si="18"/>
        <v>976</v>
      </c>
      <c r="V113" s="127">
        <f t="shared" si="19"/>
        <v>1464</v>
      </c>
    </row>
    <row r="114" ht="18" spans="1:23">
      <c r="A114" s="65"/>
      <c r="B114" s="65"/>
      <c r="C114" s="92"/>
      <c r="D114" s="45">
        <v>210</v>
      </c>
      <c r="E114" s="45">
        <f t="shared" si="20"/>
        <v>176</v>
      </c>
      <c r="F114" s="73">
        <f t="shared" si="8"/>
        <v>352</v>
      </c>
      <c r="G114" s="73">
        <f t="shared" si="9"/>
        <v>528</v>
      </c>
      <c r="H114" s="73">
        <f t="shared" si="10"/>
        <v>704</v>
      </c>
      <c r="I114" s="73">
        <f t="shared" si="11"/>
        <v>1408</v>
      </c>
      <c r="J114" s="73">
        <f t="shared" si="12"/>
        <v>2112</v>
      </c>
      <c r="K114" s="73">
        <f t="shared" si="13"/>
        <v>6336</v>
      </c>
      <c r="L114" s="73">
        <f t="shared" si="14"/>
        <v>12672</v>
      </c>
      <c r="M114" s="93"/>
      <c r="N114" s="45">
        <v>210</v>
      </c>
      <c r="P114" s="73"/>
      <c r="Q114" s="73"/>
      <c r="R114" s="127">
        <f t="shared" si="15"/>
        <v>528</v>
      </c>
      <c r="S114" s="127">
        <f t="shared" si="16"/>
        <v>634</v>
      </c>
      <c r="T114" s="127">
        <f t="shared" si="17"/>
        <v>826</v>
      </c>
      <c r="U114" s="127">
        <f t="shared" si="18"/>
        <v>1074</v>
      </c>
      <c r="V114" s="127">
        <f t="shared" si="19"/>
        <v>1612</v>
      </c>
    </row>
    <row r="115" ht="18" spans="1:23">
      <c r="A115" s="65"/>
      <c r="B115" s="65"/>
      <c r="C115" s="92"/>
      <c r="D115" s="45">
        <v>220</v>
      </c>
      <c r="E115" s="45">
        <f t="shared" si="20"/>
        <v>192</v>
      </c>
      <c r="F115" s="73">
        <f t="shared" si="8"/>
        <v>384</v>
      </c>
      <c r="G115" s="73">
        <f t="shared" si="9"/>
        <v>576</v>
      </c>
      <c r="H115" s="73">
        <f t="shared" si="10"/>
        <v>768</v>
      </c>
      <c r="I115" s="73">
        <f t="shared" si="11"/>
        <v>1536</v>
      </c>
      <c r="J115" s="73">
        <f t="shared" si="12"/>
        <v>2304</v>
      </c>
      <c r="K115" s="73">
        <f t="shared" si="13"/>
        <v>6912</v>
      </c>
      <c r="L115" s="73">
        <f t="shared" si="14"/>
        <v>13824</v>
      </c>
      <c r="M115" s="93"/>
      <c r="N115" s="45">
        <v>220</v>
      </c>
      <c r="P115" s="73"/>
      <c r="Q115" s="73"/>
      <c r="R115" s="127">
        <f t="shared" si="15"/>
        <v>576</v>
      </c>
      <c r="S115" s="127">
        <f t="shared" si="16"/>
        <v>692</v>
      </c>
      <c r="T115" s="127">
        <f t="shared" si="17"/>
        <v>900</v>
      </c>
      <c r="U115" s="127">
        <f t="shared" si="18"/>
        <v>1170</v>
      </c>
      <c r="V115" s="127">
        <f t="shared" si="19"/>
        <v>1756</v>
      </c>
    </row>
    <row r="116" ht="18" spans="1:23">
      <c r="A116" s="65"/>
      <c r="B116" s="65"/>
      <c r="C116" s="92"/>
      <c r="D116" s="45">
        <v>230</v>
      </c>
      <c r="E116" s="45">
        <f t="shared" si="20"/>
        <v>208</v>
      </c>
      <c r="F116" s="73">
        <f t="shared" si="8"/>
        <v>416</v>
      </c>
      <c r="G116" s="73">
        <f t="shared" si="9"/>
        <v>624</v>
      </c>
      <c r="H116" s="73">
        <f t="shared" si="10"/>
        <v>832</v>
      </c>
      <c r="I116" s="73">
        <f t="shared" si="11"/>
        <v>1664</v>
      </c>
      <c r="J116" s="73">
        <f t="shared" si="12"/>
        <v>2496</v>
      </c>
      <c r="K116" s="73">
        <f t="shared" si="13"/>
        <v>7488</v>
      </c>
      <c r="L116" s="73">
        <f t="shared" si="14"/>
        <v>14976</v>
      </c>
      <c r="M116" s="93"/>
      <c r="N116" s="45">
        <v>230</v>
      </c>
      <c r="P116" s="73"/>
      <c r="Q116" s="73"/>
      <c r="R116" s="127">
        <f t="shared" si="15"/>
        <v>624</v>
      </c>
      <c r="S116" s="127">
        <f t="shared" si="16"/>
        <v>750</v>
      </c>
      <c r="T116" s="127">
        <f t="shared" si="17"/>
        <v>976</v>
      </c>
      <c r="U116" s="127">
        <f t="shared" si="18"/>
        <v>1270</v>
      </c>
      <c r="V116" s="127">
        <f t="shared" si="19"/>
        <v>1906</v>
      </c>
    </row>
    <row r="117" ht="18" spans="1:23">
      <c r="A117" s="65"/>
      <c r="B117" s="65"/>
      <c r="C117" s="92"/>
      <c r="D117" s="45">
        <v>240</v>
      </c>
      <c r="E117" s="45">
        <f t="shared" si="20"/>
        <v>224</v>
      </c>
      <c r="F117" s="73">
        <f t="shared" si="8"/>
        <v>448</v>
      </c>
      <c r="G117" s="73">
        <f t="shared" si="9"/>
        <v>672</v>
      </c>
      <c r="H117" s="73">
        <f t="shared" si="10"/>
        <v>896</v>
      </c>
      <c r="I117" s="73">
        <f t="shared" si="11"/>
        <v>1792</v>
      </c>
      <c r="J117" s="73">
        <f t="shared" si="12"/>
        <v>2688</v>
      </c>
      <c r="K117" s="73">
        <f t="shared" si="13"/>
        <v>8064</v>
      </c>
      <c r="L117" s="73">
        <f t="shared" si="14"/>
        <v>16128</v>
      </c>
      <c r="M117" s="93"/>
      <c r="N117" s="45">
        <v>240</v>
      </c>
      <c r="P117" s="73"/>
      <c r="Q117" s="73"/>
      <c r="R117" s="127">
        <f t="shared" si="15"/>
        <v>672</v>
      </c>
      <c r="S117" s="127">
        <f t="shared" si="16"/>
        <v>808</v>
      </c>
      <c r="T117" s="127">
        <f t="shared" si="17"/>
        <v>1052</v>
      </c>
      <c r="U117" s="127">
        <f t="shared" si="18"/>
        <v>1368</v>
      </c>
      <c r="V117" s="127">
        <f t="shared" si="19"/>
        <v>2052</v>
      </c>
    </row>
    <row r="118" ht="18" spans="1:23">
      <c r="A118" s="65"/>
      <c r="B118" s="65"/>
      <c r="C118" s="92"/>
      <c r="D118" s="45">
        <v>250</v>
      </c>
      <c r="E118" s="45">
        <f t="shared" si="20"/>
        <v>240</v>
      </c>
      <c r="F118" s="73">
        <f t="shared" si="8"/>
        <v>480</v>
      </c>
      <c r="G118" s="73">
        <f t="shared" si="9"/>
        <v>720</v>
      </c>
      <c r="H118" s="73">
        <f t="shared" si="10"/>
        <v>960</v>
      </c>
      <c r="I118" s="73">
        <f t="shared" si="11"/>
        <v>1920</v>
      </c>
      <c r="J118" s="73">
        <f t="shared" si="12"/>
        <v>2880</v>
      </c>
      <c r="K118" s="73">
        <f t="shared" si="13"/>
        <v>8640</v>
      </c>
      <c r="L118" s="73">
        <f t="shared" si="14"/>
        <v>17280</v>
      </c>
      <c r="M118" s="93"/>
      <c r="N118" s="45">
        <v>250</v>
      </c>
      <c r="P118" s="73"/>
      <c r="Q118" s="73"/>
      <c r="R118" s="127">
        <f t="shared" si="15"/>
        <v>720</v>
      </c>
      <c r="S118" s="127">
        <f t="shared" si="16"/>
        <v>864</v>
      </c>
      <c r="T118" s="127">
        <f t="shared" si="17"/>
        <v>1124</v>
      </c>
      <c r="U118" s="127">
        <f t="shared" si="18"/>
        <v>1462</v>
      </c>
      <c r="V118" s="127">
        <f t="shared" si="19"/>
        <v>2194</v>
      </c>
    </row>
    <row r="119" ht="18" spans="1:23">
      <c r="A119" s="65"/>
      <c r="B119" s="65"/>
      <c r="C119" s="92"/>
      <c r="D119" s="45"/>
      <c r="F119" s="73"/>
      <c r="G119" s="73"/>
      <c r="H119" s="73"/>
      <c r="I119" s="73"/>
      <c r="J119" s="73"/>
      <c r="K119" s="73"/>
      <c r="L119" s="73"/>
      <c r="M119" s="93"/>
      <c r="P119" s="73"/>
      <c r="Q119" s="73"/>
      <c r="R119" s="127"/>
      <c r="S119" s="73"/>
      <c r="T119" s="73"/>
      <c r="U119" s="73"/>
      <c r="V119" s="73"/>
    </row>
    <row r="120" ht="18" spans="1:23">
      <c r="A120" s="65"/>
      <c r="B120" s="65"/>
      <c r="C120" s="92"/>
      <c r="E120" s="45">
        <v>1</v>
      </c>
      <c r="F120" s="45">
        <f>5/3</f>
        <v>1.66666666666667</v>
      </c>
      <c r="G120" s="45">
        <f>7/5</f>
        <v>1.4</v>
      </c>
      <c r="H120" s="45">
        <f>9/7</f>
        <v>1.28571428571429</v>
      </c>
      <c r="I120" s="93">
        <f>11/9</f>
        <v>1.22222222222222</v>
      </c>
      <c r="J120" s="93">
        <f>13/11</f>
        <v>1.18181818181818</v>
      </c>
      <c r="K120" s="93">
        <f>15/13</f>
        <v>1.15384615384615</v>
      </c>
      <c r="L120" s="93">
        <f>17/15</f>
        <v>1.13333333333333</v>
      </c>
      <c r="M120" s="93"/>
      <c r="O120" s="74"/>
      <c r="P120" s="45">
        <v>1</v>
      </c>
      <c r="Q120" s="45">
        <v>1.05</v>
      </c>
      <c r="R120" s="45">
        <f t="shared" ref="R120:U120" si="21">Q120+0.05</f>
        <v>1.1</v>
      </c>
      <c r="S120" s="45">
        <f t="shared" si="21"/>
        <v>1.15</v>
      </c>
      <c r="T120" s="45">
        <f t="shared" si="21"/>
        <v>1.2</v>
      </c>
      <c r="U120" s="45">
        <f t="shared" si="21"/>
        <v>1.25</v>
      </c>
      <c r="V120" s="45">
        <v>1.25</v>
      </c>
      <c r="W120" s="45">
        <v>1.25</v>
      </c>
    </row>
    <row r="121" ht="18" spans="1:23">
      <c r="A121" s="65"/>
      <c r="B121" s="65"/>
      <c r="C121" s="92"/>
      <c r="D121" s="106" t="s">
        <v>531</v>
      </c>
      <c r="E121" s="106" t="s">
        <v>58</v>
      </c>
      <c r="F121" s="106" t="s">
        <v>59</v>
      </c>
      <c r="G121" s="106" t="s">
        <v>31</v>
      </c>
      <c r="H121" s="106" t="s">
        <v>32</v>
      </c>
      <c r="I121" s="106" t="s">
        <v>33</v>
      </c>
      <c r="J121" s="106" t="s">
        <v>34</v>
      </c>
      <c r="K121" s="49" t="s">
        <v>36</v>
      </c>
      <c r="L121" s="49" t="s">
        <v>35</v>
      </c>
      <c r="M121" s="93" t="s">
        <v>532</v>
      </c>
      <c r="O121" s="106" t="s">
        <v>533</v>
      </c>
      <c r="P121" s="106" t="s">
        <v>58</v>
      </c>
      <c r="Q121" s="106" t="s">
        <v>59</v>
      </c>
      <c r="R121" s="106" t="s">
        <v>31</v>
      </c>
      <c r="S121" s="106" t="s">
        <v>32</v>
      </c>
      <c r="T121" s="106" t="s">
        <v>33</v>
      </c>
      <c r="U121" s="106" t="s">
        <v>34</v>
      </c>
      <c r="V121" s="49" t="s">
        <v>35</v>
      </c>
      <c r="W121" s="49" t="s">
        <v>36</v>
      </c>
    </row>
    <row r="122" ht="18" spans="1:23">
      <c r="A122" s="65"/>
      <c r="B122" s="65"/>
      <c r="C122" s="92"/>
      <c r="D122" s="45">
        <v>1</v>
      </c>
      <c r="E122" s="45">
        <v>10</v>
      </c>
      <c r="F122" s="73">
        <f t="shared" ref="F122:L122" si="22">CEILING(E122*F$120,2)</f>
        <v>18</v>
      </c>
      <c r="G122" s="73">
        <f t="shared" si="22"/>
        <v>26</v>
      </c>
      <c r="H122" s="73">
        <f t="shared" si="22"/>
        <v>34</v>
      </c>
      <c r="I122" s="73">
        <f t="shared" si="22"/>
        <v>42</v>
      </c>
      <c r="J122" s="73">
        <f t="shared" si="22"/>
        <v>50</v>
      </c>
      <c r="K122" s="73">
        <f t="shared" si="22"/>
        <v>58</v>
      </c>
      <c r="L122" s="73">
        <f t="shared" si="22"/>
        <v>66</v>
      </c>
      <c r="M122" s="93"/>
      <c r="O122" s="45">
        <v>1</v>
      </c>
      <c r="P122" s="45">
        <v>10</v>
      </c>
      <c r="Q122" s="73">
        <f t="shared" ref="Q122:W122" si="23">INT($P122*Q$120)</f>
        <v>10</v>
      </c>
      <c r="R122" s="73">
        <f t="shared" si="23"/>
        <v>11</v>
      </c>
      <c r="S122" s="73">
        <f t="shared" si="23"/>
        <v>11</v>
      </c>
      <c r="T122" s="73">
        <f t="shared" si="23"/>
        <v>12</v>
      </c>
      <c r="U122" s="73">
        <f t="shared" si="23"/>
        <v>12</v>
      </c>
      <c r="V122" s="73">
        <f t="shared" si="23"/>
        <v>12</v>
      </c>
      <c r="W122" s="73">
        <f t="shared" si="23"/>
        <v>12</v>
      </c>
    </row>
    <row r="123" ht="18" spans="1:23">
      <c r="A123" s="65"/>
      <c r="B123" s="65"/>
      <c r="C123" s="92"/>
      <c r="D123" s="45">
        <v>10</v>
      </c>
      <c r="E123" s="45">
        <f>INT(E$122*M123)</f>
        <v>36</v>
      </c>
      <c r="F123" s="73">
        <f t="shared" ref="F123:L123" si="24">CEILING(E123*F$120,2)</f>
        <v>60</v>
      </c>
      <c r="G123" s="73">
        <f t="shared" si="24"/>
        <v>84</v>
      </c>
      <c r="H123" s="73">
        <f t="shared" si="24"/>
        <v>108</v>
      </c>
      <c r="I123" s="73">
        <f t="shared" si="24"/>
        <v>132</v>
      </c>
      <c r="J123" s="73">
        <f t="shared" si="24"/>
        <v>156</v>
      </c>
      <c r="K123" s="73">
        <f t="shared" si="24"/>
        <v>180</v>
      </c>
      <c r="L123" s="73">
        <f t="shared" si="24"/>
        <v>204</v>
      </c>
      <c r="M123" s="93">
        <v>3.6</v>
      </c>
      <c r="O123" s="45">
        <v>10</v>
      </c>
      <c r="P123" s="45">
        <v>10</v>
      </c>
      <c r="Q123" s="73">
        <f t="shared" ref="Q123:Q147" si="25">INT($P123*Q$120)</f>
        <v>10</v>
      </c>
      <c r="R123" s="73">
        <f t="shared" ref="R123:R147" si="26">INT($P123*R$120)</f>
        <v>11</v>
      </c>
      <c r="S123" s="73">
        <f t="shared" ref="S123:S147" si="27">INT($P123*S$120)</f>
        <v>11</v>
      </c>
      <c r="T123" s="73">
        <f t="shared" ref="T123:T147" si="28">INT($P123*T$120)</f>
        <v>12</v>
      </c>
      <c r="U123" s="73">
        <f t="shared" ref="U123:U147" si="29">INT($P123*U$120)</f>
        <v>12</v>
      </c>
      <c r="V123" s="73">
        <f t="shared" ref="V123:V147" si="30">INT($P123*V$120)</f>
        <v>12</v>
      </c>
      <c r="W123" s="73">
        <f t="shared" ref="W123:W147" si="31">INT($P123*W$120)</f>
        <v>12</v>
      </c>
    </row>
    <row r="124" ht="18" spans="1:23">
      <c r="A124" s="65"/>
      <c r="B124" s="65"/>
      <c r="C124" s="92"/>
      <c r="D124" s="45">
        <v>20</v>
      </c>
      <c r="E124" s="45">
        <f t="shared" ref="E124:E131" si="32">INT(E123*1.2)</f>
        <v>43</v>
      </c>
      <c r="F124" s="73">
        <f t="shared" ref="F124:L124" si="33">CEILING(E124*F$120,2)</f>
        <v>72</v>
      </c>
      <c r="G124" s="73">
        <f t="shared" si="33"/>
        <v>102</v>
      </c>
      <c r="H124" s="73">
        <f t="shared" si="33"/>
        <v>132</v>
      </c>
      <c r="I124" s="73">
        <f t="shared" si="33"/>
        <v>162</v>
      </c>
      <c r="J124" s="73">
        <f t="shared" si="33"/>
        <v>192</v>
      </c>
      <c r="K124" s="73">
        <f t="shared" si="33"/>
        <v>222</v>
      </c>
      <c r="L124" s="73">
        <f t="shared" si="33"/>
        <v>252</v>
      </c>
      <c r="M124" s="93"/>
      <c r="O124" s="45">
        <v>20</v>
      </c>
      <c r="P124" s="45">
        <f>P122+2</f>
        <v>12</v>
      </c>
      <c r="Q124" s="73">
        <f t="shared" si="25"/>
        <v>12</v>
      </c>
      <c r="R124" s="73">
        <f t="shared" si="26"/>
        <v>13</v>
      </c>
      <c r="S124" s="73">
        <f t="shared" si="27"/>
        <v>13</v>
      </c>
      <c r="T124" s="73">
        <f t="shared" si="28"/>
        <v>14</v>
      </c>
      <c r="U124" s="73">
        <f t="shared" si="29"/>
        <v>15</v>
      </c>
      <c r="V124" s="73">
        <f t="shared" si="30"/>
        <v>15</v>
      </c>
      <c r="W124" s="73">
        <f t="shared" si="31"/>
        <v>15</v>
      </c>
    </row>
    <row r="125" ht="18" spans="1:23">
      <c r="A125" s="65"/>
      <c r="B125" s="65"/>
      <c r="C125" s="92"/>
      <c r="D125" s="45">
        <v>30</v>
      </c>
      <c r="E125" s="45">
        <f t="shared" si="32"/>
        <v>51</v>
      </c>
      <c r="F125" s="73">
        <f t="shared" ref="F125:L125" si="34">CEILING(E125*F$120,2)</f>
        <v>86</v>
      </c>
      <c r="G125" s="73">
        <f t="shared" si="34"/>
        <v>122</v>
      </c>
      <c r="H125" s="73">
        <f t="shared" si="34"/>
        <v>158</v>
      </c>
      <c r="I125" s="73">
        <f t="shared" si="34"/>
        <v>194</v>
      </c>
      <c r="J125" s="73">
        <f t="shared" si="34"/>
        <v>230</v>
      </c>
      <c r="K125" s="73">
        <f t="shared" si="34"/>
        <v>266</v>
      </c>
      <c r="L125" s="73">
        <f t="shared" si="34"/>
        <v>302</v>
      </c>
      <c r="M125" s="93"/>
      <c r="O125" s="45">
        <v>30</v>
      </c>
      <c r="P125" s="45">
        <f t="shared" ref="P125:P147" si="35">P123+2</f>
        <v>12</v>
      </c>
      <c r="Q125" s="73">
        <f t="shared" si="25"/>
        <v>12</v>
      </c>
      <c r="R125" s="73">
        <f t="shared" si="26"/>
        <v>13</v>
      </c>
      <c r="S125" s="73">
        <f t="shared" si="27"/>
        <v>13</v>
      </c>
      <c r="T125" s="73">
        <f t="shared" si="28"/>
        <v>14</v>
      </c>
      <c r="U125" s="73">
        <f t="shared" si="29"/>
        <v>15</v>
      </c>
      <c r="V125" s="73">
        <f t="shared" si="30"/>
        <v>15</v>
      </c>
      <c r="W125" s="73">
        <f t="shared" si="31"/>
        <v>15</v>
      </c>
    </row>
    <row r="126" ht="18" spans="1:23">
      <c r="A126" s="65"/>
      <c r="B126" s="65"/>
      <c r="C126" s="92"/>
      <c r="D126" s="45">
        <v>40</v>
      </c>
      <c r="E126" s="45">
        <f t="shared" si="32"/>
        <v>61</v>
      </c>
      <c r="F126" s="73">
        <f t="shared" ref="F126:L126" si="36">CEILING(E126*F$120,2)</f>
        <v>102</v>
      </c>
      <c r="G126" s="73">
        <f t="shared" si="36"/>
        <v>144</v>
      </c>
      <c r="H126" s="73">
        <f t="shared" si="36"/>
        <v>186</v>
      </c>
      <c r="I126" s="73">
        <f t="shared" si="36"/>
        <v>228</v>
      </c>
      <c r="J126" s="73">
        <f t="shared" si="36"/>
        <v>270</v>
      </c>
      <c r="K126" s="73">
        <f t="shared" si="36"/>
        <v>312</v>
      </c>
      <c r="L126" s="73">
        <f t="shared" si="36"/>
        <v>354</v>
      </c>
      <c r="M126" s="93"/>
      <c r="O126" s="45">
        <v>40</v>
      </c>
      <c r="P126" s="45">
        <f t="shared" si="35"/>
        <v>14</v>
      </c>
      <c r="Q126" s="73">
        <f t="shared" si="25"/>
        <v>14</v>
      </c>
      <c r="R126" s="73">
        <f t="shared" si="26"/>
        <v>15</v>
      </c>
      <c r="S126" s="73">
        <f t="shared" si="27"/>
        <v>16</v>
      </c>
      <c r="T126" s="73">
        <f t="shared" si="28"/>
        <v>16</v>
      </c>
      <c r="U126" s="73">
        <f t="shared" si="29"/>
        <v>17</v>
      </c>
      <c r="V126" s="73">
        <f t="shared" si="30"/>
        <v>17</v>
      </c>
      <c r="W126" s="73">
        <f t="shared" si="31"/>
        <v>17</v>
      </c>
    </row>
    <row r="127" ht="18" spans="1:23">
      <c r="A127" s="65"/>
      <c r="B127" s="65"/>
      <c r="C127" s="92"/>
      <c r="D127" s="45">
        <v>50</v>
      </c>
      <c r="E127" s="45">
        <f t="shared" si="32"/>
        <v>73</v>
      </c>
      <c r="F127" s="73">
        <f t="shared" ref="F127:L127" si="37">CEILING(E127*F$120,2)</f>
        <v>122</v>
      </c>
      <c r="G127" s="73">
        <f t="shared" si="37"/>
        <v>172</v>
      </c>
      <c r="H127" s="73">
        <f t="shared" si="37"/>
        <v>222</v>
      </c>
      <c r="I127" s="73">
        <f t="shared" si="37"/>
        <v>272</v>
      </c>
      <c r="J127" s="73">
        <f t="shared" si="37"/>
        <v>322</v>
      </c>
      <c r="K127" s="73">
        <f t="shared" si="37"/>
        <v>372</v>
      </c>
      <c r="L127" s="73">
        <f t="shared" si="37"/>
        <v>422</v>
      </c>
      <c r="M127" s="93"/>
      <c r="O127" s="45">
        <v>50</v>
      </c>
      <c r="P127" s="45">
        <f t="shared" si="35"/>
        <v>14</v>
      </c>
      <c r="Q127" s="73">
        <f t="shared" si="25"/>
        <v>14</v>
      </c>
      <c r="R127" s="73">
        <f t="shared" si="26"/>
        <v>15</v>
      </c>
      <c r="S127" s="73">
        <f t="shared" si="27"/>
        <v>16</v>
      </c>
      <c r="T127" s="73">
        <f t="shared" si="28"/>
        <v>16</v>
      </c>
      <c r="U127" s="73">
        <f t="shared" si="29"/>
        <v>17</v>
      </c>
      <c r="V127" s="73">
        <f t="shared" si="30"/>
        <v>17</v>
      </c>
      <c r="W127" s="73">
        <f t="shared" si="31"/>
        <v>17</v>
      </c>
    </row>
    <row r="128" ht="18" spans="1:23">
      <c r="A128" s="65"/>
      <c r="B128" s="65"/>
      <c r="C128" s="92"/>
      <c r="D128" s="45">
        <v>55</v>
      </c>
      <c r="E128" s="45">
        <f t="shared" si="32"/>
        <v>87</v>
      </c>
      <c r="F128" s="73">
        <f t="shared" ref="F128:L128" si="38">CEILING(E128*F$120,2)</f>
        <v>146</v>
      </c>
      <c r="G128" s="73">
        <f t="shared" si="38"/>
        <v>206</v>
      </c>
      <c r="H128" s="73">
        <f t="shared" si="38"/>
        <v>266</v>
      </c>
      <c r="I128" s="73">
        <f t="shared" si="38"/>
        <v>326</v>
      </c>
      <c r="J128" s="73">
        <f t="shared" si="38"/>
        <v>386</v>
      </c>
      <c r="K128" s="73">
        <f t="shared" si="38"/>
        <v>446</v>
      </c>
      <c r="L128" s="73">
        <f t="shared" si="38"/>
        <v>506</v>
      </c>
      <c r="M128" s="93"/>
      <c r="O128" s="45">
        <v>60</v>
      </c>
      <c r="P128" s="45">
        <f t="shared" si="35"/>
        <v>16</v>
      </c>
      <c r="Q128" s="73">
        <f t="shared" si="25"/>
        <v>16</v>
      </c>
      <c r="R128" s="73">
        <f t="shared" si="26"/>
        <v>17</v>
      </c>
      <c r="S128" s="73">
        <f t="shared" si="27"/>
        <v>18</v>
      </c>
      <c r="T128" s="73">
        <f t="shared" si="28"/>
        <v>19</v>
      </c>
      <c r="U128" s="73">
        <f t="shared" si="29"/>
        <v>20</v>
      </c>
      <c r="V128" s="73">
        <f t="shared" si="30"/>
        <v>20</v>
      </c>
      <c r="W128" s="73">
        <f t="shared" si="31"/>
        <v>20</v>
      </c>
    </row>
    <row r="129" ht="18" spans="1:23">
      <c r="A129" s="65"/>
      <c r="B129" s="65"/>
      <c r="C129" s="92"/>
      <c r="D129" s="45">
        <v>60</v>
      </c>
      <c r="E129" s="45">
        <f t="shared" si="32"/>
        <v>104</v>
      </c>
      <c r="F129" s="73">
        <f t="shared" ref="F129:L129" si="39">CEILING(E129*F$120,2)</f>
        <v>174</v>
      </c>
      <c r="G129" s="73">
        <f t="shared" si="39"/>
        <v>244</v>
      </c>
      <c r="H129" s="73">
        <f t="shared" si="39"/>
        <v>314</v>
      </c>
      <c r="I129" s="73">
        <f t="shared" si="39"/>
        <v>384</v>
      </c>
      <c r="J129" s="73">
        <f t="shared" si="39"/>
        <v>454</v>
      </c>
      <c r="K129" s="73">
        <f t="shared" si="39"/>
        <v>524</v>
      </c>
      <c r="L129" s="73">
        <f t="shared" si="39"/>
        <v>594</v>
      </c>
      <c r="M129" s="93"/>
      <c r="O129" s="45">
        <v>70</v>
      </c>
      <c r="P129" s="45">
        <f t="shared" si="35"/>
        <v>16</v>
      </c>
      <c r="Q129" s="73">
        <f t="shared" si="25"/>
        <v>16</v>
      </c>
      <c r="R129" s="73">
        <f t="shared" si="26"/>
        <v>17</v>
      </c>
      <c r="S129" s="73">
        <f t="shared" si="27"/>
        <v>18</v>
      </c>
      <c r="T129" s="73">
        <f t="shared" si="28"/>
        <v>19</v>
      </c>
      <c r="U129" s="73">
        <f t="shared" si="29"/>
        <v>20</v>
      </c>
      <c r="V129" s="73">
        <f t="shared" si="30"/>
        <v>20</v>
      </c>
      <c r="W129" s="73">
        <f t="shared" si="31"/>
        <v>20</v>
      </c>
    </row>
    <row r="130" ht="18" spans="1:23">
      <c r="A130" s="65"/>
      <c r="B130" s="65"/>
      <c r="C130" s="92"/>
      <c r="D130" s="45">
        <v>65</v>
      </c>
      <c r="E130" s="45">
        <f t="shared" si="32"/>
        <v>124</v>
      </c>
      <c r="F130" s="73">
        <f t="shared" ref="F130:L130" si="40">CEILING(E130*F$120,2)</f>
        <v>208</v>
      </c>
      <c r="G130" s="73">
        <f t="shared" si="40"/>
        <v>292</v>
      </c>
      <c r="H130" s="73">
        <f t="shared" si="40"/>
        <v>376</v>
      </c>
      <c r="I130" s="73">
        <f t="shared" si="40"/>
        <v>460</v>
      </c>
      <c r="J130" s="73">
        <f t="shared" si="40"/>
        <v>544</v>
      </c>
      <c r="K130" s="73">
        <f t="shared" si="40"/>
        <v>628</v>
      </c>
      <c r="L130" s="73">
        <f t="shared" si="40"/>
        <v>712</v>
      </c>
      <c r="M130" s="93"/>
      <c r="O130" s="45">
        <v>80</v>
      </c>
      <c r="P130" s="45">
        <f t="shared" si="35"/>
        <v>18</v>
      </c>
      <c r="Q130" s="73">
        <f t="shared" si="25"/>
        <v>18</v>
      </c>
      <c r="R130" s="73">
        <f t="shared" si="26"/>
        <v>19</v>
      </c>
      <c r="S130" s="73">
        <f t="shared" si="27"/>
        <v>20</v>
      </c>
      <c r="T130" s="73">
        <f t="shared" si="28"/>
        <v>21</v>
      </c>
      <c r="U130" s="73">
        <f t="shared" si="29"/>
        <v>22</v>
      </c>
      <c r="V130" s="73">
        <f t="shared" si="30"/>
        <v>22</v>
      </c>
      <c r="W130" s="73">
        <f t="shared" si="31"/>
        <v>22</v>
      </c>
    </row>
    <row r="131" ht="18" spans="1:23">
      <c r="A131" s="65"/>
      <c r="B131" s="65"/>
      <c r="C131" s="92"/>
      <c r="D131" s="45">
        <v>70</v>
      </c>
      <c r="E131" s="45">
        <f t="shared" si="32"/>
        <v>148</v>
      </c>
      <c r="F131" s="73">
        <f t="shared" ref="F131:L131" si="41">CEILING(E131*F$120,2)</f>
        <v>248</v>
      </c>
      <c r="G131" s="73">
        <f t="shared" si="41"/>
        <v>348</v>
      </c>
      <c r="H131" s="73">
        <f t="shared" si="41"/>
        <v>448</v>
      </c>
      <c r="I131" s="73">
        <f t="shared" si="41"/>
        <v>548</v>
      </c>
      <c r="J131" s="73">
        <f t="shared" si="41"/>
        <v>648</v>
      </c>
      <c r="K131" s="73">
        <f t="shared" si="41"/>
        <v>748</v>
      </c>
      <c r="L131" s="73">
        <f t="shared" si="41"/>
        <v>848</v>
      </c>
      <c r="M131" s="93"/>
      <c r="O131" s="45">
        <v>90</v>
      </c>
      <c r="P131" s="45">
        <f t="shared" si="35"/>
        <v>18</v>
      </c>
      <c r="Q131" s="73">
        <f t="shared" si="25"/>
        <v>18</v>
      </c>
      <c r="R131" s="73">
        <f t="shared" si="26"/>
        <v>19</v>
      </c>
      <c r="S131" s="73">
        <f t="shared" si="27"/>
        <v>20</v>
      </c>
      <c r="T131" s="73">
        <f t="shared" si="28"/>
        <v>21</v>
      </c>
      <c r="U131" s="73">
        <f t="shared" si="29"/>
        <v>22</v>
      </c>
      <c r="V131" s="73">
        <f t="shared" si="30"/>
        <v>22</v>
      </c>
      <c r="W131" s="73">
        <f t="shared" si="31"/>
        <v>22</v>
      </c>
    </row>
    <row r="132" ht="18" spans="1:23">
      <c r="A132" s="65"/>
      <c r="B132" s="65"/>
      <c r="C132" s="92"/>
      <c r="D132" s="45">
        <v>75</v>
      </c>
      <c r="E132" s="45">
        <f>INT(E131*1.05)</f>
        <v>155</v>
      </c>
      <c r="F132" s="73">
        <f t="shared" ref="F132:L132" si="42">CEILING(E132*F$120,2)</f>
        <v>260</v>
      </c>
      <c r="G132" s="73">
        <f t="shared" si="42"/>
        <v>364</v>
      </c>
      <c r="H132" s="73">
        <f t="shared" si="42"/>
        <v>468</v>
      </c>
      <c r="I132" s="73">
        <f t="shared" si="42"/>
        <v>572</v>
      </c>
      <c r="J132" s="73">
        <f t="shared" si="42"/>
        <v>676</v>
      </c>
      <c r="K132" s="73">
        <f t="shared" si="42"/>
        <v>780</v>
      </c>
      <c r="L132" s="73">
        <f t="shared" si="42"/>
        <v>884</v>
      </c>
      <c r="M132" s="93"/>
      <c r="O132" s="45">
        <v>100</v>
      </c>
      <c r="P132" s="45">
        <f t="shared" si="35"/>
        <v>20</v>
      </c>
      <c r="Q132" s="73">
        <f t="shared" si="25"/>
        <v>21</v>
      </c>
      <c r="R132" s="73">
        <f t="shared" si="26"/>
        <v>22</v>
      </c>
      <c r="S132" s="73">
        <f t="shared" si="27"/>
        <v>23</v>
      </c>
      <c r="T132" s="73">
        <f t="shared" si="28"/>
        <v>24</v>
      </c>
      <c r="U132" s="73">
        <f t="shared" si="29"/>
        <v>25</v>
      </c>
      <c r="V132" s="73">
        <f t="shared" si="30"/>
        <v>25</v>
      </c>
      <c r="W132" s="73">
        <f t="shared" si="31"/>
        <v>25</v>
      </c>
    </row>
    <row r="133" ht="18" spans="1:23">
      <c r="A133" s="65"/>
      <c r="B133" s="65"/>
      <c r="C133" s="92"/>
      <c r="D133" s="45">
        <v>80</v>
      </c>
      <c r="E133" s="45">
        <f t="shared" ref="E133:E147" si="43">INT(E132*1.05)</f>
        <v>162</v>
      </c>
      <c r="F133" s="73">
        <f t="shared" ref="F133:L133" si="44">CEILING(E133*F$120,2)</f>
        <v>270</v>
      </c>
      <c r="G133" s="73">
        <f t="shared" si="44"/>
        <v>378</v>
      </c>
      <c r="H133" s="73">
        <f t="shared" si="44"/>
        <v>486</v>
      </c>
      <c r="I133" s="73">
        <f t="shared" si="44"/>
        <v>594</v>
      </c>
      <c r="J133" s="73">
        <f t="shared" si="44"/>
        <v>702</v>
      </c>
      <c r="K133" s="73">
        <f t="shared" si="44"/>
        <v>810</v>
      </c>
      <c r="L133" s="73">
        <f t="shared" si="44"/>
        <v>918</v>
      </c>
      <c r="M133" s="93"/>
      <c r="O133" s="45">
        <v>110</v>
      </c>
      <c r="P133" s="45">
        <f t="shared" si="35"/>
        <v>20</v>
      </c>
      <c r="Q133" s="73">
        <f t="shared" si="25"/>
        <v>21</v>
      </c>
      <c r="R133" s="73">
        <f t="shared" si="26"/>
        <v>22</v>
      </c>
      <c r="S133" s="73">
        <f t="shared" si="27"/>
        <v>23</v>
      </c>
      <c r="T133" s="73">
        <f t="shared" si="28"/>
        <v>24</v>
      </c>
      <c r="U133" s="73">
        <f t="shared" si="29"/>
        <v>25</v>
      </c>
      <c r="V133" s="73">
        <f t="shared" si="30"/>
        <v>25</v>
      </c>
      <c r="W133" s="73">
        <f t="shared" si="31"/>
        <v>25</v>
      </c>
    </row>
    <row r="134" ht="18" spans="1:23">
      <c r="A134" s="65"/>
      <c r="B134" s="65"/>
      <c r="C134" s="92"/>
      <c r="D134" s="45">
        <v>85</v>
      </c>
      <c r="E134" s="45">
        <f t="shared" si="43"/>
        <v>170</v>
      </c>
      <c r="F134" s="73">
        <f t="shared" ref="F134:L134" si="45">CEILING(E134*F$120,2)</f>
        <v>284</v>
      </c>
      <c r="G134" s="73">
        <f t="shared" si="45"/>
        <v>398</v>
      </c>
      <c r="H134" s="73">
        <f t="shared" si="45"/>
        <v>512</v>
      </c>
      <c r="I134" s="73">
        <f t="shared" si="45"/>
        <v>626</v>
      </c>
      <c r="J134" s="73">
        <f t="shared" si="45"/>
        <v>740</v>
      </c>
      <c r="K134" s="73">
        <f t="shared" si="45"/>
        <v>854</v>
      </c>
      <c r="L134" s="73">
        <f t="shared" si="45"/>
        <v>968</v>
      </c>
      <c r="M134" s="93"/>
      <c r="O134" s="45">
        <v>120</v>
      </c>
      <c r="P134" s="45">
        <f t="shared" si="35"/>
        <v>22</v>
      </c>
      <c r="Q134" s="73">
        <f t="shared" si="25"/>
        <v>23</v>
      </c>
      <c r="R134" s="73">
        <f t="shared" si="26"/>
        <v>24</v>
      </c>
      <c r="S134" s="73">
        <f t="shared" si="27"/>
        <v>25</v>
      </c>
      <c r="T134" s="73">
        <f t="shared" si="28"/>
        <v>26</v>
      </c>
      <c r="U134" s="73">
        <f t="shared" si="29"/>
        <v>27</v>
      </c>
      <c r="V134" s="73">
        <f t="shared" si="30"/>
        <v>27</v>
      </c>
      <c r="W134" s="73">
        <f t="shared" si="31"/>
        <v>27</v>
      </c>
    </row>
    <row r="135" ht="18" spans="1:23">
      <c r="A135" s="65"/>
      <c r="B135" s="65"/>
      <c r="C135" s="92"/>
      <c r="D135" s="45">
        <v>90</v>
      </c>
      <c r="E135" s="45">
        <f t="shared" si="43"/>
        <v>178</v>
      </c>
      <c r="F135" s="73">
        <f t="shared" ref="F135:L135" si="46">CEILING(E135*F$120,2)</f>
        <v>298</v>
      </c>
      <c r="G135" s="73">
        <f t="shared" si="46"/>
        <v>418</v>
      </c>
      <c r="H135" s="73">
        <f t="shared" si="46"/>
        <v>538</v>
      </c>
      <c r="I135" s="73">
        <f t="shared" si="46"/>
        <v>658</v>
      </c>
      <c r="J135" s="73">
        <f t="shared" si="46"/>
        <v>778</v>
      </c>
      <c r="K135" s="73">
        <f t="shared" si="46"/>
        <v>898</v>
      </c>
      <c r="L135" s="73">
        <f t="shared" si="46"/>
        <v>1018</v>
      </c>
      <c r="M135" s="93"/>
      <c r="O135" s="45">
        <v>130</v>
      </c>
      <c r="P135" s="45">
        <f t="shared" si="35"/>
        <v>22</v>
      </c>
      <c r="Q135" s="73">
        <f t="shared" si="25"/>
        <v>23</v>
      </c>
      <c r="R135" s="73">
        <f t="shared" si="26"/>
        <v>24</v>
      </c>
      <c r="S135" s="73">
        <f t="shared" si="27"/>
        <v>25</v>
      </c>
      <c r="T135" s="73">
        <f t="shared" si="28"/>
        <v>26</v>
      </c>
      <c r="U135" s="73">
        <f t="shared" si="29"/>
        <v>27</v>
      </c>
      <c r="V135" s="73">
        <f t="shared" si="30"/>
        <v>27</v>
      </c>
      <c r="W135" s="73">
        <f t="shared" si="31"/>
        <v>27</v>
      </c>
    </row>
    <row r="136" ht="18" spans="1:23">
      <c r="A136" s="65"/>
      <c r="B136" s="65"/>
      <c r="C136" s="92"/>
      <c r="D136" s="45">
        <v>95</v>
      </c>
      <c r="E136" s="45">
        <f t="shared" si="43"/>
        <v>186</v>
      </c>
      <c r="F136" s="73">
        <f t="shared" ref="F136:L136" si="47">CEILING(E136*F$120,2)</f>
        <v>310</v>
      </c>
      <c r="G136" s="73">
        <f t="shared" si="47"/>
        <v>434</v>
      </c>
      <c r="H136" s="73">
        <f t="shared" si="47"/>
        <v>558</v>
      </c>
      <c r="I136" s="73">
        <f t="shared" si="47"/>
        <v>682</v>
      </c>
      <c r="J136" s="73">
        <f t="shared" si="47"/>
        <v>806</v>
      </c>
      <c r="K136" s="73">
        <f t="shared" si="47"/>
        <v>930</v>
      </c>
      <c r="L136" s="73">
        <f t="shared" si="47"/>
        <v>1054</v>
      </c>
      <c r="M136" s="93"/>
      <c r="O136" s="45">
        <v>140</v>
      </c>
      <c r="P136" s="45">
        <f t="shared" si="35"/>
        <v>24</v>
      </c>
      <c r="Q136" s="73">
        <f t="shared" si="25"/>
        <v>25</v>
      </c>
      <c r="R136" s="73">
        <f t="shared" si="26"/>
        <v>26</v>
      </c>
      <c r="S136" s="73">
        <f t="shared" si="27"/>
        <v>27</v>
      </c>
      <c r="T136" s="73">
        <f t="shared" si="28"/>
        <v>28</v>
      </c>
      <c r="U136" s="73">
        <f t="shared" si="29"/>
        <v>30</v>
      </c>
      <c r="V136" s="73">
        <f t="shared" si="30"/>
        <v>30</v>
      </c>
      <c r="W136" s="73">
        <f t="shared" si="31"/>
        <v>30</v>
      </c>
    </row>
    <row r="137" ht="18" spans="1:23">
      <c r="A137" s="65"/>
      <c r="B137" s="65"/>
      <c r="C137" s="92"/>
      <c r="D137" s="45">
        <v>100</v>
      </c>
      <c r="E137" s="45">
        <f t="shared" si="43"/>
        <v>195</v>
      </c>
      <c r="F137" s="73">
        <f t="shared" ref="F137:L137" si="48">CEILING(E137*F$120,2)</f>
        <v>326</v>
      </c>
      <c r="G137" s="73">
        <f t="shared" si="48"/>
        <v>458</v>
      </c>
      <c r="H137" s="73">
        <f t="shared" si="48"/>
        <v>590</v>
      </c>
      <c r="I137" s="73">
        <f t="shared" si="48"/>
        <v>722</v>
      </c>
      <c r="J137" s="73">
        <f t="shared" si="48"/>
        <v>854</v>
      </c>
      <c r="K137" s="73">
        <f t="shared" si="48"/>
        <v>986</v>
      </c>
      <c r="L137" s="73">
        <f t="shared" si="48"/>
        <v>1118</v>
      </c>
      <c r="M137" s="93"/>
      <c r="O137" s="45">
        <v>150</v>
      </c>
      <c r="P137" s="45">
        <f t="shared" si="35"/>
        <v>24</v>
      </c>
      <c r="Q137" s="73">
        <f t="shared" si="25"/>
        <v>25</v>
      </c>
      <c r="R137" s="73">
        <f t="shared" si="26"/>
        <v>26</v>
      </c>
      <c r="S137" s="73">
        <f t="shared" si="27"/>
        <v>27</v>
      </c>
      <c r="T137" s="73">
        <f t="shared" si="28"/>
        <v>28</v>
      </c>
      <c r="U137" s="73">
        <f t="shared" si="29"/>
        <v>30</v>
      </c>
      <c r="V137" s="73">
        <f t="shared" si="30"/>
        <v>30</v>
      </c>
      <c r="W137" s="73">
        <f t="shared" si="31"/>
        <v>30</v>
      </c>
    </row>
    <row r="138" ht="18" spans="1:23">
      <c r="A138" s="65"/>
      <c r="B138" s="65"/>
      <c r="C138" s="92"/>
      <c r="D138" s="45">
        <v>105</v>
      </c>
      <c r="E138" s="45">
        <f t="shared" si="43"/>
        <v>204</v>
      </c>
      <c r="F138" s="73">
        <f t="shared" ref="F138:L138" si="49">CEILING(E138*F$120,2)</f>
        <v>340</v>
      </c>
      <c r="G138" s="73">
        <f t="shared" si="49"/>
        <v>476</v>
      </c>
      <c r="H138" s="73">
        <f t="shared" si="49"/>
        <v>612</v>
      </c>
      <c r="I138" s="73">
        <f t="shared" si="49"/>
        <v>748</v>
      </c>
      <c r="J138" s="73">
        <f t="shared" si="49"/>
        <v>884</v>
      </c>
      <c r="K138" s="73">
        <f t="shared" si="49"/>
        <v>1020</v>
      </c>
      <c r="L138" s="73">
        <f t="shared" si="49"/>
        <v>1156</v>
      </c>
      <c r="M138" s="93"/>
      <c r="O138" s="45">
        <v>160</v>
      </c>
      <c r="P138" s="45">
        <f t="shared" si="35"/>
        <v>26</v>
      </c>
      <c r="Q138" s="73">
        <f t="shared" si="25"/>
        <v>27</v>
      </c>
      <c r="R138" s="73">
        <f t="shared" si="26"/>
        <v>28</v>
      </c>
      <c r="S138" s="73">
        <f t="shared" si="27"/>
        <v>29</v>
      </c>
      <c r="T138" s="73">
        <f t="shared" si="28"/>
        <v>31</v>
      </c>
      <c r="U138" s="73">
        <f t="shared" si="29"/>
        <v>32</v>
      </c>
      <c r="V138" s="73">
        <f t="shared" si="30"/>
        <v>32</v>
      </c>
      <c r="W138" s="73">
        <f t="shared" si="31"/>
        <v>32</v>
      </c>
    </row>
    <row r="139" ht="18" spans="1:23">
      <c r="A139" s="65"/>
      <c r="B139" s="65"/>
      <c r="C139" s="92"/>
      <c r="D139" s="45">
        <v>110</v>
      </c>
      <c r="E139" s="45">
        <f t="shared" si="43"/>
        <v>214</v>
      </c>
      <c r="F139" s="73">
        <f t="shared" ref="F139:L139" si="50">CEILING(E139*F$120,2)</f>
        <v>358</v>
      </c>
      <c r="G139" s="73">
        <f t="shared" si="50"/>
        <v>502</v>
      </c>
      <c r="H139" s="73">
        <f t="shared" si="50"/>
        <v>646</v>
      </c>
      <c r="I139" s="73">
        <f t="shared" si="50"/>
        <v>790</v>
      </c>
      <c r="J139" s="73">
        <f t="shared" si="50"/>
        <v>934</v>
      </c>
      <c r="K139" s="73">
        <f t="shared" si="50"/>
        <v>1078</v>
      </c>
      <c r="L139" s="73">
        <f t="shared" si="50"/>
        <v>1222</v>
      </c>
      <c r="M139" s="93"/>
      <c r="O139" s="45">
        <v>170</v>
      </c>
      <c r="P139" s="45">
        <f t="shared" si="35"/>
        <v>26</v>
      </c>
      <c r="Q139" s="73">
        <f t="shared" si="25"/>
        <v>27</v>
      </c>
      <c r="R139" s="73">
        <f t="shared" si="26"/>
        <v>28</v>
      </c>
      <c r="S139" s="73">
        <f t="shared" si="27"/>
        <v>29</v>
      </c>
      <c r="T139" s="73">
        <f t="shared" si="28"/>
        <v>31</v>
      </c>
      <c r="U139" s="73">
        <f t="shared" si="29"/>
        <v>32</v>
      </c>
      <c r="V139" s="73">
        <f t="shared" si="30"/>
        <v>32</v>
      </c>
      <c r="W139" s="73">
        <f t="shared" si="31"/>
        <v>32</v>
      </c>
    </row>
    <row r="140" ht="18" spans="1:23">
      <c r="A140" s="65"/>
      <c r="B140" s="65"/>
      <c r="C140" s="92"/>
      <c r="D140" s="45">
        <v>115</v>
      </c>
      <c r="E140" s="45">
        <f t="shared" si="43"/>
        <v>224</v>
      </c>
      <c r="F140" s="73">
        <f t="shared" ref="F140:L140" si="51">CEILING(E140*F$120,2)</f>
        <v>374</v>
      </c>
      <c r="G140" s="73">
        <f t="shared" si="51"/>
        <v>524</v>
      </c>
      <c r="H140" s="73">
        <f t="shared" si="51"/>
        <v>674</v>
      </c>
      <c r="I140" s="73">
        <f t="shared" si="51"/>
        <v>824</v>
      </c>
      <c r="J140" s="73">
        <f t="shared" si="51"/>
        <v>974</v>
      </c>
      <c r="K140" s="73">
        <f t="shared" si="51"/>
        <v>1124</v>
      </c>
      <c r="L140" s="73">
        <f t="shared" si="51"/>
        <v>1274</v>
      </c>
      <c r="M140" s="93"/>
      <c r="O140" s="45">
        <v>180</v>
      </c>
      <c r="P140" s="45">
        <f t="shared" si="35"/>
        <v>28</v>
      </c>
      <c r="Q140" s="73">
        <f t="shared" si="25"/>
        <v>29</v>
      </c>
      <c r="R140" s="73">
        <f t="shared" si="26"/>
        <v>30</v>
      </c>
      <c r="S140" s="73">
        <f t="shared" si="27"/>
        <v>32</v>
      </c>
      <c r="T140" s="73">
        <f t="shared" si="28"/>
        <v>33</v>
      </c>
      <c r="U140" s="73">
        <f t="shared" si="29"/>
        <v>35</v>
      </c>
      <c r="V140" s="73">
        <f t="shared" si="30"/>
        <v>35</v>
      </c>
      <c r="W140" s="73">
        <f t="shared" si="31"/>
        <v>35</v>
      </c>
    </row>
    <row r="141" ht="18" spans="1:23">
      <c r="A141" s="65"/>
      <c r="B141" s="65"/>
      <c r="C141" s="92"/>
      <c r="D141" s="45">
        <v>120</v>
      </c>
      <c r="E141" s="45">
        <f t="shared" si="43"/>
        <v>235</v>
      </c>
      <c r="F141" s="73">
        <f t="shared" ref="F141:L141" si="52">CEILING(E141*F$120,2)</f>
        <v>392</v>
      </c>
      <c r="G141" s="73">
        <f t="shared" si="52"/>
        <v>550</v>
      </c>
      <c r="H141" s="73">
        <f t="shared" si="52"/>
        <v>708</v>
      </c>
      <c r="I141" s="73">
        <f t="shared" si="52"/>
        <v>866</v>
      </c>
      <c r="J141" s="73">
        <f t="shared" si="52"/>
        <v>1024</v>
      </c>
      <c r="K141" s="73">
        <f t="shared" si="52"/>
        <v>1182</v>
      </c>
      <c r="L141" s="73">
        <f t="shared" si="52"/>
        <v>1340</v>
      </c>
      <c r="M141" s="93"/>
      <c r="O141" s="45">
        <v>190</v>
      </c>
      <c r="P141" s="45">
        <f t="shared" si="35"/>
        <v>28</v>
      </c>
      <c r="Q141" s="73">
        <f t="shared" si="25"/>
        <v>29</v>
      </c>
      <c r="R141" s="73">
        <f t="shared" si="26"/>
        <v>30</v>
      </c>
      <c r="S141" s="73">
        <f t="shared" si="27"/>
        <v>32</v>
      </c>
      <c r="T141" s="73">
        <f t="shared" si="28"/>
        <v>33</v>
      </c>
      <c r="U141" s="73">
        <f t="shared" si="29"/>
        <v>35</v>
      </c>
      <c r="V141" s="73">
        <f t="shared" si="30"/>
        <v>35</v>
      </c>
      <c r="W141" s="73">
        <f t="shared" si="31"/>
        <v>35</v>
      </c>
    </row>
    <row r="142" ht="18" spans="1:23">
      <c r="A142" s="65"/>
      <c r="B142" s="65"/>
      <c r="C142" s="92"/>
      <c r="D142" s="45">
        <v>125</v>
      </c>
      <c r="E142" s="45">
        <f t="shared" si="43"/>
        <v>246</v>
      </c>
      <c r="F142" s="73">
        <f t="shared" ref="F142:L142" si="53">CEILING(E142*F$120,2)</f>
        <v>410</v>
      </c>
      <c r="G142" s="73">
        <f t="shared" si="53"/>
        <v>574</v>
      </c>
      <c r="H142" s="73">
        <f t="shared" si="53"/>
        <v>738</v>
      </c>
      <c r="I142" s="73">
        <f t="shared" si="53"/>
        <v>902</v>
      </c>
      <c r="J142" s="73">
        <f t="shared" si="53"/>
        <v>1066</v>
      </c>
      <c r="K142" s="73">
        <f t="shared" si="53"/>
        <v>1230</v>
      </c>
      <c r="L142" s="73">
        <f t="shared" si="53"/>
        <v>1394</v>
      </c>
      <c r="M142" s="93"/>
      <c r="O142" s="45">
        <v>200</v>
      </c>
      <c r="P142" s="45">
        <f t="shared" si="35"/>
        <v>30</v>
      </c>
      <c r="Q142" s="73">
        <f t="shared" si="25"/>
        <v>31</v>
      </c>
      <c r="R142" s="73">
        <f t="shared" si="26"/>
        <v>33</v>
      </c>
      <c r="S142" s="73">
        <f t="shared" si="27"/>
        <v>34</v>
      </c>
      <c r="T142" s="73">
        <f t="shared" si="28"/>
        <v>36</v>
      </c>
      <c r="U142" s="73">
        <f t="shared" si="29"/>
        <v>37</v>
      </c>
      <c r="V142" s="73">
        <f t="shared" si="30"/>
        <v>37</v>
      </c>
      <c r="W142" s="73">
        <f t="shared" si="31"/>
        <v>37</v>
      </c>
    </row>
    <row r="143" ht="18" spans="1:23">
      <c r="A143" s="65"/>
      <c r="B143" s="65"/>
      <c r="C143" s="92"/>
      <c r="D143" s="45">
        <v>130</v>
      </c>
      <c r="E143" s="45">
        <f t="shared" si="43"/>
        <v>258</v>
      </c>
      <c r="F143" s="73">
        <f t="shared" ref="F143:L143" si="54">CEILING(E143*F$120,2)</f>
        <v>430</v>
      </c>
      <c r="G143" s="73">
        <f t="shared" si="54"/>
        <v>602</v>
      </c>
      <c r="H143" s="73">
        <f t="shared" si="54"/>
        <v>774</v>
      </c>
      <c r="I143" s="73">
        <f t="shared" si="54"/>
        <v>946</v>
      </c>
      <c r="J143" s="73">
        <f t="shared" si="54"/>
        <v>1118</v>
      </c>
      <c r="K143" s="73">
        <f t="shared" si="54"/>
        <v>1290</v>
      </c>
      <c r="L143" s="73">
        <f t="shared" si="54"/>
        <v>1462</v>
      </c>
      <c r="M143" s="93"/>
      <c r="O143" s="45">
        <v>210</v>
      </c>
      <c r="P143" s="45">
        <f t="shared" si="35"/>
        <v>30</v>
      </c>
      <c r="Q143" s="73">
        <f t="shared" si="25"/>
        <v>31</v>
      </c>
      <c r="R143" s="73">
        <f t="shared" si="26"/>
        <v>33</v>
      </c>
      <c r="S143" s="73">
        <f t="shared" si="27"/>
        <v>34</v>
      </c>
      <c r="T143" s="73">
        <f t="shared" si="28"/>
        <v>36</v>
      </c>
      <c r="U143" s="73">
        <f t="shared" si="29"/>
        <v>37</v>
      </c>
      <c r="V143" s="73">
        <f t="shared" si="30"/>
        <v>37</v>
      </c>
      <c r="W143" s="73">
        <f t="shared" si="31"/>
        <v>37</v>
      </c>
    </row>
    <row r="144" ht="18" spans="1:23">
      <c r="A144" s="65"/>
      <c r="B144" s="65"/>
      <c r="C144" s="92"/>
      <c r="D144" s="45">
        <v>135</v>
      </c>
      <c r="E144" s="45">
        <f t="shared" si="43"/>
        <v>270</v>
      </c>
      <c r="F144" s="73">
        <f t="shared" ref="F144:L144" si="55">CEILING(E144*F$120,2)</f>
        <v>450</v>
      </c>
      <c r="G144" s="73">
        <f t="shared" si="55"/>
        <v>630</v>
      </c>
      <c r="H144" s="73">
        <f t="shared" si="55"/>
        <v>810</v>
      </c>
      <c r="I144" s="73">
        <f t="shared" si="55"/>
        <v>990</v>
      </c>
      <c r="J144" s="73">
        <f t="shared" si="55"/>
        <v>1170</v>
      </c>
      <c r="K144" s="73">
        <f t="shared" si="55"/>
        <v>1350</v>
      </c>
      <c r="L144" s="73">
        <f t="shared" si="55"/>
        <v>1530</v>
      </c>
      <c r="M144" s="93"/>
      <c r="O144" s="45">
        <v>220</v>
      </c>
      <c r="P144" s="45">
        <f t="shared" si="35"/>
        <v>32</v>
      </c>
      <c r="Q144" s="73">
        <f t="shared" si="25"/>
        <v>33</v>
      </c>
      <c r="R144" s="73">
        <f t="shared" si="26"/>
        <v>35</v>
      </c>
      <c r="S144" s="73">
        <f t="shared" si="27"/>
        <v>36</v>
      </c>
      <c r="T144" s="73">
        <f t="shared" si="28"/>
        <v>38</v>
      </c>
      <c r="U144" s="73">
        <f t="shared" si="29"/>
        <v>40</v>
      </c>
      <c r="V144" s="73">
        <f t="shared" si="30"/>
        <v>40</v>
      </c>
      <c r="W144" s="73">
        <f t="shared" si="31"/>
        <v>40</v>
      </c>
    </row>
    <row r="145" ht="18" spans="1:23">
      <c r="A145" s="65"/>
      <c r="B145" s="65"/>
      <c r="C145" s="92"/>
      <c r="D145" s="45">
        <v>140</v>
      </c>
      <c r="E145" s="45">
        <f t="shared" si="43"/>
        <v>283</v>
      </c>
      <c r="F145" s="73">
        <f t="shared" ref="F145:L145" si="56">CEILING(E145*F$120,2)</f>
        <v>472</v>
      </c>
      <c r="G145" s="73">
        <f t="shared" si="56"/>
        <v>662</v>
      </c>
      <c r="H145" s="73">
        <f t="shared" si="56"/>
        <v>852</v>
      </c>
      <c r="I145" s="73">
        <f t="shared" si="56"/>
        <v>1042</v>
      </c>
      <c r="J145" s="73">
        <f t="shared" si="56"/>
        <v>1232</v>
      </c>
      <c r="K145" s="73">
        <f t="shared" si="56"/>
        <v>1422</v>
      </c>
      <c r="L145" s="73">
        <f t="shared" si="56"/>
        <v>1612</v>
      </c>
      <c r="M145" s="93"/>
      <c r="O145" s="45">
        <v>230</v>
      </c>
      <c r="P145" s="45">
        <f t="shared" si="35"/>
        <v>32</v>
      </c>
      <c r="Q145" s="73">
        <f t="shared" si="25"/>
        <v>33</v>
      </c>
      <c r="R145" s="73">
        <f t="shared" si="26"/>
        <v>35</v>
      </c>
      <c r="S145" s="73">
        <f t="shared" si="27"/>
        <v>36</v>
      </c>
      <c r="T145" s="73">
        <f t="shared" si="28"/>
        <v>38</v>
      </c>
      <c r="U145" s="73">
        <f t="shared" si="29"/>
        <v>40</v>
      </c>
      <c r="V145" s="73">
        <f t="shared" si="30"/>
        <v>40</v>
      </c>
      <c r="W145" s="73">
        <f t="shared" si="31"/>
        <v>40</v>
      </c>
    </row>
    <row r="146" ht="18" spans="1:23">
      <c r="A146" s="65"/>
      <c r="B146" s="65"/>
      <c r="C146" s="92"/>
      <c r="D146" s="45">
        <v>145</v>
      </c>
      <c r="E146" s="45">
        <f t="shared" si="43"/>
        <v>297</v>
      </c>
      <c r="F146" s="73">
        <f t="shared" ref="F146:L146" si="57">CEILING(E146*F$120,2)</f>
        <v>496</v>
      </c>
      <c r="G146" s="73">
        <f t="shared" si="57"/>
        <v>696</v>
      </c>
      <c r="H146" s="73">
        <f t="shared" si="57"/>
        <v>896</v>
      </c>
      <c r="I146" s="73">
        <f t="shared" si="57"/>
        <v>1096</v>
      </c>
      <c r="J146" s="73">
        <f t="shared" si="57"/>
        <v>1296</v>
      </c>
      <c r="K146" s="73">
        <f t="shared" si="57"/>
        <v>1496</v>
      </c>
      <c r="L146" s="73">
        <f t="shared" si="57"/>
        <v>1696</v>
      </c>
      <c r="M146" s="93"/>
      <c r="O146" s="45">
        <v>240</v>
      </c>
      <c r="P146" s="45">
        <f t="shared" si="35"/>
        <v>34</v>
      </c>
      <c r="Q146" s="73">
        <f t="shared" si="25"/>
        <v>35</v>
      </c>
      <c r="R146" s="73">
        <f t="shared" si="26"/>
        <v>37</v>
      </c>
      <c r="S146" s="73">
        <f t="shared" si="27"/>
        <v>39</v>
      </c>
      <c r="T146" s="73">
        <f t="shared" si="28"/>
        <v>40</v>
      </c>
      <c r="U146" s="73">
        <f t="shared" si="29"/>
        <v>42</v>
      </c>
      <c r="V146" s="73">
        <f t="shared" si="30"/>
        <v>42</v>
      </c>
      <c r="W146" s="73">
        <f t="shared" si="31"/>
        <v>42</v>
      </c>
    </row>
    <row r="147" ht="18" spans="1:23">
      <c r="A147" s="65"/>
      <c r="B147" s="65"/>
      <c r="C147" s="92"/>
      <c r="D147" s="45">
        <v>150</v>
      </c>
      <c r="E147" s="45">
        <f t="shared" si="43"/>
        <v>311</v>
      </c>
      <c r="F147" s="73">
        <f t="shared" ref="F147:L147" si="58">CEILING(E147*F$120,2)</f>
        <v>520</v>
      </c>
      <c r="G147" s="73">
        <f t="shared" si="58"/>
        <v>728</v>
      </c>
      <c r="H147" s="73">
        <f t="shared" si="58"/>
        <v>936</v>
      </c>
      <c r="I147" s="73">
        <f t="shared" si="58"/>
        <v>1144</v>
      </c>
      <c r="J147" s="73">
        <f t="shared" si="58"/>
        <v>1352</v>
      </c>
      <c r="K147" s="73">
        <f t="shared" si="58"/>
        <v>1560</v>
      </c>
      <c r="L147" s="73">
        <f t="shared" si="58"/>
        <v>1768</v>
      </c>
      <c r="M147" s="93"/>
      <c r="O147" s="45">
        <v>250</v>
      </c>
      <c r="P147" s="45">
        <f t="shared" si="35"/>
        <v>34</v>
      </c>
      <c r="Q147" s="73">
        <f t="shared" si="25"/>
        <v>35</v>
      </c>
      <c r="R147" s="73">
        <f t="shared" si="26"/>
        <v>37</v>
      </c>
      <c r="S147" s="73">
        <f t="shared" si="27"/>
        <v>39</v>
      </c>
      <c r="T147" s="73">
        <f t="shared" si="28"/>
        <v>40</v>
      </c>
      <c r="U147" s="73">
        <f t="shared" si="29"/>
        <v>42</v>
      </c>
      <c r="V147" s="73">
        <f t="shared" si="30"/>
        <v>42</v>
      </c>
      <c r="W147" s="73">
        <f t="shared" si="31"/>
        <v>42</v>
      </c>
    </row>
    <row r="148" ht="18" spans="1:23">
      <c r="A148" s="65"/>
      <c r="B148" s="65"/>
      <c r="C148" s="92"/>
      <c r="D148" s="45">
        <v>155</v>
      </c>
      <c r="I148" s="93"/>
      <c r="J148" s="93"/>
      <c r="K148" s="93"/>
      <c r="L148" s="93"/>
      <c r="M148" s="93"/>
      <c r="N148" s="93"/>
    </row>
    <row r="149" spans="1:23">
      <c r="D149" s="45">
        <v>160</v>
      </c>
    </row>
    <row r="150" spans="1:23">
      <c r="D150" s="45">
        <v>165</v>
      </c>
    </row>
    <row r="151" spans="1:23">
      <c r="D151" s="45">
        <v>170</v>
      </c>
    </row>
    <row r="152" spans="1:23">
      <c r="D152" s="45">
        <v>175</v>
      </c>
    </row>
    <row r="153" spans="1:23">
      <c r="D153" s="45">
        <v>180</v>
      </c>
    </row>
    <row r="154" spans="1:23">
      <c r="D154" s="45">
        <v>185</v>
      </c>
    </row>
    <row r="155" spans="1:23">
      <c r="D155" s="45">
        <v>190</v>
      </c>
    </row>
    <row r="156" spans="1:23">
      <c r="D156" s="45">
        <v>195</v>
      </c>
    </row>
    <row r="157" spans="1:23">
      <c r="D157" s="45">
        <v>200</v>
      </c>
    </row>
    <row r="158" spans="1:23">
      <c r="D158" s="45">
        <v>205</v>
      </c>
    </row>
    <row r="159" spans="1:23">
      <c r="D159" s="45">
        <v>210</v>
      </c>
    </row>
    <row r="160" spans="1:23">
      <c r="D160" s="45">
        <v>215</v>
      </c>
    </row>
    <row r="161" spans="3:5">
      <c r="D161" s="45">
        <v>220</v>
      </c>
    </row>
    <row r="162" spans="3:5">
      <c r="D162" s="45">
        <v>225</v>
      </c>
    </row>
    <row r="163" spans="3:5">
      <c r="D163" s="45">
        <v>230</v>
      </c>
    </row>
    <row r="164" spans="3:5">
      <c r="D164" s="45">
        <v>235</v>
      </c>
    </row>
    <row r="165" spans="3:5">
      <c r="D165" s="45">
        <v>240</v>
      </c>
    </row>
    <row r="166" spans="3:5">
      <c r="D166" s="45">
        <v>245</v>
      </c>
    </row>
    <row r="167" spans="3:5">
      <c r="D167" s="45">
        <v>250</v>
      </c>
    </row>
    <row r="168" spans="3:5">
      <c r="D168" s="45"/>
    </row>
    <row r="169" spans="3:5">
      <c r="D169" s="45"/>
    </row>
    <row r="170" spans="3:5">
      <c r="D170" s="45"/>
    </row>
    <row r="171" spans="3:5">
      <c r="D171" s="45"/>
    </row>
    <row r="172" spans="3:5">
      <c r="D172" s="45"/>
    </row>
    <row r="175" ht="17.25" spans="3:5">
      <c r="C175" s="98"/>
      <c r="D175" s="99" t="s">
        <v>534</v>
      </c>
      <c r="E175" s="65"/>
    </row>
    <row r="178" spans="4:11">
      <c r="D178" s="117" t="s">
        <v>535</v>
      </c>
    </row>
    <row r="179" spans="4:11">
      <c r="D179" s="128">
        <v>8</v>
      </c>
    </row>
    <row r="185" spans="4:11">
      <c r="D185" s="117" t="s">
        <v>23</v>
      </c>
      <c r="E185" s="117" t="s">
        <v>536</v>
      </c>
      <c r="F185" s="117" t="s">
        <v>77</v>
      </c>
      <c r="G185" s="45" t="s">
        <v>537</v>
      </c>
      <c r="H185" s="45" t="s">
        <v>538</v>
      </c>
      <c r="I185" s="45" t="s">
        <v>539</v>
      </c>
      <c r="J185" s="45" t="s">
        <v>540</v>
      </c>
      <c r="K185" s="45" t="s">
        <v>541</v>
      </c>
    </row>
    <row r="186" spans="4:11">
      <c r="D186" s="128">
        <v>1</v>
      </c>
      <c r="E186" s="128">
        <f>IFERROR((_xlfn.XLOOKUP(D187,[2]主线关卡!E$27:E$326,[2]主线关卡!$D$27:$D$326)-1)*40,E185)</f>
        <v>480</v>
      </c>
      <c r="F186" s="128">
        <f>E186+J186</f>
        <v>780</v>
      </c>
      <c r="G186" s="45">
        <f>H186+I186</f>
        <v>602</v>
      </c>
      <c r="H186" s="45">
        <v>50</v>
      </c>
      <c r="I186" s="45">
        <v>552</v>
      </c>
      <c r="J186" s="45">
        <v>300</v>
      </c>
    </row>
    <row r="187" spans="4:11">
      <c r="D187" s="128">
        <v>2</v>
      </c>
      <c r="E187" s="128">
        <f>IFERROR((_xlfn.XLOOKUP(D188,[2]主线关卡!E$27:E$326,[2]主线关卡!$D$27:$D$326)-1)*40,E186)</f>
        <v>800</v>
      </c>
      <c r="F187" s="128">
        <f>E187-E186+J187</f>
        <v>620</v>
      </c>
      <c r="G187" s="45">
        <f t="shared" ref="G187:G250" si="59">H187+I187</f>
        <v>602</v>
      </c>
      <c r="H187" s="45">
        <v>50</v>
      </c>
      <c r="I187" s="45">
        <f>I186</f>
        <v>552</v>
      </c>
      <c r="J187" s="45">
        <v>300</v>
      </c>
    </row>
    <row r="188" spans="4:11">
      <c r="D188" s="128">
        <v>3</v>
      </c>
      <c r="E188" s="128">
        <f>IFERROR((_xlfn.XLOOKUP(D189,[2]主线关卡!E$27:E$326,[2]主线关卡!$D$27:$D$326)-1)*40,E187)</f>
        <v>1040</v>
      </c>
      <c r="F188" s="128">
        <f t="shared" ref="F188:F251" si="60">E188-E187+J188</f>
        <v>540</v>
      </c>
      <c r="G188" s="45">
        <f t="shared" si="59"/>
        <v>602</v>
      </c>
      <c r="H188" s="45">
        <v>50</v>
      </c>
      <c r="I188" s="45">
        <f t="shared" ref="I188:I251" si="61">I187</f>
        <v>552</v>
      </c>
      <c r="J188" s="45">
        <v>300</v>
      </c>
    </row>
    <row r="189" spans="4:11">
      <c r="D189" s="128">
        <v>4</v>
      </c>
      <c r="E189" s="128">
        <f>IFERROR((_xlfn.XLOOKUP(D190,[2]主线关卡!E$27:E$326,[2]主线关卡!$D$27:$D$326)-1)*40,E188)</f>
        <v>1240</v>
      </c>
      <c r="F189" s="128">
        <f t="shared" si="60"/>
        <v>500</v>
      </c>
      <c r="G189" s="45">
        <f t="shared" si="59"/>
        <v>602</v>
      </c>
      <c r="H189" s="45">
        <v>50</v>
      </c>
      <c r="I189" s="45">
        <f t="shared" si="61"/>
        <v>552</v>
      </c>
      <c r="J189" s="45">
        <v>300</v>
      </c>
    </row>
    <row r="190" spans="4:11">
      <c r="D190" s="128">
        <v>5</v>
      </c>
      <c r="E190" s="128">
        <f>IFERROR((_xlfn.XLOOKUP(D191,[2]主线关卡!E$27:E$326,[2]主线关卡!$D$27:$D$326)-1)*40,E189)</f>
        <v>1400</v>
      </c>
      <c r="F190" s="128">
        <f t="shared" si="60"/>
        <v>460</v>
      </c>
      <c r="G190" s="45">
        <f t="shared" si="59"/>
        <v>602</v>
      </c>
      <c r="H190" s="45">
        <v>50</v>
      </c>
      <c r="I190" s="45">
        <f t="shared" si="61"/>
        <v>552</v>
      </c>
      <c r="J190" s="45">
        <v>300</v>
      </c>
    </row>
    <row r="191" spans="4:11">
      <c r="D191" s="128">
        <v>6</v>
      </c>
      <c r="E191" s="128">
        <f>IFERROR((_xlfn.XLOOKUP(D192,[2]主线关卡!E$27:E$326,[2]主线关卡!$D$27:$D$326)-1)*40,E190)</f>
        <v>1560</v>
      </c>
      <c r="F191" s="128">
        <f t="shared" si="60"/>
        <v>460</v>
      </c>
      <c r="G191" s="45">
        <f t="shared" si="59"/>
        <v>602</v>
      </c>
      <c r="H191" s="45">
        <v>50</v>
      </c>
      <c r="I191" s="45">
        <f t="shared" si="61"/>
        <v>552</v>
      </c>
      <c r="J191" s="45">
        <v>300</v>
      </c>
    </row>
    <row r="192" spans="4:11">
      <c r="D192" s="128">
        <v>7</v>
      </c>
      <c r="E192" s="128">
        <f>IFERROR((_xlfn.XLOOKUP(D193,[2]主线关卡!E$27:E$326,[2]主线关卡!$D$27:$D$326)-1)*40,E191)</f>
        <v>1680</v>
      </c>
      <c r="F192" s="128">
        <f t="shared" si="60"/>
        <v>420</v>
      </c>
      <c r="G192" s="45">
        <f t="shared" si="59"/>
        <v>602</v>
      </c>
      <c r="H192" s="45">
        <v>50</v>
      </c>
      <c r="I192" s="45">
        <f t="shared" si="61"/>
        <v>552</v>
      </c>
      <c r="J192" s="45">
        <v>300</v>
      </c>
    </row>
    <row r="193" spans="4:10">
      <c r="D193" s="128">
        <v>8</v>
      </c>
      <c r="E193" s="128">
        <f>IFERROR((_xlfn.XLOOKUP(D194,[2]主线关卡!E$27:E$326,[2]主线关卡!$D$27:$D$326)-1)*40,E192)</f>
        <v>1800</v>
      </c>
      <c r="F193" s="128">
        <f t="shared" si="60"/>
        <v>420</v>
      </c>
      <c r="G193" s="45">
        <f t="shared" si="59"/>
        <v>602</v>
      </c>
      <c r="H193" s="45">
        <v>50</v>
      </c>
      <c r="I193" s="45">
        <f t="shared" si="61"/>
        <v>552</v>
      </c>
      <c r="J193" s="45">
        <v>300</v>
      </c>
    </row>
    <row r="194" spans="4:10">
      <c r="D194" s="128">
        <v>9</v>
      </c>
      <c r="E194" s="128">
        <f>IFERROR((_xlfn.XLOOKUP(D195,[2]主线关卡!E$27:E$326,[2]主线关卡!$D$27:$D$326)-1)*40,E193)</f>
        <v>1880</v>
      </c>
      <c r="F194" s="128">
        <f t="shared" si="60"/>
        <v>380</v>
      </c>
      <c r="G194" s="45">
        <f t="shared" si="59"/>
        <v>602</v>
      </c>
      <c r="H194" s="45">
        <v>50</v>
      </c>
      <c r="I194" s="45">
        <f t="shared" si="61"/>
        <v>552</v>
      </c>
      <c r="J194" s="45">
        <v>300</v>
      </c>
    </row>
    <row r="195" spans="4:10">
      <c r="D195" s="128">
        <v>10</v>
      </c>
      <c r="E195" s="128">
        <f>IFERROR((_xlfn.XLOOKUP(D196,[2]主线关卡!E$27:E$326,[2]主线关卡!$D$27:$D$326)-1)*40,E194)</f>
        <v>1960</v>
      </c>
      <c r="F195" s="128">
        <f t="shared" si="60"/>
        <v>380</v>
      </c>
      <c r="G195" s="45">
        <f t="shared" si="59"/>
        <v>602</v>
      </c>
      <c r="H195" s="45">
        <v>50</v>
      </c>
      <c r="I195" s="45">
        <f t="shared" si="61"/>
        <v>552</v>
      </c>
      <c r="J195" s="45">
        <v>300</v>
      </c>
    </row>
    <row r="196" spans="4:10">
      <c r="D196" s="128">
        <v>11</v>
      </c>
      <c r="E196" s="128">
        <f>IFERROR((_xlfn.XLOOKUP(D197,[2]主线关卡!E$27:E$326,[2]主线关卡!$D$27:$D$326)-1)*40,E195)</f>
        <v>2040</v>
      </c>
      <c r="F196" s="128">
        <f t="shared" si="60"/>
        <v>380</v>
      </c>
      <c r="G196" s="45">
        <f t="shared" si="59"/>
        <v>602</v>
      </c>
      <c r="H196" s="45">
        <v>50</v>
      </c>
      <c r="I196" s="45">
        <f t="shared" si="61"/>
        <v>552</v>
      </c>
      <c r="J196" s="45">
        <v>300</v>
      </c>
    </row>
    <row r="197" spans="4:10">
      <c r="D197" s="128">
        <v>12</v>
      </c>
      <c r="E197" s="128">
        <f>IFERROR((_xlfn.XLOOKUP(D198,[2]主线关卡!E$27:E$326,[2]主线关卡!$D$27:$D$326)-1)*40,E196)</f>
        <v>2120</v>
      </c>
      <c r="F197" s="128">
        <f t="shared" si="60"/>
        <v>380</v>
      </c>
      <c r="G197" s="45">
        <f t="shared" si="59"/>
        <v>602</v>
      </c>
      <c r="H197" s="45">
        <v>50</v>
      </c>
      <c r="I197" s="45">
        <f t="shared" si="61"/>
        <v>552</v>
      </c>
      <c r="J197" s="45">
        <v>300</v>
      </c>
    </row>
    <row r="198" spans="4:10">
      <c r="D198" s="128">
        <v>13</v>
      </c>
      <c r="E198" s="128">
        <f>IFERROR((_xlfn.XLOOKUP(D199,[2]主线关卡!E$27:E$326,[2]主线关卡!$D$27:$D$326)-1)*40,E197)</f>
        <v>2200</v>
      </c>
      <c r="F198" s="128">
        <f t="shared" si="60"/>
        <v>380</v>
      </c>
      <c r="G198" s="45">
        <f t="shared" si="59"/>
        <v>602</v>
      </c>
      <c r="H198" s="45">
        <v>50</v>
      </c>
      <c r="I198" s="45">
        <f t="shared" si="61"/>
        <v>552</v>
      </c>
      <c r="J198" s="45">
        <v>300</v>
      </c>
    </row>
    <row r="199" spans="4:10">
      <c r="D199" s="128">
        <v>14</v>
      </c>
      <c r="E199" s="128">
        <f>IFERROR((_xlfn.XLOOKUP(D200,[2]主线关卡!E$27:E$326,[2]主线关卡!$D$27:$D$326)-1)*40,E198)</f>
        <v>2280</v>
      </c>
      <c r="F199" s="128">
        <f t="shared" si="60"/>
        <v>380</v>
      </c>
      <c r="G199" s="45">
        <f t="shared" si="59"/>
        <v>602</v>
      </c>
      <c r="H199" s="45">
        <v>50</v>
      </c>
      <c r="I199" s="45">
        <f t="shared" si="61"/>
        <v>552</v>
      </c>
      <c r="J199" s="45">
        <v>300</v>
      </c>
    </row>
    <row r="200" spans="4:10">
      <c r="D200" s="128">
        <v>15</v>
      </c>
      <c r="E200" s="128">
        <f>IFERROR((_xlfn.XLOOKUP(D201,[2]主线关卡!E$27:E$326,[2]主线关卡!$D$27:$D$326)-1)*40,E199)</f>
        <v>2360</v>
      </c>
      <c r="F200" s="128">
        <f t="shared" si="60"/>
        <v>380</v>
      </c>
      <c r="G200" s="45">
        <f t="shared" si="59"/>
        <v>602</v>
      </c>
      <c r="H200" s="45">
        <v>50</v>
      </c>
      <c r="I200" s="45">
        <f t="shared" si="61"/>
        <v>552</v>
      </c>
      <c r="J200" s="45">
        <v>300</v>
      </c>
    </row>
    <row r="201" spans="4:10">
      <c r="D201" s="128">
        <v>16</v>
      </c>
      <c r="E201" s="128">
        <f>IFERROR((_xlfn.XLOOKUP(D202,[2]主线关卡!E$27:E$326,[2]主线关卡!$D$27:$D$326)-1)*40,E200)</f>
        <v>2440</v>
      </c>
      <c r="F201" s="128">
        <f t="shared" si="60"/>
        <v>380</v>
      </c>
      <c r="G201" s="45">
        <f t="shared" si="59"/>
        <v>602</v>
      </c>
      <c r="H201" s="45">
        <v>50</v>
      </c>
      <c r="I201" s="45">
        <f t="shared" si="61"/>
        <v>552</v>
      </c>
      <c r="J201" s="45">
        <v>300</v>
      </c>
    </row>
    <row r="202" spans="4:10">
      <c r="D202" s="128">
        <v>17</v>
      </c>
      <c r="E202" s="128">
        <f>IFERROR((_xlfn.XLOOKUP(D203,[2]主线关卡!E$27:E$326,[2]主线关卡!$D$27:$D$326)-1)*40,E201)</f>
        <v>2520</v>
      </c>
      <c r="F202" s="128">
        <f t="shared" si="60"/>
        <v>380</v>
      </c>
      <c r="G202" s="45">
        <f t="shared" si="59"/>
        <v>602</v>
      </c>
      <c r="H202" s="45">
        <v>50</v>
      </c>
      <c r="I202" s="45">
        <f t="shared" si="61"/>
        <v>552</v>
      </c>
      <c r="J202" s="45">
        <v>300</v>
      </c>
    </row>
    <row r="203" spans="4:10">
      <c r="D203" s="128">
        <v>18</v>
      </c>
      <c r="E203" s="128">
        <f>IFERROR((_xlfn.XLOOKUP(D204,[2]主线关卡!E$27:E$326,[2]主线关卡!$D$27:$D$326)-1)*40,E202)</f>
        <v>2600</v>
      </c>
      <c r="F203" s="128">
        <f t="shared" si="60"/>
        <v>380</v>
      </c>
      <c r="G203" s="45">
        <f t="shared" si="59"/>
        <v>602</v>
      </c>
      <c r="H203" s="45">
        <v>50</v>
      </c>
      <c r="I203" s="45">
        <f t="shared" si="61"/>
        <v>552</v>
      </c>
      <c r="J203" s="45">
        <v>300</v>
      </c>
    </row>
    <row r="204" spans="4:10">
      <c r="D204" s="128">
        <v>19</v>
      </c>
      <c r="E204" s="128">
        <f>IFERROR((_xlfn.XLOOKUP(D205,[2]主线关卡!E$27:E$326,[2]主线关卡!$D$27:$D$326)-1)*40,E203)</f>
        <v>2680</v>
      </c>
      <c r="F204" s="128">
        <f t="shared" si="60"/>
        <v>380</v>
      </c>
      <c r="G204" s="45">
        <f t="shared" si="59"/>
        <v>602</v>
      </c>
      <c r="H204" s="45">
        <v>50</v>
      </c>
      <c r="I204" s="45">
        <f t="shared" si="61"/>
        <v>552</v>
      </c>
      <c r="J204" s="45">
        <v>300</v>
      </c>
    </row>
    <row r="205" spans="4:10">
      <c r="D205" s="128">
        <v>20</v>
      </c>
      <c r="E205" s="128">
        <f>IFERROR((_xlfn.XLOOKUP(D206,[2]主线关卡!E$27:E$326,[2]主线关卡!$D$27:$D$326)-1)*40,E204)</f>
        <v>2720</v>
      </c>
      <c r="F205" s="128">
        <f t="shared" si="60"/>
        <v>340</v>
      </c>
      <c r="G205" s="45">
        <f t="shared" si="59"/>
        <v>602</v>
      </c>
      <c r="H205" s="45">
        <v>50</v>
      </c>
      <c r="I205" s="45">
        <f t="shared" si="61"/>
        <v>552</v>
      </c>
      <c r="J205" s="45">
        <v>300</v>
      </c>
    </row>
    <row r="206" spans="4:10">
      <c r="D206" s="128">
        <v>21</v>
      </c>
      <c r="E206" s="128">
        <f>IFERROR((_xlfn.XLOOKUP(D207,[2]主线关卡!E$27:E$326,[2]主线关卡!$D$27:$D$326)-1)*40,E205)</f>
        <v>2760</v>
      </c>
      <c r="F206" s="128">
        <f t="shared" si="60"/>
        <v>340</v>
      </c>
      <c r="G206" s="45">
        <f t="shared" si="59"/>
        <v>602</v>
      </c>
      <c r="H206" s="45">
        <v>50</v>
      </c>
      <c r="I206" s="45">
        <f t="shared" si="61"/>
        <v>552</v>
      </c>
      <c r="J206" s="45">
        <v>300</v>
      </c>
    </row>
    <row r="207" spans="4:10">
      <c r="D207" s="128">
        <v>22</v>
      </c>
      <c r="E207" s="128">
        <f>IFERROR((_xlfn.XLOOKUP(D208,[2]主线关卡!E$27:E$326,[2]主线关卡!$D$27:$D$326)-1)*40,E206)</f>
        <v>2800</v>
      </c>
      <c r="F207" s="128">
        <f t="shared" si="60"/>
        <v>340</v>
      </c>
      <c r="G207" s="45">
        <f t="shared" si="59"/>
        <v>602</v>
      </c>
      <c r="H207" s="45">
        <v>50</v>
      </c>
      <c r="I207" s="45">
        <f t="shared" si="61"/>
        <v>552</v>
      </c>
      <c r="J207" s="45">
        <v>300</v>
      </c>
    </row>
    <row r="208" spans="4:10">
      <c r="D208" s="128">
        <v>23</v>
      </c>
      <c r="E208" s="128">
        <f>IFERROR((_xlfn.XLOOKUP(D209,[2]主线关卡!E$27:E$326,[2]主线关卡!$D$27:$D$326)-1)*40,E207)</f>
        <v>2840</v>
      </c>
      <c r="F208" s="128">
        <f t="shared" si="60"/>
        <v>340</v>
      </c>
      <c r="G208" s="45">
        <f t="shared" si="59"/>
        <v>602</v>
      </c>
      <c r="H208" s="45">
        <v>50</v>
      </c>
      <c r="I208" s="45">
        <f t="shared" si="61"/>
        <v>552</v>
      </c>
      <c r="J208" s="45">
        <v>300</v>
      </c>
    </row>
    <row r="209" spans="4:10">
      <c r="D209" s="128">
        <v>24</v>
      </c>
      <c r="E209" s="128">
        <f>IFERROR((_xlfn.XLOOKUP(D210,[2]主线关卡!E$27:E$326,[2]主线关卡!$D$27:$D$326)-1)*40,E208)</f>
        <v>2880</v>
      </c>
      <c r="F209" s="128">
        <f t="shared" si="60"/>
        <v>340</v>
      </c>
      <c r="G209" s="45">
        <f t="shared" si="59"/>
        <v>602</v>
      </c>
      <c r="H209" s="45">
        <v>50</v>
      </c>
      <c r="I209" s="45">
        <f t="shared" si="61"/>
        <v>552</v>
      </c>
      <c r="J209" s="45">
        <v>300</v>
      </c>
    </row>
    <row r="210" spans="4:10">
      <c r="D210" s="128">
        <v>25</v>
      </c>
      <c r="E210" s="128">
        <f>IFERROR((_xlfn.XLOOKUP(D211,[2]主线关卡!E$27:E$326,[2]主线关卡!$D$27:$D$326)-1)*40,E209)</f>
        <v>2920</v>
      </c>
      <c r="F210" s="128">
        <f t="shared" si="60"/>
        <v>340</v>
      </c>
      <c r="G210" s="45">
        <f t="shared" si="59"/>
        <v>602</v>
      </c>
      <c r="H210" s="45">
        <v>50</v>
      </c>
      <c r="I210" s="45">
        <f t="shared" si="61"/>
        <v>552</v>
      </c>
      <c r="J210" s="45">
        <v>300</v>
      </c>
    </row>
    <row r="211" spans="4:10">
      <c r="D211" s="128">
        <v>26</v>
      </c>
      <c r="E211" s="128">
        <f>IFERROR((_xlfn.XLOOKUP(D212,[2]主线关卡!E$27:E$326,[2]主线关卡!$D$27:$D$326)-1)*40,E210)</f>
        <v>2960</v>
      </c>
      <c r="F211" s="128">
        <f t="shared" si="60"/>
        <v>340</v>
      </c>
      <c r="G211" s="45">
        <f t="shared" si="59"/>
        <v>602</v>
      </c>
      <c r="H211" s="45">
        <v>50</v>
      </c>
      <c r="I211" s="45">
        <f t="shared" si="61"/>
        <v>552</v>
      </c>
      <c r="J211" s="45">
        <v>300</v>
      </c>
    </row>
    <row r="212" spans="4:10">
      <c r="D212" s="128">
        <v>27</v>
      </c>
      <c r="E212" s="128">
        <f>IFERROR((_xlfn.XLOOKUP(D213,[2]主线关卡!E$27:E$326,[2]主线关卡!$D$27:$D$326)-1)*40,E211)</f>
        <v>3000</v>
      </c>
      <c r="F212" s="128">
        <f t="shared" si="60"/>
        <v>340</v>
      </c>
      <c r="G212" s="45">
        <f t="shared" si="59"/>
        <v>602</v>
      </c>
      <c r="H212" s="45">
        <v>50</v>
      </c>
      <c r="I212" s="45">
        <f t="shared" si="61"/>
        <v>552</v>
      </c>
      <c r="J212" s="45">
        <v>300</v>
      </c>
    </row>
    <row r="213" spans="4:10">
      <c r="D213" s="128">
        <v>28</v>
      </c>
      <c r="E213" s="128">
        <f>IFERROR((_xlfn.XLOOKUP(D214,[2]主线关卡!E$27:E$326,[2]主线关卡!$D$27:$D$326)-1)*40,E212)</f>
        <v>3040</v>
      </c>
      <c r="F213" s="128">
        <f t="shared" si="60"/>
        <v>340</v>
      </c>
      <c r="G213" s="45">
        <f t="shared" si="59"/>
        <v>602</v>
      </c>
      <c r="H213" s="45">
        <v>50</v>
      </c>
      <c r="I213" s="45">
        <f t="shared" si="61"/>
        <v>552</v>
      </c>
      <c r="J213" s="45">
        <v>300</v>
      </c>
    </row>
    <row r="214" spans="4:10">
      <c r="D214" s="128">
        <v>29</v>
      </c>
      <c r="E214" s="128">
        <f>IFERROR((_xlfn.XLOOKUP(D215,[2]主线关卡!E$27:E$326,[2]主线关卡!$D$27:$D$326)-1)*40,E213)</f>
        <v>3080</v>
      </c>
      <c r="F214" s="128">
        <f t="shared" si="60"/>
        <v>340</v>
      </c>
      <c r="G214" s="45">
        <f t="shared" si="59"/>
        <v>602</v>
      </c>
      <c r="H214" s="45">
        <v>50</v>
      </c>
      <c r="I214" s="45">
        <f t="shared" si="61"/>
        <v>552</v>
      </c>
      <c r="J214" s="45">
        <v>300</v>
      </c>
    </row>
    <row r="215" spans="4:10">
      <c r="D215" s="128">
        <v>30</v>
      </c>
      <c r="E215" s="128">
        <f>IFERROR((_xlfn.XLOOKUP(D216,[2]主线关卡!E$27:E$326,[2]主线关卡!$D$27:$D$326)-1)*40,E214)</f>
        <v>3120</v>
      </c>
      <c r="F215" s="128">
        <f t="shared" si="60"/>
        <v>340</v>
      </c>
      <c r="G215" s="45">
        <f t="shared" si="59"/>
        <v>602</v>
      </c>
      <c r="H215" s="45">
        <v>50</v>
      </c>
      <c r="I215" s="45">
        <f t="shared" si="61"/>
        <v>552</v>
      </c>
      <c r="J215" s="45">
        <v>300</v>
      </c>
    </row>
    <row r="216" spans="4:10">
      <c r="D216" s="128">
        <v>31</v>
      </c>
      <c r="E216" s="128">
        <f>IFERROR((_xlfn.XLOOKUP(D217,[2]主线关卡!E$27:E$326,[2]主线关卡!$D$27:$D$326)-1)*40,E215)</f>
        <v>3160</v>
      </c>
      <c r="F216" s="128">
        <f t="shared" si="60"/>
        <v>340</v>
      </c>
      <c r="G216" s="45">
        <f t="shared" si="59"/>
        <v>602</v>
      </c>
      <c r="H216" s="45">
        <v>50</v>
      </c>
      <c r="I216" s="45">
        <f t="shared" si="61"/>
        <v>552</v>
      </c>
      <c r="J216" s="45">
        <v>300</v>
      </c>
    </row>
    <row r="217" spans="4:10">
      <c r="D217" s="128">
        <v>32</v>
      </c>
      <c r="E217" s="128">
        <f>IFERROR((_xlfn.XLOOKUP(D218,[2]主线关卡!E$27:E$326,[2]主线关卡!$D$27:$D$326)-1)*40,E216)</f>
        <v>3200</v>
      </c>
      <c r="F217" s="128">
        <f t="shared" si="60"/>
        <v>340</v>
      </c>
      <c r="G217" s="45">
        <f t="shared" si="59"/>
        <v>602</v>
      </c>
      <c r="H217" s="45">
        <v>50</v>
      </c>
      <c r="I217" s="45">
        <f t="shared" si="61"/>
        <v>552</v>
      </c>
      <c r="J217" s="45">
        <v>300</v>
      </c>
    </row>
    <row r="218" spans="4:10">
      <c r="D218" s="128">
        <v>33</v>
      </c>
      <c r="E218" s="128">
        <f>IFERROR((_xlfn.XLOOKUP(D219,[2]主线关卡!E$27:E$326,[2]主线关卡!$D$27:$D$326)-1)*40,E217)</f>
        <v>3240</v>
      </c>
      <c r="F218" s="128">
        <f t="shared" si="60"/>
        <v>340</v>
      </c>
      <c r="G218" s="45">
        <f t="shared" si="59"/>
        <v>602</v>
      </c>
      <c r="H218" s="45">
        <v>50</v>
      </c>
      <c r="I218" s="45">
        <f t="shared" si="61"/>
        <v>552</v>
      </c>
      <c r="J218" s="45">
        <v>300</v>
      </c>
    </row>
    <row r="219" spans="4:10">
      <c r="D219" s="128">
        <v>34</v>
      </c>
      <c r="E219" s="128">
        <f>IFERROR((_xlfn.XLOOKUP(D220,[2]主线关卡!E$27:E$326,[2]主线关卡!$D$27:$D$326)-1)*40,E218)</f>
        <v>3280</v>
      </c>
      <c r="F219" s="128">
        <f t="shared" si="60"/>
        <v>340</v>
      </c>
      <c r="G219" s="45">
        <f t="shared" si="59"/>
        <v>602</v>
      </c>
      <c r="H219" s="45">
        <v>50</v>
      </c>
      <c r="I219" s="45">
        <f t="shared" si="61"/>
        <v>552</v>
      </c>
      <c r="J219" s="45">
        <v>300</v>
      </c>
    </row>
    <row r="220" spans="4:10">
      <c r="D220" s="128">
        <v>35</v>
      </c>
      <c r="E220" s="128">
        <f>IFERROR((_xlfn.XLOOKUP(D221,[2]主线关卡!E$27:E$326,[2]主线关卡!$D$27:$D$326)-1)*40,E219)</f>
        <v>3320</v>
      </c>
      <c r="F220" s="128">
        <f t="shared" si="60"/>
        <v>340</v>
      </c>
      <c r="G220" s="45">
        <f t="shared" si="59"/>
        <v>602</v>
      </c>
      <c r="H220" s="45">
        <v>50</v>
      </c>
      <c r="I220" s="45">
        <f t="shared" si="61"/>
        <v>552</v>
      </c>
      <c r="J220" s="45">
        <v>300</v>
      </c>
    </row>
    <row r="221" spans="4:10">
      <c r="D221" s="128">
        <v>36</v>
      </c>
      <c r="E221" s="128">
        <f>IFERROR((_xlfn.XLOOKUP(D222,[2]主线关卡!E$27:E$326,[2]主线关卡!$D$27:$D$326)-1)*40,E220)</f>
        <v>3360</v>
      </c>
      <c r="F221" s="128">
        <f t="shared" si="60"/>
        <v>340</v>
      </c>
      <c r="G221" s="45">
        <f t="shared" si="59"/>
        <v>602</v>
      </c>
      <c r="H221" s="45">
        <v>50</v>
      </c>
      <c r="I221" s="45">
        <f t="shared" si="61"/>
        <v>552</v>
      </c>
      <c r="J221" s="45">
        <v>300</v>
      </c>
    </row>
    <row r="222" spans="4:10">
      <c r="D222" s="128">
        <v>37</v>
      </c>
      <c r="E222" s="128">
        <f>IFERROR((_xlfn.XLOOKUP(D223,[2]主线关卡!E$27:E$326,[2]主线关卡!$D$27:$D$326)-1)*40,E221)</f>
        <v>3400</v>
      </c>
      <c r="F222" s="128">
        <f t="shared" si="60"/>
        <v>340</v>
      </c>
      <c r="G222" s="45">
        <f t="shared" si="59"/>
        <v>602</v>
      </c>
      <c r="H222" s="45">
        <v>50</v>
      </c>
      <c r="I222" s="45">
        <f t="shared" si="61"/>
        <v>552</v>
      </c>
      <c r="J222" s="45">
        <v>300</v>
      </c>
    </row>
    <row r="223" spans="4:10">
      <c r="D223" s="128">
        <v>38</v>
      </c>
      <c r="E223" s="128">
        <f>IFERROR((_xlfn.XLOOKUP(D224,[2]主线关卡!E$27:E$326,[2]主线关卡!$D$27:$D$326)-1)*40,E222)</f>
        <v>3440</v>
      </c>
      <c r="F223" s="128">
        <f t="shared" si="60"/>
        <v>340</v>
      </c>
      <c r="G223" s="45">
        <f t="shared" si="59"/>
        <v>602</v>
      </c>
      <c r="H223" s="45">
        <v>50</v>
      </c>
      <c r="I223" s="45">
        <f t="shared" si="61"/>
        <v>552</v>
      </c>
      <c r="J223" s="45">
        <v>300</v>
      </c>
    </row>
    <row r="224" spans="4:10">
      <c r="D224" s="128">
        <v>39</v>
      </c>
      <c r="E224" s="128">
        <f>IFERROR((_xlfn.XLOOKUP(D225,[2]主线关卡!E$27:E$326,[2]主线关卡!$D$27:$D$326)-1)*40,E223)</f>
        <v>3480</v>
      </c>
      <c r="F224" s="128">
        <f t="shared" si="60"/>
        <v>340</v>
      </c>
      <c r="G224" s="45">
        <f t="shared" si="59"/>
        <v>602</v>
      </c>
      <c r="H224" s="45">
        <v>50</v>
      </c>
      <c r="I224" s="45">
        <f t="shared" si="61"/>
        <v>552</v>
      </c>
      <c r="J224" s="45">
        <v>300</v>
      </c>
    </row>
    <row r="225" spans="4:10">
      <c r="D225" s="128">
        <v>40</v>
      </c>
      <c r="E225" s="128">
        <f>IFERROR((_xlfn.XLOOKUP(D226,[2]主线关卡!E$27:E$326,[2]主线关卡!$D$27:$D$326)-1)*40,E224)</f>
        <v>3520</v>
      </c>
      <c r="F225" s="128">
        <f t="shared" si="60"/>
        <v>340</v>
      </c>
      <c r="G225" s="45">
        <f t="shared" si="59"/>
        <v>602</v>
      </c>
      <c r="H225" s="45">
        <v>50</v>
      </c>
      <c r="I225" s="45">
        <f t="shared" si="61"/>
        <v>552</v>
      </c>
      <c r="J225" s="45">
        <v>300</v>
      </c>
    </row>
    <row r="226" spans="4:10">
      <c r="D226" s="128">
        <v>41</v>
      </c>
      <c r="E226" s="128">
        <f>IFERROR((_xlfn.XLOOKUP(D227,[2]主线关卡!E$27:E$326,[2]主线关卡!$D$27:$D$326)-1)*40,E225)</f>
        <v>3560</v>
      </c>
      <c r="F226" s="128">
        <f t="shared" si="60"/>
        <v>340</v>
      </c>
      <c r="G226" s="45">
        <f t="shared" si="59"/>
        <v>602</v>
      </c>
      <c r="H226" s="45">
        <v>50</v>
      </c>
      <c r="I226" s="45">
        <f t="shared" si="61"/>
        <v>552</v>
      </c>
      <c r="J226" s="45">
        <v>300</v>
      </c>
    </row>
    <row r="227" spans="4:10">
      <c r="D227" s="128">
        <v>42</v>
      </c>
      <c r="E227" s="128">
        <f>IFERROR((_xlfn.XLOOKUP(D228,[2]主线关卡!E$27:E$326,[2]主线关卡!$D$27:$D$326)-1)*40,E226)</f>
        <v>3600</v>
      </c>
      <c r="F227" s="128">
        <f t="shared" si="60"/>
        <v>340</v>
      </c>
      <c r="G227" s="45">
        <f t="shared" si="59"/>
        <v>602</v>
      </c>
      <c r="H227" s="45">
        <v>50</v>
      </c>
      <c r="I227" s="45">
        <f t="shared" si="61"/>
        <v>552</v>
      </c>
      <c r="J227" s="45">
        <v>300</v>
      </c>
    </row>
    <row r="228" spans="4:10">
      <c r="D228" s="128">
        <v>43</v>
      </c>
      <c r="E228" s="128">
        <f>IFERROR((_xlfn.XLOOKUP(D229,[2]主线关卡!E$27:E$326,[2]主线关卡!$D$27:$D$326)-1)*40,E227)</f>
        <v>3640</v>
      </c>
      <c r="F228" s="128">
        <f t="shared" si="60"/>
        <v>340</v>
      </c>
      <c r="G228" s="45">
        <f t="shared" si="59"/>
        <v>602</v>
      </c>
      <c r="H228" s="45">
        <v>50</v>
      </c>
      <c r="I228" s="45">
        <f t="shared" si="61"/>
        <v>552</v>
      </c>
      <c r="J228" s="45">
        <v>300</v>
      </c>
    </row>
    <row r="229" spans="4:10">
      <c r="D229" s="128">
        <v>44</v>
      </c>
      <c r="E229" s="128">
        <f>IFERROR((_xlfn.XLOOKUP(D230,[2]主线关卡!E$27:E$326,[2]主线关卡!$D$27:$D$326)-1)*40,E228)</f>
        <v>3680</v>
      </c>
      <c r="F229" s="128">
        <f t="shared" si="60"/>
        <v>340</v>
      </c>
      <c r="G229" s="45">
        <f t="shared" si="59"/>
        <v>602</v>
      </c>
      <c r="H229" s="45">
        <v>50</v>
      </c>
      <c r="I229" s="45">
        <f t="shared" si="61"/>
        <v>552</v>
      </c>
      <c r="J229" s="45">
        <v>300</v>
      </c>
    </row>
    <row r="230" spans="4:10">
      <c r="D230" s="128">
        <v>45</v>
      </c>
      <c r="E230" s="128">
        <f>IFERROR((_xlfn.XLOOKUP(D231,[2]主线关卡!E$27:E$326,[2]主线关卡!$D$27:$D$326)-1)*40,E229)</f>
        <v>3720</v>
      </c>
      <c r="F230" s="128">
        <f t="shared" si="60"/>
        <v>340</v>
      </c>
      <c r="G230" s="45">
        <f t="shared" si="59"/>
        <v>602</v>
      </c>
      <c r="H230" s="45">
        <v>50</v>
      </c>
      <c r="I230" s="45">
        <f t="shared" si="61"/>
        <v>552</v>
      </c>
      <c r="J230" s="45">
        <v>300</v>
      </c>
    </row>
    <row r="231" spans="4:10">
      <c r="D231" s="128">
        <v>46</v>
      </c>
      <c r="E231" s="128">
        <f>IFERROR((_xlfn.XLOOKUP(D232,[2]主线关卡!E$27:E$326,[2]主线关卡!$D$27:$D$326)-1)*40,E230)</f>
        <v>3760</v>
      </c>
      <c r="F231" s="128">
        <f t="shared" si="60"/>
        <v>340</v>
      </c>
      <c r="G231" s="45">
        <f t="shared" si="59"/>
        <v>602</v>
      </c>
      <c r="H231" s="45">
        <v>50</v>
      </c>
      <c r="I231" s="45">
        <f t="shared" si="61"/>
        <v>552</v>
      </c>
      <c r="J231" s="45">
        <v>300</v>
      </c>
    </row>
    <row r="232" spans="4:10">
      <c r="D232" s="128">
        <v>47</v>
      </c>
      <c r="E232" s="128">
        <f>IFERROR((_xlfn.XLOOKUP(D233,[2]主线关卡!E$27:E$326,[2]主线关卡!$D$27:$D$326)-1)*40,E231)</f>
        <v>3800</v>
      </c>
      <c r="F232" s="128">
        <f t="shared" si="60"/>
        <v>340</v>
      </c>
      <c r="G232" s="45">
        <f t="shared" si="59"/>
        <v>602</v>
      </c>
      <c r="H232" s="45">
        <v>50</v>
      </c>
      <c r="I232" s="45">
        <f t="shared" si="61"/>
        <v>552</v>
      </c>
      <c r="J232" s="45">
        <v>300</v>
      </c>
    </row>
    <row r="233" spans="4:10">
      <c r="D233" s="128">
        <v>48</v>
      </c>
      <c r="E233" s="128">
        <f>IFERROR((_xlfn.XLOOKUP(D234,[2]主线关卡!E$27:E$326,[2]主线关卡!$D$27:$D$326)-1)*40,E232)</f>
        <v>3840</v>
      </c>
      <c r="F233" s="128">
        <f t="shared" si="60"/>
        <v>340</v>
      </c>
      <c r="G233" s="45">
        <f t="shared" si="59"/>
        <v>602</v>
      </c>
      <c r="H233" s="45">
        <v>50</v>
      </c>
      <c r="I233" s="45">
        <f t="shared" si="61"/>
        <v>552</v>
      </c>
      <c r="J233" s="45">
        <v>300</v>
      </c>
    </row>
    <row r="234" spans="4:10">
      <c r="D234" s="128">
        <v>49</v>
      </c>
      <c r="E234" s="128">
        <f>IFERROR((_xlfn.XLOOKUP(D235,[2]主线关卡!E$27:E$326,[2]主线关卡!$D$27:$D$326)-1)*40,E233)</f>
        <v>3880</v>
      </c>
      <c r="F234" s="128">
        <f t="shared" si="60"/>
        <v>340</v>
      </c>
      <c r="G234" s="45">
        <f t="shared" si="59"/>
        <v>602</v>
      </c>
      <c r="H234" s="45">
        <v>50</v>
      </c>
      <c r="I234" s="45">
        <f t="shared" si="61"/>
        <v>552</v>
      </c>
      <c r="J234" s="45">
        <v>300</v>
      </c>
    </row>
    <row r="235" spans="4:10">
      <c r="D235" s="128">
        <v>50</v>
      </c>
      <c r="E235" s="128">
        <f>IFERROR((_xlfn.XLOOKUP(D236,[2]主线关卡!E$27:E$326,[2]主线关卡!$D$27:$D$326)-1)*40,E234)</f>
        <v>3920</v>
      </c>
      <c r="F235" s="128">
        <f t="shared" si="60"/>
        <v>340</v>
      </c>
      <c r="G235" s="45">
        <f t="shared" si="59"/>
        <v>602</v>
      </c>
      <c r="H235" s="45">
        <v>50</v>
      </c>
      <c r="I235" s="45">
        <f t="shared" si="61"/>
        <v>552</v>
      </c>
      <c r="J235" s="45">
        <v>300</v>
      </c>
    </row>
    <row r="236" spans="4:10">
      <c r="D236" s="128">
        <v>51</v>
      </c>
      <c r="E236" s="128">
        <f>IFERROR((_xlfn.XLOOKUP(D237,[2]主线关卡!E$27:E$326,[2]主线关卡!$D$27:$D$326)-1)*40,E235)</f>
        <v>3960</v>
      </c>
      <c r="F236" s="128">
        <f t="shared" si="60"/>
        <v>340</v>
      </c>
      <c r="G236" s="45">
        <f t="shared" si="59"/>
        <v>602</v>
      </c>
      <c r="H236" s="45">
        <v>50</v>
      </c>
      <c r="I236" s="45">
        <f t="shared" si="61"/>
        <v>552</v>
      </c>
      <c r="J236" s="45">
        <v>300</v>
      </c>
    </row>
    <row r="237" spans="4:10">
      <c r="D237" s="128">
        <v>52</v>
      </c>
      <c r="E237" s="128">
        <f>IFERROR((_xlfn.XLOOKUP(D238,[2]主线关卡!E$27:E$326,[2]主线关卡!$D$27:$D$326)-1)*40,E236)</f>
        <v>4000</v>
      </c>
      <c r="F237" s="128">
        <f t="shared" si="60"/>
        <v>340</v>
      </c>
      <c r="G237" s="45">
        <f t="shared" si="59"/>
        <v>602</v>
      </c>
      <c r="H237" s="45">
        <v>50</v>
      </c>
      <c r="I237" s="45">
        <f t="shared" si="61"/>
        <v>552</v>
      </c>
      <c r="J237" s="45">
        <v>300</v>
      </c>
    </row>
    <row r="238" spans="4:10">
      <c r="D238" s="128">
        <v>53</v>
      </c>
      <c r="E238" s="128">
        <f>IFERROR((_xlfn.XLOOKUP(D239,[2]主线关卡!E$27:E$326,[2]主线关卡!$D$27:$D$326)-1)*40,E237)</f>
        <v>4040</v>
      </c>
      <c r="F238" s="128">
        <f t="shared" si="60"/>
        <v>340</v>
      </c>
      <c r="G238" s="45">
        <f t="shared" si="59"/>
        <v>602</v>
      </c>
      <c r="H238" s="45">
        <v>50</v>
      </c>
      <c r="I238" s="45">
        <f t="shared" si="61"/>
        <v>552</v>
      </c>
      <c r="J238" s="45">
        <v>300</v>
      </c>
    </row>
    <row r="239" spans="4:10">
      <c r="D239" s="128">
        <v>54</v>
      </c>
      <c r="E239" s="128">
        <f>IFERROR((_xlfn.XLOOKUP(D240,[2]主线关卡!E$27:E$326,[2]主线关卡!$D$27:$D$326)-1)*40,E238)</f>
        <v>4080</v>
      </c>
      <c r="F239" s="128">
        <f t="shared" si="60"/>
        <v>340</v>
      </c>
      <c r="G239" s="45">
        <f t="shared" si="59"/>
        <v>602</v>
      </c>
      <c r="H239" s="45">
        <v>50</v>
      </c>
      <c r="I239" s="45">
        <f t="shared" si="61"/>
        <v>552</v>
      </c>
      <c r="J239" s="45">
        <v>300</v>
      </c>
    </row>
    <row r="240" spans="4:10">
      <c r="D240" s="128">
        <v>55</v>
      </c>
      <c r="E240" s="128">
        <f>IFERROR((_xlfn.XLOOKUP(D241,[2]主线关卡!E$27:E$326,[2]主线关卡!$D$27:$D$326)-1)*40,E239)</f>
        <v>4120</v>
      </c>
      <c r="F240" s="128">
        <f t="shared" si="60"/>
        <v>340</v>
      </c>
      <c r="G240" s="45">
        <f t="shared" si="59"/>
        <v>602</v>
      </c>
      <c r="H240" s="45">
        <v>50</v>
      </c>
      <c r="I240" s="45">
        <f t="shared" si="61"/>
        <v>552</v>
      </c>
      <c r="J240" s="45">
        <v>300</v>
      </c>
    </row>
    <row r="241" spans="4:10">
      <c r="D241" s="128">
        <v>56</v>
      </c>
      <c r="E241" s="128">
        <f>IFERROR((_xlfn.XLOOKUP(D242,[2]主线关卡!E$27:E$326,[2]主线关卡!$D$27:$D$326)-1)*40,E240)</f>
        <v>4160</v>
      </c>
      <c r="F241" s="128">
        <f t="shared" si="60"/>
        <v>340</v>
      </c>
      <c r="G241" s="45">
        <f t="shared" si="59"/>
        <v>602</v>
      </c>
      <c r="H241" s="45">
        <v>50</v>
      </c>
      <c r="I241" s="45">
        <f t="shared" si="61"/>
        <v>552</v>
      </c>
      <c r="J241" s="45">
        <v>300</v>
      </c>
    </row>
    <row r="242" spans="4:10">
      <c r="D242" s="128">
        <v>57</v>
      </c>
      <c r="E242" s="128">
        <f>IFERROR((_xlfn.XLOOKUP(D243,[2]主线关卡!E$27:E$326,[2]主线关卡!$D$27:$D$326)-1)*40,E241)</f>
        <v>4200</v>
      </c>
      <c r="F242" s="128">
        <f t="shared" si="60"/>
        <v>340</v>
      </c>
      <c r="G242" s="45">
        <f t="shared" si="59"/>
        <v>602</v>
      </c>
      <c r="H242" s="45">
        <v>50</v>
      </c>
      <c r="I242" s="45">
        <f t="shared" si="61"/>
        <v>552</v>
      </c>
      <c r="J242" s="45">
        <v>300</v>
      </c>
    </row>
    <row r="243" spans="4:10">
      <c r="D243" s="128">
        <v>58</v>
      </c>
      <c r="E243" s="128">
        <f>IFERROR((_xlfn.XLOOKUP(D244,[2]主线关卡!E$27:E$326,[2]主线关卡!$D$27:$D$326)-1)*40,E242)</f>
        <v>4240</v>
      </c>
      <c r="F243" s="128">
        <f t="shared" si="60"/>
        <v>340</v>
      </c>
      <c r="G243" s="45">
        <f t="shared" si="59"/>
        <v>602</v>
      </c>
      <c r="H243" s="45">
        <v>50</v>
      </c>
      <c r="I243" s="45">
        <f t="shared" si="61"/>
        <v>552</v>
      </c>
      <c r="J243" s="45">
        <v>300</v>
      </c>
    </row>
    <row r="244" spans="4:10">
      <c r="D244" s="128">
        <v>59</v>
      </c>
      <c r="E244" s="128">
        <f>IFERROR((_xlfn.XLOOKUP(D245,[2]主线关卡!E$27:E$326,[2]主线关卡!$D$27:$D$326)-1)*40,E243)</f>
        <v>4280</v>
      </c>
      <c r="F244" s="128">
        <f t="shared" si="60"/>
        <v>340</v>
      </c>
      <c r="G244" s="45">
        <f t="shared" si="59"/>
        <v>602</v>
      </c>
      <c r="H244" s="45">
        <v>50</v>
      </c>
      <c r="I244" s="45">
        <f t="shared" si="61"/>
        <v>552</v>
      </c>
      <c r="J244" s="45">
        <v>300</v>
      </c>
    </row>
    <row r="245" spans="4:10">
      <c r="D245" s="128">
        <v>60</v>
      </c>
      <c r="E245" s="128">
        <f>IFERROR((_xlfn.XLOOKUP(D246,[2]主线关卡!E$27:E$326,[2]主线关卡!$D$27:$D$326)-1)*40,E244)</f>
        <v>4320</v>
      </c>
      <c r="F245" s="128">
        <f t="shared" si="60"/>
        <v>340</v>
      </c>
      <c r="G245" s="45">
        <f t="shared" si="59"/>
        <v>602</v>
      </c>
      <c r="H245" s="45">
        <v>50</v>
      </c>
      <c r="I245" s="45">
        <f t="shared" si="61"/>
        <v>552</v>
      </c>
      <c r="J245" s="45">
        <v>300</v>
      </c>
    </row>
    <row r="246" spans="4:10">
      <c r="D246" s="128">
        <v>61</v>
      </c>
      <c r="E246" s="128">
        <f>IFERROR((_xlfn.XLOOKUP(D247,[2]主线关卡!E$27:E$326,[2]主线关卡!$D$27:$D$326)-1)*40,E245)</f>
        <v>4360</v>
      </c>
      <c r="F246" s="128">
        <f t="shared" si="60"/>
        <v>340</v>
      </c>
      <c r="G246" s="45">
        <f t="shared" si="59"/>
        <v>602</v>
      </c>
      <c r="H246" s="45">
        <v>50</v>
      </c>
      <c r="I246" s="45">
        <f t="shared" si="61"/>
        <v>552</v>
      </c>
      <c r="J246" s="45">
        <v>300</v>
      </c>
    </row>
    <row r="247" spans="4:10">
      <c r="D247" s="128">
        <v>62</v>
      </c>
      <c r="E247" s="128">
        <f>IFERROR((_xlfn.XLOOKUP(D248,[2]主线关卡!E$27:E$326,[2]主线关卡!$D$27:$D$326)-1)*40,E246)</f>
        <v>4360</v>
      </c>
      <c r="F247" s="128">
        <f t="shared" si="60"/>
        <v>300</v>
      </c>
      <c r="G247" s="45">
        <f t="shared" si="59"/>
        <v>602</v>
      </c>
      <c r="H247" s="45">
        <v>50</v>
      </c>
      <c r="I247" s="45">
        <f t="shared" si="61"/>
        <v>552</v>
      </c>
      <c r="J247" s="45">
        <v>300</v>
      </c>
    </row>
    <row r="248" spans="4:10">
      <c r="D248" s="128">
        <v>63</v>
      </c>
      <c r="E248" s="128">
        <f>IFERROR((_xlfn.XLOOKUP(D249,[2]主线关卡!E$27:E$326,[2]主线关卡!$D$27:$D$326)-1)*40,E247)</f>
        <v>4400</v>
      </c>
      <c r="F248" s="128">
        <f t="shared" si="60"/>
        <v>340</v>
      </c>
      <c r="G248" s="45">
        <f t="shared" si="59"/>
        <v>602</v>
      </c>
      <c r="H248" s="45">
        <v>50</v>
      </c>
      <c r="I248" s="45">
        <f t="shared" si="61"/>
        <v>552</v>
      </c>
      <c r="J248" s="45">
        <v>300</v>
      </c>
    </row>
    <row r="249" spans="4:10">
      <c r="D249" s="128">
        <v>64</v>
      </c>
      <c r="E249" s="128">
        <f>IFERROR((_xlfn.XLOOKUP(D250,[2]主线关卡!E$27:E$326,[2]主线关卡!$D$27:$D$326)-1)*40,E248)</f>
        <v>4400</v>
      </c>
      <c r="F249" s="128">
        <f t="shared" si="60"/>
        <v>300</v>
      </c>
      <c r="G249" s="45">
        <f t="shared" si="59"/>
        <v>602</v>
      </c>
      <c r="H249" s="45">
        <v>50</v>
      </c>
      <c r="I249" s="45">
        <f t="shared" si="61"/>
        <v>552</v>
      </c>
      <c r="J249" s="45">
        <v>300</v>
      </c>
    </row>
    <row r="250" spans="4:10">
      <c r="D250" s="128">
        <v>65</v>
      </c>
      <c r="E250" s="128">
        <f>IFERROR((_xlfn.XLOOKUP(D251,[2]主线关卡!E$27:E$326,[2]主线关卡!$D$27:$D$326)-1)*40,E249)</f>
        <v>4440</v>
      </c>
      <c r="F250" s="128">
        <f t="shared" si="60"/>
        <v>340</v>
      </c>
      <c r="G250" s="45">
        <f t="shared" si="59"/>
        <v>602</v>
      </c>
      <c r="H250" s="45">
        <v>50</v>
      </c>
      <c r="I250" s="45">
        <f t="shared" si="61"/>
        <v>552</v>
      </c>
      <c r="J250" s="45">
        <v>300</v>
      </c>
    </row>
    <row r="251" spans="4:10">
      <c r="D251" s="128">
        <v>66</v>
      </c>
      <c r="E251" s="128">
        <f>IFERROR((_xlfn.XLOOKUP(D252,[2]主线关卡!E$27:E$326,[2]主线关卡!$D$27:$D$326)-1)*40,E250)</f>
        <v>4440</v>
      </c>
      <c r="F251" s="128">
        <f t="shared" si="60"/>
        <v>300</v>
      </c>
      <c r="G251" s="45">
        <f t="shared" ref="G251:G314" si="62">H251+I251</f>
        <v>602</v>
      </c>
      <c r="H251" s="45">
        <v>50</v>
      </c>
      <c r="I251" s="45">
        <f t="shared" si="61"/>
        <v>552</v>
      </c>
      <c r="J251" s="45">
        <v>300</v>
      </c>
    </row>
    <row r="252" spans="4:10">
      <c r="D252" s="128">
        <v>67</v>
      </c>
      <c r="E252" s="128">
        <f>IFERROR((_xlfn.XLOOKUP(D253,[2]主线关卡!E$27:E$326,[2]主线关卡!$D$27:$D$326)-1)*40,E251)</f>
        <v>4480</v>
      </c>
      <c r="F252" s="128">
        <f t="shared" ref="F252:F315" si="63">E252-E251+J252</f>
        <v>340</v>
      </c>
      <c r="G252" s="45">
        <f t="shared" si="62"/>
        <v>602</v>
      </c>
      <c r="H252" s="45">
        <v>50</v>
      </c>
      <c r="I252" s="45">
        <f t="shared" ref="I252:I315" si="64">I251</f>
        <v>552</v>
      </c>
      <c r="J252" s="45">
        <v>300</v>
      </c>
    </row>
    <row r="253" spans="4:10">
      <c r="D253" s="128">
        <v>68</v>
      </c>
      <c r="E253" s="128">
        <f>IFERROR((_xlfn.XLOOKUP(D254,[2]主线关卡!E$27:E$326,[2]主线关卡!$D$27:$D$326)-1)*40,E252)</f>
        <v>4480</v>
      </c>
      <c r="F253" s="128">
        <f t="shared" si="63"/>
        <v>300</v>
      </c>
      <c r="G253" s="45">
        <f t="shared" si="62"/>
        <v>602</v>
      </c>
      <c r="H253" s="45">
        <v>50</v>
      </c>
      <c r="I253" s="45">
        <f t="shared" si="64"/>
        <v>552</v>
      </c>
      <c r="J253" s="45">
        <v>300</v>
      </c>
    </row>
    <row r="254" spans="4:10">
      <c r="D254" s="128">
        <v>69</v>
      </c>
      <c r="E254" s="128">
        <f>IFERROR((_xlfn.XLOOKUP(D255,[2]主线关卡!E$27:E$326,[2]主线关卡!$D$27:$D$326)-1)*40,E253)</f>
        <v>4520</v>
      </c>
      <c r="F254" s="128">
        <f t="shared" si="63"/>
        <v>340</v>
      </c>
      <c r="G254" s="45">
        <f t="shared" si="62"/>
        <v>602</v>
      </c>
      <c r="H254" s="45">
        <v>50</v>
      </c>
      <c r="I254" s="45">
        <f t="shared" si="64"/>
        <v>552</v>
      </c>
      <c r="J254" s="45">
        <v>300</v>
      </c>
    </row>
    <row r="255" spans="4:10">
      <c r="D255" s="128">
        <v>70</v>
      </c>
      <c r="E255" s="128">
        <f>IFERROR((_xlfn.XLOOKUP(D256,[2]主线关卡!E$27:E$326,[2]主线关卡!$D$27:$D$326)-1)*40,E254)</f>
        <v>4520</v>
      </c>
      <c r="F255" s="128">
        <f t="shared" si="63"/>
        <v>300</v>
      </c>
      <c r="G255" s="45">
        <f t="shared" si="62"/>
        <v>602</v>
      </c>
      <c r="H255" s="45">
        <v>50</v>
      </c>
      <c r="I255" s="45">
        <f t="shared" si="64"/>
        <v>552</v>
      </c>
      <c r="J255" s="45">
        <v>300</v>
      </c>
    </row>
    <row r="256" spans="4:10">
      <c r="D256" s="128">
        <v>71</v>
      </c>
      <c r="E256" s="128">
        <f>IFERROR((_xlfn.XLOOKUP(D257,[2]主线关卡!E$27:E$326,[2]主线关卡!$D$27:$D$326)-1)*40,E255)</f>
        <v>4560</v>
      </c>
      <c r="F256" s="128">
        <f t="shared" si="63"/>
        <v>340</v>
      </c>
      <c r="G256" s="45">
        <f t="shared" si="62"/>
        <v>602</v>
      </c>
      <c r="H256" s="45">
        <v>50</v>
      </c>
      <c r="I256" s="45">
        <f t="shared" si="64"/>
        <v>552</v>
      </c>
      <c r="J256" s="45">
        <v>300</v>
      </c>
    </row>
    <row r="257" spans="4:10">
      <c r="D257" s="128">
        <v>72</v>
      </c>
      <c r="E257" s="128">
        <f>IFERROR((_xlfn.XLOOKUP(D258,[2]主线关卡!E$27:E$326,[2]主线关卡!$D$27:$D$326)-1)*40,E256)</f>
        <v>4560</v>
      </c>
      <c r="F257" s="128">
        <f t="shared" si="63"/>
        <v>300</v>
      </c>
      <c r="G257" s="45">
        <f t="shared" si="62"/>
        <v>602</v>
      </c>
      <c r="H257" s="45">
        <v>50</v>
      </c>
      <c r="I257" s="45">
        <f t="shared" si="64"/>
        <v>552</v>
      </c>
      <c r="J257" s="45">
        <v>300</v>
      </c>
    </row>
    <row r="258" spans="4:10">
      <c r="D258" s="128">
        <v>73</v>
      </c>
      <c r="E258" s="128">
        <f>IFERROR((_xlfn.XLOOKUP(D259,[2]主线关卡!E$27:E$326,[2]主线关卡!$D$27:$D$326)-1)*40,E257)</f>
        <v>4600</v>
      </c>
      <c r="F258" s="128">
        <f t="shared" si="63"/>
        <v>340</v>
      </c>
      <c r="G258" s="45">
        <f t="shared" si="62"/>
        <v>602</v>
      </c>
      <c r="H258" s="45">
        <v>50</v>
      </c>
      <c r="I258" s="45">
        <f t="shared" si="64"/>
        <v>552</v>
      </c>
      <c r="J258" s="45">
        <v>300</v>
      </c>
    </row>
    <row r="259" spans="4:10">
      <c r="D259" s="128">
        <v>74</v>
      </c>
      <c r="E259" s="128">
        <f>IFERROR((_xlfn.XLOOKUP(D260,[2]主线关卡!E$27:E$326,[2]主线关卡!$D$27:$D$326)-1)*40,E258)</f>
        <v>4600</v>
      </c>
      <c r="F259" s="128">
        <f t="shared" si="63"/>
        <v>300</v>
      </c>
      <c r="G259" s="45">
        <f t="shared" si="62"/>
        <v>602</v>
      </c>
      <c r="H259" s="45">
        <v>50</v>
      </c>
      <c r="I259" s="45">
        <f t="shared" si="64"/>
        <v>552</v>
      </c>
      <c r="J259" s="45">
        <v>300</v>
      </c>
    </row>
    <row r="260" spans="4:10">
      <c r="D260" s="128">
        <v>75</v>
      </c>
      <c r="E260" s="128">
        <f>IFERROR((_xlfn.XLOOKUP(D261,[2]主线关卡!E$27:E$326,[2]主线关卡!$D$27:$D$326)-1)*40,E259)</f>
        <v>4640</v>
      </c>
      <c r="F260" s="128">
        <f t="shared" si="63"/>
        <v>340</v>
      </c>
      <c r="G260" s="45">
        <f t="shared" si="62"/>
        <v>602</v>
      </c>
      <c r="H260" s="45">
        <v>50</v>
      </c>
      <c r="I260" s="45">
        <f t="shared" si="64"/>
        <v>552</v>
      </c>
      <c r="J260" s="45">
        <v>300</v>
      </c>
    </row>
    <row r="261" spans="4:10">
      <c r="D261" s="128">
        <v>76</v>
      </c>
      <c r="E261" s="128">
        <f>IFERROR((_xlfn.XLOOKUP(D262,[2]主线关卡!E$27:E$326,[2]主线关卡!$D$27:$D$326)-1)*40,E260)</f>
        <v>4640</v>
      </c>
      <c r="F261" s="128">
        <f t="shared" si="63"/>
        <v>300</v>
      </c>
      <c r="G261" s="45">
        <f t="shared" si="62"/>
        <v>602</v>
      </c>
      <c r="H261" s="45">
        <v>50</v>
      </c>
      <c r="I261" s="45">
        <f t="shared" si="64"/>
        <v>552</v>
      </c>
      <c r="J261" s="45">
        <v>300</v>
      </c>
    </row>
    <row r="262" spans="4:10">
      <c r="D262" s="128">
        <v>77</v>
      </c>
      <c r="E262" s="128">
        <f>IFERROR((_xlfn.XLOOKUP(D263,[2]主线关卡!E$27:E$326,[2]主线关卡!$D$27:$D$326)-1)*40,E261)</f>
        <v>4680</v>
      </c>
      <c r="F262" s="128">
        <f t="shared" si="63"/>
        <v>340</v>
      </c>
      <c r="G262" s="45">
        <f t="shared" si="62"/>
        <v>602</v>
      </c>
      <c r="H262" s="45">
        <v>50</v>
      </c>
      <c r="I262" s="45">
        <f t="shared" si="64"/>
        <v>552</v>
      </c>
      <c r="J262" s="45">
        <v>300</v>
      </c>
    </row>
    <row r="263" spans="4:10">
      <c r="D263" s="128">
        <v>78</v>
      </c>
      <c r="E263" s="128">
        <f>IFERROR((_xlfn.XLOOKUP(D264,[2]主线关卡!E$27:E$326,[2]主线关卡!$D$27:$D$326)-1)*40,E262)</f>
        <v>4680</v>
      </c>
      <c r="F263" s="128">
        <f t="shared" si="63"/>
        <v>300</v>
      </c>
      <c r="G263" s="45">
        <f t="shared" si="62"/>
        <v>602</v>
      </c>
      <c r="H263" s="45">
        <v>50</v>
      </c>
      <c r="I263" s="45">
        <f t="shared" si="64"/>
        <v>552</v>
      </c>
      <c r="J263" s="45">
        <v>300</v>
      </c>
    </row>
    <row r="264" spans="4:10">
      <c r="D264" s="128">
        <v>79</v>
      </c>
      <c r="E264" s="128">
        <f>IFERROR((_xlfn.XLOOKUP(D265,[2]主线关卡!E$27:E$326,[2]主线关卡!$D$27:$D$326)-1)*40,E263)</f>
        <v>4720</v>
      </c>
      <c r="F264" s="128">
        <f t="shared" si="63"/>
        <v>340</v>
      </c>
      <c r="G264" s="45">
        <f t="shared" si="62"/>
        <v>602</v>
      </c>
      <c r="H264" s="45">
        <v>50</v>
      </c>
      <c r="I264" s="45">
        <f t="shared" si="64"/>
        <v>552</v>
      </c>
      <c r="J264" s="45">
        <v>300</v>
      </c>
    </row>
    <row r="265" spans="4:10">
      <c r="D265" s="128">
        <v>80</v>
      </c>
      <c r="E265" s="128">
        <f>IFERROR((_xlfn.XLOOKUP(D266,[2]主线关卡!E$27:E$326,[2]主线关卡!$D$27:$D$326)-1)*40,E264)</f>
        <v>4720</v>
      </c>
      <c r="F265" s="128">
        <f t="shared" si="63"/>
        <v>300</v>
      </c>
      <c r="G265" s="45">
        <f t="shared" si="62"/>
        <v>602</v>
      </c>
      <c r="H265" s="45">
        <v>50</v>
      </c>
      <c r="I265" s="45">
        <f t="shared" si="64"/>
        <v>552</v>
      </c>
      <c r="J265" s="45">
        <v>300</v>
      </c>
    </row>
    <row r="266" spans="4:10">
      <c r="D266" s="128">
        <v>81</v>
      </c>
      <c r="E266" s="128">
        <f>IFERROR((_xlfn.XLOOKUP(D267,[2]主线关卡!E$27:E$326,[2]主线关卡!$D$27:$D$326)-1)*40,E265)</f>
        <v>4760</v>
      </c>
      <c r="F266" s="128">
        <f t="shared" si="63"/>
        <v>340</v>
      </c>
      <c r="G266" s="45">
        <f t="shared" si="62"/>
        <v>602</v>
      </c>
      <c r="H266" s="45">
        <v>50</v>
      </c>
      <c r="I266" s="45">
        <f t="shared" si="64"/>
        <v>552</v>
      </c>
      <c r="J266" s="45">
        <v>300</v>
      </c>
    </row>
    <row r="267" spans="4:10">
      <c r="D267" s="128">
        <v>82</v>
      </c>
      <c r="E267" s="128">
        <f>IFERROR((_xlfn.XLOOKUP(D268,[2]主线关卡!E$27:E$326,[2]主线关卡!$D$27:$D$326)-1)*40,E266)</f>
        <v>4760</v>
      </c>
      <c r="F267" s="128">
        <f t="shared" si="63"/>
        <v>300</v>
      </c>
      <c r="G267" s="45">
        <f t="shared" si="62"/>
        <v>602</v>
      </c>
      <c r="H267" s="45">
        <v>50</v>
      </c>
      <c r="I267" s="45">
        <f t="shared" si="64"/>
        <v>552</v>
      </c>
      <c r="J267" s="45">
        <v>300</v>
      </c>
    </row>
    <row r="268" spans="4:10">
      <c r="D268" s="128">
        <v>83</v>
      </c>
      <c r="E268" s="128">
        <f>IFERROR((_xlfn.XLOOKUP(D269,[2]主线关卡!E$27:E$326,[2]主线关卡!$D$27:$D$326)-1)*40,E267)</f>
        <v>4800</v>
      </c>
      <c r="F268" s="128">
        <f t="shared" si="63"/>
        <v>340</v>
      </c>
      <c r="G268" s="45">
        <f t="shared" si="62"/>
        <v>602</v>
      </c>
      <c r="H268" s="45">
        <v>50</v>
      </c>
      <c r="I268" s="45">
        <f t="shared" si="64"/>
        <v>552</v>
      </c>
      <c r="J268" s="45">
        <v>300</v>
      </c>
    </row>
    <row r="269" spans="4:10">
      <c r="D269" s="128">
        <v>84</v>
      </c>
      <c r="E269" s="128">
        <f>IFERROR((_xlfn.XLOOKUP(D270,[2]主线关卡!E$27:E$326,[2]主线关卡!$D$27:$D$326)-1)*40,E268)</f>
        <v>4800</v>
      </c>
      <c r="F269" s="128">
        <f t="shared" si="63"/>
        <v>300</v>
      </c>
      <c r="G269" s="45">
        <f t="shared" si="62"/>
        <v>602</v>
      </c>
      <c r="H269" s="45">
        <v>50</v>
      </c>
      <c r="I269" s="45">
        <f t="shared" si="64"/>
        <v>552</v>
      </c>
      <c r="J269" s="45">
        <v>300</v>
      </c>
    </row>
    <row r="270" spans="4:10">
      <c r="D270" s="128">
        <v>85</v>
      </c>
      <c r="E270" s="128">
        <f>IFERROR((_xlfn.XLOOKUP(D271,[2]主线关卡!E$27:E$326,[2]主线关卡!$D$27:$D$326)-1)*40,E269)</f>
        <v>4840</v>
      </c>
      <c r="F270" s="128">
        <f t="shared" si="63"/>
        <v>340</v>
      </c>
      <c r="G270" s="45">
        <f t="shared" si="62"/>
        <v>602</v>
      </c>
      <c r="H270" s="45">
        <v>50</v>
      </c>
      <c r="I270" s="45">
        <f t="shared" si="64"/>
        <v>552</v>
      </c>
      <c r="J270" s="45">
        <v>300</v>
      </c>
    </row>
    <row r="271" spans="4:10">
      <c r="D271" s="128">
        <v>86</v>
      </c>
      <c r="E271" s="128">
        <f>IFERROR((_xlfn.XLOOKUP(D272,[2]主线关卡!E$27:E$326,[2]主线关卡!$D$27:$D$326)-1)*40,E270)</f>
        <v>4840</v>
      </c>
      <c r="F271" s="128">
        <f t="shared" si="63"/>
        <v>300</v>
      </c>
      <c r="G271" s="45">
        <f t="shared" si="62"/>
        <v>602</v>
      </c>
      <c r="H271" s="45">
        <v>50</v>
      </c>
      <c r="I271" s="45">
        <f t="shared" si="64"/>
        <v>552</v>
      </c>
      <c r="J271" s="45">
        <v>300</v>
      </c>
    </row>
    <row r="272" spans="4:10">
      <c r="D272" s="128">
        <v>87</v>
      </c>
      <c r="E272" s="128">
        <f>IFERROR((_xlfn.XLOOKUP(D273,[2]主线关卡!E$27:E$326,[2]主线关卡!$D$27:$D$326)-1)*40,E271)</f>
        <v>4880</v>
      </c>
      <c r="F272" s="128">
        <f t="shared" si="63"/>
        <v>340</v>
      </c>
      <c r="G272" s="45">
        <f t="shared" si="62"/>
        <v>602</v>
      </c>
      <c r="H272" s="45">
        <v>50</v>
      </c>
      <c r="I272" s="45">
        <f t="shared" si="64"/>
        <v>552</v>
      </c>
      <c r="J272" s="45">
        <v>300</v>
      </c>
    </row>
    <row r="273" spans="4:10">
      <c r="D273" s="128">
        <v>88</v>
      </c>
      <c r="E273" s="128">
        <f>IFERROR((_xlfn.XLOOKUP(D274,[2]主线关卡!E$27:E$326,[2]主线关卡!$D$27:$D$326)-1)*40,E272)</f>
        <v>4880</v>
      </c>
      <c r="F273" s="128">
        <f t="shared" si="63"/>
        <v>300</v>
      </c>
      <c r="G273" s="45">
        <f t="shared" si="62"/>
        <v>602</v>
      </c>
      <c r="H273" s="45">
        <v>50</v>
      </c>
      <c r="I273" s="45">
        <f t="shared" si="64"/>
        <v>552</v>
      </c>
      <c r="J273" s="45">
        <v>300</v>
      </c>
    </row>
    <row r="274" spans="4:10">
      <c r="D274" s="128">
        <v>89</v>
      </c>
      <c r="E274" s="128">
        <f>IFERROR((_xlfn.XLOOKUP(D275,[2]主线关卡!E$27:E$326,[2]主线关卡!$D$27:$D$326)-1)*40,E273)</f>
        <v>4920</v>
      </c>
      <c r="F274" s="128">
        <f t="shared" si="63"/>
        <v>340</v>
      </c>
      <c r="G274" s="45">
        <f t="shared" si="62"/>
        <v>602</v>
      </c>
      <c r="H274" s="45">
        <v>50</v>
      </c>
      <c r="I274" s="45">
        <f t="shared" si="64"/>
        <v>552</v>
      </c>
      <c r="J274" s="45">
        <v>300</v>
      </c>
    </row>
    <row r="275" spans="4:10">
      <c r="D275" s="128">
        <v>90</v>
      </c>
      <c r="E275" s="128">
        <f>IFERROR((_xlfn.XLOOKUP(D276,[2]主线关卡!E$27:E$326,[2]主线关卡!$D$27:$D$326)-1)*40,E274)</f>
        <v>4920</v>
      </c>
      <c r="F275" s="128">
        <f t="shared" si="63"/>
        <v>300</v>
      </c>
      <c r="G275" s="45">
        <f t="shared" si="62"/>
        <v>602</v>
      </c>
      <c r="H275" s="45">
        <v>50</v>
      </c>
      <c r="I275" s="45">
        <f t="shared" si="64"/>
        <v>552</v>
      </c>
      <c r="J275" s="45">
        <v>300</v>
      </c>
    </row>
    <row r="276" spans="4:10">
      <c r="D276" s="128">
        <v>91</v>
      </c>
      <c r="E276" s="128">
        <f>IFERROR((_xlfn.XLOOKUP(D277,[2]主线关卡!E$27:E$326,[2]主线关卡!$D$27:$D$326)-1)*40,E275)</f>
        <v>4960</v>
      </c>
      <c r="F276" s="128">
        <f t="shared" si="63"/>
        <v>340</v>
      </c>
      <c r="G276" s="45">
        <f t="shared" si="62"/>
        <v>602</v>
      </c>
      <c r="H276" s="45">
        <v>50</v>
      </c>
      <c r="I276" s="45">
        <f t="shared" si="64"/>
        <v>552</v>
      </c>
      <c r="J276" s="45">
        <v>300</v>
      </c>
    </row>
    <row r="277" spans="4:10">
      <c r="D277" s="128">
        <v>92</v>
      </c>
      <c r="E277" s="128">
        <f>IFERROR((_xlfn.XLOOKUP(D278,[2]主线关卡!E$27:E$326,[2]主线关卡!$D$27:$D$326)-1)*40,E276)</f>
        <v>4960</v>
      </c>
      <c r="F277" s="128">
        <f t="shared" si="63"/>
        <v>300</v>
      </c>
      <c r="G277" s="45">
        <f t="shared" si="62"/>
        <v>602</v>
      </c>
      <c r="H277" s="45">
        <v>50</v>
      </c>
      <c r="I277" s="45">
        <f t="shared" si="64"/>
        <v>552</v>
      </c>
      <c r="J277" s="45">
        <v>300</v>
      </c>
    </row>
    <row r="278" spans="4:10">
      <c r="D278" s="128">
        <v>93</v>
      </c>
      <c r="E278" s="128">
        <f>IFERROR((_xlfn.XLOOKUP(D279,[2]主线关卡!E$27:E$326,[2]主线关卡!$D$27:$D$326)-1)*40,E277)</f>
        <v>5000</v>
      </c>
      <c r="F278" s="128">
        <f t="shared" si="63"/>
        <v>340</v>
      </c>
      <c r="G278" s="45">
        <f t="shared" si="62"/>
        <v>602</v>
      </c>
      <c r="H278" s="45">
        <v>50</v>
      </c>
      <c r="I278" s="45">
        <f t="shared" si="64"/>
        <v>552</v>
      </c>
      <c r="J278" s="45">
        <v>300</v>
      </c>
    </row>
    <row r="279" spans="4:10">
      <c r="D279" s="128">
        <v>94</v>
      </c>
      <c r="E279" s="128">
        <f>IFERROR((_xlfn.XLOOKUP(D280,[2]主线关卡!E$27:E$326,[2]主线关卡!$D$27:$D$326)-1)*40,E278)</f>
        <v>5000</v>
      </c>
      <c r="F279" s="128">
        <f t="shared" si="63"/>
        <v>300</v>
      </c>
      <c r="G279" s="45">
        <f t="shared" si="62"/>
        <v>602</v>
      </c>
      <c r="H279" s="45">
        <v>50</v>
      </c>
      <c r="I279" s="45">
        <f t="shared" si="64"/>
        <v>552</v>
      </c>
      <c r="J279" s="45">
        <v>300</v>
      </c>
    </row>
    <row r="280" spans="4:10">
      <c r="D280" s="128">
        <v>95</v>
      </c>
      <c r="E280" s="128">
        <f>IFERROR((_xlfn.XLOOKUP(D281,[2]主线关卡!E$27:E$326,[2]主线关卡!$D$27:$D$326)-1)*40,E279)</f>
        <v>5040</v>
      </c>
      <c r="F280" s="128">
        <f t="shared" si="63"/>
        <v>340</v>
      </c>
      <c r="G280" s="45">
        <f t="shared" si="62"/>
        <v>602</v>
      </c>
      <c r="H280" s="45">
        <v>50</v>
      </c>
      <c r="I280" s="45">
        <f t="shared" si="64"/>
        <v>552</v>
      </c>
      <c r="J280" s="45">
        <v>300</v>
      </c>
    </row>
    <row r="281" spans="4:10">
      <c r="D281" s="128">
        <v>96</v>
      </c>
      <c r="E281" s="128">
        <f>IFERROR((_xlfn.XLOOKUP(D282,[2]主线关卡!E$27:E$326,[2]主线关卡!$D$27:$D$326)-1)*40,E280)</f>
        <v>5040</v>
      </c>
      <c r="F281" s="128">
        <f t="shared" si="63"/>
        <v>300</v>
      </c>
      <c r="G281" s="45">
        <f t="shared" si="62"/>
        <v>602</v>
      </c>
      <c r="H281" s="45">
        <v>50</v>
      </c>
      <c r="I281" s="45">
        <f t="shared" si="64"/>
        <v>552</v>
      </c>
      <c r="J281" s="45">
        <v>300</v>
      </c>
    </row>
    <row r="282" spans="4:10">
      <c r="D282" s="128">
        <v>97</v>
      </c>
      <c r="E282" s="128">
        <f>IFERROR((_xlfn.XLOOKUP(D283,[2]主线关卡!E$27:E$326,[2]主线关卡!$D$27:$D$326)-1)*40,E281)</f>
        <v>5080</v>
      </c>
      <c r="F282" s="128">
        <f t="shared" si="63"/>
        <v>340</v>
      </c>
      <c r="G282" s="45">
        <f t="shared" si="62"/>
        <v>602</v>
      </c>
      <c r="H282" s="45">
        <v>50</v>
      </c>
      <c r="I282" s="45">
        <f t="shared" si="64"/>
        <v>552</v>
      </c>
      <c r="J282" s="45">
        <v>300</v>
      </c>
    </row>
    <row r="283" spans="4:10">
      <c r="D283" s="128">
        <v>98</v>
      </c>
      <c r="E283" s="128">
        <f>IFERROR((_xlfn.XLOOKUP(D284,[2]主线关卡!E$27:E$326,[2]主线关卡!$D$27:$D$326)-1)*40,E282)</f>
        <v>5080</v>
      </c>
      <c r="F283" s="128">
        <f t="shared" si="63"/>
        <v>300</v>
      </c>
      <c r="G283" s="45">
        <f t="shared" si="62"/>
        <v>602</v>
      </c>
      <c r="H283" s="45">
        <v>50</v>
      </c>
      <c r="I283" s="45">
        <f t="shared" si="64"/>
        <v>552</v>
      </c>
      <c r="J283" s="45">
        <v>300</v>
      </c>
    </row>
    <row r="284" spans="4:10">
      <c r="D284" s="128">
        <v>99</v>
      </c>
      <c r="E284" s="128">
        <f>IFERROR((_xlfn.XLOOKUP(D285,[2]主线关卡!E$27:E$326,[2]主线关卡!$D$27:$D$326)-1)*40,E283)</f>
        <v>5120</v>
      </c>
      <c r="F284" s="128">
        <f t="shared" si="63"/>
        <v>340</v>
      </c>
      <c r="G284" s="45">
        <f t="shared" si="62"/>
        <v>602</v>
      </c>
      <c r="H284" s="45">
        <v>50</v>
      </c>
      <c r="I284" s="45">
        <f t="shared" si="64"/>
        <v>552</v>
      </c>
      <c r="J284" s="45">
        <v>300</v>
      </c>
    </row>
    <row r="285" spans="4:10">
      <c r="D285" s="128">
        <v>100</v>
      </c>
      <c r="E285" s="128">
        <f>IFERROR((_xlfn.XLOOKUP(D286,[2]主线关卡!E$27:E$326,[2]主线关卡!$D$27:$D$326)-1)*40,E284)</f>
        <v>5120</v>
      </c>
      <c r="F285" s="128">
        <f t="shared" si="63"/>
        <v>300</v>
      </c>
      <c r="G285" s="45">
        <f t="shared" si="62"/>
        <v>602</v>
      </c>
      <c r="H285" s="45">
        <v>50</v>
      </c>
      <c r="I285" s="45">
        <f t="shared" si="64"/>
        <v>552</v>
      </c>
      <c r="J285" s="45">
        <v>300</v>
      </c>
    </row>
    <row r="286" spans="4:10">
      <c r="D286" s="128">
        <v>101</v>
      </c>
      <c r="E286" s="128">
        <f>IFERROR((_xlfn.XLOOKUP(D287,[2]主线关卡!E$27:E$326,[2]主线关卡!$D$27:$D$326)-1)*40,E285)</f>
        <v>5160</v>
      </c>
      <c r="F286" s="128">
        <f t="shared" si="63"/>
        <v>340</v>
      </c>
      <c r="G286" s="45">
        <f t="shared" si="62"/>
        <v>602</v>
      </c>
      <c r="H286" s="45">
        <v>50</v>
      </c>
      <c r="I286" s="45">
        <f t="shared" si="64"/>
        <v>552</v>
      </c>
      <c r="J286" s="45">
        <v>300</v>
      </c>
    </row>
    <row r="287" spans="4:10">
      <c r="D287" s="128">
        <v>102</v>
      </c>
      <c r="E287" s="128">
        <f>IFERROR((_xlfn.XLOOKUP(D288,[2]主线关卡!E$27:E$326,[2]主线关卡!$D$27:$D$326)-1)*40,E286)</f>
        <v>5160</v>
      </c>
      <c r="F287" s="128">
        <f t="shared" si="63"/>
        <v>300</v>
      </c>
      <c r="G287" s="45">
        <f t="shared" si="62"/>
        <v>602</v>
      </c>
      <c r="H287" s="45">
        <v>50</v>
      </c>
      <c r="I287" s="45">
        <f t="shared" si="64"/>
        <v>552</v>
      </c>
      <c r="J287" s="45">
        <v>300</v>
      </c>
    </row>
    <row r="288" spans="4:10">
      <c r="D288" s="128">
        <v>103</v>
      </c>
      <c r="E288" s="128">
        <f>IFERROR((_xlfn.XLOOKUP(D289,[2]主线关卡!E$27:E$326,[2]主线关卡!$D$27:$D$326)-1)*40,E287)</f>
        <v>5200</v>
      </c>
      <c r="F288" s="128">
        <f t="shared" si="63"/>
        <v>340</v>
      </c>
      <c r="G288" s="45">
        <f t="shared" si="62"/>
        <v>602</v>
      </c>
      <c r="H288" s="45">
        <v>50</v>
      </c>
      <c r="I288" s="45">
        <f t="shared" si="64"/>
        <v>552</v>
      </c>
      <c r="J288" s="45">
        <v>300</v>
      </c>
    </row>
    <row r="289" spans="4:10">
      <c r="D289" s="128">
        <v>104</v>
      </c>
      <c r="E289" s="128">
        <f>IFERROR((_xlfn.XLOOKUP(D290,[2]主线关卡!E$27:E$326,[2]主线关卡!$D$27:$D$326)-1)*40,E288)</f>
        <v>5200</v>
      </c>
      <c r="F289" s="128">
        <f t="shared" si="63"/>
        <v>300</v>
      </c>
      <c r="G289" s="45">
        <f t="shared" si="62"/>
        <v>602</v>
      </c>
      <c r="H289" s="45">
        <v>50</v>
      </c>
      <c r="I289" s="45">
        <f t="shared" si="64"/>
        <v>552</v>
      </c>
      <c r="J289" s="45">
        <v>300</v>
      </c>
    </row>
    <row r="290" spans="4:10">
      <c r="D290" s="128">
        <v>105</v>
      </c>
      <c r="E290" s="128">
        <f>IFERROR((_xlfn.XLOOKUP(D291,[2]主线关卡!E$27:E$326,[2]主线关卡!$D$27:$D$326)-1)*40,E289)</f>
        <v>5240</v>
      </c>
      <c r="F290" s="128">
        <f t="shared" si="63"/>
        <v>340</v>
      </c>
      <c r="G290" s="45">
        <f t="shared" si="62"/>
        <v>602</v>
      </c>
      <c r="H290" s="45">
        <v>50</v>
      </c>
      <c r="I290" s="45">
        <f t="shared" si="64"/>
        <v>552</v>
      </c>
      <c r="J290" s="45">
        <v>300</v>
      </c>
    </row>
    <row r="291" spans="4:10">
      <c r="D291" s="128">
        <v>106</v>
      </c>
      <c r="E291" s="128">
        <f>IFERROR((_xlfn.XLOOKUP(D292,[2]主线关卡!E$27:E$326,[2]主线关卡!$D$27:$D$326)-1)*40,E290)</f>
        <v>5240</v>
      </c>
      <c r="F291" s="128">
        <f t="shared" si="63"/>
        <v>300</v>
      </c>
      <c r="G291" s="45">
        <f t="shared" si="62"/>
        <v>602</v>
      </c>
      <c r="H291" s="45">
        <v>50</v>
      </c>
      <c r="I291" s="45">
        <f t="shared" si="64"/>
        <v>552</v>
      </c>
      <c r="J291" s="45">
        <v>300</v>
      </c>
    </row>
    <row r="292" spans="4:10">
      <c r="D292" s="128">
        <v>107</v>
      </c>
      <c r="E292" s="128">
        <f>IFERROR((_xlfn.XLOOKUP(D293,[2]主线关卡!E$27:E$326,[2]主线关卡!$D$27:$D$326)-1)*40,E291)</f>
        <v>5280</v>
      </c>
      <c r="F292" s="128">
        <f t="shared" si="63"/>
        <v>340</v>
      </c>
      <c r="G292" s="45">
        <f t="shared" si="62"/>
        <v>602</v>
      </c>
      <c r="H292" s="45">
        <v>50</v>
      </c>
      <c r="I292" s="45">
        <f t="shared" si="64"/>
        <v>552</v>
      </c>
      <c r="J292" s="45">
        <v>300</v>
      </c>
    </row>
    <row r="293" spans="4:10">
      <c r="D293" s="128">
        <v>108</v>
      </c>
      <c r="E293" s="128">
        <f>IFERROR((_xlfn.XLOOKUP(D294,[2]主线关卡!E$27:E$326,[2]主线关卡!$D$27:$D$326)-1)*40,E292)</f>
        <v>5280</v>
      </c>
      <c r="F293" s="128">
        <f t="shared" si="63"/>
        <v>300</v>
      </c>
      <c r="G293" s="45">
        <f t="shared" si="62"/>
        <v>602</v>
      </c>
      <c r="H293" s="45">
        <v>50</v>
      </c>
      <c r="I293" s="45">
        <f t="shared" si="64"/>
        <v>552</v>
      </c>
      <c r="J293" s="45">
        <v>300</v>
      </c>
    </row>
    <row r="294" spans="4:10">
      <c r="D294" s="128">
        <v>109</v>
      </c>
      <c r="E294" s="128">
        <f>IFERROR((_xlfn.XLOOKUP(D295,[2]主线关卡!E$27:E$326,[2]主线关卡!$D$27:$D$326)-1)*40,E293)</f>
        <v>5320</v>
      </c>
      <c r="F294" s="128">
        <f t="shared" si="63"/>
        <v>340</v>
      </c>
      <c r="G294" s="45">
        <f t="shared" si="62"/>
        <v>602</v>
      </c>
      <c r="H294" s="45">
        <v>50</v>
      </c>
      <c r="I294" s="45">
        <f t="shared" si="64"/>
        <v>552</v>
      </c>
      <c r="J294" s="45">
        <v>300</v>
      </c>
    </row>
    <row r="295" spans="4:10">
      <c r="D295" s="128">
        <v>110</v>
      </c>
      <c r="E295" s="128">
        <f>IFERROR((_xlfn.XLOOKUP(D296,[2]主线关卡!E$27:E$326,[2]主线关卡!$D$27:$D$326)-1)*40,E294)</f>
        <v>5320</v>
      </c>
      <c r="F295" s="128">
        <f t="shared" si="63"/>
        <v>300</v>
      </c>
      <c r="G295" s="45">
        <f t="shared" si="62"/>
        <v>602</v>
      </c>
      <c r="H295" s="45">
        <v>50</v>
      </c>
      <c r="I295" s="45">
        <f t="shared" si="64"/>
        <v>552</v>
      </c>
      <c r="J295" s="45">
        <v>300</v>
      </c>
    </row>
    <row r="296" spans="4:10">
      <c r="D296" s="128">
        <v>111</v>
      </c>
      <c r="E296" s="128">
        <f>IFERROR((_xlfn.XLOOKUP(D297,[2]主线关卡!E$27:E$326,[2]主线关卡!$D$27:$D$326)-1)*40,E295)</f>
        <v>5360</v>
      </c>
      <c r="F296" s="128">
        <f t="shared" si="63"/>
        <v>340</v>
      </c>
      <c r="G296" s="45">
        <f t="shared" si="62"/>
        <v>602</v>
      </c>
      <c r="H296" s="45">
        <v>50</v>
      </c>
      <c r="I296" s="45">
        <f t="shared" si="64"/>
        <v>552</v>
      </c>
      <c r="J296" s="45">
        <v>300</v>
      </c>
    </row>
    <row r="297" spans="4:10">
      <c r="D297" s="128">
        <v>112</v>
      </c>
      <c r="E297" s="128">
        <f>IFERROR((_xlfn.XLOOKUP(D298,[2]主线关卡!E$27:E$326,[2]主线关卡!$D$27:$D$326)-1)*40,E296)</f>
        <v>5360</v>
      </c>
      <c r="F297" s="128">
        <f t="shared" si="63"/>
        <v>300</v>
      </c>
      <c r="G297" s="45">
        <f t="shared" si="62"/>
        <v>602</v>
      </c>
      <c r="H297" s="45">
        <v>50</v>
      </c>
      <c r="I297" s="45">
        <f t="shared" si="64"/>
        <v>552</v>
      </c>
      <c r="J297" s="45">
        <v>300</v>
      </c>
    </row>
    <row r="298" spans="4:10">
      <c r="D298" s="128">
        <v>113</v>
      </c>
      <c r="E298" s="128">
        <f>IFERROR((_xlfn.XLOOKUP(D299,[2]主线关卡!E$27:E$326,[2]主线关卡!$D$27:$D$326)-1)*40,E297)</f>
        <v>5400</v>
      </c>
      <c r="F298" s="128">
        <f t="shared" si="63"/>
        <v>340</v>
      </c>
      <c r="G298" s="45">
        <f t="shared" si="62"/>
        <v>602</v>
      </c>
      <c r="H298" s="45">
        <v>50</v>
      </c>
      <c r="I298" s="45">
        <f t="shared" si="64"/>
        <v>552</v>
      </c>
      <c r="J298" s="45">
        <v>300</v>
      </c>
    </row>
    <row r="299" spans="4:10">
      <c r="D299" s="128">
        <v>114</v>
      </c>
      <c r="E299" s="128">
        <f>IFERROR((_xlfn.XLOOKUP(D300,[2]主线关卡!E$27:E$326,[2]主线关卡!$D$27:$D$326)-1)*40,E298)</f>
        <v>5400</v>
      </c>
      <c r="F299" s="128">
        <f t="shared" si="63"/>
        <v>300</v>
      </c>
      <c r="G299" s="45">
        <f t="shared" si="62"/>
        <v>602</v>
      </c>
      <c r="H299" s="45">
        <v>50</v>
      </c>
      <c r="I299" s="45">
        <f t="shared" si="64"/>
        <v>552</v>
      </c>
      <c r="J299" s="45">
        <v>300</v>
      </c>
    </row>
    <row r="300" spans="4:10">
      <c r="D300" s="128">
        <v>115</v>
      </c>
      <c r="E300" s="128">
        <f>IFERROR((_xlfn.XLOOKUP(D301,[2]主线关卡!E$27:E$326,[2]主线关卡!$D$27:$D$326)-1)*40,E299)</f>
        <v>5440</v>
      </c>
      <c r="F300" s="128">
        <f t="shared" si="63"/>
        <v>340</v>
      </c>
      <c r="G300" s="45">
        <f t="shared" si="62"/>
        <v>602</v>
      </c>
      <c r="H300" s="45">
        <v>50</v>
      </c>
      <c r="I300" s="45">
        <f t="shared" si="64"/>
        <v>552</v>
      </c>
      <c r="J300" s="45">
        <v>300</v>
      </c>
    </row>
    <row r="301" spans="4:10">
      <c r="D301" s="128">
        <v>116</v>
      </c>
      <c r="E301" s="128">
        <f>IFERROR((_xlfn.XLOOKUP(D302,[2]主线关卡!E$27:E$326,[2]主线关卡!$D$27:$D$326)-1)*40,E300)</f>
        <v>5440</v>
      </c>
      <c r="F301" s="128">
        <f t="shared" si="63"/>
        <v>300</v>
      </c>
      <c r="G301" s="45">
        <f t="shared" si="62"/>
        <v>602</v>
      </c>
      <c r="H301" s="45">
        <v>50</v>
      </c>
      <c r="I301" s="45">
        <f t="shared" si="64"/>
        <v>552</v>
      </c>
      <c r="J301" s="45">
        <v>300</v>
      </c>
    </row>
    <row r="302" spans="4:10">
      <c r="D302" s="128">
        <v>117</v>
      </c>
      <c r="E302" s="128">
        <f>IFERROR((_xlfn.XLOOKUP(D303,[2]主线关卡!E$27:E$326,[2]主线关卡!$D$27:$D$326)-1)*40,E301)</f>
        <v>5480</v>
      </c>
      <c r="F302" s="128">
        <f t="shared" si="63"/>
        <v>340</v>
      </c>
      <c r="G302" s="45">
        <f t="shared" si="62"/>
        <v>602</v>
      </c>
      <c r="H302" s="45">
        <v>50</v>
      </c>
      <c r="I302" s="45">
        <f t="shared" si="64"/>
        <v>552</v>
      </c>
      <c r="J302" s="45">
        <v>300</v>
      </c>
    </row>
    <row r="303" spans="4:10">
      <c r="D303" s="128">
        <v>118</v>
      </c>
      <c r="E303" s="128">
        <f>IFERROR((_xlfn.XLOOKUP(D304,[2]主线关卡!E$27:E$326,[2]主线关卡!$D$27:$D$326)-1)*40,E302)</f>
        <v>5480</v>
      </c>
      <c r="F303" s="128">
        <f t="shared" si="63"/>
        <v>300</v>
      </c>
      <c r="G303" s="45">
        <f t="shared" si="62"/>
        <v>602</v>
      </c>
      <c r="H303" s="45">
        <v>50</v>
      </c>
      <c r="I303" s="45">
        <f t="shared" si="64"/>
        <v>552</v>
      </c>
      <c r="J303" s="45">
        <v>300</v>
      </c>
    </row>
    <row r="304" spans="4:10">
      <c r="D304" s="128">
        <v>119</v>
      </c>
      <c r="E304" s="128">
        <f>IFERROR((_xlfn.XLOOKUP(D305,[2]主线关卡!E$27:E$326,[2]主线关卡!$D$27:$D$326)-1)*40,E303)</f>
        <v>5520</v>
      </c>
      <c r="F304" s="128">
        <f t="shared" si="63"/>
        <v>340</v>
      </c>
      <c r="G304" s="45">
        <f t="shared" si="62"/>
        <v>602</v>
      </c>
      <c r="H304" s="45">
        <v>50</v>
      </c>
      <c r="I304" s="45">
        <f t="shared" si="64"/>
        <v>552</v>
      </c>
      <c r="J304" s="45">
        <v>300</v>
      </c>
    </row>
    <row r="305" spans="4:10">
      <c r="D305" s="128">
        <v>120</v>
      </c>
      <c r="E305" s="128">
        <f>IFERROR((_xlfn.XLOOKUP(D306,[2]主线关卡!E$27:E$326,[2]主线关卡!$D$27:$D$326)-1)*40,E304)</f>
        <v>5520</v>
      </c>
      <c r="F305" s="128">
        <f t="shared" si="63"/>
        <v>300</v>
      </c>
      <c r="G305" s="45">
        <f t="shared" si="62"/>
        <v>602</v>
      </c>
      <c r="H305" s="45">
        <v>50</v>
      </c>
      <c r="I305" s="45">
        <f t="shared" si="64"/>
        <v>552</v>
      </c>
      <c r="J305" s="45">
        <v>300</v>
      </c>
    </row>
    <row r="306" spans="4:10">
      <c r="D306" s="128">
        <v>121</v>
      </c>
      <c r="E306" s="128">
        <f>IFERROR((_xlfn.XLOOKUP(D307,[2]主线关卡!E$27:E$326,[2]主线关卡!$D$27:$D$326)-1)*40,E305)</f>
        <v>5560</v>
      </c>
      <c r="F306" s="128">
        <f t="shared" si="63"/>
        <v>340</v>
      </c>
      <c r="G306" s="45">
        <f t="shared" si="62"/>
        <v>602</v>
      </c>
      <c r="H306" s="45">
        <v>50</v>
      </c>
      <c r="I306" s="45">
        <f t="shared" si="64"/>
        <v>552</v>
      </c>
      <c r="J306" s="45">
        <v>300</v>
      </c>
    </row>
    <row r="307" spans="4:10">
      <c r="D307" s="128">
        <v>122</v>
      </c>
      <c r="E307" s="128">
        <f>IFERROR((_xlfn.XLOOKUP(D308,[2]主线关卡!E$27:E$326,[2]主线关卡!$D$27:$D$326)-1)*40,E306)</f>
        <v>5560</v>
      </c>
      <c r="F307" s="128">
        <f t="shared" si="63"/>
        <v>300</v>
      </c>
      <c r="G307" s="45">
        <f t="shared" si="62"/>
        <v>602</v>
      </c>
      <c r="H307" s="45">
        <v>50</v>
      </c>
      <c r="I307" s="45">
        <f t="shared" si="64"/>
        <v>552</v>
      </c>
      <c r="J307" s="45">
        <v>300</v>
      </c>
    </row>
    <row r="308" spans="4:10">
      <c r="D308" s="128">
        <v>123</v>
      </c>
      <c r="E308" s="128">
        <f>IFERROR((_xlfn.XLOOKUP(D309,[2]主线关卡!E$27:E$326,[2]主线关卡!$D$27:$D$326)-1)*40,E307)</f>
        <v>5600</v>
      </c>
      <c r="F308" s="128">
        <f t="shared" si="63"/>
        <v>340</v>
      </c>
      <c r="G308" s="45">
        <f t="shared" si="62"/>
        <v>602</v>
      </c>
      <c r="H308" s="45">
        <v>50</v>
      </c>
      <c r="I308" s="45">
        <f t="shared" si="64"/>
        <v>552</v>
      </c>
      <c r="J308" s="45">
        <v>300</v>
      </c>
    </row>
    <row r="309" spans="4:10">
      <c r="D309" s="128">
        <v>124</v>
      </c>
      <c r="E309" s="128">
        <f>IFERROR((_xlfn.XLOOKUP(D310,[2]主线关卡!E$27:E$326,[2]主线关卡!$D$27:$D$326)-1)*40,E308)</f>
        <v>5600</v>
      </c>
      <c r="F309" s="128">
        <f t="shared" si="63"/>
        <v>300</v>
      </c>
      <c r="G309" s="45">
        <f t="shared" si="62"/>
        <v>602</v>
      </c>
      <c r="H309" s="45">
        <v>50</v>
      </c>
      <c r="I309" s="45">
        <f t="shared" si="64"/>
        <v>552</v>
      </c>
      <c r="J309" s="45">
        <v>300</v>
      </c>
    </row>
    <row r="310" spans="4:10">
      <c r="D310" s="128">
        <v>125</v>
      </c>
      <c r="E310" s="128">
        <f>IFERROR((_xlfn.XLOOKUP(D311,[2]主线关卡!E$27:E$326,[2]主线关卡!$D$27:$D$326)-1)*40,E309)</f>
        <v>5640</v>
      </c>
      <c r="F310" s="128">
        <f t="shared" si="63"/>
        <v>340</v>
      </c>
      <c r="G310" s="45">
        <f t="shared" si="62"/>
        <v>602</v>
      </c>
      <c r="H310" s="45">
        <v>50</v>
      </c>
      <c r="I310" s="45">
        <f t="shared" si="64"/>
        <v>552</v>
      </c>
      <c r="J310" s="45">
        <v>300</v>
      </c>
    </row>
    <row r="311" spans="4:10">
      <c r="D311" s="128">
        <v>126</v>
      </c>
      <c r="E311" s="128">
        <f>IFERROR((_xlfn.XLOOKUP(D312,[2]主线关卡!E$27:E$326,[2]主线关卡!$D$27:$D$326)-1)*40,E310)</f>
        <v>5640</v>
      </c>
      <c r="F311" s="128">
        <f t="shared" si="63"/>
        <v>300</v>
      </c>
      <c r="G311" s="45">
        <f t="shared" si="62"/>
        <v>602</v>
      </c>
      <c r="H311" s="45">
        <v>50</v>
      </c>
      <c r="I311" s="45">
        <f t="shared" si="64"/>
        <v>552</v>
      </c>
      <c r="J311" s="45">
        <v>300</v>
      </c>
    </row>
    <row r="312" spans="4:10">
      <c r="D312" s="128">
        <v>127</v>
      </c>
      <c r="E312" s="128">
        <f>IFERROR((_xlfn.XLOOKUP(D313,[2]主线关卡!E$27:E$326,[2]主线关卡!$D$27:$D$326)-1)*40,E311)</f>
        <v>5680</v>
      </c>
      <c r="F312" s="128">
        <f t="shared" si="63"/>
        <v>340</v>
      </c>
      <c r="G312" s="45">
        <f t="shared" si="62"/>
        <v>602</v>
      </c>
      <c r="H312" s="45">
        <v>50</v>
      </c>
      <c r="I312" s="45">
        <f t="shared" si="64"/>
        <v>552</v>
      </c>
      <c r="J312" s="45">
        <v>300</v>
      </c>
    </row>
    <row r="313" spans="4:10">
      <c r="D313" s="128">
        <v>128</v>
      </c>
      <c r="E313" s="128">
        <f>IFERROR((_xlfn.XLOOKUP(D314,[2]主线关卡!E$27:E$326,[2]主线关卡!$D$27:$D$326)-1)*40,E312)</f>
        <v>5680</v>
      </c>
      <c r="F313" s="128">
        <f t="shared" si="63"/>
        <v>300</v>
      </c>
      <c r="G313" s="45">
        <f t="shared" si="62"/>
        <v>602</v>
      </c>
      <c r="H313" s="45">
        <v>50</v>
      </c>
      <c r="I313" s="45">
        <f t="shared" si="64"/>
        <v>552</v>
      </c>
      <c r="J313" s="45">
        <v>300</v>
      </c>
    </row>
    <row r="314" spans="4:10">
      <c r="D314" s="128">
        <v>129</v>
      </c>
      <c r="E314" s="128">
        <f>IFERROR((_xlfn.XLOOKUP(D315,[2]主线关卡!E$27:E$326,[2]主线关卡!$D$27:$D$326)-1)*40,E313)</f>
        <v>5720</v>
      </c>
      <c r="F314" s="128">
        <f t="shared" si="63"/>
        <v>340</v>
      </c>
      <c r="G314" s="45">
        <f t="shared" si="62"/>
        <v>602</v>
      </c>
      <c r="H314" s="45">
        <v>50</v>
      </c>
      <c r="I314" s="45">
        <f t="shared" si="64"/>
        <v>552</v>
      </c>
      <c r="J314" s="45">
        <v>300</v>
      </c>
    </row>
    <row r="315" spans="4:10">
      <c r="D315" s="128">
        <v>130</v>
      </c>
      <c r="E315" s="128">
        <f>IFERROR((_xlfn.XLOOKUP(D316,[2]主线关卡!E$27:E$326,[2]主线关卡!$D$27:$D$326)-1)*40,E314)</f>
        <v>5720</v>
      </c>
      <c r="F315" s="128">
        <f t="shared" si="63"/>
        <v>300</v>
      </c>
      <c r="G315" s="45">
        <f t="shared" ref="G315:G378" si="65">H315+I315</f>
        <v>602</v>
      </c>
      <c r="H315" s="45">
        <v>50</v>
      </c>
      <c r="I315" s="45">
        <f t="shared" si="64"/>
        <v>552</v>
      </c>
      <c r="J315" s="45">
        <v>300</v>
      </c>
    </row>
    <row r="316" spans="4:10">
      <c r="D316" s="128">
        <v>131</v>
      </c>
      <c r="E316" s="128">
        <f>IFERROR((_xlfn.XLOOKUP(D317,[2]主线关卡!E$27:E$326,[2]主线关卡!$D$27:$D$326)-1)*40,E315)</f>
        <v>5760</v>
      </c>
      <c r="F316" s="128">
        <f t="shared" ref="F316:F379" si="66">E316-E315+J316</f>
        <v>340</v>
      </c>
      <c r="G316" s="45">
        <f t="shared" si="65"/>
        <v>602</v>
      </c>
      <c r="H316" s="45">
        <v>50</v>
      </c>
      <c r="I316" s="45">
        <f t="shared" ref="I316:I379" si="67">I315</f>
        <v>552</v>
      </c>
      <c r="J316" s="45">
        <v>300</v>
      </c>
    </row>
    <row r="317" spans="4:10">
      <c r="D317" s="128">
        <v>132</v>
      </c>
      <c r="E317" s="128">
        <f>IFERROR((_xlfn.XLOOKUP(D318,[2]主线关卡!E$27:E$326,[2]主线关卡!$D$27:$D$326)-1)*40,E316)</f>
        <v>5760</v>
      </c>
      <c r="F317" s="128">
        <f t="shared" si="66"/>
        <v>300</v>
      </c>
      <c r="G317" s="45">
        <f t="shared" si="65"/>
        <v>602</v>
      </c>
      <c r="H317" s="45">
        <v>50</v>
      </c>
      <c r="I317" s="45">
        <f t="shared" si="67"/>
        <v>552</v>
      </c>
      <c r="J317" s="45">
        <v>300</v>
      </c>
    </row>
    <row r="318" spans="4:10">
      <c r="D318" s="128">
        <v>133</v>
      </c>
      <c r="E318" s="128">
        <f>IFERROR((_xlfn.XLOOKUP(D319,[2]主线关卡!E$27:E$326,[2]主线关卡!$D$27:$D$326)-1)*40,E317)</f>
        <v>5800</v>
      </c>
      <c r="F318" s="128">
        <f t="shared" si="66"/>
        <v>340</v>
      </c>
      <c r="G318" s="45">
        <f t="shared" si="65"/>
        <v>602</v>
      </c>
      <c r="H318" s="45">
        <v>50</v>
      </c>
      <c r="I318" s="45">
        <f t="shared" si="67"/>
        <v>552</v>
      </c>
      <c r="J318" s="45">
        <v>300</v>
      </c>
    </row>
    <row r="319" spans="4:10">
      <c r="D319" s="128">
        <v>134</v>
      </c>
      <c r="E319" s="128">
        <f>IFERROR((_xlfn.XLOOKUP(D320,[2]主线关卡!E$27:E$326,[2]主线关卡!$D$27:$D$326)-1)*40,E318)</f>
        <v>5800</v>
      </c>
      <c r="F319" s="128">
        <f t="shared" si="66"/>
        <v>300</v>
      </c>
      <c r="G319" s="45">
        <f t="shared" si="65"/>
        <v>602</v>
      </c>
      <c r="H319" s="45">
        <v>50</v>
      </c>
      <c r="I319" s="45">
        <f t="shared" si="67"/>
        <v>552</v>
      </c>
      <c r="J319" s="45">
        <v>300</v>
      </c>
    </row>
    <row r="320" spans="4:10">
      <c r="D320" s="128">
        <v>135</v>
      </c>
      <c r="E320" s="128">
        <f>IFERROR((_xlfn.XLOOKUP(D321,[2]主线关卡!E$27:E$326,[2]主线关卡!$D$27:$D$326)-1)*40,E319)</f>
        <v>5840</v>
      </c>
      <c r="F320" s="128">
        <f t="shared" si="66"/>
        <v>340</v>
      </c>
      <c r="G320" s="45">
        <f t="shared" si="65"/>
        <v>602</v>
      </c>
      <c r="H320" s="45">
        <v>50</v>
      </c>
      <c r="I320" s="45">
        <f t="shared" si="67"/>
        <v>552</v>
      </c>
      <c r="J320" s="45">
        <v>300</v>
      </c>
    </row>
    <row r="321" spans="4:10">
      <c r="D321" s="128">
        <v>136</v>
      </c>
      <c r="E321" s="128">
        <f>IFERROR((_xlfn.XLOOKUP(D322,[2]主线关卡!E$27:E$326,[2]主线关卡!$D$27:$D$326)-1)*40,E320)</f>
        <v>5840</v>
      </c>
      <c r="F321" s="128">
        <f t="shared" si="66"/>
        <v>300</v>
      </c>
      <c r="G321" s="45">
        <f t="shared" si="65"/>
        <v>602</v>
      </c>
      <c r="H321" s="45">
        <v>50</v>
      </c>
      <c r="I321" s="45">
        <f t="shared" si="67"/>
        <v>552</v>
      </c>
      <c r="J321" s="45">
        <v>300</v>
      </c>
    </row>
    <row r="322" spans="4:10">
      <c r="D322" s="128">
        <v>137</v>
      </c>
      <c r="E322" s="128">
        <f>IFERROR((_xlfn.XLOOKUP(D323,[2]主线关卡!E$27:E$326,[2]主线关卡!$D$27:$D$326)-1)*40,E321)</f>
        <v>5880</v>
      </c>
      <c r="F322" s="128">
        <f t="shared" si="66"/>
        <v>340</v>
      </c>
      <c r="G322" s="45">
        <f t="shared" si="65"/>
        <v>602</v>
      </c>
      <c r="H322" s="45">
        <v>50</v>
      </c>
      <c r="I322" s="45">
        <f t="shared" si="67"/>
        <v>552</v>
      </c>
      <c r="J322" s="45">
        <v>300</v>
      </c>
    </row>
    <row r="323" spans="4:10">
      <c r="D323" s="128">
        <v>138</v>
      </c>
      <c r="E323" s="128">
        <f>IFERROR((_xlfn.XLOOKUP(D324,[2]主线关卡!E$27:E$326,[2]主线关卡!$D$27:$D$326)-1)*40,E322)</f>
        <v>5880</v>
      </c>
      <c r="F323" s="128">
        <f t="shared" si="66"/>
        <v>300</v>
      </c>
      <c r="G323" s="45">
        <f t="shared" si="65"/>
        <v>602</v>
      </c>
      <c r="H323" s="45">
        <v>50</v>
      </c>
      <c r="I323" s="45">
        <f t="shared" si="67"/>
        <v>552</v>
      </c>
      <c r="J323" s="45">
        <v>300</v>
      </c>
    </row>
    <row r="324" spans="4:10">
      <c r="D324" s="128">
        <v>139</v>
      </c>
      <c r="E324" s="128">
        <f>IFERROR((_xlfn.XLOOKUP(D325,[2]主线关卡!E$27:E$326,[2]主线关卡!$D$27:$D$326)-1)*40,E323)</f>
        <v>5920</v>
      </c>
      <c r="F324" s="128">
        <f t="shared" si="66"/>
        <v>340</v>
      </c>
      <c r="G324" s="45">
        <f t="shared" si="65"/>
        <v>602</v>
      </c>
      <c r="H324" s="45">
        <v>50</v>
      </c>
      <c r="I324" s="45">
        <f t="shared" si="67"/>
        <v>552</v>
      </c>
      <c r="J324" s="45">
        <v>300</v>
      </c>
    </row>
    <row r="325" spans="4:10">
      <c r="D325" s="128">
        <v>140</v>
      </c>
      <c r="E325" s="128">
        <f>IFERROR((_xlfn.XLOOKUP(D326,[2]主线关卡!E$27:E$326,[2]主线关卡!$D$27:$D$326)-1)*40,E324)</f>
        <v>5920</v>
      </c>
      <c r="F325" s="128">
        <f t="shared" si="66"/>
        <v>300</v>
      </c>
      <c r="G325" s="45">
        <f t="shared" si="65"/>
        <v>602</v>
      </c>
      <c r="H325" s="45">
        <v>50</v>
      </c>
      <c r="I325" s="45">
        <f t="shared" si="67"/>
        <v>552</v>
      </c>
      <c r="J325" s="45">
        <v>300</v>
      </c>
    </row>
    <row r="326" spans="4:10">
      <c r="D326" s="128">
        <v>141</v>
      </c>
      <c r="E326" s="128">
        <f>IFERROR((_xlfn.XLOOKUP(D327,[2]主线关卡!E$27:E$326,[2]主线关卡!$D$27:$D$326)-1)*40,E325)</f>
        <v>5960</v>
      </c>
      <c r="F326" s="128">
        <f t="shared" si="66"/>
        <v>340</v>
      </c>
      <c r="G326" s="45">
        <f t="shared" si="65"/>
        <v>602</v>
      </c>
      <c r="H326" s="45">
        <v>50</v>
      </c>
      <c r="I326" s="45">
        <f t="shared" si="67"/>
        <v>552</v>
      </c>
      <c r="J326" s="45">
        <v>300</v>
      </c>
    </row>
    <row r="327" spans="4:10">
      <c r="D327" s="128">
        <v>142</v>
      </c>
      <c r="E327" s="128">
        <f>IFERROR((_xlfn.XLOOKUP(D328,[2]主线关卡!E$27:E$326,[2]主线关卡!$D$27:$D$326)-1)*40,E326)</f>
        <v>5960</v>
      </c>
      <c r="F327" s="128">
        <f t="shared" si="66"/>
        <v>300</v>
      </c>
      <c r="G327" s="45">
        <f t="shared" si="65"/>
        <v>602</v>
      </c>
      <c r="H327" s="45">
        <v>50</v>
      </c>
      <c r="I327" s="45">
        <f t="shared" si="67"/>
        <v>552</v>
      </c>
      <c r="J327" s="45">
        <v>300</v>
      </c>
    </row>
    <row r="328" spans="4:10">
      <c r="D328" s="128">
        <v>143</v>
      </c>
      <c r="E328" s="128">
        <f>IFERROR((_xlfn.XLOOKUP(D329,[2]主线关卡!E$27:E$326,[2]主线关卡!$D$27:$D$326)-1)*40,E327)</f>
        <v>6000</v>
      </c>
      <c r="F328" s="128">
        <f t="shared" si="66"/>
        <v>340</v>
      </c>
      <c r="G328" s="45">
        <f t="shared" si="65"/>
        <v>602</v>
      </c>
      <c r="H328" s="45">
        <v>50</v>
      </c>
      <c r="I328" s="45">
        <f t="shared" si="67"/>
        <v>552</v>
      </c>
      <c r="J328" s="45">
        <v>300</v>
      </c>
    </row>
    <row r="329" spans="4:10">
      <c r="D329" s="128">
        <v>144</v>
      </c>
      <c r="E329" s="128">
        <f>IFERROR((_xlfn.XLOOKUP(D330,[2]主线关卡!E$27:E$326,[2]主线关卡!$D$27:$D$326)-1)*40,E328)</f>
        <v>6000</v>
      </c>
      <c r="F329" s="128">
        <f t="shared" si="66"/>
        <v>300</v>
      </c>
      <c r="G329" s="45">
        <f t="shared" si="65"/>
        <v>602</v>
      </c>
      <c r="H329" s="45">
        <v>50</v>
      </c>
      <c r="I329" s="45">
        <f t="shared" si="67"/>
        <v>552</v>
      </c>
      <c r="J329" s="45">
        <v>300</v>
      </c>
    </row>
    <row r="330" spans="4:10">
      <c r="D330" s="128">
        <v>145</v>
      </c>
      <c r="E330" s="128">
        <f>IFERROR((_xlfn.XLOOKUP(D331,[2]主线关卡!E$27:E$326,[2]主线关卡!$D$27:$D$326)-1)*40,E329)</f>
        <v>6040</v>
      </c>
      <c r="F330" s="128">
        <f t="shared" si="66"/>
        <v>340</v>
      </c>
      <c r="G330" s="45">
        <f t="shared" si="65"/>
        <v>602</v>
      </c>
      <c r="H330" s="45">
        <v>50</v>
      </c>
      <c r="I330" s="45">
        <f t="shared" si="67"/>
        <v>552</v>
      </c>
      <c r="J330" s="45">
        <v>300</v>
      </c>
    </row>
    <row r="331" spans="4:10">
      <c r="D331" s="128">
        <v>146</v>
      </c>
      <c r="E331" s="128">
        <f>IFERROR((_xlfn.XLOOKUP(D332,[2]主线关卡!E$27:E$326,[2]主线关卡!$D$27:$D$326)-1)*40,E330)</f>
        <v>6040</v>
      </c>
      <c r="F331" s="128">
        <f t="shared" si="66"/>
        <v>300</v>
      </c>
      <c r="G331" s="45">
        <f t="shared" si="65"/>
        <v>602</v>
      </c>
      <c r="H331" s="45">
        <v>50</v>
      </c>
      <c r="I331" s="45">
        <f t="shared" si="67"/>
        <v>552</v>
      </c>
      <c r="J331" s="45">
        <v>300</v>
      </c>
    </row>
    <row r="332" spans="4:10">
      <c r="D332" s="128">
        <v>147</v>
      </c>
      <c r="E332" s="128">
        <f>IFERROR((_xlfn.XLOOKUP(D333,[2]主线关卡!E$27:E$326,[2]主线关卡!$D$27:$D$326)-1)*40,E331)</f>
        <v>6080</v>
      </c>
      <c r="F332" s="128">
        <f t="shared" si="66"/>
        <v>340</v>
      </c>
      <c r="G332" s="45">
        <f t="shared" si="65"/>
        <v>602</v>
      </c>
      <c r="H332" s="45">
        <v>50</v>
      </c>
      <c r="I332" s="45">
        <f t="shared" si="67"/>
        <v>552</v>
      </c>
      <c r="J332" s="45">
        <v>300</v>
      </c>
    </row>
    <row r="333" spans="4:10">
      <c r="D333" s="128">
        <v>148</v>
      </c>
      <c r="E333" s="128">
        <f>IFERROR((_xlfn.XLOOKUP(D334,[2]主线关卡!E$27:E$326,[2]主线关卡!$D$27:$D$326)-1)*40,E332)</f>
        <v>6080</v>
      </c>
      <c r="F333" s="128">
        <f t="shared" si="66"/>
        <v>300</v>
      </c>
      <c r="G333" s="45">
        <f t="shared" si="65"/>
        <v>602</v>
      </c>
      <c r="H333" s="45">
        <v>50</v>
      </c>
      <c r="I333" s="45">
        <f t="shared" si="67"/>
        <v>552</v>
      </c>
      <c r="J333" s="45">
        <v>300</v>
      </c>
    </row>
    <row r="334" spans="4:10">
      <c r="D334" s="128">
        <v>149</v>
      </c>
      <c r="E334" s="128">
        <f>IFERROR((_xlfn.XLOOKUP(D335,[2]主线关卡!E$27:E$326,[2]主线关卡!$D$27:$D$326)-1)*40,E333)</f>
        <v>6120</v>
      </c>
      <c r="F334" s="128">
        <f t="shared" si="66"/>
        <v>340</v>
      </c>
      <c r="G334" s="45">
        <f t="shared" si="65"/>
        <v>602</v>
      </c>
      <c r="H334" s="45">
        <v>50</v>
      </c>
      <c r="I334" s="45">
        <f t="shared" si="67"/>
        <v>552</v>
      </c>
      <c r="J334" s="45">
        <v>300</v>
      </c>
    </row>
    <row r="335" spans="4:10">
      <c r="D335" s="128">
        <v>150</v>
      </c>
      <c r="E335" s="128">
        <f>IFERROR((_xlfn.XLOOKUP(D336,[2]主线关卡!E$27:E$326,[2]主线关卡!$D$27:$D$326)-1)*40,E334)</f>
        <v>6120</v>
      </c>
      <c r="F335" s="128">
        <f t="shared" si="66"/>
        <v>300</v>
      </c>
      <c r="G335" s="45">
        <f t="shared" si="65"/>
        <v>602</v>
      </c>
      <c r="H335" s="45">
        <v>50</v>
      </c>
      <c r="I335" s="45">
        <f t="shared" si="67"/>
        <v>552</v>
      </c>
      <c r="J335" s="45">
        <v>300</v>
      </c>
    </row>
    <row r="336" spans="4:10">
      <c r="D336" s="128">
        <v>151</v>
      </c>
      <c r="E336" s="128">
        <f>IFERROR((_xlfn.XLOOKUP(D337,[2]主线关卡!E$27:E$326,[2]主线关卡!$D$27:$D$326)-1)*40,E335)</f>
        <v>6160</v>
      </c>
      <c r="F336" s="128">
        <f t="shared" si="66"/>
        <v>340</v>
      </c>
      <c r="G336" s="45">
        <f t="shared" si="65"/>
        <v>602</v>
      </c>
      <c r="H336" s="45">
        <v>50</v>
      </c>
      <c r="I336" s="45">
        <f t="shared" si="67"/>
        <v>552</v>
      </c>
      <c r="J336" s="45">
        <v>300</v>
      </c>
    </row>
    <row r="337" spans="4:10">
      <c r="D337" s="128">
        <v>152</v>
      </c>
      <c r="E337" s="128">
        <f>IFERROR((_xlfn.XLOOKUP(D338,[2]主线关卡!E$27:E$326,[2]主线关卡!$D$27:$D$326)-1)*40,E336)</f>
        <v>6160</v>
      </c>
      <c r="F337" s="128">
        <f t="shared" si="66"/>
        <v>300</v>
      </c>
      <c r="G337" s="45">
        <f t="shared" si="65"/>
        <v>602</v>
      </c>
      <c r="H337" s="45">
        <v>50</v>
      </c>
      <c r="I337" s="45">
        <f t="shared" si="67"/>
        <v>552</v>
      </c>
      <c r="J337" s="45">
        <v>300</v>
      </c>
    </row>
    <row r="338" spans="4:10">
      <c r="D338" s="128">
        <v>153</v>
      </c>
      <c r="E338" s="128">
        <f>IFERROR((_xlfn.XLOOKUP(D339,[2]主线关卡!E$27:E$326,[2]主线关卡!$D$27:$D$326)-1)*40,E337)</f>
        <v>6200</v>
      </c>
      <c r="F338" s="128">
        <f t="shared" si="66"/>
        <v>340</v>
      </c>
      <c r="G338" s="45">
        <f t="shared" si="65"/>
        <v>602</v>
      </c>
      <c r="H338" s="45">
        <v>50</v>
      </c>
      <c r="I338" s="45">
        <f t="shared" si="67"/>
        <v>552</v>
      </c>
      <c r="J338" s="45">
        <v>300</v>
      </c>
    </row>
    <row r="339" spans="4:10">
      <c r="D339" s="128">
        <v>154</v>
      </c>
      <c r="E339" s="128">
        <f>IFERROR((_xlfn.XLOOKUP(D340,[2]主线关卡!E$27:E$326,[2]主线关卡!$D$27:$D$326)-1)*40,E338)</f>
        <v>6200</v>
      </c>
      <c r="F339" s="128">
        <f t="shared" si="66"/>
        <v>300</v>
      </c>
      <c r="G339" s="45">
        <f t="shared" si="65"/>
        <v>602</v>
      </c>
      <c r="H339" s="45">
        <v>50</v>
      </c>
      <c r="I339" s="45">
        <f t="shared" si="67"/>
        <v>552</v>
      </c>
      <c r="J339" s="45">
        <v>300</v>
      </c>
    </row>
    <row r="340" spans="4:10">
      <c r="D340" s="128">
        <v>155</v>
      </c>
      <c r="E340" s="128">
        <f>IFERROR((_xlfn.XLOOKUP(D341,[2]主线关卡!E$27:E$326,[2]主线关卡!$D$27:$D$326)-1)*40,E339)</f>
        <v>6240</v>
      </c>
      <c r="F340" s="128">
        <f t="shared" si="66"/>
        <v>340</v>
      </c>
      <c r="G340" s="45">
        <f t="shared" si="65"/>
        <v>602</v>
      </c>
      <c r="H340" s="45">
        <v>50</v>
      </c>
      <c r="I340" s="45">
        <f t="shared" si="67"/>
        <v>552</v>
      </c>
      <c r="J340" s="45">
        <v>300</v>
      </c>
    </row>
    <row r="341" spans="4:10">
      <c r="D341" s="128">
        <v>156</v>
      </c>
      <c r="E341" s="128">
        <f>IFERROR((_xlfn.XLOOKUP(D342,[2]主线关卡!E$27:E$326,[2]主线关卡!$D$27:$D$326)-1)*40,E340)</f>
        <v>6240</v>
      </c>
      <c r="F341" s="128">
        <f t="shared" si="66"/>
        <v>300</v>
      </c>
      <c r="G341" s="45">
        <f t="shared" si="65"/>
        <v>602</v>
      </c>
      <c r="H341" s="45">
        <v>50</v>
      </c>
      <c r="I341" s="45">
        <f t="shared" si="67"/>
        <v>552</v>
      </c>
      <c r="J341" s="45">
        <v>300</v>
      </c>
    </row>
    <row r="342" spans="4:10">
      <c r="D342" s="128">
        <v>157</v>
      </c>
      <c r="E342" s="128">
        <f>IFERROR((_xlfn.XLOOKUP(D343,[2]主线关卡!E$27:E$326,[2]主线关卡!$D$27:$D$326)-1)*40,E341)</f>
        <v>6280</v>
      </c>
      <c r="F342" s="128">
        <f t="shared" si="66"/>
        <v>340</v>
      </c>
      <c r="G342" s="45">
        <f t="shared" si="65"/>
        <v>602</v>
      </c>
      <c r="H342" s="45">
        <v>50</v>
      </c>
      <c r="I342" s="45">
        <f t="shared" si="67"/>
        <v>552</v>
      </c>
      <c r="J342" s="45">
        <v>300</v>
      </c>
    </row>
    <row r="343" spans="4:10">
      <c r="D343" s="128">
        <v>158</v>
      </c>
      <c r="E343" s="128">
        <f>IFERROR((_xlfn.XLOOKUP(D344,[2]主线关卡!E$27:E$326,[2]主线关卡!$D$27:$D$326)-1)*40,E342)</f>
        <v>6280</v>
      </c>
      <c r="F343" s="128">
        <f t="shared" si="66"/>
        <v>300</v>
      </c>
      <c r="G343" s="45">
        <f t="shared" si="65"/>
        <v>602</v>
      </c>
      <c r="H343" s="45">
        <v>50</v>
      </c>
      <c r="I343" s="45">
        <f t="shared" si="67"/>
        <v>552</v>
      </c>
      <c r="J343" s="45">
        <v>300</v>
      </c>
    </row>
    <row r="344" spans="4:10">
      <c r="D344" s="128">
        <v>159</v>
      </c>
      <c r="E344" s="128">
        <f>IFERROR((_xlfn.XLOOKUP(D345,[2]主线关卡!E$27:E$326,[2]主线关卡!$D$27:$D$326)-1)*40,E343)</f>
        <v>6320</v>
      </c>
      <c r="F344" s="128">
        <f t="shared" si="66"/>
        <v>340</v>
      </c>
      <c r="G344" s="45">
        <f t="shared" si="65"/>
        <v>602</v>
      </c>
      <c r="H344" s="45">
        <v>50</v>
      </c>
      <c r="I344" s="45">
        <f t="shared" si="67"/>
        <v>552</v>
      </c>
      <c r="J344" s="45">
        <v>300</v>
      </c>
    </row>
    <row r="345" spans="4:10">
      <c r="D345" s="128">
        <v>160</v>
      </c>
      <c r="E345" s="128">
        <f>IFERROR((_xlfn.XLOOKUP(D346,[2]主线关卡!E$27:E$326,[2]主线关卡!$D$27:$D$326)-1)*40,E344)</f>
        <v>6320</v>
      </c>
      <c r="F345" s="128">
        <f t="shared" si="66"/>
        <v>300</v>
      </c>
      <c r="G345" s="45">
        <f t="shared" si="65"/>
        <v>602</v>
      </c>
      <c r="H345" s="45">
        <v>50</v>
      </c>
      <c r="I345" s="45">
        <f t="shared" si="67"/>
        <v>552</v>
      </c>
      <c r="J345" s="45">
        <v>300</v>
      </c>
    </row>
    <row r="346" spans="4:10">
      <c r="D346" s="128">
        <v>161</v>
      </c>
      <c r="E346" s="128">
        <f>IFERROR((_xlfn.XLOOKUP(D347,[2]主线关卡!E$27:E$326,[2]主线关卡!$D$27:$D$326)-1)*40,E345)</f>
        <v>6360</v>
      </c>
      <c r="F346" s="128">
        <f t="shared" si="66"/>
        <v>340</v>
      </c>
      <c r="G346" s="45">
        <f t="shared" si="65"/>
        <v>602</v>
      </c>
      <c r="H346" s="45">
        <v>50</v>
      </c>
      <c r="I346" s="45">
        <f t="shared" si="67"/>
        <v>552</v>
      </c>
      <c r="J346" s="45">
        <v>300</v>
      </c>
    </row>
    <row r="347" spans="4:10">
      <c r="D347" s="128">
        <v>162</v>
      </c>
      <c r="E347" s="128">
        <f>IFERROR((_xlfn.XLOOKUP(D348,[2]主线关卡!E$27:E$326,[2]主线关卡!$D$27:$D$326)-1)*40,E346)</f>
        <v>6360</v>
      </c>
      <c r="F347" s="128">
        <f t="shared" si="66"/>
        <v>300</v>
      </c>
      <c r="G347" s="45">
        <f t="shared" si="65"/>
        <v>602</v>
      </c>
      <c r="H347" s="45">
        <v>50</v>
      </c>
      <c r="I347" s="45">
        <f t="shared" si="67"/>
        <v>552</v>
      </c>
      <c r="J347" s="45">
        <v>300</v>
      </c>
    </row>
    <row r="348" spans="4:10">
      <c r="D348" s="128">
        <v>163</v>
      </c>
      <c r="E348" s="128">
        <f>IFERROR((_xlfn.XLOOKUP(D349,[2]主线关卡!E$27:E$326,[2]主线关卡!$D$27:$D$326)-1)*40,E347)</f>
        <v>6400</v>
      </c>
      <c r="F348" s="128">
        <f t="shared" si="66"/>
        <v>340</v>
      </c>
      <c r="G348" s="45">
        <f t="shared" si="65"/>
        <v>602</v>
      </c>
      <c r="H348" s="45">
        <v>50</v>
      </c>
      <c r="I348" s="45">
        <f t="shared" si="67"/>
        <v>552</v>
      </c>
      <c r="J348" s="45">
        <v>300</v>
      </c>
    </row>
    <row r="349" spans="4:10">
      <c r="D349" s="128">
        <v>164</v>
      </c>
      <c r="E349" s="128">
        <f>IFERROR((_xlfn.XLOOKUP(D350,[2]主线关卡!E$27:E$326,[2]主线关卡!$D$27:$D$326)-1)*40,E348)</f>
        <v>6400</v>
      </c>
      <c r="F349" s="128">
        <f t="shared" si="66"/>
        <v>300</v>
      </c>
      <c r="G349" s="45">
        <f t="shared" si="65"/>
        <v>602</v>
      </c>
      <c r="H349" s="45">
        <v>50</v>
      </c>
      <c r="I349" s="45">
        <f t="shared" si="67"/>
        <v>552</v>
      </c>
      <c r="J349" s="45">
        <v>300</v>
      </c>
    </row>
    <row r="350" spans="4:10">
      <c r="D350" s="128">
        <v>165</v>
      </c>
      <c r="E350" s="128">
        <f>IFERROR((_xlfn.XLOOKUP(D351,[2]主线关卡!E$27:E$326,[2]主线关卡!$D$27:$D$326)-1)*40,E349)</f>
        <v>6440</v>
      </c>
      <c r="F350" s="128">
        <f t="shared" si="66"/>
        <v>340</v>
      </c>
      <c r="G350" s="45">
        <f t="shared" si="65"/>
        <v>602</v>
      </c>
      <c r="H350" s="45">
        <v>50</v>
      </c>
      <c r="I350" s="45">
        <f t="shared" si="67"/>
        <v>552</v>
      </c>
      <c r="J350" s="45">
        <v>300</v>
      </c>
    </row>
    <row r="351" spans="4:10">
      <c r="D351" s="128">
        <v>166</v>
      </c>
      <c r="E351" s="128">
        <f>IFERROR((_xlfn.XLOOKUP(D352,[2]主线关卡!E$27:E$326,[2]主线关卡!$D$27:$D$326)-1)*40,E350)</f>
        <v>6440</v>
      </c>
      <c r="F351" s="128">
        <f t="shared" si="66"/>
        <v>300</v>
      </c>
      <c r="G351" s="45">
        <f t="shared" si="65"/>
        <v>602</v>
      </c>
      <c r="H351" s="45">
        <v>50</v>
      </c>
      <c r="I351" s="45">
        <f t="shared" si="67"/>
        <v>552</v>
      </c>
      <c r="J351" s="45">
        <v>300</v>
      </c>
    </row>
    <row r="352" spans="4:10">
      <c r="D352" s="128">
        <v>167</v>
      </c>
      <c r="E352" s="128">
        <f>IFERROR((_xlfn.XLOOKUP(D353,[2]主线关卡!E$27:E$326,[2]主线关卡!$D$27:$D$326)-1)*40,E351)</f>
        <v>6480</v>
      </c>
      <c r="F352" s="128">
        <f t="shared" si="66"/>
        <v>340</v>
      </c>
      <c r="G352" s="45">
        <f t="shared" si="65"/>
        <v>602</v>
      </c>
      <c r="H352" s="45">
        <v>50</v>
      </c>
      <c r="I352" s="45">
        <f t="shared" si="67"/>
        <v>552</v>
      </c>
      <c r="J352" s="45">
        <v>300</v>
      </c>
    </row>
    <row r="353" spans="4:10">
      <c r="D353" s="128">
        <v>168</v>
      </c>
      <c r="E353" s="128">
        <f>IFERROR((_xlfn.XLOOKUP(D354,[2]主线关卡!E$27:E$326,[2]主线关卡!$D$27:$D$326)-1)*40,E352)</f>
        <v>6480</v>
      </c>
      <c r="F353" s="128">
        <f t="shared" si="66"/>
        <v>300</v>
      </c>
      <c r="G353" s="45">
        <f t="shared" si="65"/>
        <v>602</v>
      </c>
      <c r="H353" s="45">
        <v>50</v>
      </c>
      <c r="I353" s="45">
        <f t="shared" si="67"/>
        <v>552</v>
      </c>
      <c r="J353" s="45">
        <v>300</v>
      </c>
    </row>
    <row r="354" spans="4:10">
      <c r="D354" s="128">
        <v>169</v>
      </c>
      <c r="E354" s="128">
        <f>IFERROR((_xlfn.XLOOKUP(D355,[2]主线关卡!E$27:E$326,[2]主线关卡!$D$27:$D$326)-1)*40,E353)</f>
        <v>6520</v>
      </c>
      <c r="F354" s="128">
        <f t="shared" si="66"/>
        <v>340</v>
      </c>
      <c r="G354" s="45">
        <f t="shared" si="65"/>
        <v>602</v>
      </c>
      <c r="H354" s="45">
        <v>50</v>
      </c>
      <c r="I354" s="45">
        <f t="shared" si="67"/>
        <v>552</v>
      </c>
      <c r="J354" s="45">
        <v>300</v>
      </c>
    </row>
    <row r="355" spans="4:10">
      <c r="D355" s="128">
        <v>170</v>
      </c>
      <c r="E355" s="128">
        <f>IFERROR((_xlfn.XLOOKUP(D356,[2]主线关卡!E$27:E$326,[2]主线关卡!$D$27:$D$326)-1)*40,E354)</f>
        <v>6520</v>
      </c>
      <c r="F355" s="128">
        <f t="shared" si="66"/>
        <v>300</v>
      </c>
      <c r="G355" s="45">
        <f t="shared" si="65"/>
        <v>602</v>
      </c>
      <c r="H355" s="45">
        <v>50</v>
      </c>
      <c r="I355" s="45">
        <f t="shared" si="67"/>
        <v>552</v>
      </c>
      <c r="J355" s="45">
        <v>300</v>
      </c>
    </row>
    <row r="356" spans="4:10">
      <c r="D356" s="128">
        <v>171</v>
      </c>
      <c r="E356" s="128">
        <f>IFERROR((_xlfn.XLOOKUP(D357,[2]主线关卡!E$27:E$326,[2]主线关卡!$D$27:$D$326)-1)*40,E355)</f>
        <v>6560</v>
      </c>
      <c r="F356" s="128">
        <f t="shared" si="66"/>
        <v>340</v>
      </c>
      <c r="G356" s="45">
        <f t="shared" si="65"/>
        <v>602</v>
      </c>
      <c r="H356" s="45">
        <v>50</v>
      </c>
      <c r="I356" s="45">
        <f t="shared" si="67"/>
        <v>552</v>
      </c>
      <c r="J356" s="45">
        <v>300</v>
      </c>
    </row>
    <row r="357" spans="4:10">
      <c r="D357" s="128">
        <v>172</v>
      </c>
      <c r="E357" s="128">
        <f>IFERROR((_xlfn.XLOOKUP(D358,[2]主线关卡!E$27:E$326,[2]主线关卡!$D$27:$D$326)-1)*40,E356)</f>
        <v>6560</v>
      </c>
      <c r="F357" s="128">
        <f t="shared" si="66"/>
        <v>300</v>
      </c>
      <c r="G357" s="45">
        <f t="shared" si="65"/>
        <v>602</v>
      </c>
      <c r="H357" s="45">
        <v>50</v>
      </c>
      <c r="I357" s="45">
        <f t="shared" si="67"/>
        <v>552</v>
      </c>
      <c r="J357" s="45">
        <v>300</v>
      </c>
    </row>
    <row r="358" spans="4:10">
      <c r="D358" s="128">
        <v>173</v>
      </c>
      <c r="E358" s="128">
        <f>IFERROR((_xlfn.XLOOKUP(D359,[2]主线关卡!E$27:E$326,[2]主线关卡!$D$27:$D$326)-1)*40,E357)</f>
        <v>6600</v>
      </c>
      <c r="F358" s="128">
        <f t="shared" si="66"/>
        <v>340</v>
      </c>
      <c r="G358" s="45">
        <f t="shared" si="65"/>
        <v>602</v>
      </c>
      <c r="H358" s="45">
        <v>50</v>
      </c>
      <c r="I358" s="45">
        <f t="shared" si="67"/>
        <v>552</v>
      </c>
      <c r="J358" s="45">
        <v>300</v>
      </c>
    </row>
    <row r="359" spans="4:10">
      <c r="D359" s="128">
        <v>174</v>
      </c>
      <c r="E359" s="128">
        <f>IFERROR((_xlfn.XLOOKUP(D360,[2]主线关卡!E$27:E$326,[2]主线关卡!$D$27:$D$326)-1)*40,E358)</f>
        <v>6600</v>
      </c>
      <c r="F359" s="128">
        <f t="shared" si="66"/>
        <v>300</v>
      </c>
      <c r="G359" s="45">
        <f t="shared" si="65"/>
        <v>602</v>
      </c>
      <c r="H359" s="45">
        <v>50</v>
      </c>
      <c r="I359" s="45">
        <f t="shared" si="67"/>
        <v>552</v>
      </c>
      <c r="J359" s="45">
        <v>300</v>
      </c>
    </row>
    <row r="360" spans="4:10">
      <c r="D360" s="128">
        <v>175</v>
      </c>
      <c r="E360" s="128">
        <f>IFERROR((_xlfn.XLOOKUP(D361,[2]主线关卡!E$27:E$326,[2]主线关卡!$D$27:$D$326)-1)*40,E359)</f>
        <v>6640</v>
      </c>
      <c r="F360" s="128">
        <f t="shared" si="66"/>
        <v>340</v>
      </c>
      <c r="G360" s="45">
        <f t="shared" si="65"/>
        <v>602</v>
      </c>
      <c r="H360" s="45">
        <v>50</v>
      </c>
      <c r="I360" s="45">
        <f t="shared" si="67"/>
        <v>552</v>
      </c>
      <c r="J360" s="45">
        <v>300</v>
      </c>
    </row>
    <row r="361" spans="4:10">
      <c r="D361" s="128">
        <v>176</v>
      </c>
      <c r="E361" s="128">
        <f>IFERROR((_xlfn.XLOOKUP(D362,[2]主线关卡!E$27:E$326,[2]主线关卡!$D$27:$D$326)-1)*40,E360)</f>
        <v>6640</v>
      </c>
      <c r="F361" s="128">
        <f t="shared" si="66"/>
        <v>300</v>
      </c>
      <c r="G361" s="45">
        <f t="shared" si="65"/>
        <v>602</v>
      </c>
      <c r="H361" s="45">
        <v>50</v>
      </c>
      <c r="I361" s="45">
        <f t="shared" si="67"/>
        <v>552</v>
      </c>
      <c r="J361" s="45">
        <v>300</v>
      </c>
    </row>
    <row r="362" spans="4:10">
      <c r="D362" s="128">
        <v>177</v>
      </c>
      <c r="E362" s="128">
        <f>IFERROR((_xlfn.XLOOKUP(D363,[2]主线关卡!E$27:E$326,[2]主线关卡!$D$27:$D$326)-1)*40,E361)</f>
        <v>6680</v>
      </c>
      <c r="F362" s="128">
        <f t="shared" si="66"/>
        <v>340</v>
      </c>
      <c r="G362" s="45">
        <f t="shared" si="65"/>
        <v>602</v>
      </c>
      <c r="H362" s="45">
        <v>50</v>
      </c>
      <c r="I362" s="45">
        <f t="shared" si="67"/>
        <v>552</v>
      </c>
      <c r="J362" s="45">
        <v>300</v>
      </c>
    </row>
    <row r="363" spans="4:10">
      <c r="D363" s="128">
        <v>178</v>
      </c>
      <c r="E363" s="128">
        <f>IFERROR((_xlfn.XLOOKUP(D364,[2]主线关卡!E$27:E$326,[2]主线关卡!$D$27:$D$326)-1)*40,E362)</f>
        <v>6680</v>
      </c>
      <c r="F363" s="128">
        <f t="shared" si="66"/>
        <v>300</v>
      </c>
      <c r="G363" s="45">
        <f t="shared" si="65"/>
        <v>602</v>
      </c>
      <c r="H363" s="45">
        <v>50</v>
      </c>
      <c r="I363" s="45">
        <f t="shared" si="67"/>
        <v>552</v>
      </c>
      <c r="J363" s="45">
        <v>300</v>
      </c>
    </row>
    <row r="364" spans="4:10">
      <c r="D364" s="128">
        <v>179</v>
      </c>
      <c r="E364" s="128">
        <f>IFERROR((_xlfn.XLOOKUP(D365,[2]主线关卡!E$27:E$326,[2]主线关卡!$D$27:$D$326)-1)*40,E363)</f>
        <v>6720</v>
      </c>
      <c r="F364" s="128">
        <f t="shared" si="66"/>
        <v>340</v>
      </c>
      <c r="G364" s="45">
        <f t="shared" si="65"/>
        <v>602</v>
      </c>
      <c r="H364" s="45">
        <v>50</v>
      </c>
      <c r="I364" s="45">
        <f t="shared" si="67"/>
        <v>552</v>
      </c>
      <c r="J364" s="45">
        <v>300</v>
      </c>
    </row>
    <row r="365" spans="4:10">
      <c r="D365" s="128">
        <v>180</v>
      </c>
      <c r="E365" s="128">
        <f>IFERROR((_xlfn.XLOOKUP(D366,[2]主线关卡!E$27:E$326,[2]主线关卡!$D$27:$D$326)-1)*40,E364)</f>
        <v>6720</v>
      </c>
      <c r="F365" s="128">
        <f t="shared" si="66"/>
        <v>300</v>
      </c>
      <c r="G365" s="45">
        <f t="shared" si="65"/>
        <v>602</v>
      </c>
      <c r="H365" s="45">
        <v>50</v>
      </c>
      <c r="I365" s="45">
        <f t="shared" si="67"/>
        <v>552</v>
      </c>
      <c r="J365" s="45">
        <v>300</v>
      </c>
    </row>
    <row r="366" spans="4:10">
      <c r="D366" s="128">
        <v>181</v>
      </c>
      <c r="E366" s="128">
        <f>IFERROR((_xlfn.XLOOKUP(D367,[2]主线关卡!E$27:E$326,[2]主线关卡!$D$27:$D$326)-1)*40,E365)</f>
        <v>6760</v>
      </c>
      <c r="F366" s="128">
        <f t="shared" si="66"/>
        <v>340</v>
      </c>
      <c r="G366" s="45">
        <f t="shared" si="65"/>
        <v>602</v>
      </c>
      <c r="H366" s="45">
        <v>50</v>
      </c>
      <c r="I366" s="45">
        <f t="shared" si="67"/>
        <v>552</v>
      </c>
      <c r="J366" s="45">
        <v>300</v>
      </c>
    </row>
    <row r="367" spans="4:10">
      <c r="D367" s="128">
        <v>182</v>
      </c>
      <c r="E367" s="128">
        <f>IFERROR((_xlfn.XLOOKUP(D368,[2]主线关卡!E$27:E$326,[2]主线关卡!$D$27:$D$326)-1)*40,E366)</f>
        <v>6760</v>
      </c>
      <c r="F367" s="128">
        <f t="shared" si="66"/>
        <v>300</v>
      </c>
      <c r="G367" s="45">
        <f t="shared" si="65"/>
        <v>602</v>
      </c>
      <c r="H367" s="45">
        <v>50</v>
      </c>
      <c r="I367" s="45">
        <f t="shared" si="67"/>
        <v>552</v>
      </c>
      <c r="J367" s="45">
        <v>300</v>
      </c>
    </row>
    <row r="368" spans="4:10">
      <c r="D368" s="128">
        <v>183</v>
      </c>
      <c r="E368" s="128">
        <f>IFERROR((_xlfn.XLOOKUP(D369,[2]主线关卡!E$27:E$326,[2]主线关卡!$D$27:$D$326)-1)*40,E367)</f>
        <v>6800</v>
      </c>
      <c r="F368" s="128">
        <f t="shared" si="66"/>
        <v>340</v>
      </c>
      <c r="G368" s="45">
        <f t="shared" si="65"/>
        <v>602</v>
      </c>
      <c r="H368" s="45">
        <v>50</v>
      </c>
      <c r="I368" s="45">
        <f t="shared" si="67"/>
        <v>552</v>
      </c>
      <c r="J368" s="45">
        <v>300</v>
      </c>
    </row>
    <row r="369" spans="4:10">
      <c r="D369" s="128">
        <v>184</v>
      </c>
      <c r="E369" s="128">
        <f>IFERROR((_xlfn.XLOOKUP(D370,[2]主线关卡!E$27:E$326,[2]主线关卡!$D$27:$D$326)-1)*40,E368)</f>
        <v>6800</v>
      </c>
      <c r="F369" s="128">
        <f t="shared" si="66"/>
        <v>300</v>
      </c>
      <c r="G369" s="45">
        <f t="shared" si="65"/>
        <v>602</v>
      </c>
      <c r="H369" s="45">
        <v>50</v>
      </c>
      <c r="I369" s="45">
        <f t="shared" si="67"/>
        <v>552</v>
      </c>
      <c r="J369" s="45">
        <v>300</v>
      </c>
    </row>
    <row r="370" spans="4:10">
      <c r="D370" s="128">
        <v>185</v>
      </c>
      <c r="E370" s="128">
        <f>IFERROR((_xlfn.XLOOKUP(D371,[2]主线关卡!E$27:E$326,[2]主线关卡!$D$27:$D$326)-1)*40,E369)</f>
        <v>6840</v>
      </c>
      <c r="F370" s="128">
        <f t="shared" si="66"/>
        <v>340</v>
      </c>
      <c r="G370" s="45">
        <f t="shared" si="65"/>
        <v>602</v>
      </c>
      <c r="H370" s="45">
        <v>50</v>
      </c>
      <c r="I370" s="45">
        <f t="shared" si="67"/>
        <v>552</v>
      </c>
      <c r="J370" s="45">
        <v>300</v>
      </c>
    </row>
    <row r="371" spans="4:10">
      <c r="D371" s="128">
        <v>186</v>
      </c>
      <c r="E371" s="128">
        <f>IFERROR((_xlfn.XLOOKUP(D372,[2]主线关卡!E$27:E$326,[2]主线关卡!$D$27:$D$326)-1)*40,E370)</f>
        <v>6840</v>
      </c>
      <c r="F371" s="128">
        <f t="shared" si="66"/>
        <v>300</v>
      </c>
      <c r="G371" s="45">
        <f t="shared" si="65"/>
        <v>602</v>
      </c>
      <c r="H371" s="45">
        <v>50</v>
      </c>
      <c r="I371" s="45">
        <f t="shared" si="67"/>
        <v>552</v>
      </c>
      <c r="J371" s="45">
        <v>300</v>
      </c>
    </row>
    <row r="372" spans="4:10">
      <c r="D372" s="128">
        <v>187</v>
      </c>
      <c r="E372" s="128">
        <f>IFERROR((_xlfn.XLOOKUP(D373,[2]主线关卡!E$27:E$326,[2]主线关卡!$D$27:$D$326)-1)*40,E371)</f>
        <v>6880</v>
      </c>
      <c r="F372" s="128">
        <f t="shared" si="66"/>
        <v>340</v>
      </c>
      <c r="G372" s="45">
        <f t="shared" si="65"/>
        <v>602</v>
      </c>
      <c r="H372" s="45">
        <v>50</v>
      </c>
      <c r="I372" s="45">
        <f t="shared" si="67"/>
        <v>552</v>
      </c>
      <c r="J372" s="45">
        <v>300</v>
      </c>
    </row>
    <row r="373" spans="4:10">
      <c r="D373" s="128">
        <v>188</v>
      </c>
      <c r="E373" s="128">
        <f>IFERROR((_xlfn.XLOOKUP(D374,[2]主线关卡!E$27:E$326,[2]主线关卡!$D$27:$D$326)-1)*40,E372)</f>
        <v>6880</v>
      </c>
      <c r="F373" s="128">
        <f t="shared" si="66"/>
        <v>300</v>
      </c>
      <c r="G373" s="45">
        <f t="shared" si="65"/>
        <v>602</v>
      </c>
      <c r="H373" s="45">
        <v>50</v>
      </c>
      <c r="I373" s="45">
        <f t="shared" si="67"/>
        <v>552</v>
      </c>
      <c r="J373" s="45">
        <v>300</v>
      </c>
    </row>
    <row r="374" spans="4:10">
      <c r="D374" s="128">
        <v>189</v>
      </c>
      <c r="E374" s="128">
        <f>IFERROR((_xlfn.XLOOKUP(D375,[2]主线关卡!E$27:E$326,[2]主线关卡!$D$27:$D$326)-1)*40,E373)</f>
        <v>6880</v>
      </c>
      <c r="F374" s="128">
        <f t="shared" si="66"/>
        <v>300</v>
      </c>
      <c r="G374" s="45">
        <f t="shared" si="65"/>
        <v>602</v>
      </c>
      <c r="H374" s="45">
        <v>50</v>
      </c>
      <c r="I374" s="45">
        <f t="shared" si="67"/>
        <v>552</v>
      </c>
      <c r="J374" s="45">
        <v>300</v>
      </c>
    </row>
    <row r="375" spans="4:10">
      <c r="D375" s="128">
        <v>190</v>
      </c>
      <c r="E375" s="128">
        <f>IFERROR((_xlfn.XLOOKUP(D376,[2]主线关卡!E$27:E$326,[2]主线关卡!$D$27:$D$326)-1)*40,E374)</f>
        <v>6920</v>
      </c>
      <c r="F375" s="128">
        <f t="shared" si="66"/>
        <v>340</v>
      </c>
      <c r="G375" s="45">
        <f t="shared" si="65"/>
        <v>602</v>
      </c>
      <c r="H375" s="45">
        <v>50</v>
      </c>
      <c r="I375" s="45">
        <f t="shared" si="67"/>
        <v>552</v>
      </c>
      <c r="J375" s="45">
        <v>300</v>
      </c>
    </row>
    <row r="376" spans="4:10">
      <c r="D376" s="128">
        <v>191</v>
      </c>
      <c r="E376" s="128">
        <f>IFERROR((_xlfn.XLOOKUP(D377,[2]主线关卡!E$27:E$326,[2]主线关卡!$D$27:$D$326)-1)*40,E375)</f>
        <v>6920</v>
      </c>
      <c r="F376" s="128">
        <f t="shared" si="66"/>
        <v>300</v>
      </c>
      <c r="G376" s="45">
        <f t="shared" si="65"/>
        <v>602</v>
      </c>
      <c r="H376" s="45">
        <v>50</v>
      </c>
      <c r="I376" s="45">
        <f t="shared" si="67"/>
        <v>552</v>
      </c>
      <c r="J376" s="45">
        <v>300</v>
      </c>
    </row>
    <row r="377" spans="4:10">
      <c r="D377" s="128">
        <v>192</v>
      </c>
      <c r="E377" s="128">
        <f>IFERROR((_xlfn.XLOOKUP(D378,[2]主线关卡!E$27:E$326,[2]主线关卡!$D$27:$D$326)-1)*40,E376)</f>
        <v>6920</v>
      </c>
      <c r="F377" s="128">
        <f t="shared" si="66"/>
        <v>300</v>
      </c>
      <c r="G377" s="45">
        <f t="shared" si="65"/>
        <v>602</v>
      </c>
      <c r="H377" s="45">
        <v>50</v>
      </c>
      <c r="I377" s="45">
        <f t="shared" si="67"/>
        <v>552</v>
      </c>
      <c r="J377" s="45">
        <v>300</v>
      </c>
    </row>
    <row r="378" spans="4:10">
      <c r="D378" s="128">
        <v>193</v>
      </c>
      <c r="E378" s="128">
        <f>IFERROR((_xlfn.XLOOKUP(D379,[2]主线关卡!E$27:E$326,[2]主线关卡!$D$27:$D$326)-1)*40,E377)</f>
        <v>6960</v>
      </c>
      <c r="F378" s="128">
        <f t="shared" si="66"/>
        <v>340</v>
      </c>
      <c r="G378" s="45">
        <f t="shared" si="65"/>
        <v>602</v>
      </c>
      <c r="H378" s="45">
        <v>50</v>
      </c>
      <c r="I378" s="45">
        <f t="shared" si="67"/>
        <v>552</v>
      </c>
      <c r="J378" s="45">
        <v>300</v>
      </c>
    </row>
    <row r="379" spans="4:10">
      <c r="D379" s="128">
        <v>194</v>
      </c>
      <c r="E379" s="128">
        <f>IFERROR((_xlfn.XLOOKUP(D380,[2]主线关卡!E$27:E$326,[2]主线关卡!$D$27:$D$326)-1)*40,E378)</f>
        <v>6960</v>
      </c>
      <c r="F379" s="128">
        <f t="shared" si="66"/>
        <v>300</v>
      </c>
      <c r="G379" s="45">
        <f t="shared" ref="G379:G442" si="68">H379+I379</f>
        <v>602</v>
      </c>
      <c r="H379" s="45">
        <v>50</v>
      </c>
      <c r="I379" s="45">
        <f t="shared" si="67"/>
        <v>552</v>
      </c>
      <c r="J379" s="45">
        <v>300</v>
      </c>
    </row>
    <row r="380" spans="4:10">
      <c r="D380" s="128">
        <v>195</v>
      </c>
      <c r="E380" s="128">
        <f>IFERROR((_xlfn.XLOOKUP(D381,[2]主线关卡!E$27:E$326,[2]主线关卡!$D$27:$D$326)-1)*40,E379)</f>
        <v>6960</v>
      </c>
      <c r="F380" s="128">
        <f t="shared" ref="F380:F443" si="69">E380-E379+J380</f>
        <v>300</v>
      </c>
      <c r="G380" s="45">
        <f t="shared" si="68"/>
        <v>602</v>
      </c>
      <c r="H380" s="45">
        <v>50</v>
      </c>
      <c r="I380" s="45">
        <f t="shared" ref="I380:I443" si="70">I379</f>
        <v>552</v>
      </c>
      <c r="J380" s="45">
        <v>300</v>
      </c>
    </row>
    <row r="381" spans="4:10">
      <c r="D381" s="128">
        <v>196</v>
      </c>
      <c r="E381" s="128">
        <f>IFERROR((_xlfn.XLOOKUP(D382,[2]主线关卡!E$27:E$326,[2]主线关卡!$D$27:$D$326)-1)*40,E380)</f>
        <v>7000</v>
      </c>
      <c r="F381" s="128">
        <f t="shared" si="69"/>
        <v>340</v>
      </c>
      <c r="G381" s="45">
        <f t="shared" si="68"/>
        <v>602</v>
      </c>
      <c r="H381" s="45">
        <v>50</v>
      </c>
      <c r="I381" s="45">
        <f t="shared" si="70"/>
        <v>552</v>
      </c>
      <c r="J381" s="45">
        <v>300</v>
      </c>
    </row>
    <row r="382" spans="4:10">
      <c r="D382" s="128">
        <v>197</v>
      </c>
      <c r="E382" s="128">
        <f>IFERROR((_xlfn.XLOOKUP(D383,[2]主线关卡!E$27:E$326,[2]主线关卡!$D$27:$D$326)-1)*40,E381)</f>
        <v>7000</v>
      </c>
      <c r="F382" s="128">
        <f t="shared" si="69"/>
        <v>300</v>
      </c>
      <c r="G382" s="45">
        <f t="shared" si="68"/>
        <v>602</v>
      </c>
      <c r="H382" s="45">
        <v>50</v>
      </c>
      <c r="I382" s="45">
        <f t="shared" si="70"/>
        <v>552</v>
      </c>
      <c r="J382" s="45">
        <v>300</v>
      </c>
    </row>
    <row r="383" spans="4:10">
      <c r="D383" s="128">
        <v>198</v>
      </c>
      <c r="E383" s="128">
        <f>IFERROR((_xlfn.XLOOKUP(D384,[2]主线关卡!E$27:E$326,[2]主线关卡!$D$27:$D$326)-1)*40,E382)</f>
        <v>7000</v>
      </c>
      <c r="F383" s="128">
        <f t="shared" si="69"/>
        <v>300</v>
      </c>
      <c r="G383" s="45">
        <f t="shared" si="68"/>
        <v>602</v>
      </c>
      <c r="H383" s="45">
        <v>50</v>
      </c>
      <c r="I383" s="45">
        <f t="shared" si="70"/>
        <v>552</v>
      </c>
      <c r="J383" s="45">
        <v>300</v>
      </c>
    </row>
    <row r="384" spans="4:10">
      <c r="D384" s="128">
        <v>199</v>
      </c>
      <c r="E384" s="128">
        <f>IFERROR((_xlfn.XLOOKUP(D385,[2]主线关卡!E$27:E$326,[2]主线关卡!$D$27:$D$326)-1)*40,E383)</f>
        <v>7040</v>
      </c>
      <c r="F384" s="128">
        <f t="shared" si="69"/>
        <v>340</v>
      </c>
      <c r="G384" s="45">
        <f t="shared" si="68"/>
        <v>602</v>
      </c>
      <c r="H384" s="45">
        <v>50</v>
      </c>
      <c r="I384" s="45">
        <f t="shared" si="70"/>
        <v>552</v>
      </c>
      <c r="J384" s="45">
        <v>300</v>
      </c>
    </row>
    <row r="385" spans="4:10">
      <c r="D385" s="128">
        <v>200</v>
      </c>
      <c r="E385" s="128">
        <f>IFERROR((_xlfn.XLOOKUP(D386,[2]主线关卡!E$27:E$326,[2]主线关卡!$D$27:$D$326)-1)*40,E384)</f>
        <v>7040</v>
      </c>
      <c r="F385" s="128">
        <f t="shared" si="69"/>
        <v>300</v>
      </c>
      <c r="G385" s="45">
        <f t="shared" si="68"/>
        <v>602</v>
      </c>
      <c r="H385" s="45">
        <v>50</v>
      </c>
      <c r="I385" s="45">
        <f t="shared" si="70"/>
        <v>552</v>
      </c>
      <c r="J385" s="45">
        <v>300</v>
      </c>
    </row>
    <row r="386" spans="4:10">
      <c r="D386" s="128">
        <v>201</v>
      </c>
      <c r="E386" s="128">
        <f>IFERROR((_xlfn.XLOOKUP(D387,[2]主线关卡!E$27:E$326,[2]主线关卡!$D$27:$D$326)-1)*40,E385)</f>
        <v>7040</v>
      </c>
      <c r="F386" s="128">
        <f t="shared" si="69"/>
        <v>300</v>
      </c>
      <c r="G386" s="45">
        <f t="shared" si="68"/>
        <v>602</v>
      </c>
      <c r="H386" s="45">
        <v>50</v>
      </c>
      <c r="I386" s="45">
        <f t="shared" si="70"/>
        <v>552</v>
      </c>
      <c r="J386" s="45">
        <v>300</v>
      </c>
    </row>
    <row r="387" spans="4:10">
      <c r="D387" s="128">
        <v>202</v>
      </c>
      <c r="E387" s="128">
        <f>IFERROR((_xlfn.XLOOKUP(D388,[2]主线关卡!E$27:E$326,[2]主线关卡!$D$27:$D$326)-1)*40,E386)</f>
        <v>7080</v>
      </c>
      <c r="F387" s="128">
        <f t="shared" si="69"/>
        <v>340</v>
      </c>
      <c r="G387" s="45">
        <f t="shared" si="68"/>
        <v>602</v>
      </c>
      <c r="H387" s="45">
        <v>50</v>
      </c>
      <c r="I387" s="45">
        <f t="shared" si="70"/>
        <v>552</v>
      </c>
      <c r="J387" s="45">
        <v>300</v>
      </c>
    </row>
    <row r="388" spans="4:10">
      <c r="D388" s="128">
        <v>203</v>
      </c>
      <c r="E388" s="128">
        <f>IFERROR((_xlfn.XLOOKUP(D389,[2]主线关卡!E$27:E$326,[2]主线关卡!$D$27:$D$326)-1)*40,E387)</f>
        <v>7080</v>
      </c>
      <c r="F388" s="128">
        <f t="shared" si="69"/>
        <v>300</v>
      </c>
      <c r="G388" s="45">
        <f t="shared" si="68"/>
        <v>602</v>
      </c>
      <c r="H388" s="45">
        <v>50</v>
      </c>
      <c r="I388" s="45">
        <f t="shared" si="70"/>
        <v>552</v>
      </c>
      <c r="J388" s="45">
        <v>300</v>
      </c>
    </row>
    <row r="389" spans="4:10">
      <c r="D389" s="128">
        <v>204</v>
      </c>
      <c r="E389" s="128">
        <f>IFERROR((_xlfn.XLOOKUP(D390,[2]主线关卡!E$27:E$326,[2]主线关卡!$D$27:$D$326)-1)*40,E388)</f>
        <v>7080</v>
      </c>
      <c r="F389" s="128">
        <f t="shared" si="69"/>
        <v>300</v>
      </c>
      <c r="G389" s="45">
        <f t="shared" si="68"/>
        <v>602</v>
      </c>
      <c r="H389" s="45">
        <v>50</v>
      </c>
      <c r="I389" s="45">
        <f t="shared" si="70"/>
        <v>552</v>
      </c>
      <c r="J389" s="45">
        <v>300</v>
      </c>
    </row>
    <row r="390" spans="4:10">
      <c r="D390" s="128">
        <v>205</v>
      </c>
      <c r="E390" s="128">
        <f>IFERROR((_xlfn.XLOOKUP(D391,[2]主线关卡!E$27:E$326,[2]主线关卡!$D$27:$D$326)-1)*40,E389)</f>
        <v>7120</v>
      </c>
      <c r="F390" s="128">
        <f t="shared" si="69"/>
        <v>340</v>
      </c>
      <c r="G390" s="45">
        <f t="shared" si="68"/>
        <v>602</v>
      </c>
      <c r="H390" s="45">
        <v>50</v>
      </c>
      <c r="I390" s="45">
        <f t="shared" si="70"/>
        <v>552</v>
      </c>
      <c r="J390" s="45">
        <v>300</v>
      </c>
    </row>
    <row r="391" spans="4:10">
      <c r="D391" s="128">
        <v>206</v>
      </c>
      <c r="E391" s="128">
        <f>IFERROR((_xlfn.XLOOKUP(D392,[2]主线关卡!E$27:E$326,[2]主线关卡!$D$27:$D$326)-1)*40,E390)</f>
        <v>7120</v>
      </c>
      <c r="F391" s="128">
        <f t="shared" si="69"/>
        <v>300</v>
      </c>
      <c r="G391" s="45">
        <f t="shared" si="68"/>
        <v>602</v>
      </c>
      <c r="H391" s="45">
        <v>50</v>
      </c>
      <c r="I391" s="45">
        <f t="shared" si="70"/>
        <v>552</v>
      </c>
      <c r="J391" s="45">
        <v>300</v>
      </c>
    </row>
    <row r="392" spans="4:10">
      <c r="D392" s="128">
        <v>207</v>
      </c>
      <c r="E392" s="128">
        <f>IFERROR((_xlfn.XLOOKUP(D393,[2]主线关卡!E$27:E$326,[2]主线关卡!$D$27:$D$326)-1)*40,E391)</f>
        <v>7120</v>
      </c>
      <c r="F392" s="128">
        <f t="shared" si="69"/>
        <v>300</v>
      </c>
      <c r="G392" s="45">
        <f t="shared" si="68"/>
        <v>602</v>
      </c>
      <c r="H392" s="45">
        <v>50</v>
      </c>
      <c r="I392" s="45">
        <f t="shared" si="70"/>
        <v>552</v>
      </c>
      <c r="J392" s="45">
        <v>300</v>
      </c>
    </row>
    <row r="393" spans="4:10">
      <c r="D393" s="128">
        <v>208</v>
      </c>
      <c r="E393" s="128">
        <f>IFERROR((_xlfn.XLOOKUP(D394,[2]主线关卡!E$27:E$326,[2]主线关卡!$D$27:$D$326)-1)*40,E392)</f>
        <v>7160</v>
      </c>
      <c r="F393" s="128">
        <f t="shared" si="69"/>
        <v>340</v>
      </c>
      <c r="G393" s="45">
        <f t="shared" si="68"/>
        <v>602</v>
      </c>
      <c r="H393" s="45">
        <v>50</v>
      </c>
      <c r="I393" s="45">
        <f t="shared" si="70"/>
        <v>552</v>
      </c>
      <c r="J393" s="45">
        <v>300</v>
      </c>
    </row>
    <row r="394" spans="4:10">
      <c r="D394" s="128">
        <v>209</v>
      </c>
      <c r="E394" s="128">
        <f>IFERROR((_xlfn.XLOOKUP(D395,[2]主线关卡!E$27:E$326,[2]主线关卡!$D$27:$D$326)-1)*40,E393)</f>
        <v>7160</v>
      </c>
      <c r="F394" s="128">
        <f t="shared" si="69"/>
        <v>300</v>
      </c>
      <c r="G394" s="45">
        <f t="shared" si="68"/>
        <v>602</v>
      </c>
      <c r="H394" s="45">
        <v>50</v>
      </c>
      <c r="I394" s="45">
        <f t="shared" si="70"/>
        <v>552</v>
      </c>
      <c r="J394" s="45">
        <v>300</v>
      </c>
    </row>
    <row r="395" spans="4:10">
      <c r="D395" s="128">
        <v>210</v>
      </c>
      <c r="E395" s="128">
        <f>IFERROR((_xlfn.XLOOKUP(D396,[2]主线关卡!E$27:E$326,[2]主线关卡!$D$27:$D$326)-1)*40,E394)</f>
        <v>7160</v>
      </c>
      <c r="F395" s="128">
        <f t="shared" si="69"/>
        <v>300</v>
      </c>
      <c r="G395" s="45">
        <f t="shared" si="68"/>
        <v>602</v>
      </c>
      <c r="H395" s="45">
        <v>50</v>
      </c>
      <c r="I395" s="45">
        <f t="shared" si="70"/>
        <v>552</v>
      </c>
      <c r="J395" s="45">
        <v>300</v>
      </c>
    </row>
    <row r="396" spans="4:10">
      <c r="D396" s="128">
        <v>211</v>
      </c>
      <c r="E396" s="128">
        <f>IFERROR((_xlfn.XLOOKUP(D397,[2]主线关卡!E$27:E$326,[2]主线关卡!$D$27:$D$326)-1)*40,E395)</f>
        <v>7200</v>
      </c>
      <c r="F396" s="128">
        <f t="shared" si="69"/>
        <v>340</v>
      </c>
      <c r="G396" s="45">
        <f t="shared" si="68"/>
        <v>602</v>
      </c>
      <c r="H396" s="45">
        <v>50</v>
      </c>
      <c r="I396" s="45">
        <f t="shared" si="70"/>
        <v>552</v>
      </c>
      <c r="J396" s="45">
        <v>300</v>
      </c>
    </row>
    <row r="397" spans="4:10">
      <c r="D397" s="128">
        <v>212</v>
      </c>
      <c r="E397" s="128">
        <f>IFERROR((_xlfn.XLOOKUP(D398,[2]主线关卡!E$27:E$326,[2]主线关卡!$D$27:$D$326)-1)*40,E396)</f>
        <v>7200</v>
      </c>
      <c r="F397" s="128">
        <f t="shared" si="69"/>
        <v>300</v>
      </c>
      <c r="G397" s="45">
        <f t="shared" si="68"/>
        <v>602</v>
      </c>
      <c r="H397" s="45">
        <v>50</v>
      </c>
      <c r="I397" s="45">
        <f t="shared" si="70"/>
        <v>552</v>
      </c>
      <c r="J397" s="45">
        <v>300</v>
      </c>
    </row>
    <row r="398" spans="4:10">
      <c r="D398" s="128">
        <v>213</v>
      </c>
      <c r="E398" s="128">
        <f>IFERROR((_xlfn.XLOOKUP(D399,[2]主线关卡!E$27:E$326,[2]主线关卡!$D$27:$D$326)-1)*40,E397)</f>
        <v>7200</v>
      </c>
      <c r="F398" s="128">
        <f t="shared" si="69"/>
        <v>300</v>
      </c>
      <c r="G398" s="45">
        <f t="shared" si="68"/>
        <v>602</v>
      </c>
      <c r="H398" s="45">
        <v>50</v>
      </c>
      <c r="I398" s="45">
        <f t="shared" si="70"/>
        <v>552</v>
      </c>
      <c r="J398" s="45">
        <v>300</v>
      </c>
    </row>
    <row r="399" spans="4:10">
      <c r="D399" s="128">
        <v>214</v>
      </c>
      <c r="E399" s="128">
        <f>IFERROR((_xlfn.XLOOKUP(D400,[2]主线关卡!E$27:E$326,[2]主线关卡!$D$27:$D$326)-1)*40,E398)</f>
        <v>7240</v>
      </c>
      <c r="F399" s="128">
        <f t="shared" si="69"/>
        <v>340</v>
      </c>
      <c r="G399" s="45">
        <f t="shared" si="68"/>
        <v>602</v>
      </c>
      <c r="H399" s="45">
        <v>50</v>
      </c>
      <c r="I399" s="45">
        <f t="shared" si="70"/>
        <v>552</v>
      </c>
      <c r="J399" s="45">
        <v>300</v>
      </c>
    </row>
    <row r="400" spans="4:10">
      <c r="D400" s="128">
        <v>215</v>
      </c>
      <c r="E400" s="128">
        <f>IFERROR((_xlfn.XLOOKUP(D401,[2]主线关卡!E$27:E$326,[2]主线关卡!$D$27:$D$326)-1)*40,E399)</f>
        <v>7240</v>
      </c>
      <c r="F400" s="128">
        <f t="shared" si="69"/>
        <v>300</v>
      </c>
      <c r="G400" s="45">
        <f t="shared" si="68"/>
        <v>602</v>
      </c>
      <c r="H400" s="45">
        <v>50</v>
      </c>
      <c r="I400" s="45">
        <f t="shared" si="70"/>
        <v>552</v>
      </c>
      <c r="J400" s="45">
        <v>300</v>
      </c>
    </row>
    <row r="401" spans="4:10">
      <c r="D401" s="128">
        <v>216</v>
      </c>
      <c r="E401" s="128">
        <f>IFERROR((_xlfn.XLOOKUP(D402,[2]主线关卡!E$27:E$326,[2]主线关卡!$D$27:$D$326)-1)*40,E400)</f>
        <v>7240</v>
      </c>
      <c r="F401" s="128">
        <f t="shared" si="69"/>
        <v>300</v>
      </c>
      <c r="G401" s="45">
        <f t="shared" si="68"/>
        <v>602</v>
      </c>
      <c r="H401" s="45">
        <v>50</v>
      </c>
      <c r="I401" s="45">
        <f t="shared" si="70"/>
        <v>552</v>
      </c>
      <c r="J401" s="45">
        <v>300</v>
      </c>
    </row>
    <row r="402" spans="4:10">
      <c r="D402" s="128">
        <v>217</v>
      </c>
      <c r="E402" s="128">
        <f>IFERROR((_xlfn.XLOOKUP(D403,[2]主线关卡!E$27:E$326,[2]主线关卡!$D$27:$D$326)-1)*40,E401)</f>
        <v>7280</v>
      </c>
      <c r="F402" s="128">
        <f t="shared" si="69"/>
        <v>340</v>
      </c>
      <c r="G402" s="45">
        <f t="shared" si="68"/>
        <v>602</v>
      </c>
      <c r="H402" s="45">
        <v>50</v>
      </c>
      <c r="I402" s="45">
        <f t="shared" si="70"/>
        <v>552</v>
      </c>
      <c r="J402" s="45">
        <v>300</v>
      </c>
    </row>
    <row r="403" spans="4:10">
      <c r="D403" s="128">
        <v>218</v>
      </c>
      <c r="E403" s="128">
        <f>IFERROR((_xlfn.XLOOKUP(D404,[2]主线关卡!E$27:E$326,[2]主线关卡!$D$27:$D$326)-1)*40,E402)</f>
        <v>7280</v>
      </c>
      <c r="F403" s="128">
        <f t="shared" si="69"/>
        <v>300</v>
      </c>
      <c r="G403" s="45">
        <f t="shared" si="68"/>
        <v>602</v>
      </c>
      <c r="H403" s="45">
        <v>50</v>
      </c>
      <c r="I403" s="45">
        <f t="shared" si="70"/>
        <v>552</v>
      </c>
      <c r="J403" s="45">
        <v>300</v>
      </c>
    </row>
    <row r="404" spans="4:10">
      <c r="D404" s="128">
        <v>219</v>
      </c>
      <c r="E404" s="128">
        <f>IFERROR((_xlfn.XLOOKUP(D405,[2]主线关卡!E$27:E$326,[2]主线关卡!$D$27:$D$326)-1)*40,E403)</f>
        <v>7280</v>
      </c>
      <c r="F404" s="128">
        <f t="shared" si="69"/>
        <v>300</v>
      </c>
      <c r="G404" s="45">
        <f t="shared" si="68"/>
        <v>602</v>
      </c>
      <c r="H404" s="45">
        <v>50</v>
      </c>
      <c r="I404" s="45">
        <f t="shared" si="70"/>
        <v>552</v>
      </c>
      <c r="J404" s="45">
        <v>300</v>
      </c>
    </row>
    <row r="405" spans="4:10">
      <c r="D405" s="128">
        <v>220</v>
      </c>
      <c r="E405" s="128">
        <f>IFERROR((_xlfn.XLOOKUP(D406,[2]主线关卡!E$27:E$326,[2]主线关卡!$D$27:$D$326)-1)*40,E404)</f>
        <v>7320</v>
      </c>
      <c r="F405" s="128">
        <f t="shared" si="69"/>
        <v>340</v>
      </c>
      <c r="G405" s="45">
        <f t="shared" si="68"/>
        <v>602</v>
      </c>
      <c r="H405" s="45">
        <v>50</v>
      </c>
      <c r="I405" s="45">
        <f t="shared" si="70"/>
        <v>552</v>
      </c>
      <c r="J405" s="45">
        <v>300</v>
      </c>
    </row>
    <row r="406" spans="4:10">
      <c r="D406" s="128">
        <v>221</v>
      </c>
      <c r="E406" s="128">
        <f>IFERROR((_xlfn.XLOOKUP(D407,[2]主线关卡!E$27:E$326,[2]主线关卡!$D$27:$D$326)-1)*40,E405)</f>
        <v>7320</v>
      </c>
      <c r="F406" s="128">
        <f t="shared" si="69"/>
        <v>300</v>
      </c>
      <c r="G406" s="45">
        <f t="shared" si="68"/>
        <v>602</v>
      </c>
      <c r="H406" s="45">
        <v>50</v>
      </c>
      <c r="I406" s="45">
        <f t="shared" si="70"/>
        <v>552</v>
      </c>
      <c r="J406" s="45">
        <v>300</v>
      </c>
    </row>
    <row r="407" spans="4:10">
      <c r="D407" s="128">
        <v>222</v>
      </c>
      <c r="E407" s="128">
        <f>IFERROR((_xlfn.XLOOKUP(D408,[2]主线关卡!E$27:E$326,[2]主线关卡!$D$27:$D$326)-1)*40,E406)</f>
        <v>7320</v>
      </c>
      <c r="F407" s="128">
        <f t="shared" si="69"/>
        <v>300</v>
      </c>
      <c r="G407" s="45">
        <f t="shared" si="68"/>
        <v>602</v>
      </c>
      <c r="H407" s="45">
        <v>50</v>
      </c>
      <c r="I407" s="45">
        <f t="shared" si="70"/>
        <v>552</v>
      </c>
      <c r="J407" s="45">
        <v>300</v>
      </c>
    </row>
    <row r="408" spans="4:10">
      <c r="D408" s="128">
        <v>223</v>
      </c>
      <c r="E408" s="128">
        <f>IFERROR((_xlfn.XLOOKUP(D409,[2]主线关卡!E$27:E$326,[2]主线关卡!$D$27:$D$326)-1)*40,E407)</f>
        <v>7360</v>
      </c>
      <c r="F408" s="128">
        <f t="shared" si="69"/>
        <v>340</v>
      </c>
      <c r="G408" s="45">
        <f t="shared" si="68"/>
        <v>602</v>
      </c>
      <c r="H408" s="45">
        <v>50</v>
      </c>
      <c r="I408" s="45">
        <f t="shared" si="70"/>
        <v>552</v>
      </c>
      <c r="J408" s="45">
        <v>300</v>
      </c>
    </row>
    <row r="409" spans="4:10">
      <c r="D409" s="128">
        <v>224</v>
      </c>
      <c r="E409" s="128">
        <f>IFERROR((_xlfn.XLOOKUP(D410,[2]主线关卡!E$27:E$326,[2]主线关卡!$D$27:$D$326)-1)*40,E408)</f>
        <v>7360</v>
      </c>
      <c r="F409" s="128">
        <f t="shared" si="69"/>
        <v>300</v>
      </c>
      <c r="G409" s="45">
        <f t="shared" si="68"/>
        <v>602</v>
      </c>
      <c r="H409" s="45">
        <v>50</v>
      </c>
      <c r="I409" s="45">
        <f t="shared" si="70"/>
        <v>552</v>
      </c>
      <c r="J409" s="45">
        <v>300</v>
      </c>
    </row>
    <row r="410" spans="4:10">
      <c r="D410" s="128">
        <v>225</v>
      </c>
      <c r="E410" s="128">
        <f>IFERROR((_xlfn.XLOOKUP(D411,[2]主线关卡!E$27:E$326,[2]主线关卡!$D$27:$D$326)-1)*40,E409)</f>
        <v>7360</v>
      </c>
      <c r="F410" s="128">
        <f t="shared" si="69"/>
        <v>300</v>
      </c>
      <c r="G410" s="45">
        <f t="shared" si="68"/>
        <v>602</v>
      </c>
      <c r="H410" s="45">
        <v>50</v>
      </c>
      <c r="I410" s="45">
        <f t="shared" si="70"/>
        <v>552</v>
      </c>
      <c r="J410" s="45">
        <v>300</v>
      </c>
    </row>
    <row r="411" spans="4:10">
      <c r="D411" s="128">
        <v>226</v>
      </c>
      <c r="E411" s="128">
        <f>IFERROR((_xlfn.XLOOKUP(D412,[2]主线关卡!E$27:E$326,[2]主线关卡!$D$27:$D$326)-1)*40,E410)</f>
        <v>7400</v>
      </c>
      <c r="F411" s="128">
        <f t="shared" si="69"/>
        <v>340</v>
      </c>
      <c r="G411" s="45">
        <f t="shared" si="68"/>
        <v>602</v>
      </c>
      <c r="H411" s="45">
        <v>50</v>
      </c>
      <c r="I411" s="45">
        <f t="shared" si="70"/>
        <v>552</v>
      </c>
      <c r="J411" s="45">
        <v>300</v>
      </c>
    </row>
    <row r="412" spans="4:10">
      <c r="D412" s="128">
        <v>227</v>
      </c>
      <c r="E412" s="128">
        <f>IFERROR((_xlfn.XLOOKUP(D413,[2]主线关卡!E$27:E$326,[2]主线关卡!$D$27:$D$326)-1)*40,E411)</f>
        <v>7400</v>
      </c>
      <c r="F412" s="128">
        <f t="shared" si="69"/>
        <v>300</v>
      </c>
      <c r="G412" s="45">
        <f t="shared" si="68"/>
        <v>602</v>
      </c>
      <c r="H412" s="45">
        <v>50</v>
      </c>
      <c r="I412" s="45">
        <f t="shared" si="70"/>
        <v>552</v>
      </c>
      <c r="J412" s="45">
        <v>300</v>
      </c>
    </row>
    <row r="413" spans="4:10">
      <c r="D413" s="128">
        <v>228</v>
      </c>
      <c r="E413" s="128">
        <f>IFERROR((_xlfn.XLOOKUP(D414,[2]主线关卡!E$27:E$326,[2]主线关卡!$D$27:$D$326)-1)*40,E412)</f>
        <v>7400</v>
      </c>
      <c r="F413" s="128">
        <f t="shared" si="69"/>
        <v>300</v>
      </c>
      <c r="G413" s="45">
        <f t="shared" si="68"/>
        <v>602</v>
      </c>
      <c r="H413" s="45">
        <v>50</v>
      </c>
      <c r="I413" s="45">
        <f t="shared" si="70"/>
        <v>552</v>
      </c>
      <c r="J413" s="45">
        <v>300</v>
      </c>
    </row>
    <row r="414" spans="4:10">
      <c r="D414" s="128">
        <v>229</v>
      </c>
      <c r="E414" s="128">
        <f>IFERROR((_xlfn.XLOOKUP(D415,[2]主线关卡!E$27:E$326,[2]主线关卡!$D$27:$D$326)-1)*40,E413)</f>
        <v>7440</v>
      </c>
      <c r="F414" s="128">
        <f t="shared" si="69"/>
        <v>340</v>
      </c>
      <c r="G414" s="45">
        <f t="shared" si="68"/>
        <v>602</v>
      </c>
      <c r="H414" s="45">
        <v>50</v>
      </c>
      <c r="I414" s="45">
        <f t="shared" si="70"/>
        <v>552</v>
      </c>
      <c r="J414" s="45">
        <v>300</v>
      </c>
    </row>
    <row r="415" spans="4:10">
      <c r="D415" s="128">
        <v>230</v>
      </c>
      <c r="E415" s="128">
        <f>IFERROR((_xlfn.XLOOKUP(D416,[2]主线关卡!E$27:E$326,[2]主线关卡!$D$27:$D$326)-1)*40,E414)</f>
        <v>7440</v>
      </c>
      <c r="F415" s="128">
        <f t="shared" si="69"/>
        <v>300</v>
      </c>
      <c r="G415" s="45">
        <f t="shared" si="68"/>
        <v>602</v>
      </c>
      <c r="H415" s="45">
        <v>50</v>
      </c>
      <c r="I415" s="45">
        <f t="shared" si="70"/>
        <v>552</v>
      </c>
      <c r="J415" s="45">
        <v>300</v>
      </c>
    </row>
    <row r="416" spans="4:10">
      <c r="D416" s="128">
        <v>231</v>
      </c>
      <c r="E416" s="128">
        <f>IFERROR((_xlfn.XLOOKUP(D417,[2]主线关卡!E$27:E$326,[2]主线关卡!$D$27:$D$326)-1)*40,E415)</f>
        <v>7440</v>
      </c>
      <c r="F416" s="128">
        <f t="shared" si="69"/>
        <v>300</v>
      </c>
      <c r="G416" s="45">
        <f t="shared" si="68"/>
        <v>602</v>
      </c>
      <c r="H416" s="45">
        <v>50</v>
      </c>
      <c r="I416" s="45">
        <f t="shared" si="70"/>
        <v>552</v>
      </c>
      <c r="J416" s="45">
        <v>300</v>
      </c>
    </row>
    <row r="417" spans="4:10">
      <c r="D417" s="128">
        <v>232</v>
      </c>
      <c r="E417" s="128">
        <f>IFERROR((_xlfn.XLOOKUP(D418,[2]主线关卡!E$27:E$326,[2]主线关卡!$D$27:$D$326)-1)*40,E416)</f>
        <v>7480</v>
      </c>
      <c r="F417" s="128">
        <f t="shared" si="69"/>
        <v>340</v>
      </c>
      <c r="G417" s="45">
        <f t="shared" si="68"/>
        <v>602</v>
      </c>
      <c r="H417" s="45">
        <v>50</v>
      </c>
      <c r="I417" s="45">
        <f t="shared" si="70"/>
        <v>552</v>
      </c>
      <c r="J417" s="45">
        <v>300</v>
      </c>
    </row>
    <row r="418" spans="4:10">
      <c r="D418" s="128">
        <v>233</v>
      </c>
      <c r="E418" s="128">
        <f>IFERROR((_xlfn.XLOOKUP(D419,[2]主线关卡!E$27:E$326,[2]主线关卡!$D$27:$D$326)-1)*40,E417)</f>
        <v>7480</v>
      </c>
      <c r="F418" s="128">
        <f t="shared" si="69"/>
        <v>300</v>
      </c>
      <c r="G418" s="45">
        <f t="shared" si="68"/>
        <v>602</v>
      </c>
      <c r="H418" s="45">
        <v>50</v>
      </c>
      <c r="I418" s="45">
        <f t="shared" si="70"/>
        <v>552</v>
      </c>
      <c r="J418" s="45">
        <v>300</v>
      </c>
    </row>
    <row r="419" spans="4:10">
      <c r="D419" s="128">
        <v>234</v>
      </c>
      <c r="E419" s="128">
        <f>IFERROR((_xlfn.XLOOKUP(D420,[2]主线关卡!E$27:E$326,[2]主线关卡!$D$27:$D$326)-1)*40,E418)</f>
        <v>7480</v>
      </c>
      <c r="F419" s="128">
        <f t="shared" si="69"/>
        <v>300</v>
      </c>
      <c r="G419" s="45">
        <f t="shared" si="68"/>
        <v>602</v>
      </c>
      <c r="H419" s="45">
        <v>50</v>
      </c>
      <c r="I419" s="45">
        <f t="shared" si="70"/>
        <v>552</v>
      </c>
      <c r="J419" s="45">
        <v>300</v>
      </c>
    </row>
    <row r="420" spans="4:10">
      <c r="D420" s="128">
        <v>235</v>
      </c>
      <c r="E420" s="128">
        <f>IFERROR((_xlfn.XLOOKUP(D421,[2]主线关卡!E$27:E$326,[2]主线关卡!$D$27:$D$326)-1)*40,E419)</f>
        <v>7520</v>
      </c>
      <c r="F420" s="128">
        <f t="shared" si="69"/>
        <v>340</v>
      </c>
      <c r="G420" s="45">
        <f t="shared" si="68"/>
        <v>602</v>
      </c>
      <c r="H420" s="45">
        <v>50</v>
      </c>
      <c r="I420" s="45">
        <f t="shared" si="70"/>
        <v>552</v>
      </c>
      <c r="J420" s="45">
        <v>300</v>
      </c>
    </row>
    <row r="421" spans="4:10">
      <c r="D421" s="128">
        <v>236</v>
      </c>
      <c r="E421" s="128">
        <f>IFERROR((_xlfn.XLOOKUP(D422,[2]主线关卡!E$27:E$326,[2]主线关卡!$D$27:$D$326)-1)*40,E420)</f>
        <v>7520</v>
      </c>
      <c r="F421" s="128">
        <f t="shared" si="69"/>
        <v>300</v>
      </c>
      <c r="G421" s="45">
        <f t="shared" si="68"/>
        <v>602</v>
      </c>
      <c r="H421" s="45">
        <v>50</v>
      </c>
      <c r="I421" s="45">
        <f t="shared" si="70"/>
        <v>552</v>
      </c>
      <c r="J421" s="45">
        <v>300</v>
      </c>
    </row>
    <row r="422" spans="4:10">
      <c r="D422" s="128">
        <v>237</v>
      </c>
      <c r="E422" s="128">
        <f>IFERROR((_xlfn.XLOOKUP(D423,[2]主线关卡!E$27:E$326,[2]主线关卡!$D$27:$D$326)-1)*40,E421)</f>
        <v>7520</v>
      </c>
      <c r="F422" s="128">
        <f t="shared" si="69"/>
        <v>300</v>
      </c>
      <c r="G422" s="45">
        <f t="shared" si="68"/>
        <v>602</v>
      </c>
      <c r="H422" s="45">
        <v>50</v>
      </c>
      <c r="I422" s="45">
        <f t="shared" si="70"/>
        <v>552</v>
      </c>
      <c r="J422" s="45">
        <v>300</v>
      </c>
    </row>
    <row r="423" spans="4:10">
      <c r="D423" s="128">
        <v>238</v>
      </c>
      <c r="E423" s="128">
        <f>IFERROR((_xlfn.XLOOKUP(D424,[2]主线关卡!E$27:E$326,[2]主线关卡!$D$27:$D$326)-1)*40,E422)</f>
        <v>7560</v>
      </c>
      <c r="F423" s="128">
        <f t="shared" si="69"/>
        <v>340</v>
      </c>
      <c r="G423" s="45">
        <f t="shared" si="68"/>
        <v>602</v>
      </c>
      <c r="H423" s="45">
        <v>50</v>
      </c>
      <c r="I423" s="45">
        <f t="shared" si="70"/>
        <v>552</v>
      </c>
      <c r="J423" s="45">
        <v>300</v>
      </c>
    </row>
    <row r="424" spans="4:10">
      <c r="D424" s="128">
        <v>239</v>
      </c>
      <c r="E424" s="128">
        <f>IFERROR((_xlfn.XLOOKUP(D425,[2]主线关卡!E$27:E$326,[2]主线关卡!$D$27:$D$326)-1)*40,E423)</f>
        <v>7560</v>
      </c>
      <c r="F424" s="128">
        <f t="shared" si="69"/>
        <v>300</v>
      </c>
      <c r="G424" s="45">
        <f t="shared" si="68"/>
        <v>602</v>
      </c>
      <c r="H424" s="45">
        <v>50</v>
      </c>
      <c r="I424" s="45">
        <f t="shared" si="70"/>
        <v>552</v>
      </c>
      <c r="J424" s="45">
        <v>300</v>
      </c>
    </row>
    <row r="425" spans="4:10">
      <c r="D425" s="128">
        <v>240</v>
      </c>
      <c r="E425" s="128">
        <f>IFERROR((_xlfn.XLOOKUP(D426,[2]主线关卡!E$27:E$326,[2]主线关卡!$D$27:$D$326)-1)*40,E424)</f>
        <v>7560</v>
      </c>
      <c r="F425" s="128">
        <f t="shared" si="69"/>
        <v>300</v>
      </c>
      <c r="G425" s="45">
        <f t="shared" si="68"/>
        <v>602</v>
      </c>
      <c r="H425" s="45">
        <v>50</v>
      </c>
      <c r="I425" s="45">
        <f t="shared" si="70"/>
        <v>552</v>
      </c>
      <c r="J425" s="45">
        <v>300</v>
      </c>
    </row>
    <row r="426" spans="4:10">
      <c r="D426" s="128">
        <v>241</v>
      </c>
      <c r="E426" s="128">
        <f>IFERROR((_xlfn.XLOOKUP(D427,[2]主线关卡!E$27:E$326,[2]主线关卡!$D$27:$D$326)-1)*40,E425)</f>
        <v>7600</v>
      </c>
      <c r="F426" s="128">
        <f t="shared" si="69"/>
        <v>340</v>
      </c>
      <c r="G426" s="45">
        <f t="shared" si="68"/>
        <v>602</v>
      </c>
      <c r="H426" s="45">
        <v>50</v>
      </c>
      <c r="I426" s="45">
        <f t="shared" si="70"/>
        <v>552</v>
      </c>
      <c r="J426" s="45">
        <v>300</v>
      </c>
    </row>
    <row r="427" spans="4:10">
      <c r="D427" s="128">
        <v>242</v>
      </c>
      <c r="E427" s="128">
        <f>IFERROR((_xlfn.XLOOKUP(D428,[2]主线关卡!E$27:E$326,[2]主线关卡!$D$27:$D$326)-1)*40,E426)</f>
        <v>7600</v>
      </c>
      <c r="F427" s="128">
        <f t="shared" si="69"/>
        <v>300</v>
      </c>
      <c r="G427" s="45">
        <f t="shared" si="68"/>
        <v>602</v>
      </c>
      <c r="H427" s="45">
        <v>50</v>
      </c>
      <c r="I427" s="45">
        <f t="shared" si="70"/>
        <v>552</v>
      </c>
      <c r="J427" s="45">
        <v>300</v>
      </c>
    </row>
    <row r="428" spans="4:10">
      <c r="D428" s="128">
        <v>243</v>
      </c>
      <c r="E428" s="128">
        <f>IFERROR((_xlfn.XLOOKUP(D429,[2]主线关卡!E$27:E$326,[2]主线关卡!$D$27:$D$326)-1)*40,E427)</f>
        <v>7600</v>
      </c>
      <c r="F428" s="128">
        <f t="shared" si="69"/>
        <v>300</v>
      </c>
      <c r="G428" s="45">
        <f t="shared" si="68"/>
        <v>602</v>
      </c>
      <c r="H428" s="45">
        <v>50</v>
      </c>
      <c r="I428" s="45">
        <f t="shared" si="70"/>
        <v>552</v>
      </c>
      <c r="J428" s="45">
        <v>300</v>
      </c>
    </row>
    <row r="429" spans="4:10">
      <c r="D429" s="128">
        <v>244</v>
      </c>
      <c r="E429" s="128">
        <f>IFERROR((_xlfn.XLOOKUP(D430,[2]主线关卡!E$27:E$326,[2]主线关卡!$D$27:$D$326)-1)*40,E428)</f>
        <v>7640</v>
      </c>
      <c r="F429" s="128">
        <f t="shared" si="69"/>
        <v>340</v>
      </c>
      <c r="G429" s="45">
        <f t="shared" si="68"/>
        <v>602</v>
      </c>
      <c r="H429" s="45">
        <v>50</v>
      </c>
      <c r="I429" s="45">
        <f t="shared" si="70"/>
        <v>552</v>
      </c>
      <c r="J429" s="45">
        <v>300</v>
      </c>
    </row>
    <row r="430" spans="4:10">
      <c r="D430" s="128">
        <v>245</v>
      </c>
      <c r="E430" s="128">
        <f>IFERROR((_xlfn.XLOOKUP(D431,[2]主线关卡!E$27:E$326,[2]主线关卡!$D$27:$D$326)-1)*40,E429)</f>
        <v>7640</v>
      </c>
      <c r="F430" s="128">
        <f t="shared" si="69"/>
        <v>300</v>
      </c>
      <c r="G430" s="45">
        <f t="shared" si="68"/>
        <v>602</v>
      </c>
      <c r="H430" s="45">
        <v>50</v>
      </c>
      <c r="I430" s="45">
        <f t="shared" si="70"/>
        <v>552</v>
      </c>
      <c r="J430" s="45">
        <v>300</v>
      </c>
    </row>
    <row r="431" spans="4:10">
      <c r="D431" s="128">
        <v>246</v>
      </c>
      <c r="E431" s="128">
        <f>IFERROR((_xlfn.XLOOKUP(D432,[2]主线关卡!E$27:E$326,[2]主线关卡!$D$27:$D$326)-1)*40,E430)</f>
        <v>7640</v>
      </c>
      <c r="F431" s="128">
        <f t="shared" si="69"/>
        <v>300</v>
      </c>
      <c r="G431" s="45">
        <f t="shared" si="68"/>
        <v>602</v>
      </c>
      <c r="H431" s="45">
        <v>50</v>
      </c>
      <c r="I431" s="45">
        <f t="shared" si="70"/>
        <v>552</v>
      </c>
      <c r="J431" s="45">
        <v>300</v>
      </c>
    </row>
    <row r="432" spans="4:10">
      <c r="D432" s="128">
        <v>247</v>
      </c>
      <c r="E432" s="128">
        <f>IFERROR((_xlfn.XLOOKUP(D433,[2]主线关卡!E$27:E$326,[2]主线关卡!$D$27:$D$326)-1)*40,E431)</f>
        <v>7680</v>
      </c>
      <c r="F432" s="128">
        <f t="shared" si="69"/>
        <v>340</v>
      </c>
      <c r="G432" s="45">
        <f t="shared" si="68"/>
        <v>602</v>
      </c>
      <c r="H432" s="45">
        <v>50</v>
      </c>
      <c r="I432" s="45">
        <f t="shared" si="70"/>
        <v>552</v>
      </c>
      <c r="J432" s="45">
        <v>300</v>
      </c>
    </row>
    <row r="433" spans="4:10">
      <c r="D433" s="128">
        <v>248</v>
      </c>
      <c r="E433" s="128">
        <f>IFERROR((_xlfn.XLOOKUP(D434,[2]主线关卡!E$27:E$326,[2]主线关卡!$D$27:$D$326)-1)*40,E432)</f>
        <v>7680</v>
      </c>
      <c r="F433" s="128">
        <f t="shared" si="69"/>
        <v>300</v>
      </c>
      <c r="G433" s="45">
        <f t="shared" si="68"/>
        <v>602</v>
      </c>
      <c r="H433" s="45">
        <v>50</v>
      </c>
      <c r="I433" s="45">
        <f t="shared" si="70"/>
        <v>552</v>
      </c>
      <c r="J433" s="45">
        <v>300</v>
      </c>
    </row>
    <row r="434" spans="4:10">
      <c r="D434" s="128">
        <v>249</v>
      </c>
      <c r="E434" s="128">
        <f>IFERROR((_xlfn.XLOOKUP(D435,[2]主线关卡!E$27:E$326,[2]主线关卡!$D$27:$D$326)-1)*40,E433)</f>
        <v>7680</v>
      </c>
      <c r="F434" s="128">
        <f t="shared" si="69"/>
        <v>300</v>
      </c>
      <c r="G434" s="45">
        <f t="shared" si="68"/>
        <v>602</v>
      </c>
      <c r="H434" s="45">
        <v>50</v>
      </c>
      <c r="I434" s="45">
        <f t="shared" si="70"/>
        <v>552</v>
      </c>
      <c r="J434" s="45">
        <v>300</v>
      </c>
    </row>
    <row r="435" spans="4:10">
      <c r="D435" s="128">
        <v>250</v>
      </c>
      <c r="E435" s="128">
        <f>IFERROR((_xlfn.XLOOKUP(D436,[2]主线关卡!E$27:E$326,[2]主线关卡!$D$27:$D$326)-1)*40,E434)</f>
        <v>7720</v>
      </c>
      <c r="F435" s="128">
        <f t="shared" si="69"/>
        <v>340</v>
      </c>
      <c r="G435" s="45">
        <f t="shared" si="68"/>
        <v>602</v>
      </c>
      <c r="H435" s="45">
        <v>50</v>
      </c>
      <c r="I435" s="45">
        <f t="shared" si="70"/>
        <v>552</v>
      </c>
      <c r="J435" s="45">
        <v>300</v>
      </c>
    </row>
    <row r="436" spans="4:10">
      <c r="D436" s="128">
        <v>251</v>
      </c>
      <c r="E436" s="128">
        <f>IFERROR((_xlfn.XLOOKUP(D437,[2]主线关卡!E$27:E$326,[2]主线关卡!$D$27:$D$326)-1)*40,E435)</f>
        <v>7720</v>
      </c>
      <c r="F436" s="128">
        <f t="shared" si="69"/>
        <v>300</v>
      </c>
      <c r="G436" s="45">
        <f t="shared" si="68"/>
        <v>602</v>
      </c>
      <c r="H436" s="45">
        <v>50</v>
      </c>
      <c r="I436" s="45">
        <f t="shared" si="70"/>
        <v>552</v>
      </c>
      <c r="J436" s="45">
        <v>300</v>
      </c>
    </row>
    <row r="437" spans="4:10">
      <c r="D437" s="128">
        <v>252</v>
      </c>
      <c r="E437" s="128">
        <f>IFERROR((_xlfn.XLOOKUP(D438,[2]主线关卡!E$27:E$326,[2]主线关卡!$D$27:$D$326)-1)*40,E436)</f>
        <v>7720</v>
      </c>
      <c r="F437" s="128">
        <f t="shared" si="69"/>
        <v>300</v>
      </c>
      <c r="G437" s="45">
        <f t="shared" si="68"/>
        <v>602</v>
      </c>
      <c r="H437" s="45">
        <v>50</v>
      </c>
      <c r="I437" s="45">
        <f t="shared" si="70"/>
        <v>552</v>
      </c>
      <c r="J437" s="45">
        <v>300</v>
      </c>
    </row>
    <row r="438" spans="4:10">
      <c r="D438" s="128">
        <v>253</v>
      </c>
      <c r="E438" s="128">
        <f>IFERROR((_xlfn.XLOOKUP(D439,[2]主线关卡!E$27:E$326,[2]主线关卡!$D$27:$D$326)-1)*40,E437)</f>
        <v>7760</v>
      </c>
      <c r="F438" s="128">
        <f t="shared" si="69"/>
        <v>340</v>
      </c>
      <c r="G438" s="45">
        <f t="shared" si="68"/>
        <v>602</v>
      </c>
      <c r="H438" s="45">
        <v>50</v>
      </c>
      <c r="I438" s="45">
        <f t="shared" si="70"/>
        <v>552</v>
      </c>
      <c r="J438" s="45">
        <v>300</v>
      </c>
    </row>
    <row r="439" spans="4:10">
      <c r="D439" s="128">
        <v>254</v>
      </c>
      <c r="E439" s="128">
        <f>IFERROR((_xlfn.XLOOKUP(D440,[2]主线关卡!E$27:E$326,[2]主线关卡!$D$27:$D$326)-1)*40,E438)</f>
        <v>7760</v>
      </c>
      <c r="F439" s="128">
        <f t="shared" si="69"/>
        <v>300</v>
      </c>
      <c r="G439" s="45">
        <f t="shared" si="68"/>
        <v>602</v>
      </c>
      <c r="H439" s="45">
        <v>50</v>
      </c>
      <c r="I439" s="45">
        <f t="shared" si="70"/>
        <v>552</v>
      </c>
      <c r="J439" s="45">
        <v>300</v>
      </c>
    </row>
    <row r="440" spans="4:10">
      <c r="D440" s="128">
        <v>255</v>
      </c>
      <c r="E440" s="128">
        <f>IFERROR((_xlfn.XLOOKUP(D441,[2]主线关卡!E$27:E$326,[2]主线关卡!$D$27:$D$326)-1)*40,E439)</f>
        <v>7760</v>
      </c>
      <c r="F440" s="128">
        <f t="shared" si="69"/>
        <v>300</v>
      </c>
      <c r="G440" s="45">
        <f t="shared" si="68"/>
        <v>602</v>
      </c>
      <c r="H440" s="45">
        <v>50</v>
      </c>
      <c r="I440" s="45">
        <f t="shared" si="70"/>
        <v>552</v>
      </c>
      <c r="J440" s="45">
        <v>300</v>
      </c>
    </row>
    <row r="441" spans="4:10">
      <c r="D441" s="128">
        <v>256</v>
      </c>
      <c r="E441" s="128">
        <f>IFERROR((_xlfn.XLOOKUP(D442,[2]主线关卡!E$27:E$326,[2]主线关卡!$D$27:$D$326)-1)*40,E440)</f>
        <v>7800</v>
      </c>
      <c r="F441" s="128">
        <f t="shared" si="69"/>
        <v>340</v>
      </c>
      <c r="G441" s="45">
        <f t="shared" si="68"/>
        <v>602</v>
      </c>
      <c r="H441" s="45">
        <v>50</v>
      </c>
      <c r="I441" s="45">
        <f t="shared" si="70"/>
        <v>552</v>
      </c>
      <c r="J441" s="45">
        <v>300</v>
      </c>
    </row>
    <row r="442" spans="4:10">
      <c r="D442" s="128">
        <v>257</v>
      </c>
      <c r="E442" s="128">
        <f>IFERROR((_xlfn.XLOOKUP(D443,[2]主线关卡!E$27:E$326,[2]主线关卡!$D$27:$D$326)-1)*40,E441)</f>
        <v>7800</v>
      </c>
      <c r="F442" s="128">
        <f t="shared" si="69"/>
        <v>300</v>
      </c>
      <c r="G442" s="45">
        <f t="shared" si="68"/>
        <v>602</v>
      </c>
      <c r="H442" s="45">
        <v>50</v>
      </c>
      <c r="I442" s="45">
        <f t="shared" si="70"/>
        <v>552</v>
      </c>
      <c r="J442" s="45">
        <v>300</v>
      </c>
    </row>
    <row r="443" spans="4:10">
      <c r="D443" s="128">
        <v>258</v>
      </c>
      <c r="E443" s="128">
        <f>IFERROR((_xlfn.XLOOKUP(D444,[2]主线关卡!E$27:E$326,[2]主线关卡!$D$27:$D$326)-1)*40,E442)</f>
        <v>7800</v>
      </c>
      <c r="F443" s="128">
        <f t="shared" si="69"/>
        <v>300</v>
      </c>
      <c r="G443" s="45">
        <f t="shared" ref="G443:G485" si="71">H443+I443</f>
        <v>602</v>
      </c>
      <c r="H443" s="45">
        <v>50</v>
      </c>
      <c r="I443" s="45">
        <f t="shared" si="70"/>
        <v>552</v>
      </c>
      <c r="J443" s="45">
        <v>300</v>
      </c>
    </row>
    <row r="444" spans="4:10">
      <c r="D444" s="128">
        <v>259</v>
      </c>
      <c r="E444" s="128">
        <f>IFERROR((_xlfn.XLOOKUP(D445,[2]主线关卡!E$27:E$326,[2]主线关卡!$D$27:$D$326)-1)*40,E443)</f>
        <v>7840</v>
      </c>
      <c r="F444" s="128">
        <f t="shared" ref="F444:F485" si="72">E444-E443+J444</f>
        <v>340</v>
      </c>
      <c r="G444" s="45">
        <f t="shared" si="71"/>
        <v>602</v>
      </c>
      <c r="H444" s="45">
        <v>50</v>
      </c>
      <c r="I444" s="45">
        <f t="shared" ref="I444:I485" si="73">I443</f>
        <v>552</v>
      </c>
      <c r="J444" s="45">
        <v>300</v>
      </c>
    </row>
    <row r="445" spans="4:10">
      <c r="D445" s="128">
        <v>260</v>
      </c>
      <c r="E445" s="128">
        <f>IFERROR((_xlfn.XLOOKUP(D446,[2]主线关卡!E$27:E$326,[2]主线关卡!$D$27:$D$326)-1)*40,E444)</f>
        <v>7840</v>
      </c>
      <c r="F445" s="128">
        <f t="shared" si="72"/>
        <v>300</v>
      </c>
      <c r="G445" s="45">
        <f t="shared" si="71"/>
        <v>602</v>
      </c>
      <c r="H445" s="45">
        <v>50</v>
      </c>
      <c r="I445" s="45">
        <f t="shared" si="73"/>
        <v>552</v>
      </c>
      <c r="J445" s="45">
        <v>300</v>
      </c>
    </row>
    <row r="446" spans="4:10">
      <c r="D446" s="128">
        <v>261</v>
      </c>
      <c r="E446" s="128">
        <f>IFERROR((_xlfn.XLOOKUP(D447,[2]主线关卡!E$27:E$326,[2]主线关卡!$D$27:$D$326)-1)*40,E445)</f>
        <v>7840</v>
      </c>
      <c r="F446" s="128">
        <f t="shared" si="72"/>
        <v>300</v>
      </c>
      <c r="G446" s="45">
        <f t="shared" si="71"/>
        <v>602</v>
      </c>
      <c r="H446" s="45">
        <v>50</v>
      </c>
      <c r="I446" s="45">
        <f t="shared" si="73"/>
        <v>552</v>
      </c>
      <c r="J446" s="45">
        <v>300</v>
      </c>
    </row>
    <row r="447" spans="4:10">
      <c r="D447" s="128">
        <v>262</v>
      </c>
      <c r="E447" s="128">
        <f>IFERROR((_xlfn.XLOOKUP(D448,[2]主线关卡!E$27:E$326,[2]主线关卡!$D$27:$D$326)-1)*40,E446)</f>
        <v>7880</v>
      </c>
      <c r="F447" s="128">
        <f t="shared" si="72"/>
        <v>340</v>
      </c>
      <c r="G447" s="45">
        <f t="shared" si="71"/>
        <v>602</v>
      </c>
      <c r="H447" s="45">
        <v>50</v>
      </c>
      <c r="I447" s="45">
        <f t="shared" si="73"/>
        <v>552</v>
      </c>
      <c r="J447" s="45">
        <v>300</v>
      </c>
    </row>
    <row r="448" spans="4:10">
      <c r="D448" s="128">
        <v>263</v>
      </c>
      <c r="E448" s="128">
        <f>IFERROR((_xlfn.XLOOKUP(D449,[2]主线关卡!E$27:E$326,[2]主线关卡!$D$27:$D$326)-1)*40,E447)</f>
        <v>7880</v>
      </c>
      <c r="F448" s="128">
        <f t="shared" si="72"/>
        <v>300</v>
      </c>
      <c r="G448" s="45">
        <f t="shared" si="71"/>
        <v>602</v>
      </c>
      <c r="H448" s="45">
        <v>50</v>
      </c>
      <c r="I448" s="45">
        <f t="shared" si="73"/>
        <v>552</v>
      </c>
      <c r="J448" s="45">
        <v>300</v>
      </c>
    </row>
    <row r="449" spans="4:10">
      <c r="D449" s="128">
        <v>264</v>
      </c>
      <c r="E449" s="128">
        <f>IFERROR((_xlfn.XLOOKUP(D450,[2]主线关卡!E$27:E$326,[2]主线关卡!$D$27:$D$326)-1)*40,E448)</f>
        <v>7880</v>
      </c>
      <c r="F449" s="128">
        <f t="shared" si="72"/>
        <v>300</v>
      </c>
      <c r="G449" s="45">
        <f t="shared" si="71"/>
        <v>602</v>
      </c>
      <c r="H449" s="45">
        <v>50</v>
      </c>
      <c r="I449" s="45">
        <f t="shared" si="73"/>
        <v>552</v>
      </c>
      <c r="J449" s="45">
        <v>300</v>
      </c>
    </row>
    <row r="450" spans="4:10">
      <c r="D450" s="128">
        <v>265</v>
      </c>
      <c r="E450" s="128">
        <f>IFERROR((_xlfn.XLOOKUP(D451,[2]主线关卡!E$27:E$326,[2]主线关卡!$D$27:$D$326)-1)*40,E449)</f>
        <v>7920</v>
      </c>
      <c r="F450" s="128">
        <f t="shared" si="72"/>
        <v>340</v>
      </c>
      <c r="G450" s="45">
        <f t="shared" si="71"/>
        <v>602</v>
      </c>
      <c r="H450" s="45">
        <v>50</v>
      </c>
      <c r="I450" s="45">
        <f t="shared" si="73"/>
        <v>552</v>
      </c>
      <c r="J450" s="45">
        <v>300</v>
      </c>
    </row>
    <row r="451" spans="4:10">
      <c r="D451" s="128">
        <v>266</v>
      </c>
      <c r="E451" s="128">
        <f>IFERROR((_xlfn.XLOOKUP(D452,[2]主线关卡!E$27:E$326,[2]主线关卡!$D$27:$D$326)-1)*40,E450)</f>
        <v>7920</v>
      </c>
      <c r="F451" s="128">
        <f t="shared" si="72"/>
        <v>300</v>
      </c>
      <c r="G451" s="45">
        <f t="shared" si="71"/>
        <v>602</v>
      </c>
      <c r="H451" s="45">
        <v>50</v>
      </c>
      <c r="I451" s="45">
        <f t="shared" si="73"/>
        <v>552</v>
      </c>
      <c r="J451" s="45">
        <v>300</v>
      </c>
    </row>
    <row r="452" spans="4:10">
      <c r="D452" s="128">
        <v>267</v>
      </c>
      <c r="E452" s="128">
        <f>IFERROR((_xlfn.XLOOKUP(D453,[2]主线关卡!E$27:E$326,[2]主线关卡!$D$27:$D$326)-1)*40,E451)</f>
        <v>7920</v>
      </c>
      <c r="F452" s="128">
        <f t="shared" si="72"/>
        <v>300</v>
      </c>
      <c r="G452" s="45">
        <f t="shared" si="71"/>
        <v>602</v>
      </c>
      <c r="H452" s="45">
        <v>50</v>
      </c>
      <c r="I452" s="45">
        <f t="shared" si="73"/>
        <v>552</v>
      </c>
      <c r="J452" s="45">
        <v>300</v>
      </c>
    </row>
    <row r="453" spans="4:10">
      <c r="D453" s="128">
        <v>268</v>
      </c>
      <c r="E453" s="128">
        <f>IFERROR((_xlfn.XLOOKUP(D454,[2]主线关卡!E$27:E$326,[2]主线关卡!$D$27:$D$326)-1)*40,E452)</f>
        <v>7960</v>
      </c>
      <c r="F453" s="128">
        <f t="shared" si="72"/>
        <v>340</v>
      </c>
      <c r="G453" s="45">
        <f t="shared" si="71"/>
        <v>602</v>
      </c>
      <c r="H453" s="45">
        <v>50</v>
      </c>
      <c r="I453" s="45">
        <f t="shared" si="73"/>
        <v>552</v>
      </c>
      <c r="J453" s="45">
        <v>300</v>
      </c>
    </row>
    <row r="454" spans="4:10">
      <c r="D454" s="128">
        <v>269</v>
      </c>
      <c r="E454" s="128">
        <f>IFERROR((_xlfn.XLOOKUP(D455,[2]主线关卡!E$27:E$326,[2]主线关卡!$D$27:$D$326)-1)*40,E453)</f>
        <v>7960</v>
      </c>
      <c r="F454" s="128">
        <f t="shared" si="72"/>
        <v>300</v>
      </c>
      <c r="G454" s="45">
        <f t="shared" si="71"/>
        <v>602</v>
      </c>
      <c r="H454" s="45">
        <v>50</v>
      </c>
      <c r="I454" s="45">
        <f t="shared" si="73"/>
        <v>552</v>
      </c>
      <c r="J454" s="45">
        <v>300</v>
      </c>
    </row>
    <row r="455" spans="4:10">
      <c r="D455" s="128">
        <v>270</v>
      </c>
      <c r="E455" s="128">
        <f>IFERROR((_xlfn.XLOOKUP(D456,[2]主线关卡!E$27:E$326,[2]主线关卡!$D$27:$D$326)-1)*40,E454)</f>
        <v>7960</v>
      </c>
      <c r="F455" s="128">
        <f t="shared" si="72"/>
        <v>300</v>
      </c>
      <c r="G455" s="45">
        <f t="shared" si="71"/>
        <v>602</v>
      </c>
      <c r="H455" s="45">
        <v>50</v>
      </c>
      <c r="I455" s="45">
        <f t="shared" si="73"/>
        <v>552</v>
      </c>
      <c r="J455" s="45">
        <v>300</v>
      </c>
    </row>
    <row r="456" spans="4:10">
      <c r="D456" s="128">
        <v>271</v>
      </c>
      <c r="E456" s="128">
        <f>IFERROR((_xlfn.XLOOKUP(D457,[2]主线关卡!E$27:E$326,[2]主线关卡!$D$27:$D$326)-1)*40,E455)</f>
        <v>8000</v>
      </c>
      <c r="F456" s="128">
        <f t="shared" si="72"/>
        <v>340</v>
      </c>
      <c r="G456" s="45">
        <f t="shared" si="71"/>
        <v>602</v>
      </c>
      <c r="H456" s="45">
        <v>50</v>
      </c>
      <c r="I456" s="45">
        <f t="shared" si="73"/>
        <v>552</v>
      </c>
      <c r="J456" s="45">
        <v>300</v>
      </c>
    </row>
    <row r="457" spans="4:10">
      <c r="D457" s="128">
        <v>272</v>
      </c>
      <c r="E457" s="128">
        <f>IFERROR((_xlfn.XLOOKUP(D458,[2]主线关卡!E$27:E$326,[2]主线关卡!$D$27:$D$326)-1)*40,E456)</f>
        <v>8000</v>
      </c>
      <c r="F457" s="128">
        <f t="shared" si="72"/>
        <v>300</v>
      </c>
      <c r="G457" s="45">
        <f t="shared" si="71"/>
        <v>602</v>
      </c>
      <c r="H457" s="45">
        <v>50</v>
      </c>
      <c r="I457" s="45">
        <f t="shared" si="73"/>
        <v>552</v>
      </c>
      <c r="J457" s="45">
        <v>300</v>
      </c>
    </row>
    <row r="458" spans="4:10">
      <c r="D458" s="128">
        <v>273</v>
      </c>
      <c r="E458" s="128">
        <f>IFERROR((_xlfn.XLOOKUP(D459,[2]主线关卡!E$27:E$326,[2]主线关卡!$D$27:$D$326)-1)*40,E457)</f>
        <v>8000</v>
      </c>
      <c r="F458" s="128">
        <f t="shared" si="72"/>
        <v>300</v>
      </c>
      <c r="G458" s="45">
        <f t="shared" si="71"/>
        <v>602</v>
      </c>
      <c r="H458" s="45">
        <v>50</v>
      </c>
      <c r="I458" s="45">
        <f t="shared" si="73"/>
        <v>552</v>
      </c>
      <c r="J458" s="45">
        <v>300</v>
      </c>
    </row>
    <row r="459" spans="4:10">
      <c r="D459" s="128">
        <v>274</v>
      </c>
      <c r="E459" s="128">
        <f>IFERROR((_xlfn.XLOOKUP(D460,[2]主线关卡!E$27:E$326,[2]主线关卡!$D$27:$D$326)-1)*40,E458)</f>
        <v>8040</v>
      </c>
      <c r="F459" s="128">
        <f t="shared" si="72"/>
        <v>340</v>
      </c>
      <c r="G459" s="45">
        <f t="shared" si="71"/>
        <v>602</v>
      </c>
      <c r="H459" s="45">
        <v>50</v>
      </c>
      <c r="I459" s="45">
        <f t="shared" si="73"/>
        <v>552</v>
      </c>
      <c r="J459" s="45">
        <v>300</v>
      </c>
    </row>
    <row r="460" spans="4:10">
      <c r="D460" s="128">
        <v>275</v>
      </c>
      <c r="E460" s="128">
        <f>IFERROR((_xlfn.XLOOKUP(D461,[2]主线关卡!E$27:E$326,[2]主线关卡!$D$27:$D$326)-1)*40,E459)</f>
        <v>8040</v>
      </c>
      <c r="F460" s="128">
        <f t="shared" si="72"/>
        <v>300</v>
      </c>
      <c r="G460" s="45">
        <f t="shared" si="71"/>
        <v>602</v>
      </c>
      <c r="H460" s="45">
        <v>50</v>
      </c>
      <c r="I460" s="45">
        <f t="shared" si="73"/>
        <v>552</v>
      </c>
      <c r="J460" s="45">
        <v>300</v>
      </c>
    </row>
    <row r="461" spans="4:10">
      <c r="D461" s="128">
        <v>276</v>
      </c>
      <c r="E461" s="128">
        <f>IFERROR((_xlfn.XLOOKUP(D462,[2]主线关卡!E$27:E$326,[2]主线关卡!$D$27:$D$326)-1)*40,E460)</f>
        <v>8040</v>
      </c>
      <c r="F461" s="128">
        <f t="shared" si="72"/>
        <v>300</v>
      </c>
      <c r="G461" s="45">
        <f t="shared" si="71"/>
        <v>602</v>
      </c>
      <c r="H461" s="45">
        <v>50</v>
      </c>
      <c r="I461" s="45">
        <f t="shared" si="73"/>
        <v>552</v>
      </c>
      <c r="J461" s="45">
        <v>300</v>
      </c>
    </row>
    <row r="462" spans="4:10">
      <c r="D462" s="128">
        <v>277</v>
      </c>
      <c r="E462" s="128">
        <f>IFERROR((_xlfn.XLOOKUP(D463,[2]主线关卡!E$27:E$326,[2]主线关卡!$D$27:$D$326)-1)*40,E461)</f>
        <v>8080</v>
      </c>
      <c r="F462" s="128">
        <f t="shared" si="72"/>
        <v>340</v>
      </c>
      <c r="G462" s="45">
        <f t="shared" si="71"/>
        <v>602</v>
      </c>
      <c r="H462" s="45">
        <v>50</v>
      </c>
      <c r="I462" s="45">
        <f t="shared" si="73"/>
        <v>552</v>
      </c>
      <c r="J462" s="45">
        <v>300</v>
      </c>
    </row>
    <row r="463" spans="4:10">
      <c r="D463" s="128">
        <v>278</v>
      </c>
      <c r="E463" s="128">
        <f>IFERROR((_xlfn.XLOOKUP(D464,[2]主线关卡!E$27:E$326,[2]主线关卡!$D$27:$D$326)-1)*40,E462)</f>
        <v>8080</v>
      </c>
      <c r="F463" s="128">
        <f t="shared" si="72"/>
        <v>300</v>
      </c>
      <c r="G463" s="45">
        <f t="shared" si="71"/>
        <v>602</v>
      </c>
      <c r="H463" s="45">
        <v>50</v>
      </c>
      <c r="I463" s="45">
        <f t="shared" si="73"/>
        <v>552</v>
      </c>
      <c r="J463" s="45">
        <v>300</v>
      </c>
    </row>
    <row r="464" spans="4:10">
      <c r="D464" s="128">
        <v>279</v>
      </c>
      <c r="E464" s="128">
        <f>IFERROR((_xlfn.XLOOKUP(D465,[2]主线关卡!E$27:E$326,[2]主线关卡!$D$27:$D$326)-1)*40,E463)</f>
        <v>8080</v>
      </c>
      <c r="F464" s="128">
        <f t="shared" si="72"/>
        <v>300</v>
      </c>
      <c r="G464" s="45">
        <f t="shared" si="71"/>
        <v>602</v>
      </c>
      <c r="H464" s="45">
        <v>50</v>
      </c>
      <c r="I464" s="45">
        <f t="shared" si="73"/>
        <v>552</v>
      </c>
      <c r="J464" s="45">
        <v>300</v>
      </c>
    </row>
    <row r="465" spans="4:10">
      <c r="D465" s="128">
        <v>280</v>
      </c>
      <c r="E465" s="128">
        <f>IFERROR((_xlfn.XLOOKUP(D466,[2]主线关卡!E$27:E$326,[2]主线关卡!$D$27:$D$326)-1)*40,E464)</f>
        <v>8120</v>
      </c>
      <c r="F465" s="128">
        <f t="shared" si="72"/>
        <v>340</v>
      </c>
      <c r="G465" s="45">
        <f t="shared" si="71"/>
        <v>602</v>
      </c>
      <c r="H465" s="45">
        <v>50</v>
      </c>
      <c r="I465" s="45">
        <f t="shared" si="73"/>
        <v>552</v>
      </c>
      <c r="J465" s="45">
        <v>300</v>
      </c>
    </row>
    <row r="466" spans="4:10">
      <c r="D466" s="128">
        <v>281</v>
      </c>
      <c r="E466" s="128">
        <f>IFERROR((_xlfn.XLOOKUP(D467,[2]主线关卡!E$27:E$326,[2]主线关卡!$D$27:$D$326)-1)*40,E465)</f>
        <v>8120</v>
      </c>
      <c r="F466" s="128">
        <f t="shared" si="72"/>
        <v>300</v>
      </c>
      <c r="G466" s="45">
        <f t="shared" si="71"/>
        <v>602</v>
      </c>
      <c r="H466" s="45">
        <v>50</v>
      </c>
      <c r="I466" s="45">
        <f t="shared" si="73"/>
        <v>552</v>
      </c>
      <c r="J466" s="45">
        <v>300</v>
      </c>
    </row>
    <row r="467" spans="4:10">
      <c r="D467" s="128">
        <v>282</v>
      </c>
      <c r="E467" s="128">
        <f>IFERROR((_xlfn.XLOOKUP(D468,[2]主线关卡!E$27:E$326,[2]主线关卡!$D$27:$D$326)-1)*40,E466)</f>
        <v>8120</v>
      </c>
      <c r="F467" s="128">
        <f t="shared" si="72"/>
        <v>300</v>
      </c>
      <c r="G467" s="45">
        <f t="shared" si="71"/>
        <v>602</v>
      </c>
      <c r="H467" s="45">
        <v>50</v>
      </c>
      <c r="I467" s="45">
        <f t="shared" si="73"/>
        <v>552</v>
      </c>
      <c r="J467" s="45">
        <v>300</v>
      </c>
    </row>
    <row r="468" spans="4:10">
      <c r="D468" s="128">
        <v>283</v>
      </c>
      <c r="E468" s="128">
        <f>IFERROR((_xlfn.XLOOKUP(D469,[2]主线关卡!E$27:E$326,[2]主线关卡!$D$27:$D$326)-1)*40,E467)</f>
        <v>8160</v>
      </c>
      <c r="F468" s="128">
        <f t="shared" si="72"/>
        <v>340</v>
      </c>
      <c r="G468" s="45">
        <f t="shared" si="71"/>
        <v>602</v>
      </c>
      <c r="H468" s="45">
        <v>50</v>
      </c>
      <c r="I468" s="45">
        <f t="shared" si="73"/>
        <v>552</v>
      </c>
      <c r="J468" s="45">
        <v>300</v>
      </c>
    </row>
    <row r="469" spans="4:10">
      <c r="D469" s="128">
        <v>284</v>
      </c>
      <c r="E469" s="128">
        <f>IFERROR((_xlfn.XLOOKUP(D470,[2]主线关卡!E$27:E$326,[2]主线关卡!$D$27:$D$326)-1)*40,E468)</f>
        <v>8160</v>
      </c>
      <c r="F469" s="128">
        <f t="shared" si="72"/>
        <v>300</v>
      </c>
      <c r="G469" s="45">
        <f t="shared" si="71"/>
        <v>602</v>
      </c>
      <c r="H469" s="45">
        <v>50</v>
      </c>
      <c r="I469" s="45">
        <f t="shared" si="73"/>
        <v>552</v>
      </c>
      <c r="J469" s="45">
        <v>300</v>
      </c>
    </row>
    <row r="470" spans="4:10">
      <c r="D470" s="128">
        <v>285</v>
      </c>
      <c r="E470" s="128">
        <f>IFERROR((_xlfn.XLOOKUP(D471,[2]主线关卡!E$27:E$326,[2]主线关卡!$D$27:$D$326)-1)*40,E469)</f>
        <v>8160</v>
      </c>
      <c r="F470" s="128">
        <f t="shared" si="72"/>
        <v>300</v>
      </c>
      <c r="G470" s="45">
        <f t="shared" si="71"/>
        <v>602</v>
      </c>
      <c r="H470" s="45">
        <v>50</v>
      </c>
      <c r="I470" s="45">
        <f t="shared" si="73"/>
        <v>552</v>
      </c>
      <c r="J470" s="45">
        <v>300</v>
      </c>
    </row>
    <row r="471" spans="4:10">
      <c r="D471" s="128">
        <v>286</v>
      </c>
      <c r="E471" s="128">
        <f>IFERROR((_xlfn.XLOOKUP(D472,[2]主线关卡!E$27:E$326,[2]主线关卡!$D$27:$D$326)-1)*40,E470)</f>
        <v>8200</v>
      </c>
      <c r="F471" s="128">
        <f t="shared" si="72"/>
        <v>340</v>
      </c>
      <c r="G471" s="45">
        <f t="shared" si="71"/>
        <v>602</v>
      </c>
      <c r="H471" s="45">
        <v>50</v>
      </c>
      <c r="I471" s="45">
        <f t="shared" si="73"/>
        <v>552</v>
      </c>
      <c r="J471" s="45">
        <v>300</v>
      </c>
    </row>
    <row r="472" spans="4:10">
      <c r="D472" s="128">
        <v>287</v>
      </c>
      <c r="E472" s="128">
        <f>IFERROR((_xlfn.XLOOKUP(D473,[2]主线关卡!E$27:E$326,[2]主线关卡!$D$27:$D$326)-1)*40,E471)</f>
        <v>8200</v>
      </c>
      <c r="F472" s="128">
        <f t="shared" si="72"/>
        <v>300</v>
      </c>
      <c r="G472" s="45">
        <f t="shared" si="71"/>
        <v>602</v>
      </c>
      <c r="H472" s="45">
        <v>50</v>
      </c>
      <c r="I472" s="45">
        <f t="shared" si="73"/>
        <v>552</v>
      </c>
      <c r="J472" s="45">
        <v>300</v>
      </c>
    </row>
    <row r="473" spans="4:10">
      <c r="D473" s="128">
        <v>288</v>
      </c>
      <c r="E473" s="128">
        <f>IFERROR((_xlfn.XLOOKUP(D474,[2]主线关卡!E$27:E$326,[2]主线关卡!$D$27:$D$326)-1)*40,E472)</f>
        <v>8200</v>
      </c>
      <c r="F473" s="128">
        <f t="shared" si="72"/>
        <v>300</v>
      </c>
      <c r="G473" s="45">
        <f t="shared" si="71"/>
        <v>602</v>
      </c>
      <c r="H473" s="45">
        <v>50</v>
      </c>
      <c r="I473" s="45">
        <f t="shared" si="73"/>
        <v>552</v>
      </c>
      <c r="J473" s="45">
        <v>300</v>
      </c>
    </row>
    <row r="474" spans="4:10">
      <c r="D474" s="128">
        <v>289</v>
      </c>
      <c r="E474" s="128">
        <f>IFERROR((_xlfn.XLOOKUP(D475,[2]主线关卡!E$27:E$326,[2]主线关卡!$D$27:$D$326)-1)*40,E473)</f>
        <v>8240</v>
      </c>
      <c r="F474" s="128">
        <f t="shared" si="72"/>
        <v>340</v>
      </c>
      <c r="G474" s="45">
        <f t="shared" si="71"/>
        <v>602</v>
      </c>
      <c r="H474" s="45">
        <v>50</v>
      </c>
      <c r="I474" s="45">
        <f t="shared" si="73"/>
        <v>552</v>
      </c>
      <c r="J474" s="45">
        <v>300</v>
      </c>
    </row>
    <row r="475" spans="4:10">
      <c r="D475" s="128">
        <v>290</v>
      </c>
      <c r="E475" s="128">
        <f>IFERROR((_xlfn.XLOOKUP(D476,[2]主线关卡!E$27:E$326,[2]主线关卡!$D$27:$D$326)-1)*40,E474)</f>
        <v>8240</v>
      </c>
      <c r="F475" s="128">
        <f t="shared" si="72"/>
        <v>300</v>
      </c>
      <c r="G475" s="45">
        <f t="shared" si="71"/>
        <v>602</v>
      </c>
      <c r="H475" s="45">
        <v>50</v>
      </c>
      <c r="I475" s="45">
        <f t="shared" si="73"/>
        <v>552</v>
      </c>
      <c r="J475" s="45">
        <v>300</v>
      </c>
    </row>
    <row r="476" spans="4:10">
      <c r="D476" s="128">
        <v>291</v>
      </c>
      <c r="E476" s="128">
        <f>IFERROR((_xlfn.XLOOKUP(D477,[2]主线关卡!E$27:E$326,[2]主线关卡!$D$27:$D$326)-1)*40,E475)</f>
        <v>8240</v>
      </c>
      <c r="F476" s="128">
        <f t="shared" si="72"/>
        <v>300</v>
      </c>
      <c r="G476" s="45">
        <f t="shared" si="71"/>
        <v>602</v>
      </c>
      <c r="H476" s="45">
        <v>50</v>
      </c>
      <c r="I476" s="45">
        <f t="shared" si="73"/>
        <v>552</v>
      </c>
      <c r="J476" s="45">
        <v>300</v>
      </c>
    </row>
    <row r="477" spans="4:10">
      <c r="D477" s="128">
        <v>292</v>
      </c>
      <c r="E477" s="128">
        <f>IFERROR((_xlfn.XLOOKUP(D478,[2]主线关卡!E$27:E$326,[2]主线关卡!$D$27:$D$326)-1)*40,E476)</f>
        <v>8280</v>
      </c>
      <c r="F477" s="128">
        <f t="shared" si="72"/>
        <v>340</v>
      </c>
      <c r="G477" s="45">
        <f t="shared" si="71"/>
        <v>602</v>
      </c>
      <c r="H477" s="45">
        <v>50</v>
      </c>
      <c r="I477" s="45">
        <f t="shared" si="73"/>
        <v>552</v>
      </c>
      <c r="J477" s="45">
        <v>300</v>
      </c>
    </row>
    <row r="478" spans="4:10">
      <c r="D478" s="128">
        <v>293</v>
      </c>
      <c r="E478" s="128">
        <f>IFERROR((_xlfn.XLOOKUP(D479,[2]主线关卡!E$27:E$326,[2]主线关卡!$D$27:$D$326)-1)*40,E477)</f>
        <v>8280</v>
      </c>
      <c r="F478" s="128">
        <f t="shared" si="72"/>
        <v>300</v>
      </c>
      <c r="G478" s="45">
        <f t="shared" si="71"/>
        <v>602</v>
      </c>
      <c r="H478" s="45">
        <v>50</v>
      </c>
      <c r="I478" s="45">
        <f t="shared" si="73"/>
        <v>552</v>
      </c>
      <c r="J478" s="45">
        <v>300</v>
      </c>
    </row>
    <row r="479" spans="4:10">
      <c r="D479" s="128">
        <v>294</v>
      </c>
      <c r="E479" s="128">
        <f>IFERROR((_xlfn.XLOOKUP(D480,[2]主线关卡!E$27:E$326,[2]主线关卡!$D$27:$D$326)-1)*40,E478)</f>
        <v>8280</v>
      </c>
      <c r="F479" s="128">
        <f t="shared" si="72"/>
        <v>300</v>
      </c>
      <c r="G479" s="45">
        <f t="shared" si="71"/>
        <v>602</v>
      </c>
      <c r="H479" s="45">
        <v>50</v>
      </c>
      <c r="I479" s="45">
        <f t="shared" si="73"/>
        <v>552</v>
      </c>
      <c r="J479" s="45">
        <v>300</v>
      </c>
    </row>
    <row r="480" spans="4:10">
      <c r="D480" s="128">
        <v>295</v>
      </c>
      <c r="E480" s="128">
        <f>IFERROR((_xlfn.XLOOKUP(D481,[2]主线关卡!E$27:E$326,[2]主线关卡!$D$27:$D$326)-1)*40,E479)</f>
        <v>8320</v>
      </c>
      <c r="F480" s="128">
        <f t="shared" si="72"/>
        <v>340</v>
      </c>
      <c r="G480" s="45">
        <f t="shared" si="71"/>
        <v>602</v>
      </c>
      <c r="H480" s="45">
        <v>50</v>
      </c>
      <c r="I480" s="45">
        <f t="shared" si="73"/>
        <v>552</v>
      </c>
      <c r="J480" s="45">
        <v>300</v>
      </c>
    </row>
    <row r="481" spans="4:10">
      <c r="D481" s="128">
        <v>296</v>
      </c>
      <c r="E481" s="128">
        <f>IFERROR((_xlfn.XLOOKUP(D482,[2]主线关卡!E$27:E$326,[2]主线关卡!$D$27:$D$326)-1)*40,E480)</f>
        <v>8320</v>
      </c>
      <c r="F481" s="128">
        <f t="shared" si="72"/>
        <v>300</v>
      </c>
      <c r="G481" s="45">
        <f t="shared" si="71"/>
        <v>602</v>
      </c>
      <c r="H481" s="45">
        <v>50</v>
      </c>
      <c r="I481" s="45">
        <f t="shared" si="73"/>
        <v>552</v>
      </c>
      <c r="J481" s="45">
        <v>300</v>
      </c>
    </row>
    <row r="482" spans="4:10">
      <c r="D482" s="128">
        <v>297</v>
      </c>
      <c r="E482" s="128">
        <f>IFERROR((_xlfn.XLOOKUP(D483,[2]主线关卡!E$27:E$326,[2]主线关卡!$D$27:$D$326)-1)*40,E481)</f>
        <v>8320</v>
      </c>
      <c r="F482" s="128">
        <f t="shared" si="72"/>
        <v>300</v>
      </c>
      <c r="G482" s="45">
        <f t="shared" si="71"/>
        <v>602</v>
      </c>
      <c r="H482" s="45">
        <v>50</v>
      </c>
      <c r="I482" s="45">
        <f t="shared" si="73"/>
        <v>552</v>
      </c>
      <c r="J482" s="45">
        <v>300</v>
      </c>
    </row>
    <row r="483" spans="4:10">
      <c r="D483" s="128">
        <v>298</v>
      </c>
      <c r="E483" s="128">
        <f>IFERROR((_xlfn.XLOOKUP(D484,[2]主线关卡!E$27:E$326,[2]主线关卡!$D$27:$D$326)-1)*40,E482)</f>
        <v>8360</v>
      </c>
      <c r="F483" s="128">
        <f t="shared" si="72"/>
        <v>340</v>
      </c>
      <c r="G483" s="45">
        <f t="shared" si="71"/>
        <v>602</v>
      </c>
      <c r="H483" s="45">
        <v>50</v>
      </c>
      <c r="I483" s="45">
        <f t="shared" si="73"/>
        <v>552</v>
      </c>
      <c r="J483" s="45">
        <v>300</v>
      </c>
    </row>
    <row r="484" spans="4:10">
      <c r="D484" s="128">
        <v>299</v>
      </c>
      <c r="E484" s="128">
        <f>IFERROR((_xlfn.XLOOKUP(D485,[2]主线关卡!E$27:E$326,[2]主线关卡!$D$27:$D$326)-1)*40,E483)</f>
        <v>8360</v>
      </c>
      <c r="F484" s="128">
        <f t="shared" si="72"/>
        <v>300</v>
      </c>
      <c r="G484" s="45">
        <f t="shared" si="71"/>
        <v>602</v>
      </c>
      <c r="H484" s="45">
        <v>50</v>
      </c>
      <c r="I484" s="45">
        <f t="shared" si="73"/>
        <v>552</v>
      </c>
      <c r="J484" s="45">
        <v>300</v>
      </c>
    </row>
    <row r="485" spans="4:10">
      <c r="D485" s="128">
        <v>300</v>
      </c>
      <c r="E485" s="128">
        <f>IFERROR((_xlfn.XLOOKUP(D486,[2]主线关卡!E$27:E$326,[2]主线关卡!$D$27:$D$326)-1)*40,E484)</f>
        <v>8360</v>
      </c>
      <c r="F485" s="128">
        <f t="shared" si="72"/>
        <v>300</v>
      </c>
      <c r="G485" s="45">
        <f t="shared" si="71"/>
        <v>602</v>
      </c>
      <c r="H485" s="45">
        <v>50</v>
      </c>
      <c r="I485" s="45">
        <f t="shared" si="73"/>
        <v>552</v>
      </c>
      <c r="J485" s="45">
        <v>300</v>
      </c>
    </row>
    <row r="486" spans="4:10">
      <c r="D486" s="95"/>
    </row>
    <row r="487" spans="4:10">
      <c r="D487" s="95"/>
    </row>
    <row r="488" spans="4:10">
      <c r="D488" s="95"/>
    </row>
    <row r="489" spans="4:10">
      <c r="D489" s="95"/>
    </row>
    <row r="490" spans="4:10">
      <c r="D490" s="95"/>
    </row>
    <row r="491" spans="4:10">
      <c r="D491" s="95"/>
    </row>
    <row r="492" spans="4:10">
      <c r="D492" s="95"/>
    </row>
    <row r="493" spans="4:10">
      <c r="D493" s="95"/>
    </row>
    <row r="494" spans="4:10">
      <c r="D494" s="95"/>
    </row>
    <row r="495" spans="4:10">
      <c r="D495" s="95"/>
    </row>
    <row r="496" spans="4:10">
      <c r="D496" s="95"/>
    </row>
    <row r="497" spans="1:14">
      <c r="D497" s="95"/>
    </row>
    <row r="498" spans="1:14">
      <c r="D498" s="95"/>
    </row>
    <row r="499" spans="1:14">
      <c r="D499" s="95"/>
    </row>
    <row r="500" spans="1:14">
      <c r="D500" s="95"/>
    </row>
    <row r="501" spans="1:14">
      <c r="D501" s="95"/>
    </row>
    <row r="503" ht="18" spans="1:14">
      <c r="A503" s="90" t="s">
        <v>20</v>
      </c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1"/>
      <c r="N503" s="91"/>
    </row>
  </sheetData>
  <mergeCells count="13"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827"/>
  <sheetViews>
    <sheetView workbookViewId="0">
      <selection activeCell="K2" sqref="K2"/>
    </sheetView>
  </sheetViews>
  <sheetFormatPr defaultColWidth="14.4761904761905" defaultRowHeight="15" customHeight="1"/>
  <cols>
    <col min="1" max="1" width="22.4285714285714" style="76" customWidth="1"/>
    <col min="2" max="2" width="19.4285714285714" style="78" customWidth="1"/>
    <col min="3" max="4" width="11.1428571428571" style="79" customWidth="1"/>
    <col min="5" max="5" width="10.1428571428571" style="76" customWidth="1"/>
    <col min="6" max="6" width="24.4285714285714" style="78" customWidth="1"/>
    <col min="7" max="7" width="42" style="78" customWidth="1"/>
    <col min="8" max="8" width="66.3142857142857" style="76" customWidth="1"/>
    <col min="9" max="9" width="14.4761904761905" style="76" customWidth="1"/>
    <col min="10" max="10" width="30.8571428571429" style="76" customWidth="1"/>
    <col min="11" max="11" width="33.1428571428571" style="76" customWidth="1"/>
    <col min="12" max="12" width="33.4285714285714" style="76" customWidth="1"/>
    <col min="13" max="13" width="30.8571428571429" style="76" customWidth="1"/>
    <col min="14" max="14" width="31.2857142857143" style="76" customWidth="1"/>
    <col min="15" max="15" width="21.2857142857143" style="76" customWidth="1"/>
    <col min="16" max="16339" width="14.4761904761905" style="76" customWidth="1"/>
    <col min="16340" max="16384" width="14.4761904761905" style="76"/>
  </cols>
  <sheetData>
    <row r="1" s="75" customFormat="1" ht="49" customHeight="1" spans="1:18">
      <c r="A1" s="75" t="s">
        <v>542</v>
      </c>
      <c r="B1" s="80" t="s">
        <v>543</v>
      </c>
      <c r="C1" s="81" t="s">
        <v>544</v>
      </c>
      <c r="D1" s="75" t="s">
        <v>155</v>
      </c>
      <c r="F1" s="80" t="s">
        <v>545</v>
      </c>
      <c r="G1" s="80" t="s">
        <v>546</v>
      </c>
      <c r="H1" s="75" t="s">
        <v>547</v>
      </c>
      <c r="I1" s="75" t="s">
        <v>548</v>
      </c>
      <c r="J1" s="75" t="s">
        <v>549</v>
      </c>
      <c r="K1" s="75" t="s">
        <v>550</v>
      </c>
      <c r="L1" s="75" t="s">
        <v>551</v>
      </c>
      <c r="N1" s="80"/>
    </row>
    <row r="2" s="75" customFormat="1" ht="32" customHeight="1" spans="1:18">
      <c r="A2" s="75" t="s">
        <v>552</v>
      </c>
      <c r="B2" s="75" t="s">
        <v>553</v>
      </c>
      <c r="C2" s="81" t="s">
        <v>554</v>
      </c>
      <c r="D2" s="75" t="s">
        <v>555</v>
      </c>
      <c r="F2" s="75" t="s">
        <v>556</v>
      </c>
      <c r="G2" s="75" t="s">
        <v>557</v>
      </c>
      <c r="H2" s="75" t="s">
        <v>558</v>
      </c>
      <c r="I2" s="75" t="s">
        <v>559</v>
      </c>
      <c r="J2" s="75" t="s">
        <v>560</v>
      </c>
      <c r="K2" s="75" t="s">
        <v>561</v>
      </c>
      <c r="L2" s="75" t="s">
        <v>562</v>
      </c>
    </row>
    <row r="3" s="76" customFormat="1" customHeight="1" spans="1:18">
      <c r="A3" s="82"/>
      <c r="B3" s="78">
        <f>A3*10+1</f>
        <v>1</v>
      </c>
      <c r="C3" s="83" t="s">
        <v>32</v>
      </c>
      <c r="D3" s="82">
        <v>1000</v>
      </c>
      <c r="F3" s="84">
        <v>1051</v>
      </c>
      <c r="G3" s="84">
        <v>1051</v>
      </c>
      <c r="H3" s="85"/>
      <c r="I3" s="82" t="s">
        <v>563</v>
      </c>
      <c r="J3" s="86"/>
      <c r="K3" s="86"/>
      <c r="L3" s="86"/>
      <c r="M3" s="78" t="s">
        <v>32</v>
      </c>
      <c r="N3" s="78">
        <v>4</v>
      </c>
      <c r="O3" s="87"/>
    </row>
    <row r="4" s="77" customFormat="1" customHeight="1" spans="1:18">
      <c r="A4" s="82"/>
      <c r="B4" s="78"/>
      <c r="C4" s="83"/>
      <c r="D4" s="82"/>
      <c r="E4" s="76"/>
      <c r="F4" s="84"/>
      <c r="G4" s="84"/>
      <c r="H4" s="85"/>
      <c r="I4" s="82"/>
      <c r="J4" s="86"/>
      <c r="K4" s="86"/>
      <c r="L4" s="86"/>
      <c r="M4" s="78" t="s">
        <v>33</v>
      </c>
      <c r="N4" s="78">
        <v>5</v>
      </c>
      <c r="O4" s="87"/>
    </row>
    <row r="5" s="77" customFormat="1" customHeight="1" spans="1:18">
      <c r="A5" s="82"/>
      <c r="B5" s="78"/>
      <c r="C5" s="83"/>
      <c r="D5" s="82"/>
      <c r="E5" s="76"/>
      <c r="F5" s="84"/>
      <c r="G5" s="84"/>
      <c r="H5" s="85"/>
      <c r="I5" s="82"/>
      <c r="J5" s="86"/>
      <c r="K5" s="86"/>
      <c r="L5" s="86"/>
      <c r="M5" s="78" t="s">
        <v>34</v>
      </c>
      <c r="N5" s="78">
        <v>6</v>
      </c>
      <c r="O5" s="87"/>
    </row>
    <row r="6" s="77" customFormat="1" customHeight="1" spans="1:18">
      <c r="A6" s="82"/>
      <c r="B6" s="78"/>
      <c r="C6" s="83"/>
      <c r="D6" s="82"/>
      <c r="E6" s="76"/>
      <c r="F6" s="84"/>
      <c r="G6" s="84"/>
      <c r="H6" s="85"/>
      <c r="I6" s="82"/>
      <c r="J6" s="86"/>
      <c r="K6" s="86"/>
      <c r="L6" s="86"/>
      <c r="M6" s="78" t="s">
        <v>35</v>
      </c>
      <c r="N6" s="78">
        <v>7</v>
      </c>
      <c r="O6" s="87"/>
    </row>
    <row r="7" s="77" customFormat="1" customHeight="1" spans="1:18">
      <c r="A7" s="82"/>
      <c r="B7" s="78"/>
      <c r="C7" s="83"/>
      <c r="D7" s="82"/>
      <c r="E7" s="76"/>
      <c r="F7" s="84"/>
      <c r="G7" s="84"/>
      <c r="H7" s="85"/>
      <c r="I7" s="82"/>
      <c r="J7" s="86"/>
      <c r="K7" s="86"/>
      <c r="L7" s="86"/>
      <c r="M7" s="78" t="s">
        <v>36</v>
      </c>
      <c r="N7" s="78">
        <v>8</v>
      </c>
      <c r="O7" s="87"/>
    </row>
    <row r="8" s="77" customFormat="1" customHeight="1" spans="1:18">
      <c r="A8" s="82"/>
      <c r="B8" s="78"/>
      <c r="C8" s="83"/>
      <c r="D8" s="82"/>
      <c r="E8" s="76"/>
      <c r="F8" s="84"/>
      <c r="G8" s="84"/>
      <c r="H8" s="85"/>
      <c r="I8" s="82"/>
      <c r="J8" s="86"/>
      <c r="K8" s="86"/>
      <c r="L8" s="86"/>
      <c r="M8" s="86"/>
      <c r="N8" s="87"/>
      <c r="O8" s="87"/>
    </row>
    <row r="9" s="77" customFormat="1" customHeight="1" spans="1:18">
      <c r="A9" s="82"/>
      <c r="B9" s="78"/>
      <c r="C9" s="83"/>
      <c r="D9" s="82"/>
      <c r="E9" s="76"/>
      <c r="F9" s="84"/>
      <c r="G9" s="84"/>
      <c r="H9" s="85"/>
      <c r="I9" s="82"/>
      <c r="J9" s="86"/>
      <c r="K9" s="86"/>
      <c r="L9" s="86"/>
      <c r="M9" s="86"/>
      <c r="N9" s="87"/>
      <c r="O9" s="87"/>
    </row>
    <row r="10" customHeight="1" spans="1:18">
      <c r="A10" s="82"/>
      <c r="B10" s="82"/>
      <c r="C10" s="88"/>
      <c r="D10" s="88"/>
      <c r="E10" s="82"/>
      <c r="F10" s="82"/>
      <c r="G10" s="82"/>
      <c r="H10" s="82"/>
      <c r="I10" s="82"/>
      <c r="J10" s="82"/>
    </row>
    <row r="11" customHeight="1" spans="1:18">
      <c r="A11" s="78">
        <f>IFERROR(R11+IF(Q11="通用属性",1,IF(Q11="玩法类",2,IF(Q11="稀有词条",3,0))),"")</f>
        <v>10401</v>
      </c>
      <c r="B11" s="82">
        <f>IFERROR(R11+COUNTIFS($R$11:$R11,R11),"")</f>
        <v>10401</v>
      </c>
      <c r="C11" s="83" t="s">
        <v>32</v>
      </c>
      <c r="D11" s="82">
        <v>3000</v>
      </c>
      <c r="F11" s="82">
        <f>IFERROR(R11+INT((B11-R11-1)/5),"")</f>
        <v>10400</v>
      </c>
      <c r="G11" s="78" t="str">
        <f>IF(AND(LEFT("[{"&amp;M11&amp;","&amp;CEILING(N11*10000+(O11-N11)/4*(COUNTIF($F$11:F11,F11)-1)*10000,10)&amp;"}]",7)="[{equip",MID("[{"&amp;M11&amp;","&amp;CEILING(N11*10000+(O11-N11)/4*(COUNTIF($F$11:F11,F11)-1)*10000,10)&amp;"}]",8,1)&lt;&gt;"_"),"[{"&amp;M11&amp;","&amp;1&amp;"}]","[{"&amp;M11&amp;","&amp;CEILING(N11*10000+(O11-N11)/4*(COUNTIF($F$11:F11,F11)-1)*10000,10)&amp;"}]")</f>
        <v>[{global_dmg_rate,300}]</v>
      </c>
      <c r="H11" s="82" t="s">
        <v>563</v>
      </c>
      <c r="I11" s="82"/>
      <c r="J11" s="78">
        <v>1</v>
      </c>
      <c r="K11" s="83" t="str">
        <f>IF(RIGHT(G11,13)="rune_slot,1}]",_xlfn.XLOOKUP(LEFT(SUBSTITUTE(G11,"[{",""),FIND(",",SUBSTITUTE(G11,"[{",""))-1),Sheet2!B:B,Sheet2!C:C)&amp;"+"&amp;1,_xlfn.XLOOKUP(LEFT(SUBSTITUTE(G11,"[{",""),FIND(",",SUBSTITUTE(G11,"[{",""))-1),Sheet2!B:B,Sheet2!C:C)&amp;"+"&amp;SUBSTITUTE(RIGHT(G11,LEN(G11)-FIND(",",G11)),"}]","")/100&amp;"%")</f>
        <v>伤害加成+3%</v>
      </c>
      <c r="L11" s="89" t="s">
        <v>564</v>
      </c>
      <c r="M11" s="89" t="s">
        <v>215</v>
      </c>
      <c r="N11" s="76">
        <f>装备属性!K1084</f>
        <v>0.03</v>
      </c>
      <c r="O11" s="76">
        <f>装备属性!L1084</f>
        <v>0.042</v>
      </c>
      <c r="Q11" s="89" t="s">
        <v>217</v>
      </c>
      <c r="R11" s="83">
        <v>10400</v>
      </c>
    </row>
    <row r="12" customHeight="1" spans="1:18">
      <c r="A12" s="78">
        <f ca="1" t="shared" ref="A12:A75" si="0">IFERROR(R12+IF(Q12="通用属性",1,IF(Q12="玩法类",2,IF(Q12="稀有词条",3,0))),"")</f>
        <v>10401</v>
      </c>
      <c r="B12" s="82">
        <f ca="1">IFERROR(R12+COUNTIFS($R$11:$R12,R12),"")</f>
        <v>10402</v>
      </c>
      <c r="C12" s="83" t="str">
        <f ca="1">IF(MOD(COUNTIF($Q$11:Q11,Q11),5)=0,OFFSET(装备属性!$D$1083,1+INT(COUNTA($Q$11:Q11)/5),0),C11)</f>
        <v>紫</v>
      </c>
      <c r="D12" s="82">
        <v>2500</v>
      </c>
      <c r="F12" s="82">
        <f ca="1" t="shared" ref="F12:F75" si="1">IFERROR(R12+INT((B12-R12-1)/5),"")</f>
        <v>10400</v>
      </c>
      <c r="G12" s="78" t="str">
        <f ca="1">IF(AND(LEFT("[{"&amp;M12&amp;","&amp;CEILING(N12*10000+(O12-N12)/4*(COUNTIF($F$11:F12,F12)-1)*10000,10)&amp;"}]",7)="[{equip",MID("[{"&amp;M12&amp;","&amp;CEILING(N12*10000+(O12-N12)/4*(COUNTIF($F$11:F12,F12)-1)*10000,10)&amp;"}]",8,1)&lt;&gt;"_"),"[{"&amp;M12&amp;","&amp;1&amp;"}]","[{"&amp;M12&amp;","&amp;CEILING(N12*10000+(O12-N12)/4*(COUNTIF($F$11:F12,F12)-1)*10000,10)&amp;"}]")</f>
        <v>[{global_dmg_rate,330}]</v>
      </c>
      <c r="H12" s="82" t="s">
        <v>563</v>
      </c>
      <c r="I12" s="82"/>
      <c r="J12" s="78">
        <f ca="1">IF(MOD(COUNTIF($Q$11:Q11,Q11),5)=0,OFFSET(装备属性!$P$1083,1+INT(COUNTA($Q$11:Q11)/5),0),J11)</f>
        <v>1</v>
      </c>
      <c r="K12" s="83" t="str">
        <f ca="1">IF(RIGHT(G12,13)="rune_slot,1}]",_xlfn.XLOOKUP(LEFT(SUBSTITUTE(G12,"[{",""),FIND(",",SUBSTITUTE(G12,"[{",""))-1),Sheet2!B:B,Sheet2!C:C)&amp;"+"&amp;1,_xlfn.XLOOKUP(LEFT(SUBSTITUTE(G12,"[{",""),FIND(",",SUBSTITUTE(G12,"[{",""))-1),Sheet2!B:B,Sheet2!C:C)&amp;"+"&amp;SUBSTITUTE(RIGHT(G12,LEN(G12)-FIND(",",G12)),"}]","")/100&amp;"%")</f>
        <v>伤害加成+3.3%</v>
      </c>
      <c r="L12" s="83" t="str">
        <f ca="1">IF(MOD(COUNTIF($Q$11:Q11,Q11),5)=0,OFFSET(装备属性!$G$1083,1+INT(COUNTA($Q$11:Q11)/5),0),L11)</f>
        <v>全职小队Ⅰ</v>
      </c>
      <c r="M12" s="89" t="str">
        <f ca="1">IF(MOD(COUNTIF($Q$11:Q11,Q11),5)=0,OFFSET(装备属性!$H$1083,1+INT(COUNTA($Q$11:Q11)/5),0),M11)</f>
        <v>global_dmg_rate</v>
      </c>
      <c r="N12" s="76">
        <f ca="1">IF(MOD(COUNTIF($Q$11:Q11,Q11),5)=0,OFFSET(装备属性!$K$1083,1+INT(COUNTA($Q$11:Q11)/5),0),N11)</f>
        <v>0.03</v>
      </c>
      <c r="O12" s="76">
        <f ca="1">IF(MOD(COUNTIF($Q$11:Q11,Q11),5)=0,OFFSET(装备属性!$L$1083,1+INT(COUNTA($Q$11:Q11)/5),0),O11)</f>
        <v>0.042</v>
      </c>
      <c r="Q12" s="89" t="str">
        <f ca="1">IF(MOD(COUNTIF($Q$11:Q11,Q11),5)=0,OFFSET(装备属性!$M$1083,1+INT(COUNTA($Q$11:Q11)/5),0),Q11)</f>
        <v>通用属性</v>
      </c>
      <c r="R12" s="83">
        <f ca="1">IF(MOD(COUNTIF($Q$11:Q11,Q11),5)=0,10000*SUBSTITUTE(SUBSTITUTE(OFFSET(装备属性!$F$1083,1+INT(COUNTA($Q$11:Q11)/5),0),"[",""),"]","")+_xlfn.XLOOKUP(C12,$M$3:$M$7,$N$3:$N$7)*100,R11)</f>
        <v>10400</v>
      </c>
    </row>
    <row r="13" customHeight="1" spans="1:18">
      <c r="A13" s="78">
        <f ca="1" t="shared" si="0"/>
        <v>10401</v>
      </c>
      <c r="B13" s="82">
        <f ca="1">IFERROR(R13+COUNTIFS($R$11:$R13,R13),"")</f>
        <v>10403</v>
      </c>
      <c r="C13" s="83" t="str">
        <f ca="1">IF(MOD(COUNTIF($Q$11:Q12,Q12),5)=0,OFFSET(装备属性!$D$1083,1+INT(COUNTA($Q$11:Q12)/5),0),C12)</f>
        <v>紫</v>
      </c>
      <c r="D13" s="82">
        <v>2000</v>
      </c>
      <c r="F13" s="82">
        <f ca="1" t="shared" si="1"/>
        <v>10400</v>
      </c>
      <c r="G13" s="78" t="str">
        <f ca="1">IF(AND(LEFT("[{"&amp;M13&amp;","&amp;CEILING(N13*10000+(O13-N13)/4*(COUNTIF($F$11:F13,F13)-1)*10000,10)&amp;"}]",7)="[{equip",MID("[{"&amp;M13&amp;","&amp;CEILING(N13*10000+(O13-N13)/4*(COUNTIF($F$11:F13,F13)-1)*10000,10)&amp;"}]",8,1)&lt;&gt;"_"),"[{"&amp;M13&amp;","&amp;1&amp;"}]","[{"&amp;M13&amp;","&amp;CEILING(N13*10000+(O13-N13)/4*(COUNTIF($F$11:F13,F13)-1)*10000,10)&amp;"}]")</f>
        <v>[{global_dmg_rate,360}]</v>
      </c>
      <c r="H13" s="82" t="s">
        <v>563</v>
      </c>
      <c r="I13" s="82"/>
      <c r="J13" s="78">
        <f ca="1">IF(MOD(COUNTIF($Q$11:Q12,Q12),5)=0,OFFSET(装备属性!$P$1083,1+INT(COUNTA($Q$11:Q12)/5),0),J12)</f>
        <v>1</v>
      </c>
      <c r="K13" s="83" t="str">
        <f ca="1">IF(RIGHT(G13,13)="rune_slot,1}]",_xlfn.XLOOKUP(LEFT(SUBSTITUTE(G13,"[{",""),FIND(",",SUBSTITUTE(G13,"[{",""))-1),Sheet2!B:B,Sheet2!C:C)&amp;"+"&amp;1,_xlfn.XLOOKUP(LEFT(SUBSTITUTE(G13,"[{",""),FIND(",",SUBSTITUTE(G13,"[{",""))-1),Sheet2!B:B,Sheet2!C:C)&amp;"+"&amp;SUBSTITUTE(RIGHT(G13,LEN(G13)-FIND(",",G13)),"}]","")/100&amp;"%")</f>
        <v>伤害加成+3.6%</v>
      </c>
      <c r="L13" s="83" t="str">
        <f ca="1">IF(MOD(COUNTIF($Q$11:Q12,Q12),5)=0,OFFSET(装备属性!$G$1083,1+INT(COUNTA($Q$11:Q12)/5),0),L12)</f>
        <v>全职小队Ⅰ</v>
      </c>
      <c r="M13" s="89" t="str">
        <f ca="1">IF(MOD(COUNTIF($Q$11:Q12,Q12),5)=0,OFFSET(装备属性!$H$1083,1+INT(COUNTA($Q$11:Q12)/5),0),M12)</f>
        <v>global_dmg_rate</v>
      </c>
      <c r="N13" s="76">
        <f ca="1">IF(MOD(COUNTIF($Q$11:Q12,Q12),5)=0,OFFSET(装备属性!$K$1083,1+INT(COUNTA($Q$11:Q12)/5),0),N12)</f>
        <v>0.03</v>
      </c>
      <c r="O13" s="76">
        <f ca="1">IF(MOD(COUNTIF($Q$11:Q12,Q12),5)=0,OFFSET(装备属性!$L$1083,1+INT(COUNTA($Q$11:Q12)/5),0),O12)</f>
        <v>0.042</v>
      </c>
      <c r="Q13" s="89" t="str">
        <f ca="1">IF(MOD(COUNTIF($Q$11:Q12,Q12),5)=0,OFFSET(装备属性!$M$1083,1+INT(COUNTA($Q$11:Q12)/5),0),Q12)</f>
        <v>通用属性</v>
      </c>
      <c r="R13" s="83">
        <f ca="1">IF(MOD(COUNTIF($Q$11:Q12,Q12),5)=0,10000*SUBSTITUTE(SUBSTITUTE(OFFSET(装备属性!$F$1083,1+INT(COUNTA($Q$11:Q12)/5),0),"[",""),"]","")+_xlfn.XLOOKUP(C13,$M$3:$M$7,$N$3:$N$7)*100,R12)</f>
        <v>10400</v>
      </c>
    </row>
    <row r="14" customHeight="1" spans="1:18">
      <c r="A14" s="78">
        <f ca="1" t="shared" si="0"/>
        <v>10401</v>
      </c>
      <c r="B14" s="82">
        <f ca="1">IFERROR(R14+COUNTIFS($R$11:$R14,R14),"")</f>
        <v>10404</v>
      </c>
      <c r="C14" s="83" t="str">
        <f ca="1">IF(MOD(COUNTIF($Q$11:Q13,Q13),5)=0,OFFSET(装备属性!$D$1083,1+INT(COUNTA($Q$11:Q13)/5),0),C13)</f>
        <v>紫</v>
      </c>
      <c r="D14" s="82">
        <v>1500</v>
      </c>
      <c r="F14" s="82">
        <f ca="1" t="shared" si="1"/>
        <v>10400</v>
      </c>
      <c r="G14" s="78" t="str">
        <f ca="1">IF(AND(LEFT("[{"&amp;M14&amp;","&amp;CEILING(N14*10000+(O14-N14)/4*(COUNTIF($F$11:F14,F14)-1)*10000,10)&amp;"}]",7)="[{equip",MID("[{"&amp;M14&amp;","&amp;CEILING(N14*10000+(O14-N14)/4*(COUNTIF($F$11:F14,F14)-1)*10000,10)&amp;"}]",8,1)&lt;&gt;"_"),"[{"&amp;M14&amp;","&amp;1&amp;"}]","[{"&amp;M14&amp;","&amp;CEILING(N14*10000+(O14-N14)/4*(COUNTIF($F$11:F14,F14)-1)*10000,10)&amp;"}]")</f>
        <v>[{global_dmg_rate,390}]</v>
      </c>
      <c r="H14" s="82" t="s">
        <v>563</v>
      </c>
      <c r="I14" s="82"/>
      <c r="J14" s="78">
        <f ca="1">IF(MOD(COUNTIF($Q$11:Q13,Q13),5)=0,OFFSET(装备属性!$P$1083,1+INT(COUNTA($Q$11:Q13)/5),0),J13)</f>
        <v>1</v>
      </c>
      <c r="K14" s="83" t="str">
        <f ca="1">IF(RIGHT(G14,13)="rune_slot,1}]",_xlfn.XLOOKUP(LEFT(SUBSTITUTE(G14,"[{",""),FIND(",",SUBSTITUTE(G14,"[{",""))-1),Sheet2!B:B,Sheet2!C:C)&amp;"+"&amp;1,_xlfn.XLOOKUP(LEFT(SUBSTITUTE(G14,"[{",""),FIND(",",SUBSTITUTE(G14,"[{",""))-1),Sheet2!B:B,Sheet2!C:C)&amp;"+"&amp;SUBSTITUTE(RIGHT(G14,LEN(G14)-FIND(",",G14)),"}]","")/100&amp;"%")</f>
        <v>伤害加成+3.9%</v>
      </c>
      <c r="L14" s="83" t="str">
        <f ca="1">IF(MOD(COUNTIF($Q$11:Q13,Q13),5)=0,OFFSET(装备属性!$G$1083,1+INT(COUNTA($Q$11:Q13)/5),0),L13)</f>
        <v>全职小队Ⅰ</v>
      </c>
      <c r="M14" s="89" t="str">
        <f ca="1">IF(MOD(COUNTIF($Q$11:Q13,Q13),5)=0,OFFSET(装备属性!$H$1083,1+INT(COUNTA($Q$11:Q13)/5),0),M13)</f>
        <v>global_dmg_rate</v>
      </c>
      <c r="N14" s="76">
        <f ca="1">IF(MOD(COUNTIF($Q$11:Q13,Q13),5)=0,OFFSET(装备属性!$K$1083,1+INT(COUNTA($Q$11:Q13)/5),0),N13)</f>
        <v>0.03</v>
      </c>
      <c r="O14" s="76">
        <f ca="1">IF(MOD(COUNTIF($Q$11:Q13,Q13),5)=0,OFFSET(装备属性!$L$1083,1+INT(COUNTA($Q$11:Q13)/5),0),O13)</f>
        <v>0.042</v>
      </c>
      <c r="Q14" s="89" t="str">
        <f ca="1">IF(MOD(COUNTIF($Q$11:Q13,Q13),5)=0,OFFSET(装备属性!$M$1083,1+INT(COUNTA($Q$11:Q13)/5),0),Q13)</f>
        <v>通用属性</v>
      </c>
      <c r="R14" s="83">
        <f ca="1">IF(MOD(COUNTIF($Q$11:Q13,Q13),5)=0,10000*SUBSTITUTE(SUBSTITUTE(OFFSET(装备属性!$F$1083,1+INT(COUNTA($Q$11:Q13)/5),0),"[",""),"]","")+_xlfn.XLOOKUP(C14,$M$3:$M$7,$N$3:$N$7)*100,R13)</f>
        <v>10400</v>
      </c>
    </row>
    <row r="15" customHeight="1" spans="1:18">
      <c r="A15" s="78">
        <f ca="1" t="shared" si="0"/>
        <v>10401</v>
      </c>
      <c r="B15" s="82">
        <f ca="1">IFERROR(R15+COUNTIFS($R$11:$R15,R15),"")</f>
        <v>10405</v>
      </c>
      <c r="C15" s="83" t="str">
        <f ca="1">IF(MOD(COUNTIF($Q$11:Q14,Q14),5)=0,OFFSET(装备属性!$D$1083,1+INT(COUNTA($Q$11:Q14)/5),0),C14)</f>
        <v>紫</v>
      </c>
      <c r="D15" s="82">
        <v>1000</v>
      </c>
      <c r="F15" s="82">
        <f ca="1" t="shared" si="1"/>
        <v>10400</v>
      </c>
      <c r="G15" s="78" t="str">
        <f ca="1">IF(AND(LEFT("[{"&amp;M15&amp;","&amp;CEILING(N15*10000+(O15-N15)/4*(COUNTIF($F$11:F15,F15)-1)*10000,10)&amp;"}]",7)="[{equip",MID("[{"&amp;M15&amp;","&amp;CEILING(N15*10000+(O15-N15)/4*(COUNTIF($F$11:F15,F15)-1)*10000,10)&amp;"}]",8,1)&lt;&gt;"_"),"[{"&amp;M15&amp;","&amp;1&amp;"}]","[{"&amp;M15&amp;","&amp;CEILING(N15*10000+(O15-N15)/4*(COUNTIF($F$11:F15,F15)-1)*10000,10)&amp;"}]")</f>
        <v>[{global_dmg_rate,420}]</v>
      </c>
      <c r="H15" s="82" t="s">
        <v>563</v>
      </c>
      <c r="I15" s="82"/>
      <c r="J15" s="78">
        <f ca="1">IF(MOD(COUNTIF($Q$11:Q14,Q14),5)=0,OFFSET(装备属性!$P$1083,1+INT(COUNTA($Q$11:Q14)/5),0),J14)</f>
        <v>1</v>
      </c>
      <c r="K15" s="83" t="str">
        <f ca="1">IF(RIGHT(G15,13)="rune_slot,1}]",_xlfn.XLOOKUP(LEFT(SUBSTITUTE(G15,"[{",""),FIND(",",SUBSTITUTE(G15,"[{",""))-1),Sheet2!B:B,Sheet2!C:C)&amp;"+"&amp;1,_xlfn.XLOOKUP(LEFT(SUBSTITUTE(G15,"[{",""),FIND(",",SUBSTITUTE(G15,"[{",""))-1),Sheet2!B:B,Sheet2!C:C)&amp;"+"&amp;SUBSTITUTE(RIGHT(G15,LEN(G15)-FIND(",",G15)),"}]","")/100&amp;"%")</f>
        <v>伤害加成+4.2%</v>
      </c>
      <c r="L15" s="83" t="str">
        <f ca="1">IF(MOD(COUNTIF($Q$11:Q14,Q14),5)=0,OFFSET(装备属性!$G$1083,1+INT(COUNTA($Q$11:Q14)/5),0),L14)</f>
        <v>全职小队Ⅰ</v>
      </c>
      <c r="M15" s="89" t="str">
        <f ca="1">IF(MOD(COUNTIF($Q$11:Q14,Q14),5)=0,OFFSET(装备属性!$H$1083,1+INT(COUNTA($Q$11:Q14)/5),0),M14)</f>
        <v>global_dmg_rate</v>
      </c>
      <c r="N15" s="76">
        <f ca="1">IF(MOD(COUNTIF($Q$11:Q14,Q14),5)=0,OFFSET(装备属性!$K$1083,1+INT(COUNTA($Q$11:Q14)/5),0),N14)</f>
        <v>0.03</v>
      </c>
      <c r="O15" s="76">
        <f ca="1">IF(MOD(COUNTIF($Q$11:Q14,Q14),5)=0,OFFSET(装备属性!$L$1083,1+INT(COUNTA($Q$11:Q14)/5),0),O14)</f>
        <v>0.042</v>
      </c>
      <c r="Q15" s="89" t="str">
        <f ca="1">IF(MOD(COUNTIF($Q$11:Q14,Q14),5)=0,OFFSET(装备属性!$M$1083,1+INT(COUNTA($Q$11:Q14)/5),0),Q14)</f>
        <v>通用属性</v>
      </c>
      <c r="R15" s="83">
        <f ca="1">IF(MOD(COUNTIF($Q$11:Q14,Q14),5)=0,10000*SUBSTITUTE(SUBSTITUTE(OFFSET(装备属性!$F$1083,1+INT(COUNTA($Q$11:Q14)/5),0),"[",""),"]","")+_xlfn.XLOOKUP(C15,$M$3:$M$7,$N$3:$N$7)*100,R14)</f>
        <v>10400</v>
      </c>
    </row>
    <row r="16" customHeight="1" spans="1:18">
      <c r="A16" s="78">
        <f ca="1" t="shared" si="0"/>
        <v>10401</v>
      </c>
      <c r="B16" s="82">
        <f ca="1">IFERROR(R16+COUNTIFS($R$11:$R16,R16),"")</f>
        <v>10406</v>
      </c>
      <c r="C16" s="83" t="str">
        <f ca="1">IF(MOD(COUNTIF($Q$11:Q15,Q15),5)=0,OFFSET(装备属性!$D$1083,1+INT(COUNTA($Q$11:Q15)/5),0),C15)</f>
        <v>紫</v>
      </c>
      <c r="D16" s="82">
        <f>D11</f>
        <v>3000</v>
      </c>
      <c r="F16" s="82">
        <f ca="1" t="shared" si="1"/>
        <v>10401</v>
      </c>
      <c r="G16" s="78" t="str">
        <f ca="1">IF(AND(LEFT("[{"&amp;M16&amp;","&amp;CEILING(N16*10000+(O16-N16)/4*(COUNTIF($F$11:F16,F16)-1)*10000,10)&amp;"}]",7)="[{equip",MID("[{"&amp;M16&amp;","&amp;CEILING(N16*10000+(O16-N16)/4*(COUNTIF($F$11:F16,F16)-1)*10000,10)&amp;"}]",8,1)&lt;&gt;"_"),"[{"&amp;M16&amp;","&amp;1&amp;"}]","[{"&amp;M16&amp;","&amp;CEILING(N16*10000+(O16-N16)/4*(COUNTIF($F$11:F16,F16)-1)*10000,10)&amp;"}]")</f>
        <v>[{dmg_red_rate,100}]</v>
      </c>
      <c r="H16" s="82" t="s">
        <v>563</v>
      </c>
      <c r="I16" s="82"/>
      <c r="J16" s="78">
        <f ca="1">IF(MOD(COUNTIF($Q$11:Q15,Q15),5)=0,OFFSET(装备属性!$P$1083,1+INT(COUNTA($Q$11:Q15)/5),0),J15)</f>
        <v>6</v>
      </c>
      <c r="K16" s="83" t="str">
        <f ca="1">IF(RIGHT(G16,13)="rune_slot,1}]",_xlfn.XLOOKUP(LEFT(SUBSTITUTE(G16,"[{",""),FIND(",",SUBSTITUTE(G16,"[{",""))-1),Sheet2!B:B,Sheet2!C:C)&amp;"+"&amp;1,_xlfn.XLOOKUP(LEFT(SUBSTITUTE(G16,"[{",""),FIND(",",SUBSTITUTE(G16,"[{",""))-1),Sheet2!B:B,Sheet2!C:C)&amp;"+"&amp;SUBSTITUTE(RIGHT(G16,LEN(G16)-FIND(",",G16)),"}]","")/100&amp;"%")</f>
        <v>伤害减免+1%</v>
      </c>
      <c r="L16" s="83" t="str">
        <f ca="1">IF(MOD(COUNTIF($Q$11:Q15,Q15),5)=0,OFFSET(装备属性!$G$1083,1+INT(COUNTA($Q$11:Q15)/5),0),L15)</f>
        <v>全员抗揍Ⅰ</v>
      </c>
      <c r="M16" s="89" t="str">
        <f ca="1">IF(MOD(COUNTIF($Q$11:Q15,Q15),5)=0,OFFSET(装备属性!$H$1083,1+INT(COUNTA($Q$11:Q15)/5),0),M15)</f>
        <v>dmg_red_rate</v>
      </c>
      <c r="N16" s="76">
        <f ca="1">IF(MOD(COUNTIF($Q$11:Q15,Q15),5)=0,OFFSET(装备属性!$K$1083,1+INT(COUNTA($Q$11:Q15)/5),0),N15)</f>
        <v>0.01</v>
      </c>
      <c r="O16" s="76">
        <f ca="1">IF(MOD(COUNTIF($Q$11:Q15,Q15),5)=0,OFFSET(装备属性!$L$1083,1+INT(COUNTA($Q$11:Q15)/5),0),O15)</f>
        <v>0.014</v>
      </c>
      <c r="Q16" s="89" t="str">
        <f ca="1">IF(MOD(COUNTIF($Q$11:Q15,Q15),5)=0,OFFSET(装备属性!$M$1083,1+INT(COUNTA($Q$11:Q15)/5),0),Q15)</f>
        <v>通用属性</v>
      </c>
      <c r="R16" s="83">
        <f ca="1">IF(MOD(COUNTIF($Q$11:Q15,Q15),5)=0,10000*SUBSTITUTE(SUBSTITUTE(OFFSET(装备属性!$F$1083,1+INT(COUNTA($Q$11:Q15)/5),0),"[",""),"]","")+_xlfn.XLOOKUP(C16,$M$3:$M$7,$N$3:$N$7)*100,R15)</f>
        <v>10400</v>
      </c>
    </row>
    <row r="17" customHeight="1" spans="1:18">
      <c r="A17" s="78">
        <f ca="1" t="shared" si="0"/>
        <v>10401</v>
      </c>
      <c r="B17" s="82">
        <f ca="1">IFERROR(R17+COUNTIFS($R$11:$R17,R17),"")</f>
        <v>10407</v>
      </c>
      <c r="C17" s="83" t="str">
        <f ca="1">IF(MOD(COUNTIF($Q$11:Q16,Q16),5)=0,OFFSET(装备属性!$D$1083,1+INT(COUNTA($Q$11:Q16)/5),0),C16)</f>
        <v>紫</v>
      </c>
      <c r="D17" s="82">
        <f t="shared" ref="D17:D80" si="2">D12</f>
        <v>2500</v>
      </c>
      <c r="F17" s="82">
        <f ca="1" t="shared" si="1"/>
        <v>10401</v>
      </c>
      <c r="G17" s="78" t="str">
        <f ca="1">IF(AND(LEFT("[{"&amp;M17&amp;","&amp;CEILING(N17*10000+(O17-N17)/4*(COUNTIF($F$11:F17,F17)-1)*10000,10)&amp;"}]",7)="[{equip",MID("[{"&amp;M17&amp;","&amp;CEILING(N17*10000+(O17-N17)/4*(COUNTIF($F$11:F17,F17)-1)*10000,10)&amp;"}]",8,1)&lt;&gt;"_"),"[{"&amp;M17&amp;","&amp;1&amp;"}]","[{"&amp;M17&amp;","&amp;CEILING(N17*10000+(O17-N17)/4*(COUNTIF($F$11:F17,F17)-1)*10000,10)&amp;"}]")</f>
        <v>[{dmg_red_rate,110}]</v>
      </c>
      <c r="H17" s="82" t="s">
        <v>563</v>
      </c>
      <c r="I17" s="82"/>
      <c r="J17" s="78">
        <f ca="1">IF(MOD(COUNTIF($Q$11:Q16,Q16),5)=0,OFFSET(装备属性!$P$1083,1+INT(COUNTA($Q$11:Q16)/5),0),J16)</f>
        <v>6</v>
      </c>
      <c r="K17" s="83" t="str">
        <f ca="1">IF(RIGHT(G17,13)="rune_slot,1}]",_xlfn.XLOOKUP(LEFT(SUBSTITUTE(G17,"[{",""),FIND(",",SUBSTITUTE(G17,"[{",""))-1),Sheet2!B:B,Sheet2!C:C)&amp;"+"&amp;1,_xlfn.XLOOKUP(LEFT(SUBSTITUTE(G17,"[{",""),FIND(",",SUBSTITUTE(G17,"[{",""))-1),Sheet2!B:B,Sheet2!C:C)&amp;"+"&amp;SUBSTITUTE(RIGHT(G17,LEN(G17)-FIND(",",G17)),"}]","")/100&amp;"%")</f>
        <v>伤害减免+1.1%</v>
      </c>
      <c r="L17" s="83" t="str">
        <f ca="1">IF(MOD(COUNTIF($Q$11:Q16,Q16),5)=0,OFFSET(装备属性!$G$1083,1+INT(COUNTA($Q$11:Q16)/5),0),L16)</f>
        <v>全员抗揍Ⅰ</v>
      </c>
      <c r="M17" s="89" t="str">
        <f ca="1">IF(MOD(COUNTIF($Q$11:Q16,Q16),5)=0,OFFSET(装备属性!$H$1083,1+INT(COUNTA($Q$11:Q16)/5),0),M16)</f>
        <v>dmg_red_rate</v>
      </c>
      <c r="N17" s="76">
        <f ca="1">IF(MOD(COUNTIF($Q$11:Q16,Q16),5)=0,OFFSET(装备属性!$K$1083,1+INT(COUNTA($Q$11:Q16)/5),0),N16)</f>
        <v>0.01</v>
      </c>
      <c r="O17" s="76">
        <f ca="1">IF(MOD(COUNTIF($Q$11:Q16,Q16),5)=0,OFFSET(装备属性!$L$1083,1+INT(COUNTA($Q$11:Q16)/5),0),O16)</f>
        <v>0.014</v>
      </c>
      <c r="Q17" s="89" t="str">
        <f ca="1">IF(MOD(COUNTIF($Q$11:Q16,Q16),5)=0,OFFSET(装备属性!$M$1083,1+INT(COUNTA($Q$11:Q16)/5),0),Q16)</f>
        <v>通用属性</v>
      </c>
      <c r="R17" s="83">
        <f ca="1">IF(MOD(COUNTIF($Q$11:Q16,Q16),5)=0,10000*SUBSTITUTE(SUBSTITUTE(OFFSET(装备属性!$F$1083,1+INT(COUNTA($Q$11:Q16)/5),0),"[",""),"]","")+_xlfn.XLOOKUP(C17,$M$3:$M$7,$N$3:$N$7)*100,R16)</f>
        <v>10400</v>
      </c>
    </row>
    <row r="18" customHeight="1" spans="1:18">
      <c r="A18" s="78">
        <f ca="1" t="shared" si="0"/>
        <v>10401</v>
      </c>
      <c r="B18" s="82">
        <f ca="1">IFERROR(R18+COUNTIFS($R$11:$R18,R18),"")</f>
        <v>10408</v>
      </c>
      <c r="C18" s="83" t="str">
        <f ca="1">IF(MOD(COUNTIF($Q$11:Q17,Q17),5)=0,OFFSET(装备属性!$D$1083,1+INT(COUNTA($Q$11:Q17)/5),0),C17)</f>
        <v>紫</v>
      </c>
      <c r="D18" s="82">
        <f t="shared" si="2"/>
        <v>2000</v>
      </c>
      <c r="F18" s="82">
        <f ca="1" t="shared" si="1"/>
        <v>10401</v>
      </c>
      <c r="G18" s="78" t="str">
        <f ca="1">IF(AND(LEFT("[{"&amp;M18&amp;","&amp;CEILING(N18*10000+(O18-N18)/4*(COUNTIF($F$11:F18,F18)-1)*10000,10)&amp;"}]",7)="[{equip",MID("[{"&amp;M18&amp;","&amp;CEILING(N18*10000+(O18-N18)/4*(COUNTIF($F$11:F18,F18)-1)*10000,10)&amp;"}]",8,1)&lt;&gt;"_"),"[{"&amp;M18&amp;","&amp;1&amp;"}]","[{"&amp;M18&amp;","&amp;CEILING(N18*10000+(O18-N18)/4*(COUNTIF($F$11:F18,F18)-1)*10000,10)&amp;"}]")</f>
        <v>[{dmg_red_rate,120}]</v>
      </c>
      <c r="H18" s="82" t="s">
        <v>563</v>
      </c>
      <c r="J18" s="78">
        <f ca="1">IF(MOD(COUNTIF($Q$11:Q17,Q17),5)=0,OFFSET(装备属性!$P$1083,1+INT(COUNTA($Q$11:Q17)/5),0),J17)</f>
        <v>6</v>
      </c>
      <c r="K18" s="83" t="str">
        <f ca="1">IF(RIGHT(G18,13)="rune_slot,1}]",_xlfn.XLOOKUP(LEFT(SUBSTITUTE(G18,"[{",""),FIND(",",SUBSTITUTE(G18,"[{",""))-1),Sheet2!B:B,Sheet2!C:C)&amp;"+"&amp;1,_xlfn.XLOOKUP(LEFT(SUBSTITUTE(G18,"[{",""),FIND(",",SUBSTITUTE(G18,"[{",""))-1),Sheet2!B:B,Sheet2!C:C)&amp;"+"&amp;SUBSTITUTE(RIGHT(G18,LEN(G18)-FIND(",",G18)),"}]","")/100&amp;"%")</f>
        <v>伤害减免+1.2%</v>
      </c>
      <c r="L18" s="83" t="str">
        <f ca="1">IF(MOD(COUNTIF($Q$11:Q17,Q17),5)=0,OFFSET(装备属性!$G$1083,1+INT(COUNTA($Q$11:Q17)/5),0),L17)</f>
        <v>全员抗揍Ⅰ</v>
      </c>
      <c r="M18" s="89" t="str">
        <f ca="1">IF(MOD(COUNTIF($Q$11:Q17,Q17),5)=0,OFFSET(装备属性!$H$1083,1+INT(COUNTA($Q$11:Q17)/5),0),M17)</f>
        <v>dmg_red_rate</v>
      </c>
      <c r="N18" s="76">
        <f ca="1">IF(MOD(COUNTIF($Q$11:Q17,Q17),5)=0,OFFSET(装备属性!$K$1083,1+INT(COUNTA($Q$11:Q17)/5),0),N17)</f>
        <v>0.01</v>
      </c>
      <c r="O18" s="76">
        <f ca="1">IF(MOD(COUNTIF($Q$11:Q17,Q17),5)=0,OFFSET(装备属性!$L$1083,1+INT(COUNTA($Q$11:Q17)/5),0),O17)</f>
        <v>0.014</v>
      </c>
      <c r="Q18" s="89" t="str">
        <f ca="1">IF(MOD(COUNTIF($Q$11:Q17,Q17),5)=0,OFFSET(装备属性!$M$1083,1+INT(COUNTA($Q$11:Q17)/5),0),Q17)</f>
        <v>通用属性</v>
      </c>
      <c r="R18" s="83">
        <f ca="1">IF(MOD(COUNTIF($Q$11:Q17,Q17),5)=0,10000*SUBSTITUTE(SUBSTITUTE(OFFSET(装备属性!$F$1083,1+INT(COUNTA($Q$11:Q17)/5),0),"[",""),"]","")+_xlfn.XLOOKUP(C18,$M$3:$M$7,$N$3:$N$7)*100,R17)</f>
        <v>10400</v>
      </c>
    </row>
    <row r="19" customHeight="1" spans="1:18">
      <c r="A19" s="78">
        <f ca="1" t="shared" si="0"/>
        <v>10401</v>
      </c>
      <c r="B19" s="82">
        <f ca="1">IFERROR(R19+COUNTIFS($R$11:$R19,R19),"")</f>
        <v>10409</v>
      </c>
      <c r="C19" s="83" t="str">
        <f ca="1">IF(MOD(COUNTIF($Q$11:Q18,Q18),5)=0,OFFSET(装备属性!$D$1083,1+INT(COUNTA($Q$11:Q18)/5),0),C18)</f>
        <v>紫</v>
      </c>
      <c r="D19" s="82">
        <f t="shared" si="2"/>
        <v>1500</v>
      </c>
      <c r="F19" s="82">
        <f ca="1" t="shared" si="1"/>
        <v>10401</v>
      </c>
      <c r="G19" s="78" t="str">
        <f ca="1">IF(AND(LEFT("[{"&amp;M19&amp;","&amp;CEILING(N19*10000+(O19-N19)/4*(COUNTIF($F$11:F19,F19)-1)*10000,10)&amp;"}]",7)="[{equip",MID("[{"&amp;M19&amp;","&amp;CEILING(N19*10000+(O19-N19)/4*(COUNTIF($F$11:F19,F19)-1)*10000,10)&amp;"}]",8,1)&lt;&gt;"_"),"[{"&amp;M19&amp;","&amp;1&amp;"}]","[{"&amp;M19&amp;","&amp;CEILING(N19*10000+(O19-N19)/4*(COUNTIF($F$11:F19,F19)-1)*10000,10)&amp;"}]")</f>
        <v>[{dmg_red_rate,130}]</v>
      </c>
      <c r="H19" s="82" t="s">
        <v>563</v>
      </c>
      <c r="J19" s="78">
        <f ca="1">IF(MOD(COUNTIF($Q$11:Q18,Q18),5)=0,OFFSET(装备属性!$P$1083,1+INT(COUNTA($Q$11:Q18)/5),0),J18)</f>
        <v>6</v>
      </c>
      <c r="K19" s="83" t="str">
        <f ca="1">IF(RIGHT(G19,13)="rune_slot,1}]",_xlfn.XLOOKUP(LEFT(SUBSTITUTE(G19,"[{",""),FIND(",",SUBSTITUTE(G19,"[{",""))-1),Sheet2!B:B,Sheet2!C:C)&amp;"+"&amp;1,_xlfn.XLOOKUP(LEFT(SUBSTITUTE(G19,"[{",""),FIND(",",SUBSTITUTE(G19,"[{",""))-1),Sheet2!B:B,Sheet2!C:C)&amp;"+"&amp;SUBSTITUTE(RIGHT(G19,LEN(G19)-FIND(",",G19)),"}]","")/100&amp;"%")</f>
        <v>伤害减免+1.3%</v>
      </c>
      <c r="L19" s="83" t="str">
        <f ca="1">IF(MOD(COUNTIF($Q$11:Q18,Q18),5)=0,OFFSET(装备属性!$G$1083,1+INT(COUNTA($Q$11:Q18)/5),0),L18)</f>
        <v>全员抗揍Ⅰ</v>
      </c>
      <c r="M19" s="89" t="str">
        <f ca="1">IF(MOD(COUNTIF($Q$11:Q18,Q18),5)=0,OFFSET(装备属性!$H$1083,1+INT(COUNTA($Q$11:Q18)/5),0),M18)</f>
        <v>dmg_red_rate</v>
      </c>
      <c r="N19" s="76">
        <f ca="1">IF(MOD(COUNTIF($Q$11:Q18,Q18),5)=0,OFFSET(装备属性!$K$1083,1+INT(COUNTA($Q$11:Q18)/5),0),N18)</f>
        <v>0.01</v>
      </c>
      <c r="O19" s="76">
        <f ca="1">IF(MOD(COUNTIF($Q$11:Q18,Q18),5)=0,OFFSET(装备属性!$L$1083,1+INT(COUNTA($Q$11:Q18)/5),0),O18)</f>
        <v>0.014</v>
      </c>
      <c r="Q19" s="89" t="str">
        <f ca="1">IF(MOD(COUNTIF($Q$11:Q18,Q18),5)=0,OFFSET(装备属性!$M$1083,1+INT(COUNTA($Q$11:Q18)/5),0),Q18)</f>
        <v>通用属性</v>
      </c>
      <c r="R19" s="83">
        <f ca="1">IF(MOD(COUNTIF($Q$11:Q18,Q18),5)=0,10000*SUBSTITUTE(SUBSTITUTE(OFFSET(装备属性!$F$1083,1+INT(COUNTA($Q$11:Q18)/5),0),"[",""),"]","")+_xlfn.XLOOKUP(C19,$M$3:$M$7,$N$3:$N$7)*100,R18)</f>
        <v>10400</v>
      </c>
    </row>
    <row r="20" customHeight="1" spans="1:18">
      <c r="A20" s="78">
        <f ca="1" t="shared" si="0"/>
        <v>10401</v>
      </c>
      <c r="B20" s="82">
        <f ca="1">IFERROR(R20+COUNTIFS($R$11:$R20,R20),"")</f>
        <v>10410</v>
      </c>
      <c r="C20" s="83" t="str">
        <f ca="1">IF(MOD(COUNTIF($Q$11:Q19,Q19),5)=0,OFFSET(装备属性!$D$1083,1+INT(COUNTA($Q$11:Q19)/5),0),C19)</f>
        <v>紫</v>
      </c>
      <c r="D20" s="82">
        <f t="shared" si="2"/>
        <v>1000</v>
      </c>
      <c r="F20" s="82">
        <f ca="1" t="shared" si="1"/>
        <v>10401</v>
      </c>
      <c r="G20" s="78" t="str">
        <f ca="1">IF(AND(LEFT("[{"&amp;M20&amp;","&amp;CEILING(N20*10000+(O20-N20)/4*(COUNTIF($F$11:F20,F20)-1)*10000,10)&amp;"}]",7)="[{equip",MID("[{"&amp;M20&amp;","&amp;CEILING(N20*10000+(O20-N20)/4*(COUNTIF($F$11:F20,F20)-1)*10000,10)&amp;"}]",8,1)&lt;&gt;"_"),"[{"&amp;M20&amp;","&amp;1&amp;"}]","[{"&amp;M20&amp;","&amp;CEILING(N20*10000+(O20-N20)/4*(COUNTIF($F$11:F20,F20)-1)*10000,10)&amp;"}]")</f>
        <v>[{dmg_red_rate,140}]</v>
      </c>
      <c r="H20" s="82" t="s">
        <v>563</v>
      </c>
      <c r="J20" s="78">
        <f ca="1">IF(MOD(COUNTIF($Q$11:Q19,Q19),5)=0,OFFSET(装备属性!$P$1083,1+INT(COUNTA($Q$11:Q19)/5),0),J19)</f>
        <v>6</v>
      </c>
      <c r="K20" s="83" t="str">
        <f ca="1">IF(RIGHT(G20,13)="rune_slot,1}]",_xlfn.XLOOKUP(LEFT(SUBSTITUTE(G20,"[{",""),FIND(",",SUBSTITUTE(G20,"[{",""))-1),Sheet2!B:B,Sheet2!C:C)&amp;"+"&amp;1,_xlfn.XLOOKUP(LEFT(SUBSTITUTE(G20,"[{",""),FIND(",",SUBSTITUTE(G20,"[{",""))-1),Sheet2!B:B,Sheet2!C:C)&amp;"+"&amp;SUBSTITUTE(RIGHT(G20,LEN(G20)-FIND(",",G20)),"}]","")/100&amp;"%")</f>
        <v>伤害减免+1.4%</v>
      </c>
      <c r="L20" s="83" t="str">
        <f ca="1">IF(MOD(COUNTIF($Q$11:Q19,Q19),5)=0,OFFSET(装备属性!$G$1083,1+INT(COUNTA($Q$11:Q19)/5),0),L19)</f>
        <v>全员抗揍Ⅰ</v>
      </c>
      <c r="M20" s="89" t="str">
        <f ca="1">IF(MOD(COUNTIF($Q$11:Q19,Q19),5)=0,OFFSET(装备属性!$H$1083,1+INT(COUNTA($Q$11:Q19)/5),0),M19)</f>
        <v>dmg_red_rate</v>
      </c>
      <c r="N20" s="76">
        <f ca="1">IF(MOD(COUNTIF($Q$11:Q19,Q19),5)=0,OFFSET(装备属性!$K$1083,1+INT(COUNTA($Q$11:Q19)/5),0),N19)</f>
        <v>0.01</v>
      </c>
      <c r="O20" s="76">
        <f ca="1">IF(MOD(COUNTIF($Q$11:Q19,Q19),5)=0,OFFSET(装备属性!$L$1083,1+INT(COUNTA($Q$11:Q19)/5),0),O19)</f>
        <v>0.014</v>
      </c>
      <c r="Q20" s="89" t="str">
        <f ca="1">IF(MOD(COUNTIF($Q$11:Q19,Q19),5)=0,OFFSET(装备属性!$M$1083,1+INT(COUNTA($Q$11:Q19)/5),0),Q19)</f>
        <v>通用属性</v>
      </c>
      <c r="R20" s="83">
        <f ca="1">IF(MOD(COUNTIF($Q$11:Q19,Q19),5)=0,10000*SUBSTITUTE(SUBSTITUTE(OFFSET(装备属性!$F$1083,1+INT(COUNTA($Q$11:Q19)/5),0),"[",""),"]","")+_xlfn.XLOOKUP(C20,$M$3:$M$7,$N$3:$N$7)*100,R19)</f>
        <v>10400</v>
      </c>
    </row>
    <row r="21" customHeight="1" spans="1:18">
      <c r="A21" s="78">
        <f ca="1" t="shared" si="0"/>
        <v>10401</v>
      </c>
      <c r="B21" s="82">
        <f ca="1">IFERROR(R21+COUNTIFS($R$11:$R21,R21),"")</f>
        <v>10411</v>
      </c>
      <c r="C21" s="83" t="str">
        <f ca="1">IF(MOD(COUNTIF($Q$11:Q20,Q20),5)=0,OFFSET(装备属性!$D$1083,1+INT(COUNTA($Q$11:Q20)/5),0),C20)</f>
        <v>紫</v>
      </c>
      <c r="D21" s="82">
        <f t="shared" si="2"/>
        <v>3000</v>
      </c>
      <c r="F21" s="82">
        <f ca="1" t="shared" si="1"/>
        <v>10402</v>
      </c>
      <c r="G21" s="78" t="str">
        <f ca="1">IF(AND(LEFT("[{"&amp;M21&amp;","&amp;CEILING(N21*10000+(O21-N21)/4*(COUNTIF($F$11:F21,F21)-1)*10000,10)&amp;"}]",7)="[{equip",MID("[{"&amp;M21&amp;","&amp;CEILING(N21*10000+(O21-N21)/4*(COUNTIF($F$11:F21,F21)-1)*10000,10)&amp;"}]",8,1)&lt;&gt;"_"),"[{"&amp;M21&amp;","&amp;1&amp;"}]","[{"&amp;M21&amp;","&amp;CEILING(N21*10000+(O21-N21)/4*(COUNTIF($F$11:F21,F21)-1)*10000,10)&amp;"}]")</f>
        <v>[{all_class_dmg,300}]</v>
      </c>
      <c r="H21" s="82" t="s">
        <v>563</v>
      </c>
      <c r="J21" s="78">
        <f ca="1">IF(MOD(COUNTIF($Q$11:Q20,Q20),5)=0,OFFSET(装备属性!$P$1083,1+INT(COUNTA($Q$11:Q20)/5),0),J20)</f>
        <v>2</v>
      </c>
      <c r="K21" s="83" t="str">
        <f ca="1">IF(RIGHT(G21,13)="rune_slot,1}]",_xlfn.XLOOKUP(LEFT(SUBSTITUTE(G21,"[{",""),FIND(",",SUBSTITUTE(G21,"[{",""))-1),Sheet2!B:B,Sheet2!C:C)&amp;"+"&amp;1,_xlfn.XLOOKUP(LEFT(SUBSTITUTE(G21,"[{",""),FIND(",",SUBSTITUTE(G21,"[{",""))-1),Sheet2!B:B,Sheet2!C:C)&amp;"+"&amp;SUBSTITUTE(RIGHT(G21,LEN(G21)-FIND(",",G21)),"}]","")/100&amp;"%")</f>
        <v>上阵五个不同职业增伤+3%</v>
      </c>
      <c r="L21" s="83" t="str">
        <f ca="1">IF(MOD(COUNTIF($Q$11:Q20,Q20),5)=0,OFFSET(装备属性!$G$1083,1+INT(COUNTA($Q$11:Q20)/5),0),L20)</f>
        <v>全员出力Ⅰ</v>
      </c>
      <c r="M21" s="89" t="str">
        <f ca="1">IF(MOD(COUNTIF($Q$11:Q20,Q20),5)=0,OFFSET(装备属性!$H$1083,1+INT(COUNTA($Q$11:Q20)/5),0),M20)</f>
        <v>all_class_dmg</v>
      </c>
      <c r="N21" s="76">
        <f ca="1">IF(MOD(COUNTIF($Q$11:Q20,Q20),5)=0,OFFSET(装备属性!$K$1083,1+INT(COUNTA($Q$11:Q20)/5),0),N20)</f>
        <v>0.03</v>
      </c>
      <c r="O21" s="76">
        <f ca="1">IF(MOD(COUNTIF($Q$11:Q20,Q20),5)=0,OFFSET(装备属性!$L$1083,1+INT(COUNTA($Q$11:Q20)/5),0),O20)</f>
        <v>0.042</v>
      </c>
      <c r="Q21" s="89" t="str">
        <f ca="1">IF(MOD(COUNTIF($Q$11:Q20,Q20),5)=0,OFFSET(装备属性!$M$1083,1+INT(COUNTA($Q$11:Q20)/5),0),Q20)</f>
        <v>通用属性</v>
      </c>
      <c r="R21" s="83">
        <f ca="1">IF(MOD(COUNTIF($Q$11:Q20,Q20),5)=0,10000*SUBSTITUTE(SUBSTITUTE(OFFSET(装备属性!$F$1083,1+INT(COUNTA($Q$11:Q20)/5),0),"[",""),"]","")+_xlfn.XLOOKUP(C21,$M$3:$M$7,$N$3:$N$7)*100,R20)</f>
        <v>10400</v>
      </c>
    </row>
    <row r="22" customHeight="1" spans="1:18">
      <c r="A22" s="78">
        <f ca="1" t="shared" si="0"/>
        <v>10401</v>
      </c>
      <c r="B22" s="82">
        <f ca="1">IFERROR(R22+COUNTIFS($R$11:$R22,R22),"")</f>
        <v>10412</v>
      </c>
      <c r="C22" s="83" t="str">
        <f ca="1">IF(MOD(COUNTIF($Q$11:Q21,Q21),5)=0,OFFSET(装备属性!$D$1083,1+INT(COUNTA($Q$11:Q21)/5),0),C21)</f>
        <v>紫</v>
      </c>
      <c r="D22" s="82">
        <f t="shared" si="2"/>
        <v>2500</v>
      </c>
      <c r="F22" s="82">
        <f ca="1" t="shared" si="1"/>
        <v>10402</v>
      </c>
      <c r="G22" s="78" t="str">
        <f ca="1">IF(AND(LEFT("[{"&amp;M22&amp;","&amp;CEILING(N22*10000+(O22-N22)/4*(COUNTIF($F$11:F22,F22)-1)*10000,10)&amp;"}]",7)="[{equip",MID("[{"&amp;M22&amp;","&amp;CEILING(N22*10000+(O22-N22)/4*(COUNTIF($F$11:F22,F22)-1)*10000,10)&amp;"}]",8,1)&lt;&gt;"_"),"[{"&amp;M22&amp;","&amp;1&amp;"}]","[{"&amp;M22&amp;","&amp;CEILING(N22*10000+(O22-N22)/4*(COUNTIF($F$11:F22,F22)-1)*10000,10)&amp;"}]")</f>
        <v>[{all_class_dmg,330}]</v>
      </c>
      <c r="H22" s="82" t="s">
        <v>563</v>
      </c>
      <c r="J22" s="78">
        <f ca="1">IF(MOD(COUNTIF($Q$11:Q21,Q21),5)=0,OFFSET(装备属性!$P$1083,1+INT(COUNTA($Q$11:Q21)/5),0),J21)</f>
        <v>2</v>
      </c>
      <c r="K22" s="83" t="str">
        <f ca="1">IF(RIGHT(G22,13)="rune_slot,1}]",_xlfn.XLOOKUP(LEFT(SUBSTITUTE(G22,"[{",""),FIND(",",SUBSTITUTE(G22,"[{",""))-1),Sheet2!B:B,Sheet2!C:C)&amp;"+"&amp;1,_xlfn.XLOOKUP(LEFT(SUBSTITUTE(G22,"[{",""),FIND(",",SUBSTITUTE(G22,"[{",""))-1),Sheet2!B:B,Sheet2!C:C)&amp;"+"&amp;SUBSTITUTE(RIGHT(G22,LEN(G22)-FIND(",",G22)),"}]","")/100&amp;"%")</f>
        <v>上阵五个不同职业增伤+3.3%</v>
      </c>
      <c r="L22" s="83" t="str">
        <f ca="1">IF(MOD(COUNTIF($Q$11:Q21,Q21),5)=0,OFFSET(装备属性!$G$1083,1+INT(COUNTA($Q$11:Q21)/5),0),L21)</f>
        <v>全员出力Ⅰ</v>
      </c>
      <c r="M22" s="89" t="str">
        <f ca="1">IF(MOD(COUNTIF($Q$11:Q21,Q21),5)=0,OFFSET(装备属性!$H$1083,1+INT(COUNTA($Q$11:Q21)/5),0),M21)</f>
        <v>all_class_dmg</v>
      </c>
      <c r="N22" s="76">
        <f ca="1">IF(MOD(COUNTIF($Q$11:Q21,Q21),5)=0,OFFSET(装备属性!$K$1083,1+INT(COUNTA($Q$11:Q21)/5),0),N21)</f>
        <v>0.03</v>
      </c>
      <c r="O22" s="76">
        <f ca="1">IF(MOD(COUNTIF($Q$11:Q21,Q21),5)=0,OFFSET(装备属性!$L$1083,1+INT(COUNTA($Q$11:Q21)/5),0),O21)</f>
        <v>0.042</v>
      </c>
      <c r="Q22" s="89" t="str">
        <f ca="1">IF(MOD(COUNTIF($Q$11:Q21,Q21),5)=0,OFFSET(装备属性!$M$1083,1+INT(COUNTA($Q$11:Q21)/5),0),Q21)</f>
        <v>通用属性</v>
      </c>
      <c r="R22" s="83">
        <f ca="1">IF(MOD(COUNTIF($Q$11:Q21,Q21),5)=0,10000*SUBSTITUTE(SUBSTITUTE(OFFSET(装备属性!$F$1083,1+INT(COUNTA($Q$11:Q21)/5),0),"[",""),"]","")+_xlfn.XLOOKUP(C22,$M$3:$M$7,$N$3:$N$7)*100,R21)</f>
        <v>10400</v>
      </c>
    </row>
    <row r="23" customHeight="1" spans="1:18">
      <c r="A23" s="78">
        <f ca="1" t="shared" si="0"/>
        <v>10401</v>
      </c>
      <c r="B23" s="82">
        <f ca="1">IFERROR(R23+COUNTIFS($R$11:$R23,R23),"")</f>
        <v>10413</v>
      </c>
      <c r="C23" s="83" t="str">
        <f ca="1">IF(MOD(COUNTIF($Q$11:Q22,Q22),5)=0,OFFSET(装备属性!$D$1083,1+INT(COUNTA($Q$11:Q22)/5),0),C22)</f>
        <v>紫</v>
      </c>
      <c r="D23" s="82">
        <f t="shared" si="2"/>
        <v>2000</v>
      </c>
      <c r="F23" s="82">
        <f ca="1" t="shared" si="1"/>
        <v>10402</v>
      </c>
      <c r="G23" s="78" t="str">
        <f ca="1">IF(AND(LEFT("[{"&amp;M23&amp;","&amp;CEILING(N23*10000+(O23-N23)/4*(COUNTIF($F$11:F23,F23)-1)*10000,10)&amp;"}]",7)="[{equip",MID("[{"&amp;M23&amp;","&amp;CEILING(N23*10000+(O23-N23)/4*(COUNTIF($F$11:F23,F23)-1)*10000,10)&amp;"}]",8,1)&lt;&gt;"_"),"[{"&amp;M23&amp;","&amp;1&amp;"}]","[{"&amp;M23&amp;","&amp;CEILING(N23*10000+(O23-N23)/4*(COUNTIF($F$11:F23,F23)-1)*10000,10)&amp;"}]")</f>
        <v>[{all_class_dmg,360}]</v>
      </c>
      <c r="H23" s="82" t="s">
        <v>563</v>
      </c>
      <c r="J23" s="78">
        <f ca="1">IF(MOD(COUNTIF($Q$11:Q22,Q22),5)=0,OFFSET(装备属性!$P$1083,1+INT(COUNTA($Q$11:Q22)/5),0),J22)</f>
        <v>2</v>
      </c>
      <c r="K23" s="83" t="str">
        <f ca="1">IF(RIGHT(G23,13)="rune_slot,1}]",_xlfn.XLOOKUP(LEFT(SUBSTITUTE(G23,"[{",""),FIND(",",SUBSTITUTE(G23,"[{",""))-1),Sheet2!B:B,Sheet2!C:C)&amp;"+"&amp;1,_xlfn.XLOOKUP(LEFT(SUBSTITUTE(G23,"[{",""),FIND(",",SUBSTITUTE(G23,"[{",""))-1),Sheet2!B:B,Sheet2!C:C)&amp;"+"&amp;SUBSTITUTE(RIGHT(G23,LEN(G23)-FIND(",",G23)),"}]","")/100&amp;"%")</f>
        <v>上阵五个不同职业增伤+3.6%</v>
      </c>
      <c r="L23" s="83" t="str">
        <f ca="1">IF(MOD(COUNTIF($Q$11:Q22,Q22),5)=0,OFFSET(装备属性!$G$1083,1+INT(COUNTA($Q$11:Q22)/5),0),L22)</f>
        <v>全员出力Ⅰ</v>
      </c>
      <c r="M23" s="89" t="str">
        <f ca="1">IF(MOD(COUNTIF($Q$11:Q22,Q22),5)=0,OFFSET(装备属性!$H$1083,1+INT(COUNTA($Q$11:Q22)/5),0),M22)</f>
        <v>all_class_dmg</v>
      </c>
      <c r="N23" s="76">
        <f ca="1">IF(MOD(COUNTIF($Q$11:Q22,Q22),5)=0,OFFSET(装备属性!$K$1083,1+INT(COUNTA($Q$11:Q22)/5),0),N22)</f>
        <v>0.03</v>
      </c>
      <c r="O23" s="76">
        <f ca="1">IF(MOD(COUNTIF($Q$11:Q22,Q22),5)=0,OFFSET(装备属性!$L$1083,1+INT(COUNTA($Q$11:Q22)/5),0),O22)</f>
        <v>0.042</v>
      </c>
      <c r="Q23" s="89" t="str">
        <f ca="1">IF(MOD(COUNTIF($Q$11:Q22,Q22),5)=0,OFFSET(装备属性!$M$1083,1+INT(COUNTA($Q$11:Q22)/5),0),Q22)</f>
        <v>通用属性</v>
      </c>
      <c r="R23" s="83">
        <f ca="1">IF(MOD(COUNTIF($Q$11:Q22,Q22),5)=0,10000*SUBSTITUTE(SUBSTITUTE(OFFSET(装备属性!$F$1083,1+INT(COUNTA($Q$11:Q22)/5),0),"[",""),"]","")+_xlfn.XLOOKUP(C23,$M$3:$M$7,$N$3:$N$7)*100,R22)</f>
        <v>10400</v>
      </c>
    </row>
    <row r="24" customHeight="1" spans="1:18">
      <c r="A24" s="78">
        <f ca="1" t="shared" si="0"/>
        <v>10401</v>
      </c>
      <c r="B24" s="82">
        <f ca="1">IFERROR(R24+COUNTIFS($R$11:$R24,R24),"")</f>
        <v>10414</v>
      </c>
      <c r="C24" s="83" t="str">
        <f ca="1">IF(MOD(COUNTIF($Q$11:Q23,Q23),5)=0,OFFSET(装备属性!$D$1083,1+INT(COUNTA($Q$11:Q23)/5),0),C23)</f>
        <v>紫</v>
      </c>
      <c r="D24" s="82">
        <f t="shared" si="2"/>
        <v>1500</v>
      </c>
      <c r="F24" s="82">
        <f ca="1" t="shared" si="1"/>
        <v>10402</v>
      </c>
      <c r="G24" s="78" t="str">
        <f ca="1">IF(AND(LEFT("[{"&amp;M24&amp;","&amp;CEILING(N24*10000+(O24-N24)/4*(COUNTIF($F$11:F24,F24)-1)*10000,10)&amp;"}]",7)="[{equip",MID("[{"&amp;M24&amp;","&amp;CEILING(N24*10000+(O24-N24)/4*(COUNTIF($F$11:F24,F24)-1)*10000,10)&amp;"}]",8,1)&lt;&gt;"_"),"[{"&amp;M24&amp;","&amp;1&amp;"}]","[{"&amp;M24&amp;","&amp;CEILING(N24*10000+(O24-N24)/4*(COUNTIF($F$11:F24,F24)-1)*10000,10)&amp;"}]")</f>
        <v>[{all_class_dmg,390}]</v>
      </c>
      <c r="H24" s="82" t="s">
        <v>563</v>
      </c>
      <c r="J24" s="78">
        <f ca="1">IF(MOD(COUNTIF($Q$11:Q23,Q23),5)=0,OFFSET(装备属性!$P$1083,1+INT(COUNTA($Q$11:Q23)/5),0),J23)</f>
        <v>2</v>
      </c>
      <c r="K24" s="83" t="str">
        <f ca="1">IF(RIGHT(G24,13)="rune_slot,1}]",_xlfn.XLOOKUP(LEFT(SUBSTITUTE(G24,"[{",""),FIND(",",SUBSTITUTE(G24,"[{",""))-1),Sheet2!B:B,Sheet2!C:C)&amp;"+"&amp;1,_xlfn.XLOOKUP(LEFT(SUBSTITUTE(G24,"[{",""),FIND(",",SUBSTITUTE(G24,"[{",""))-1),Sheet2!B:B,Sheet2!C:C)&amp;"+"&amp;SUBSTITUTE(RIGHT(G24,LEN(G24)-FIND(",",G24)),"}]","")/100&amp;"%")</f>
        <v>上阵五个不同职业增伤+3.9%</v>
      </c>
      <c r="L24" s="83" t="str">
        <f ca="1">IF(MOD(COUNTIF($Q$11:Q23,Q23),5)=0,OFFSET(装备属性!$G$1083,1+INT(COUNTA($Q$11:Q23)/5),0),L23)</f>
        <v>全员出力Ⅰ</v>
      </c>
      <c r="M24" s="89" t="str">
        <f ca="1">IF(MOD(COUNTIF($Q$11:Q23,Q23),5)=0,OFFSET(装备属性!$H$1083,1+INT(COUNTA($Q$11:Q23)/5),0),M23)</f>
        <v>all_class_dmg</v>
      </c>
      <c r="N24" s="76">
        <f ca="1">IF(MOD(COUNTIF($Q$11:Q23,Q23),5)=0,OFFSET(装备属性!$K$1083,1+INT(COUNTA($Q$11:Q23)/5),0),N23)</f>
        <v>0.03</v>
      </c>
      <c r="O24" s="76">
        <f ca="1">IF(MOD(COUNTIF($Q$11:Q23,Q23),5)=0,OFFSET(装备属性!$L$1083,1+INT(COUNTA($Q$11:Q23)/5),0),O23)</f>
        <v>0.042</v>
      </c>
      <c r="Q24" s="89" t="str">
        <f ca="1">IF(MOD(COUNTIF($Q$11:Q23,Q23),5)=0,OFFSET(装备属性!$M$1083,1+INT(COUNTA($Q$11:Q23)/5),0),Q23)</f>
        <v>通用属性</v>
      </c>
      <c r="R24" s="83">
        <f ca="1">IF(MOD(COUNTIF($Q$11:Q23,Q23),5)=0,10000*SUBSTITUTE(SUBSTITUTE(OFFSET(装备属性!$F$1083,1+INT(COUNTA($Q$11:Q23)/5),0),"[",""),"]","")+_xlfn.XLOOKUP(C24,$M$3:$M$7,$N$3:$N$7)*100,R23)</f>
        <v>10400</v>
      </c>
    </row>
    <row r="25" customHeight="1" spans="1:18">
      <c r="A25" s="78">
        <f ca="1" t="shared" si="0"/>
        <v>10401</v>
      </c>
      <c r="B25" s="82">
        <f ca="1">IFERROR(R25+COUNTIFS($R$11:$R25,R25),"")</f>
        <v>10415</v>
      </c>
      <c r="C25" s="83" t="str">
        <f ca="1">IF(MOD(COUNTIF($Q$11:Q24,Q24),5)=0,OFFSET(装备属性!$D$1083,1+INT(COUNTA($Q$11:Q24)/5),0),C24)</f>
        <v>紫</v>
      </c>
      <c r="D25" s="82">
        <f t="shared" si="2"/>
        <v>1000</v>
      </c>
      <c r="F25" s="82">
        <f ca="1" t="shared" si="1"/>
        <v>10402</v>
      </c>
      <c r="G25" s="78" t="str">
        <f ca="1">IF(AND(LEFT("[{"&amp;M25&amp;","&amp;CEILING(N25*10000+(O25-N25)/4*(COUNTIF($F$11:F25,F25)-1)*10000,10)&amp;"}]",7)="[{equip",MID("[{"&amp;M25&amp;","&amp;CEILING(N25*10000+(O25-N25)/4*(COUNTIF($F$11:F25,F25)-1)*10000,10)&amp;"}]",8,1)&lt;&gt;"_"),"[{"&amp;M25&amp;","&amp;1&amp;"}]","[{"&amp;M25&amp;","&amp;CEILING(N25*10000+(O25-N25)/4*(COUNTIF($F$11:F25,F25)-1)*10000,10)&amp;"}]")</f>
        <v>[{all_class_dmg,420}]</v>
      </c>
      <c r="H25" s="82" t="s">
        <v>563</v>
      </c>
      <c r="J25" s="78">
        <f ca="1">IF(MOD(COUNTIF($Q$11:Q24,Q24),5)=0,OFFSET(装备属性!$P$1083,1+INT(COUNTA($Q$11:Q24)/5),0),J24)</f>
        <v>2</v>
      </c>
      <c r="K25" s="83" t="str">
        <f ca="1">IF(RIGHT(G25,13)="rune_slot,1}]",_xlfn.XLOOKUP(LEFT(SUBSTITUTE(G25,"[{",""),FIND(",",SUBSTITUTE(G25,"[{",""))-1),Sheet2!B:B,Sheet2!C:C)&amp;"+"&amp;1,_xlfn.XLOOKUP(LEFT(SUBSTITUTE(G25,"[{",""),FIND(",",SUBSTITUTE(G25,"[{",""))-1),Sheet2!B:B,Sheet2!C:C)&amp;"+"&amp;SUBSTITUTE(RIGHT(G25,LEN(G25)-FIND(",",G25)),"}]","")/100&amp;"%")</f>
        <v>上阵五个不同职业增伤+4.2%</v>
      </c>
      <c r="L25" s="83" t="str">
        <f ca="1">IF(MOD(COUNTIF($Q$11:Q24,Q24),5)=0,OFFSET(装备属性!$G$1083,1+INT(COUNTA($Q$11:Q24)/5),0),L24)</f>
        <v>全员出力Ⅰ</v>
      </c>
      <c r="M25" s="89" t="str">
        <f ca="1">IF(MOD(COUNTIF($Q$11:Q24,Q24),5)=0,OFFSET(装备属性!$H$1083,1+INT(COUNTA($Q$11:Q24)/5),0),M24)</f>
        <v>all_class_dmg</v>
      </c>
      <c r="N25" s="76">
        <f ca="1">IF(MOD(COUNTIF($Q$11:Q24,Q24),5)=0,OFFSET(装备属性!$K$1083,1+INT(COUNTA($Q$11:Q24)/5),0),N24)</f>
        <v>0.03</v>
      </c>
      <c r="O25" s="76">
        <f ca="1">IF(MOD(COUNTIF($Q$11:Q24,Q24),5)=0,OFFSET(装备属性!$L$1083,1+INT(COUNTA($Q$11:Q24)/5),0),O24)</f>
        <v>0.042</v>
      </c>
      <c r="Q25" s="89" t="str">
        <f ca="1">IF(MOD(COUNTIF($Q$11:Q24,Q24),5)=0,OFFSET(装备属性!$M$1083,1+INT(COUNTA($Q$11:Q24)/5),0),Q24)</f>
        <v>通用属性</v>
      </c>
      <c r="R25" s="83">
        <f ca="1">IF(MOD(COUNTIF($Q$11:Q24,Q24),5)=0,10000*SUBSTITUTE(SUBSTITUTE(OFFSET(装备属性!$F$1083,1+INT(COUNTA($Q$11:Q24)/5),0),"[",""),"]","")+_xlfn.XLOOKUP(C25,$M$3:$M$7,$N$3:$N$7)*100,R24)</f>
        <v>10400</v>
      </c>
    </row>
    <row r="26" customHeight="1" spans="1:18">
      <c r="A26" s="78" t="str">
        <f ca="1" t="shared" si="0"/>
        <v/>
      </c>
      <c r="B26" s="82" t="str">
        <f ca="1">IFERROR(R26+COUNTIFS($R$11:$R26,R26),"")</f>
        <v/>
      </c>
      <c r="C26" s="83">
        <f ca="1">IF(MOD(COUNTIF($Q$11:Q25,Q25),5)=0,OFFSET(装备属性!$D$1083,1+INT(COUNTA($Q$11:Q25)/5),0),C25)</f>
        <v>0</v>
      </c>
      <c r="D26" s="82">
        <f t="shared" si="2"/>
        <v>3000</v>
      </c>
      <c r="F26" s="82" t="str">
        <f ca="1" t="shared" si="1"/>
        <v/>
      </c>
      <c r="G26" s="78" t="str">
        <f ca="1">IF(AND(LEFT("[{"&amp;M26&amp;","&amp;CEILING(N26*10000+(O26-N26)/4*(COUNTIF($F$11:F26,F26)-1)*10000,10)&amp;"}]",7)="[{equip",MID("[{"&amp;M26&amp;","&amp;CEILING(N26*10000+(O26-N26)/4*(COUNTIF($F$11:F26,F26)-1)*10000,10)&amp;"}]",8,1)&lt;&gt;"_"),"[{"&amp;M26&amp;","&amp;1&amp;"}]","[{"&amp;M26&amp;","&amp;CEILING(N26*10000+(O26-N26)/4*(COUNTIF($F$11:F26,F26)-1)*10000,10)&amp;"}]")</f>
        <v>[{exp_boost,2000}]</v>
      </c>
      <c r="H26" s="82" t="s">
        <v>563</v>
      </c>
      <c r="J26" s="78">
        <f ca="1">IF(MOD(COUNTIF($Q$11:Q25,Q25),5)=0,OFFSET(装备属性!$P$1083,1+INT(COUNTA($Q$11:Q25)/5),0),J25)</f>
        <v>9</v>
      </c>
      <c r="K26" s="83" t="str">
        <f ca="1">IF(RIGHT(G26,13)="rune_slot,1}]",_xlfn.XLOOKUP(LEFT(SUBSTITUTE(G26,"[{",""),FIND(",",SUBSTITUTE(G26,"[{",""))-1),Sheet2!B:B,Sheet2!C:C)&amp;"+"&amp;1,_xlfn.XLOOKUP(LEFT(SUBSTITUTE(G26,"[{",""),FIND(",",SUBSTITUTE(G26,"[{",""))-1),Sheet2!B:B,Sheet2!C:C)&amp;"+"&amp;SUBSTITUTE(RIGHT(G26,LEN(G26)-FIND(",",G26)),"}]","")/100&amp;"%")</f>
        <v>经验加成+20%</v>
      </c>
      <c r="L26" s="83" t="str">
        <f ca="1">IF(MOD(COUNTIF($Q$11:Q25,Q25),5)=0,OFFSET(装备属性!$G$1083,1+INT(COUNTA($Q$11:Q25)/5),0),L25)</f>
        <v>涨见识</v>
      </c>
      <c r="M26" s="89" t="str">
        <f ca="1">IF(MOD(COUNTIF($Q$11:Q25,Q25),5)=0,OFFSET(装备属性!$H$1083,1+INT(COUNTA($Q$11:Q25)/5),0),M25)</f>
        <v>exp_boost</v>
      </c>
      <c r="N26" s="76">
        <f ca="1">IF(MOD(COUNTIF($Q$11:Q25,Q25),5)=0,OFFSET(装备属性!$K$1083,1+INT(COUNTA($Q$11:Q25)/5),0),N25)</f>
        <v>0.2</v>
      </c>
      <c r="O26" s="76">
        <f ca="1">IF(MOD(COUNTIF($Q$11:Q25,Q25),5)=0,OFFSET(装备属性!$L$1083,1+INT(COUNTA($Q$11:Q25)/5),0),O25)</f>
        <v>0.2</v>
      </c>
      <c r="Q26" s="89" t="str">
        <f ca="1">IF(MOD(COUNTIF($Q$11:Q25,Q25),5)=0,OFFSET(装备属性!$M$1083,1+INT(COUNTA($Q$11:Q25)/5),0),Q25)</f>
        <v>稀有词条</v>
      </c>
      <c r="R26" s="83" t="e">
        <f ca="1">IF(MOD(COUNTIF($Q$11:Q25,Q25),5)=0,10000*SUBSTITUTE(SUBSTITUTE(OFFSET(装备属性!$F$1083,1+INT(COUNTA($Q$11:Q25)/5),0),"[",""),"]","")+_xlfn.XLOOKUP(C26,$M$3:$M$7,$N$3:$N$7)*100,R25)</f>
        <v>#N/A</v>
      </c>
    </row>
    <row r="27" customHeight="1" spans="1:18">
      <c r="A27" s="78" t="str">
        <f ca="1" t="shared" si="0"/>
        <v/>
      </c>
      <c r="B27" s="82" t="str">
        <f ca="1">IFERROR(R27+COUNTIFS($R$11:$R27,R27),"")</f>
        <v/>
      </c>
      <c r="C27" s="83">
        <f ca="1">IF(MOD(COUNTIF($Q$11:Q26,Q26),5)=0,OFFSET(装备属性!$D$1083,1+INT(COUNTA($Q$11:Q26)/5),0),C26)</f>
        <v>0</v>
      </c>
      <c r="D27" s="82">
        <f t="shared" si="2"/>
        <v>2500</v>
      </c>
      <c r="F27" s="82" t="str">
        <f ca="1" t="shared" si="1"/>
        <v/>
      </c>
      <c r="G27" s="78" t="str">
        <f ca="1">IF(AND(LEFT("[{"&amp;M27&amp;","&amp;CEILING(N27*10000+(O27-N27)/4*(COUNTIF($F$11:F27,F27)-1)*10000,10)&amp;"}]",7)="[{equip",MID("[{"&amp;M27&amp;","&amp;CEILING(N27*10000+(O27-N27)/4*(COUNTIF($F$11:F27,F27)-1)*10000,10)&amp;"}]",8,1)&lt;&gt;"_"),"[{"&amp;M27&amp;","&amp;1&amp;"}]","[{"&amp;M27&amp;","&amp;CEILING(N27*10000+(O27-N27)/4*(COUNTIF($F$11:F27,F27)-1)*10000,10)&amp;"}]")</f>
        <v>[{exp_boost,2000}]</v>
      </c>
      <c r="H27" s="82" t="s">
        <v>563</v>
      </c>
      <c r="J27" s="78">
        <f ca="1">IF(MOD(COUNTIF($Q$11:Q26,Q26),5)=0,OFFSET(装备属性!$P$1083,1+INT(COUNTA($Q$11:Q26)/5),0),J26)</f>
        <v>9</v>
      </c>
      <c r="K27" s="83" t="str">
        <f ca="1">IF(RIGHT(G27,13)="rune_slot,1}]",_xlfn.XLOOKUP(LEFT(SUBSTITUTE(G27,"[{",""),FIND(",",SUBSTITUTE(G27,"[{",""))-1),Sheet2!B:B,Sheet2!C:C)&amp;"+"&amp;1,_xlfn.XLOOKUP(LEFT(SUBSTITUTE(G27,"[{",""),FIND(",",SUBSTITUTE(G27,"[{",""))-1),Sheet2!B:B,Sheet2!C:C)&amp;"+"&amp;SUBSTITUTE(RIGHT(G27,LEN(G27)-FIND(",",G27)),"}]","")/100&amp;"%")</f>
        <v>经验加成+20%</v>
      </c>
      <c r="L27" s="83" t="str">
        <f ca="1">IF(MOD(COUNTIF($Q$11:Q26,Q26),5)=0,OFFSET(装备属性!$G$1083,1+INT(COUNTA($Q$11:Q26)/5),0),L26)</f>
        <v>涨见识</v>
      </c>
      <c r="M27" s="89" t="str">
        <f ca="1">IF(MOD(COUNTIF($Q$11:Q26,Q26),5)=0,OFFSET(装备属性!$H$1083,1+INT(COUNTA($Q$11:Q26)/5),0),M26)</f>
        <v>exp_boost</v>
      </c>
      <c r="N27" s="76">
        <f ca="1">IF(MOD(COUNTIF($Q$11:Q26,Q26),5)=0,OFFSET(装备属性!$K$1083,1+INT(COUNTA($Q$11:Q26)/5),0),N26)</f>
        <v>0.2</v>
      </c>
      <c r="O27" s="76">
        <f ca="1">IF(MOD(COUNTIF($Q$11:Q26,Q26),5)=0,OFFSET(装备属性!$L$1083,1+INT(COUNTA($Q$11:Q26)/5),0),O26)</f>
        <v>0.2</v>
      </c>
      <c r="Q27" s="89" t="str">
        <f ca="1">IF(MOD(COUNTIF($Q$11:Q26,Q26),5)=0,OFFSET(装备属性!$M$1083,1+INT(COUNTA($Q$11:Q26)/5),0),Q26)</f>
        <v>稀有词条</v>
      </c>
      <c r="R27" s="83" t="e">
        <f ca="1">IF(MOD(COUNTIF($Q$11:Q26,Q26),5)=0,10000*SUBSTITUTE(SUBSTITUTE(OFFSET(装备属性!$F$1083,1+INT(COUNTA($Q$11:Q26)/5),0),"[",""),"]","")+_xlfn.XLOOKUP(C27,$M$3:$M$7,$N$3:$N$7)*100,R26)</f>
        <v>#N/A</v>
      </c>
    </row>
    <row r="28" customHeight="1" spans="1:18">
      <c r="A28" s="78" t="str">
        <f ca="1" t="shared" si="0"/>
        <v/>
      </c>
      <c r="B28" s="82" t="str">
        <f ca="1">IFERROR(R28+COUNTIFS($R$11:$R28,R28),"")</f>
        <v/>
      </c>
      <c r="C28" s="83">
        <f ca="1">IF(MOD(COUNTIF($Q$11:Q27,Q27),5)=0,OFFSET(装备属性!$D$1083,1+INT(COUNTA($Q$11:Q27)/5),0),C27)</f>
        <v>0</v>
      </c>
      <c r="D28" s="82">
        <f t="shared" si="2"/>
        <v>2000</v>
      </c>
      <c r="F28" s="82" t="str">
        <f ca="1" t="shared" si="1"/>
        <v/>
      </c>
      <c r="G28" s="78" t="str">
        <f ca="1">IF(AND(LEFT("[{"&amp;M28&amp;","&amp;CEILING(N28*10000+(O28-N28)/4*(COUNTIF($F$11:F28,F28)-1)*10000,10)&amp;"}]",7)="[{equip",MID("[{"&amp;M28&amp;","&amp;CEILING(N28*10000+(O28-N28)/4*(COUNTIF($F$11:F28,F28)-1)*10000,10)&amp;"}]",8,1)&lt;&gt;"_"),"[{"&amp;M28&amp;","&amp;1&amp;"}]","[{"&amp;M28&amp;","&amp;CEILING(N28*10000+(O28-N28)/4*(COUNTIF($F$11:F28,F28)-1)*10000,10)&amp;"}]")</f>
        <v>[{exp_boost,2000}]</v>
      </c>
      <c r="H28" s="82" t="s">
        <v>563</v>
      </c>
      <c r="J28" s="78">
        <f ca="1">IF(MOD(COUNTIF($Q$11:Q27,Q27),5)=0,OFFSET(装备属性!$P$1083,1+INT(COUNTA($Q$11:Q27)/5),0),J27)</f>
        <v>9</v>
      </c>
      <c r="K28" s="83" t="str">
        <f ca="1">IF(RIGHT(G28,13)="rune_slot,1}]",_xlfn.XLOOKUP(LEFT(SUBSTITUTE(G28,"[{",""),FIND(",",SUBSTITUTE(G28,"[{",""))-1),Sheet2!B:B,Sheet2!C:C)&amp;"+"&amp;1,_xlfn.XLOOKUP(LEFT(SUBSTITUTE(G28,"[{",""),FIND(",",SUBSTITUTE(G28,"[{",""))-1),Sheet2!B:B,Sheet2!C:C)&amp;"+"&amp;SUBSTITUTE(RIGHT(G28,LEN(G28)-FIND(",",G28)),"}]","")/100&amp;"%")</f>
        <v>经验加成+20%</v>
      </c>
      <c r="L28" s="83" t="str">
        <f ca="1">IF(MOD(COUNTIF($Q$11:Q27,Q27),5)=0,OFFSET(装备属性!$G$1083,1+INT(COUNTA($Q$11:Q27)/5),0),L27)</f>
        <v>涨见识</v>
      </c>
      <c r="M28" s="89" t="str">
        <f ca="1">IF(MOD(COUNTIF($Q$11:Q27,Q27),5)=0,OFFSET(装备属性!$H$1083,1+INT(COUNTA($Q$11:Q27)/5),0),M27)</f>
        <v>exp_boost</v>
      </c>
      <c r="N28" s="76">
        <f ca="1">IF(MOD(COUNTIF($Q$11:Q27,Q27),5)=0,OFFSET(装备属性!$K$1083,1+INT(COUNTA($Q$11:Q27)/5),0),N27)</f>
        <v>0.2</v>
      </c>
      <c r="O28" s="76">
        <f ca="1">IF(MOD(COUNTIF($Q$11:Q27,Q27),5)=0,OFFSET(装备属性!$L$1083,1+INT(COUNTA($Q$11:Q27)/5),0),O27)</f>
        <v>0.2</v>
      </c>
      <c r="Q28" s="89" t="str">
        <f ca="1">IF(MOD(COUNTIF($Q$11:Q27,Q27),5)=0,OFFSET(装备属性!$M$1083,1+INT(COUNTA($Q$11:Q27)/5),0),Q27)</f>
        <v>稀有词条</v>
      </c>
      <c r="R28" s="83" t="e">
        <f ca="1">IF(MOD(COUNTIF($Q$11:Q27,Q27),5)=0,10000*SUBSTITUTE(SUBSTITUTE(OFFSET(装备属性!$F$1083,1+INT(COUNTA($Q$11:Q27)/5),0),"[",""),"]","")+_xlfn.XLOOKUP(C28,$M$3:$M$7,$N$3:$N$7)*100,R27)</f>
        <v>#N/A</v>
      </c>
    </row>
    <row r="29" customHeight="1" spans="1:18">
      <c r="A29" s="78" t="str">
        <f ca="1" t="shared" si="0"/>
        <v/>
      </c>
      <c r="B29" s="82" t="str">
        <f ca="1">IFERROR(R29+COUNTIFS($R$11:$R29,R29),"")</f>
        <v/>
      </c>
      <c r="C29" s="83">
        <f ca="1">IF(MOD(COUNTIF($Q$11:Q28,Q28),5)=0,OFFSET(装备属性!$D$1083,1+INT(COUNTA($Q$11:Q28)/5),0),C28)</f>
        <v>0</v>
      </c>
      <c r="D29" s="82">
        <f t="shared" si="2"/>
        <v>1500</v>
      </c>
      <c r="F29" s="82" t="str">
        <f ca="1" t="shared" si="1"/>
        <v/>
      </c>
      <c r="G29" s="78" t="str">
        <f ca="1">IF(AND(LEFT("[{"&amp;M29&amp;","&amp;CEILING(N29*10000+(O29-N29)/4*(COUNTIF($F$11:F29,F29)-1)*10000,10)&amp;"}]",7)="[{equip",MID("[{"&amp;M29&amp;","&amp;CEILING(N29*10000+(O29-N29)/4*(COUNTIF($F$11:F29,F29)-1)*10000,10)&amp;"}]",8,1)&lt;&gt;"_"),"[{"&amp;M29&amp;","&amp;1&amp;"}]","[{"&amp;M29&amp;","&amp;CEILING(N29*10000+(O29-N29)/4*(COUNTIF($F$11:F29,F29)-1)*10000,10)&amp;"}]")</f>
        <v>[{exp_boost,2000}]</v>
      </c>
      <c r="H29" s="82" t="s">
        <v>563</v>
      </c>
      <c r="J29" s="78">
        <f ca="1">IF(MOD(COUNTIF($Q$11:Q28,Q28),5)=0,OFFSET(装备属性!$P$1083,1+INT(COUNTA($Q$11:Q28)/5),0),J28)</f>
        <v>9</v>
      </c>
      <c r="K29" s="83" t="str">
        <f ca="1">IF(RIGHT(G29,13)="rune_slot,1}]",_xlfn.XLOOKUP(LEFT(SUBSTITUTE(G29,"[{",""),FIND(",",SUBSTITUTE(G29,"[{",""))-1),Sheet2!B:B,Sheet2!C:C)&amp;"+"&amp;1,_xlfn.XLOOKUP(LEFT(SUBSTITUTE(G29,"[{",""),FIND(",",SUBSTITUTE(G29,"[{",""))-1),Sheet2!B:B,Sheet2!C:C)&amp;"+"&amp;SUBSTITUTE(RIGHT(G29,LEN(G29)-FIND(",",G29)),"}]","")/100&amp;"%")</f>
        <v>经验加成+20%</v>
      </c>
      <c r="L29" s="83" t="str">
        <f ca="1">IF(MOD(COUNTIF($Q$11:Q28,Q28),5)=0,OFFSET(装备属性!$G$1083,1+INT(COUNTA($Q$11:Q28)/5),0),L28)</f>
        <v>涨见识</v>
      </c>
      <c r="M29" s="89" t="str">
        <f ca="1">IF(MOD(COUNTIF($Q$11:Q28,Q28),5)=0,OFFSET(装备属性!$H$1083,1+INT(COUNTA($Q$11:Q28)/5),0),M28)</f>
        <v>exp_boost</v>
      </c>
      <c r="N29" s="76">
        <f ca="1">IF(MOD(COUNTIF($Q$11:Q28,Q28),5)=0,OFFSET(装备属性!$K$1083,1+INT(COUNTA($Q$11:Q28)/5),0),N28)</f>
        <v>0.2</v>
      </c>
      <c r="O29" s="76">
        <f ca="1">IF(MOD(COUNTIF($Q$11:Q28,Q28),5)=0,OFFSET(装备属性!$L$1083,1+INT(COUNTA($Q$11:Q28)/5),0),O28)</f>
        <v>0.2</v>
      </c>
      <c r="Q29" s="89" t="str">
        <f ca="1">IF(MOD(COUNTIF($Q$11:Q28,Q28),5)=0,OFFSET(装备属性!$M$1083,1+INT(COUNTA($Q$11:Q28)/5),0),Q28)</f>
        <v>稀有词条</v>
      </c>
      <c r="R29" s="83" t="e">
        <f ca="1">IF(MOD(COUNTIF($Q$11:Q28,Q28),5)=0,10000*SUBSTITUTE(SUBSTITUTE(OFFSET(装备属性!$F$1083,1+INT(COUNTA($Q$11:Q28)/5),0),"[",""),"]","")+_xlfn.XLOOKUP(C29,$M$3:$M$7,$N$3:$N$7)*100,R28)</f>
        <v>#N/A</v>
      </c>
    </row>
    <row r="30" customHeight="1" spans="1:18">
      <c r="A30" s="78" t="str">
        <f ca="1" t="shared" si="0"/>
        <v/>
      </c>
      <c r="B30" s="82" t="str">
        <f ca="1">IFERROR(R30+COUNTIFS($R$11:$R30,R30),"")</f>
        <v/>
      </c>
      <c r="C30" s="83">
        <f ca="1">IF(MOD(COUNTIF($Q$11:Q29,Q29),5)=0,OFFSET(装备属性!$D$1083,1+INT(COUNTA($Q$11:Q29)/5),0),C29)</f>
        <v>0</v>
      </c>
      <c r="D30" s="82">
        <f t="shared" si="2"/>
        <v>1000</v>
      </c>
      <c r="F30" s="82" t="str">
        <f ca="1" t="shared" si="1"/>
        <v/>
      </c>
      <c r="G30" s="78" t="str">
        <f ca="1">IF(AND(LEFT("[{"&amp;M30&amp;","&amp;CEILING(N30*10000+(O30-N30)/4*(COUNTIF($F$11:F30,F30)-1)*10000,10)&amp;"}]",7)="[{equip",MID("[{"&amp;M30&amp;","&amp;CEILING(N30*10000+(O30-N30)/4*(COUNTIF($F$11:F30,F30)-1)*10000,10)&amp;"}]",8,1)&lt;&gt;"_"),"[{"&amp;M30&amp;","&amp;1&amp;"}]","[{"&amp;M30&amp;","&amp;CEILING(N30*10000+(O30-N30)/4*(COUNTIF($F$11:F30,F30)-1)*10000,10)&amp;"}]")</f>
        <v>[{exp_boost,2000}]</v>
      </c>
      <c r="H30" s="82" t="s">
        <v>563</v>
      </c>
      <c r="J30" s="78">
        <f ca="1">IF(MOD(COUNTIF($Q$11:Q29,Q29),5)=0,OFFSET(装备属性!$P$1083,1+INT(COUNTA($Q$11:Q29)/5),0),J29)</f>
        <v>9</v>
      </c>
      <c r="K30" s="83" t="str">
        <f ca="1">IF(RIGHT(G30,13)="rune_slot,1}]",_xlfn.XLOOKUP(LEFT(SUBSTITUTE(G30,"[{",""),FIND(",",SUBSTITUTE(G30,"[{",""))-1),Sheet2!B:B,Sheet2!C:C)&amp;"+"&amp;1,_xlfn.XLOOKUP(LEFT(SUBSTITUTE(G30,"[{",""),FIND(",",SUBSTITUTE(G30,"[{",""))-1),Sheet2!B:B,Sheet2!C:C)&amp;"+"&amp;SUBSTITUTE(RIGHT(G30,LEN(G30)-FIND(",",G30)),"}]","")/100&amp;"%")</f>
        <v>经验加成+20%</v>
      </c>
      <c r="L30" s="83" t="str">
        <f ca="1">IF(MOD(COUNTIF($Q$11:Q29,Q29),5)=0,OFFSET(装备属性!$G$1083,1+INT(COUNTA($Q$11:Q29)/5),0),L29)</f>
        <v>涨见识</v>
      </c>
      <c r="M30" s="89" t="str">
        <f ca="1">IF(MOD(COUNTIF($Q$11:Q29,Q29),5)=0,OFFSET(装备属性!$H$1083,1+INT(COUNTA($Q$11:Q29)/5),0),M29)</f>
        <v>exp_boost</v>
      </c>
      <c r="N30" s="76">
        <f ca="1">IF(MOD(COUNTIF($Q$11:Q29,Q29),5)=0,OFFSET(装备属性!$K$1083,1+INT(COUNTA($Q$11:Q29)/5),0),N29)</f>
        <v>0.2</v>
      </c>
      <c r="O30" s="76">
        <f ca="1">IF(MOD(COUNTIF($Q$11:Q29,Q29),5)=0,OFFSET(装备属性!$L$1083,1+INT(COUNTA($Q$11:Q29)/5),0),O29)</f>
        <v>0.2</v>
      </c>
      <c r="Q30" s="89" t="str">
        <f ca="1">IF(MOD(COUNTIF($Q$11:Q29,Q29),5)=0,OFFSET(装备属性!$M$1083,1+INT(COUNTA($Q$11:Q29)/5),0),Q29)</f>
        <v>稀有词条</v>
      </c>
      <c r="R30" s="83" t="e">
        <f ca="1">IF(MOD(COUNTIF($Q$11:Q29,Q29),5)=0,10000*SUBSTITUTE(SUBSTITUTE(OFFSET(装备属性!$F$1083,1+INT(COUNTA($Q$11:Q29)/5),0),"[",""),"]","")+_xlfn.XLOOKUP(C30,$M$3:$M$7,$N$3:$N$7)*100,R29)</f>
        <v>#N/A</v>
      </c>
    </row>
    <row r="31" customHeight="1" spans="1:18">
      <c r="A31" s="78" t="str">
        <f ca="1" t="shared" si="0"/>
        <v/>
      </c>
      <c r="B31" s="82" t="str">
        <f ca="1">IFERROR(R31+COUNTIFS($R$11:$R31,R31),"")</f>
        <v/>
      </c>
      <c r="C31" s="83">
        <f ca="1">IF(MOD(COUNTIF($Q$11:Q30,Q30),5)=0,OFFSET(装备属性!$D$1083,1+INT(COUNTA($Q$11:Q30)/5),0),C30)</f>
        <v>0</v>
      </c>
      <c r="D31" s="82">
        <f t="shared" si="2"/>
        <v>3000</v>
      </c>
      <c r="F31" s="82" t="str">
        <f ca="1" t="shared" si="1"/>
        <v/>
      </c>
      <c r="G31" s="78" t="str">
        <f ca="1">IF(AND(LEFT("[{"&amp;M31&amp;","&amp;CEILING(N31*10000+(O31-N31)/4*(COUNTIF($F$11:F31,F31)-1)*10000,10)&amp;"}]",7)="[{equip",MID("[{"&amp;M31&amp;","&amp;CEILING(N31*10000+(O31-N31)/4*(COUNTIF($F$11:F31,F31)-1)*10000,10)&amp;"}]",8,1)&lt;&gt;"_"),"[{"&amp;M31&amp;","&amp;1&amp;"}]","[{"&amp;M31&amp;","&amp;CEILING(N31*10000+(O31-N31)/4*(COUNTIF($F$11:F31,F31)-1)*10000,10)&amp;"}]")</f>
        <v>[{equip_base_attr,2500}]</v>
      </c>
      <c r="H31" s="82" t="s">
        <v>563</v>
      </c>
      <c r="J31" s="78">
        <f ca="1">IF(MOD(COUNTIF($Q$11:Q30,Q30),5)=0,OFFSET(装备属性!$P$1083,1+INT(COUNTA($Q$11:Q30)/5),0),J30)</f>
        <v>7</v>
      </c>
      <c r="K31" s="83" t="str">
        <f ca="1">IF(RIGHT(G31,13)="rune_slot,1}]",_xlfn.XLOOKUP(LEFT(SUBSTITUTE(G31,"[{",""),FIND(",",SUBSTITUTE(G31,"[{",""))-1),Sheet2!B:B,Sheet2!C:C)&amp;"+"&amp;1,_xlfn.XLOOKUP(LEFT(SUBSTITUTE(G31,"[{",""),FIND(",",SUBSTITUTE(G31,"[{",""))-1),Sheet2!B:B,Sheet2!C:C)&amp;"+"&amp;SUBSTITUTE(RIGHT(G31,LEN(G31)-FIND(",",G31)),"}]","")/100&amp;"%")</f>
        <v>装备基础属性加成+25%</v>
      </c>
      <c r="L31" s="83" t="str">
        <f ca="1">IF(MOD(COUNTIF($Q$11:Q30,Q30),5)=0,OFFSET(装备属性!$G$1083,1+INT(COUNTA($Q$11:Q30)/5),0),L30)</f>
        <v>厚底子</v>
      </c>
      <c r="M31" s="89" t="str">
        <f ca="1">IF(MOD(COUNTIF($Q$11:Q30,Q30),5)=0,OFFSET(装备属性!$H$1083,1+INT(COUNTA($Q$11:Q30)/5),0),M30)</f>
        <v>equip_base_attr</v>
      </c>
      <c r="N31" s="76">
        <f ca="1">IF(MOD(COUNTIF($Q$11:Q30,Q30),5)=0,OFFSET(装备属性!$K$1083,1+INT(COUNTA($Q$11:Q30)/5),0),N30)</f>
        <v>0.25</v>
      </c>
      <c r="O31" s="76">
        <f ca="1">IF(MOD(COUNTIF($Q$11:Q30,Q30),5)=0,OFFSET(装备属性!$L$1083,1+INT(COUNTA($Q$11:Q30)/5),0),O30)</f>
        <v>0.25</v>
      </c>
      <c r="Q31" s="89" t="str">
        <f ca="1">IF(MOD(COUNTIF($Q$11:Q30,Q30),5)=0,OFFSET(装备属性!$M$1083,1+INT(COUNTA($Q$11:Q30)/5),0),Q30)</f>
        <v>稀有词条</v>
      </c>
      <c r="R31" s="83" t="e">
        <f ca="1">IF(MOD(COUNTIF($Q$11:Q30,Q30),5)=0,10000*SUBSTITUTE(SUBSTITUTE(OFFSET(装备属性!$F$1083,1+INT(COUNTA($Q$11:Q30)/5),0),"[",""),"]","")+_xlfn.XLOOKUP(C31,$M$3:$M$7,$N$3:$N$7)*100,R30)</f>
        <v>#N/A</v>
      </c>
    </row>
    <row r="32" customHeight="1" spans="1:18">
      <c r="A32" s="78" t="str">
        <f ca="1" t="shared" si="0"/>
        <v/>
      </c>
      <c r="B32" s="82" t="str">
        <f ca="1">IFERROR(R32+COUNTIFS($R$11:$R32,R32),"")</f>
        <v/>
      </c>
      <c r="C32" s="83">
        <f ca="1">IF(MOD(COUNTIF($Q$11:Q31,Q31),5)=0,OFFSET(装备属性!$D$1083,1+INT(COUNTA($Q$11:Q31)/5),0),C31)</f>
        <v>0</v>
      </c>
      <c r="D32" s="82">
        <f t="shared" si="2"/>
        <v>2500</v>
      </c>
      <c r="F32" s="82" t="str">
        <f ca="1" t="shared" si="1"/>
        <v/>
      </c>
      <c r="G32" s="78" t="str">
        <f ca="1">IF(AND(LEFT("[{"&amp;M32&amp;","&amp;CEILING(N32*10000+(O32-N32)/4*(COUNTIF($F$11:F32,F32)-1)*10000,10)&amp;"}]",7)="[{equip",MID("[{"&amp;M32&amp;","&amp;CEILING(N32*10000+(O32-N32)/4*(COUNTIF($F$11:F32,F32)-1)*10000,10)&amp;"}]",8,1)&lt;&gt;"_"),"[{"&amp;M32&amp;","&amp;1&amp;"}]","[{"&amp;M32&amp;","&amp;CEILING(N32*10000+(O32-N32)/4*(COUNTIF($F$11:F32,F32)-1)*10000,10)&amp;"}]")</f>
        <v>[{equip_base_attr,2500}]</v>
      </c>
      <c r="H32" s="82" t="s">
        <v>563</v>
      </c>
      <c r="J32" s="78">
        <f ca="1">IF(MOD(COUNTIF($Q$11:Q31,Q31),5)=0,OFFSET(装备属性!$P$1083,1+INT(COUNTA($Q$11:Q31)/5),0),J31)</f>
        <v>7</v>
      </c>
      <c r="K32" s="83" t="str">
        <f ca="1">IF(RIGHT(G32,13)="rune_slot,1}]",_xlfn.XLOOKUP(LEFT(SUBSTITUTE(G32,"[{",""),FIND(",",SUBSTITUTE(G32,"[{",""))-1),Sheet2!B:B,Sheet2!C:C)&amp;"+"&amp;1,_xlfn.XLOOKUP(LEFT(SUBSTITUTE(G32,"[{",""),FIND(",",SUBSTITUTE(G32,"[{",""))-1),Sheet2!B:B,Sheet2!C:C)&amp;"+"&amp;SUBSTITUTE(RIGHT(G32,LEN(G32)-FIND(",",G32)),"}]","")/100&amp;"%")</f>
        <v>装备基础属性加成+25%</v>
      </c>
      <c r="L32" s="83" t="str">
        <f ca="1">IF(MOD(COUNTIF($Q$11:Q31,Q31),5)=0,OFFSET(装备属性!$G$1083,1+INT(COUNTA($Q$11:Q31)/5),0),L31)</f>
        <v>厚底子</v>
      </c>
      <c r="M32" s="89" t="str">
        <f ca="1">IF(MOD(COUNTIF($Q$11:Q31,Q31),5)=0,OFFSET(装备属性!$H$1083,1+INT(COUNTA($Q$11:Q31)/5),0),M31)</f>
        <v>equip_base_attr</v>
      </c>
      <c r="N32" s="76">
        <f ca="1">IF(MOD(COUNTIF($Q$11:Q31,Q31),5)=0,OFFSET(装备属性!$K$1083,1+INT(COUNTA($Q$11:Q31)/5),0),N31)</f>
        <v>0.25</v>
      </c>
      <c r="O32" s="76">
        <f ca="1">IF(MOD(COUNTIF($Q$11:Q31,Q31),5)=0,OFFSET(装备属性!$L$1083,1+INT(COUNTA($Q$11:Q31)/5),0),O31)</f>
        <v>0.25</v>
      </c>
      <c r="Q32" s="89" t="str">
        <f ca="1">IF(MOD(COUNTIF($Q$11:Q31,Q31),5)=0,OFFSET(装备属性!$M$1083,1+INT(COUNTA($Q$11:Q31)/5),0),Q31)</f>
        <v>稀有词条</v>
      </c>
      <c r="R32" s="83" t="e">
        <f ca="1">IF(MOD(COUNTIF($Q$11:Q31,Q31),5)=0,10000*SUBSTITUTE(SUBSTITUTE(OFFSET(装备属性!$F$1083,1+INT(COUNTA($Q$11:Q31)/5),0),"[",""),"]","")+_xlfn.XLOOKUP(C32,$M$3:$M$7,$N$3:$N$7)*100,R31)</f>
        <v>#N/A</v>
      </c>
    </row>
    <row r="33" customHeight="1" spans="1:18">
      <c r="A33" s="78" t="str">
        <f ca="1" t="shared" si="0"/>
        <v/>
      </c>
      <c r="B33" s="82" t="str">
        <f ca="1">IFERROR(R33+COUNTIFS($R$11:$R33,R33),"")</f>
        <v/>
      </c>
      <c r="C33" s="83">
        <f ca="1">IF(MOD(COUNTIF($Q$11:Q32,Q32),5)=0,OFFSET(装备属性!$D$1083,1+INT(COUNTA($Q$11:Q32)/5),0),C32)</f>
        <v>0</v>
      </c>
      <c r="D33" s="82">
        <f t="shared" si="2"/>
        <v>2000</v>
      </c>
      <c r="F33" s="82" t="str">
        <f ca="1" t="shared" si="1"/>
        <v/>
      </c>
      <c r="G33" s="78" t="str">
        <f ca="1">IF(AND(LEFT("[{"&amp;M33&amp;","&amp;CEILING(N33*10000+(O33-N33)/4*(COUNTIF($F$11:F33,F33)-1)*10000,10)&amp;"}]",7)="[{equip",MID("[{"&amp;M33&amp;","&amp;CEILING(N33*10000+(O33-N33)/4*(COUNTIF($F$11:F33,F33)-1)*10000,10)&amp;"}]",8,1)&lt;&gt;"_"),"[{"&amp;M33&amp;","&amp;1&amp;"}]","[{"&amp;M33&amp;","&amp;CEILING(N33*10000+(O33-N33)/4*(COUNTIF($F$11:F33,F33)-1)*10000,10)&amp;"}]")</f>
        <v>[{equip_base_attr,2500}]</v>
      </c>
      <c r="H33" s="82" t="s">
        <v>563</v>
      </c>
      <c r="J33" s="78">
        <f ca="1">IF(MOD(COUNTIF($Q$11:Q32,Q32),5)=0,OFFSET(装备属性!$P$1083,1+INT(COUNTA($Q$11:Q32)/5),0),J32)</f>
        <v>7</v>
      </c>
      <c r="K33" s="83" t="str">
        <f ca="1">IF(RIGHT(G33,13)="rune_slot,1}]",_xlfn.XLOOKUP(LEFT(SUBSTITUTE(G33,"[{",""),FIND(",",SUBSTITUTE(G33,"[{",""))-1),Sheet2!B:B,Sheet2!C:C)&amp;"+"&amp;1,_xlfn.XLOOKUP(LEFT(SUBSTITUTE(G33,"[{",""),FIND(",",SUBSTITUTE(G33,"[{",""))-1),Sheet2!B:B,Sheet2!C:C)&amp;"+"&amp;SUBSTITUTE(RIGHT(G33,LEN(G33)-FIND(",",G33)),"}]","")/100&amp;"%")</f>
        <v>装备基础属性加成+25%</v>
      </c>
      <c r="L33" s="83" t="str">
        <f ca="1">IF(MOD(COUNTIF($Q$11:Q32,Q32),5)=0,OFFSET(装备属性!$G$1083,1+INT(COUNTA($Q$11:Q32)/5),0),L32)</f>
        <v>厚底子</v>
      </c>
      <c r="M33" s="89" t="str">
        <f ca="1">IF(MOD(COUNTIF($Q$11:Q32,Q32),5)=0,OFFSET(装备属性!$H$1083,1+INT(COUNTA($Q$11:Q32)/5),0),M32)</f>
        <v>equip_base_attr</v>
      </c>
      <c r="N33" s="76">
        <f ca="1">IF(MOD(COUNTIF($Q$11:Q32,Q32),5)=0,OFFSET(装备属性!$K$1083,1+INT(COUNTA($Q$11:Q32)/5),0),N32)</f>
        <v>0.25</v>
      </c>
      <c r="O33" s="76">
        <f ca="1">IF(MOD(COUNTIF($Q$11:Q32,Q32),5)=0,OFFSET(装备属性!$L$1083,1+INT(COUNTA($Q$11:Q32)/5),0),O32)</f>
        <v>0.25</v>
      </c>
      <c r="Q33" s="89" t="str">
        <f ca="1">IF(MOD(COUNTIF($Q$11:Q32,Q32),5)=0,OFFSET(装备属性!$M$1083,1+INT(COUNTA($Q$11:Q32)/5),0),Q32)</f>
        <v>稀有词条</v>
      </c>
      <c r="R33" s="83" t="e">
        <f ca="1">IF(MOD(COUNTIF($Q$11:Q32,Q32),5)=0,10000*SUBSTITUTE(SUBSTITUTE(OFFSET(装备属性!$F$1083,1+INT(COUNTA($Q$11:Q32)/5),0),"[",""),"]","")+_xlfn.XLOOKUP(C33,$M$3:$M$7,$N$3:$N$7)*100,R32)</f>
        <v>#N/A</v>
      </c>
    </row>
    <row r="34" customHeight="1" spans="1:18">
      <c r="A34" s="78" t="str">
        <f ca="1" t="shared" si="0"/>
        <v/>
      </c>
      <c r="B34" s="82" t="str">
        <f ca="1">IFERROR(R34+COUNTIFS($R$11:$R34,R34),"")</f>
        <v/>
      </c>
      <c r="C34" s="83">
        <f ca="1">IF(MOD(COUNTIF($Q$11:Q33,Q33),5)=0,OFFSET(装备属性!$D$1083,1+INT(COUNTA($Q$11:Q33)/5),0),C33)</f>
        <v>0</v>
      </c>
      <c r="D34" s="82">
        <f t="shared" si="2"/>
        <v>1500</v>
      </c>
      <c r="F34" s="82" t="str">
        <f ca="1" t="shared" si="1"/>
        <v/>
      </c>
      <c r="G34" s="78" t="str">
        <f ca="1">IF(AND(LEFT("[{"&amp;M34&amp;","&amp;CEILING(N34*10000+(O34-N34)/4*(COUNTIF($F$11:F34,F34)-1)*10000,10)&amp;"}]",7)="[{equip",MID("[{"&amp;M34&amp;","&amp;CEILING(N34*10000+(O34-N34)/4*(COUNTIF($F$11:F34,F34)-1)*10000,10)&amp;"}]",8,1)&lt;&gt;"_"),"[{"&amp;M34&amp;","&amp;1&amp;"}]","[{"&amp;M34&amp;","&amp;CEILING(N34*10000+(O34-N34)/4*(COUNTIF($F$11:F34,F34)-1)*10000,10)&amp;"}]")</f>
        <v>[{equip_base_attr,2500}]</v>
      </c>
      <c r="H34" s="82" t="s">
        <v>563</v>
      </c>
      <c r="J34" s="78">
        <f ca="1">IF(MOD(COUNTIF($Q$11:Q33,Q33),5)=0,OFFSET(装备属性!$P$1083,1+INT(COUNTA($Q$11:Q33)/5),0),J33)</f>
        <v>7</v>
      </c>
      <c r="K34" s="83" t="str">
        <f ca="1">IF(RIGHT(G34,13)="rune_slot,1}]",_xlfn.XLOOKUP(LEFT(SUBSTITUTE(G34,"[{",""),FIND(",",SUBSTITUTE(G34,"[{",""))-1),Sheet2!B:B,Sheet2!C:C)&amp;"+"&amp;1,_xlfn.XLOOKUP(LEFT(SUBSTITUTE(G34,"[{",""),FIND(",",SUBSTITUTE(G34,"[{",""))-1),Sheet2!B:B,Sheet2!C:C)&amp;"+"&amp;SUBSTITUTE(RIGHT(G34,LEN(G34)-FIND(",",G34)),"}]","")/100&amp;"%")</f>
        <v>装备基础属性加成+25%</v>
      </c>
      <c r="L34" s="83" t="str">
        <f ca="1">IF(MOD(COUNTIF($Q$11:Q33,Q33),5)=0,OFFSET(装备属性!$G$1083,1+INT(COUNTA($Q$11:Q33)/5),0),L33)</f>
        <v>厚底子</v>
      </c>
      <c r="M34" s="89" t="str">
        <f ca="1">IF(MOD(COUNTIF($Q$11:Q33,Q33),5)=0,OFFSET(装备属性!$H$1083,1+INT(COUNTA($Q$11:Q33)/5),0),M33)</f>
        <v>equip_base_attr</v>
      </c>
      <c r="N34" s="76">
        <f ca="1">IF(MOD(COUNTIF($Q$11:Q33,Q33),5)=0,OFFSET(装备属性!$K$1083,1+INT(COUNTA($Q$11:Q33)/5),0),N33)</f>
        <v>0.25</v>
      </c>
      <c r="O34" s="76">
        <f ca="1">IF(MOD(COUNTIF($Q$11:Q33,Q33),5)=0,OFFSET(装备属性!$L$1083,1+INT(COUNTA($Q$11:Q33)/5),0),O33)</f>
        <v>0.25</v>
      </c>
      <c r="Q34" s="89" t="str">
        <f ca="1">IF(MOD(COUNTIF($Q$11:Q33,Q33),5)=0,OFFSET(装备属性!$M$1083,1+INT(COUNTA($Q$11:Q33)/5),0),Q33)</f>
        <v>稀有词条</v>
      </c>
      <c r="R34" s="83" t="e">
        <f ca="1">IF(MOD(COUNTIF($Q$11:Q33,Q33),5)=0,10000*SUBSTITUTE(SUBSTITUTE(OFFSET(装备属性!$F$1083,1+INT(COUNTA($Q$11:Q33)/5),0),"[",""),"]","")+_xlfn.XLOOKUP(C34,$M$3:$M$7,$N$3:$N$7)*100,R33)</f>
        <v>#N/A</v>
      </c>
    </row>
    <row r="35" customHeight="1" spans="1:18">
      <c r="A35" s="78" t="str">
        <f ca="1" t="shared" si="0"/>
        <v/>
      </c>
      <c r="B35" s="82" t="str">
        <f ca="1">IFERROR(R35+COUNTIFS($R$11:$R35,R35),"")</f>
        <v/>
      </c>
      <c r="C35" s="83">
        <f ca="1">IF(MOD(COUNTIF($Q$11:Q34,Q34),5)=0,OFFSET(装备属性!$D$1083,1+INT(COUNTA($Q$11:Q34)/5),0),C34)</f>
        <v>0</v>
      </c>
      <c r="D35" s="82">
        <f t="shared" si="2"/>
        <v>1000</v>
      </c>
      <c r="F35" s="82" t="str">
        <f ca="1" t="shared" si="1"/>
        <v/>
      </c>
      <c r="G35" s="78" t="str">
        <f ca="1">IF(AND(LEFT("[{"&amp;M35&amp;","&amp;CEILING(N35*10000+(O35-N35)/4*(COUNTIF($F$11:F35,F35)-1)*10000,10)&amp;"}]",7)="[{equip",MID("[{"&amp;M35&amp;","&amp;CEILING(N35*10000+(O35-N35)/4*(COUNTIF($F$11:F35,F35)-1)*10000,10)&amp;"}]",8,1)&lt;&gt;"_"),"[{"&amp;M35&amp;","&amp;1&amp;"}]","[{"&amp;M35&amp;","&amp;CEILING(N35*10000+(O35-N35)/4*(COUNTIF($F$11:F35,F35)-1)*10000,10)&amp;"}]")</f>
        <v>[{equip_base_attr,2500}]</v>
      </c>
      <c r="H35" s="82" t="s">
        <v>563</v>
      </c>
      <c r="J35" s="78">
        <f ca="1">IF(MOD(COUNTIF($Q$11:Q34,Q34),5)=0,OFFSET(装备属性!$P$1083,1+INT(COUNTA($Q$11:Q34)/5),0),J34)</f>
        <v>7</v>
      </c>
      <c r="K35" s="83" t="str">
        <f ca="1">IF(RIGHT(G35,13)="rune_slot,1}]",_xlfn.XLOOKUP(LEFT(SUBSTITUTE(G35,"[{",""),FIND(",",SUBSTITUTE(G35,"[{",""))-1),Sheet2!B:B,Sheet2!C:C)&amp;"+"&amp;1,_xlfn.XLOOKUP(LEFT(SUBSTITUTE(G35,"[{",""),FIND(",",SUBSTITUTE(G35,"[{",""))-1),Sheet2!B:B,Sheet2!C:C)&amp;"+"&amp;SUBSTITUTE(RIGHT(G35,LEN(G35)-FIND(",",G35)),"}]","")/100&amp;"%")</f>
        <v>装备基础属性加成+25%</v>
      </c>
      <c r="L35" s="83" t="str">
        <f ca="1">IF(MOD(COUNTIF($Q$11:Q34,Q34),5)=0,OFFSET(装备属性!$G$1083,1+INT(COUNTA($Q$11:Q34)/5),0),L34)</f>
        <v>厚底子</v>
      </c>
      <c r="M35" s="89" t="str">
        <f ca="1">IF(MOD(COUNTIF($Q$11:Q34,Q34),5)=0,OFFSET(装备属性!$H$1083,1+INT(COUNTA($Q$11:Q34)/5),0),M34)</f>
        <v>equip_base_attr</v>
      </c>
      <c r="N35" s="76">
        <f ca="1">IF(MOD(COUNTIF($Q$11:Q34,Q34),5)=0,OFFSET(装备属性!$K$1083,1+INT(COUNTA($Q$11:Q34)/5),0),N34)</f>
        <v>0.25</v>
      </c>
      <c r="O35" s="76">
        <f ca="1">IF(MOD(COUNTIF($Q$11:Q34,Q34),5)=0,OFFSET(装备属性!$L$1083,1+INT(COUNTA($Q$11:Q34)/5),0),O34)</f>
        <v>0.25</v>
      </c>
      <c r="Q35" s="89" t="str">
        <f ca="1">IF(MOD(COUNTIF($Q$11:Q34,Q34),5)=0,OFFSET(装备属性!$M$1083,1+INT(COUNTA($Q$11:Q34)/5),0),Q34)</f>
        <v>稀有词条</v>
      </c>
      <c r="R35" s="83" t="e">
        <f ca="1">IF(MOD(COUNTIF($Q$11:Q34,Q34),5)=0,10000*SUBSTITUTE(SUBSTITUTE(OFFSET(装备属性!$F$1083,1+INT(COUNTA($Q$11:Q34)/5),0),"[",""),"]","")+_xlfn.XLOOKUP(C35,$M$3:$M$7,$N$3:$N$7)*100,R34)</f>
        <v>#N/A</v>
      </c>
    </row>
    <row r="36" customHeight="1" spans="1:18">
      <c r="A36" s="78" t="str">
        <f ca="1" t="shared" si="0"/>
        <v/>
      </c>
      <c r="B36" s="82" t="str">
        <f ca="1">IFERROR(R36+COUNTIFS($R$11:$R36,R36),"")</f>
        <v/>
      </c>
      <c r="C36" s="83">
        <f ca="1">IF(MOD(COUNTIF($Q$11:Q35,Q35),5)=0,OFFSET(装备属性!$D$1083,1+INT(COUNTA($Q$11:Q35)/5),0),C35)</f>
        <v>0</v>
      </c>
      <c r="D36" s="82">
        <f t="shared" si="2"/>
        <v>3000</v>
      </c>
      <c r="F36" s="82" t="str">
        <f ca="1" t="shared" si="1"/>
        <v/>
      </c>
      <c r="G36" s="78" t="str">
        <f ca="1">IF(AND(LEFT("[{"&amp;M36&amp;","&amp;CEILING(N36*10000+(O36-N36)/4*(COUNTIF($F$11:F36,F36)-1)*10000,10)&amp;"}]",7)="[{equip",MID("[{"&amp;M36&amp;","&amp;CEILING(N36*10000+(O36-N36)/4*(COUNTIF($F$11:F36,F36)-1)*10000,10)&amp;"}]",8,1)&lt;&gt;"_"),"[{"&amp;M36&amp;","&amp;1&amp;"}]","[{"&amp;M36&amp;","&amp;CEILING(N36*10000+(O36-N36)/4*(COUNTIF($F$11:F36,F36)-1)*10000,10)&amp;"}]")</f>
        <v>[{equip_extra_attr,5000}]</v>
      </c>
      <c r="H36" s="82" t="s">
        <v>563</v>
      </c>
      <c r="J36" s="78">
        <f ca="1">IF(MOD(COUNTIF($Q$11:Q35,Q35),5)=0,OFFSET(装备属性!$P$1083,1+INT(COUNTA($Q$11:Q35)/5),0),J35)</f>
        <v>8</v>
      </c>
      <c r="K36" s="83" t="str">
        <f ca="1">IF(RIGHT(G36,13)="rune_slot,1}]",_xlfn.XLOOKUP(LEFT(SUBSTITUTE(G36,"[{",""),FIND(",",SUBSTITUTE(G36,"[{",""))-1),Sheet2!B:B,Sheet2!C:C)&amp;"+"&amp;1,_xlfn.XLOOKUP(LEFT(SUBSTITUTE(G36,"[{",""),FIND(",",SUBSTITUTE(G36,"[{",""))-1),Sheet2!B:B,Sheet2!C:C)&amp;"+"&amp;SUBSTITUTE(RIGHT(G36,LEN(G36)-FIND(",",G36)),"}]","")/100&amp;"%")</f>
        <v>装备附加属性加成+50%</v>
      </c>
      <c r="L36" s="83" t="str">
        <f ca="1">IF(MOD(COUNTIF($Q$11:Q35,Q35),5)=0,OFFSET(装备属性!$G$1083,1+INT(COUNTA($Q$11:Q35)/5),0),L35)</f>
        <v>提成色</v>
      </c>
      <c r="M36" s="89" t="str">
        <f ca="1">IF(MOD(COUNTIF($Q$11:Q35,Q35),5)=0,OFFSET(装备属性!$H$1083,1+INT(COUNTA($Q$11:Q35)/5),0),M35)</f>
        <v>equip_extra_attr</v>
      </c>
      <c r="N36" s="76">
        <f ca="1">IF(MOD(COUNTIF($Q$11:Q35,Q35),5)=0,OFFSET(装备属性!$K$1083,1+INT(COUNTA($Q$11:Q35)/5),0),N35)</f>
        <v>0.5</v>
      </c>
      <c r="O36" s="76">
        <f ca="1">IF(MOD(COUNTIF($Q$11:Q35,Q35),5)=0,OFFSET(装备属性!$L$1083,1+INT(COUNTA($Q$11:Q35)/5),0),O35)</f>
        <v>0.5</v>
      </c>
      <c r="Q36" s="89" t="str">
        <f ca="1">IF(MOD(COUNTIF($Q$11:Q35,Q35),5)=0,OFFSET(装备属性!$M$1083,1+INT(COUNTA($Q$11:Q35)/5),0),Q35)</f>
        <v>稀有词条</v>
      </c>
      <c r="R36" s="83" t="e">
        <f ca="1">IF(MOD(COUNTIF($Q$11:Q35,Q35),5)=0,10000*SUBSTITUTE(SUBSTITUTE(OFFSET(装备属性!$F$1083,1+INT(COUNTA($Q$11:Q35)/5),0),"[",""),"]","")+_xlfn.XLOOKUP(C36,$M$3:$M$7,$N$3:$N$7)*100,R35)</f>
        <v>#N/A</v>
      </c>
    </row>
    <row r="37" customHeight="1" spans="1:18">
      <c r="A37" s="78" t="str">
        <f ca="1" t="shared" si="0"/>
        <v/>
      </c>
      <c r="B37" s="82" t="str">
        <f ca="1">IFERROR(R37+COUNTIFS($R$11:$R37,R37),"")</f>
        <v/>
      </c>
      <c r="C37" s="83">
        <f ca="1">IF(MOD(COUNTIF($Q$11:Q36,Q36),5)=0,OFFSET(装备属性!$D$1083,1+INT(COUNTA($Q$11:Q36)/5),0),C36)</f>
        <v>0</v>
      </c>
      <c r="D37" s="82">
        <f t="shared" si="2"/>
        <v>2500</v>
      </c>
      <c r="F37" s="82" t="str">
        <f ca="1" t="shared" si="1"/>
        <v/>
      </c>
      <c r="G37" s="78" t="str">
        <f ca="1">IF(AND(LEFT("[{"&amp;M37&amp;","&amp;CEILING(N37*10000+(O37-N37)/4*(COUNTIF($F$11:F37,F37)-1)*10000,10)&amp;"}]",7)="[{equip",MID("[{"&amp;M37&amp;","&amp;CEILING(N37*10000+(O37-N37)/4*(COUNTIF($F$11:F37,F37)-1)*10000,10)&amp;"}]",8,1)&lt;&gt;"_"),"[{"&amp;M37&amp;","&amp;1&amp;"}]","[{"&amp;M37&amp;","&amp;CEILING(N37*10000+(O37-N37)/4*(COUNTIF($F$11:F37,F37)-1)*10000,10)&amp;"}]")</f>
        <v>[{equip_extra_attr,5000}]</v>
      </c>
      <c r="H37" s="82" t="s">
        <v>563</v>
      </c>
      <c r="J37" s="78">
        <f ca="1">IF(MOD(COUNTIF($Q$11:Q36,Q36),5)=0,OFFSET(装备属性!$P$1083,1+INT(COUNTA($Q$11:Q36)/5),0),J36)</f>
        <v>8</v>
      </c>
      <c r="K37" s="83" t="str">
        <f ca="1">IF(RIGHT(G37,13)="rune_slot,1}]",_xlfn.XLOOKUP(LEFT(SUBSTITUTE(G37,"[{",""),FIND(",",SUBSTITUTE(G37,"[{",""))-1),Sheet2!B:B,Sheet2!C:C)&amp;"+"&amp;1,_xlfn.XLOOKUP(LEFT(SUBSTITUTE(G37,"[{",""),FIND(",",SUBSTITUTE(G37,"[{",""))-1),Sheet2!B:B,Sheet2!C:C)&amp;"+"&amp;SUBSTITUTE(RIGHT(G37,LEN(G37)-FIND(",",G37)),"}]","")/100&amp;"%")</f>
        <v>装备附加属性加成+50%</v>
      </c>
      <c r="L37" s="83" t="str">
        <f ca="1">IF(MOD(COUNTIF($Q$11:Q36,Q36),5)=0,OFFSET(装备属性!$G$1083,1+INT(COUNTA($Q$11:Q36)/5),0),L36)</f>
        <v>提成色</v>
      </c>
      <c r="M37" s="89" t="str">
        <f ca="1">IF(MOD(COUNTIF($Q$11:Q36,Q36),5)=0,OFFSET(装备属性!$H$1083,1+INT(COUNTA($Q$11:Q36)/5),0),M36)</f>
        <v>equip_extra_attr</v>
      </c>
      <c r="N37" s="76">
        <f ca="1">IF(MOD(COUNTIF($Q$11:Q36,Q36),5)=0,OFFSET(装备属性!$K$1083,1+INT(COUNTA($Q$11:Q36)/5),0),N36)</f>
        <v>0.5</v>
      </c>
      <c r="O37" s="76">
        <f ca="1">IF(MOD(COUNTIF($Q$11:Q36,Q36),5)=0,OFFSET(装备属性!$L$1083,1+INT(COUNTA($Q$11:Q36)/5),0),O36)</f>
        <v>0.5</v>
      </c>
      <c r="Q37" s="89" t="str">
        <f ca="1">IF(MOD(COUNTIF($Q$11:Q36,Q36),5)=0,OFFSET(装备属性!$M$1083,1+INT(COUNTA($Q$11:Q36)/5),0),Q36)</f>
        <v>稀有词条</v>
      </c>
      <c r="R37" s="83" t="e">
        <f ca="1">IF(MOD(COUNTIF($Q$11:Q36,Q36),5)=0,10000*SUBSTITUTE(SUBSTITUTE(OFFSET(装备属性!$F$1083,1+INT(COUNTA($Q$11:Q36)/5),0),"[",""),"]","")+_xlfn.XLOOKUP(C37,$M$3:$M$7,$N$3:$N$7)*100,R36)</f>
        <v>#N/A</v>
      </c>
    </row>
    <row r="38" customHeight="1" spans="1:18">
      <c r="A38" s="78" t="str">
        <f ca="1" t="shared" si="0"/>
        <v/>
      </c>
      <c r="B38" s="82" t="str">
        <f ca="1">IFERROR(R38+COUNTIFS($R$11:$R38,R38),"")</f>
        <v/>
      </c>
      <c r="C38" s="83">
        <f ca="1">IF(MOD(COUNTIF($Q$11:Q37,Q37),5)=0,OFFSET(装备属性!$D$1083,1+INT(COUNTA($Q$11:Q37)/5),0),C37)</f>
        <v>0</v>
      </c>
      <c r="D38" s="82">
        <f t="shared" si="2"/>
        <v>2000</v>
      </c>
      <c r="F38" s="82" t="str">
        <f ca="1" t="shared" si="1"/>
        <v/>
      </c>
      <c r="G38" s="78" t="str">
        <f ca="1">IF(AND(LEFT("[{"&amp;M38&amp;","&amp;CEILING(N38*10000+(O38-N38)/4*(COUNTIF($F$11:F38,F38)-1)*10000,10)&amp;"}]",7)="[{equip",MID("[{"&amp;M38&amp;","&amp;CEILING(N38*10000+(O38-N38)/4*(COUNTIF($F$11:F38,F38)-1)*10000,10)&amp;"}]",8,1)&lt;&gt;"_"),"[{"&amp;M38&amp;","&amp;1&amp;"}]","[{"&amp;M38&amp;","&amp;CEILING(N38*10000+(O38-N38)/4*(COUNTIF($F$11:F38,F38)-1)*10000,10)&amp;"}]")</f>
        <v>[{equip_extra_attr,5000}]</v>
      </c>
      <c r="H38" s="82" t="s">
        <v>563</v>
      </c>
      <c r="J38" s="78">
        <f ca="1">IF(MOD(COUNTIF($Q$11:Q37,Q37),5)=0,OFFSET(装备属性!$P$1083,1+INT(COUNTA($Q$11:Q37)/5),0),J37)</f>
        <v>8</v>
      </c>
      <c r="K38" s="83" t="str">
        <f ca="1">IF(RIGHT(G38,13)="rune_slot,1}]",_xlfn.XLOOKUP(LEFT(SUBSTITUTE(G38,"[{",""),FIND(",",SUBSTITUTE(G38,"[{",""))-1),Sheet2!B:B,Sheet2!C:C)&amp;"+"&amp;1,_xlfn.XLOOKUP(LEFT(SUBSTITUTE(G38,"[{",""),FIND(",",SUBSTITUTE(G38,"[{",""))-1),Sheet2!B:B,Sheet2!C:C)&amp;"+"&amp;SUBSTITUTE(RIGHT(G38,LEN(G38)-FIND(",",G38)),"}]","")/100&amp;"%")</f>
        <v>装备附加属性加成+50%</v>
      </c>
      <c r="L38" s="83" t="str">
        <f ca="1">IF(MOD(COUNTIF($Q$11:Q37,Q37),5)=0,OFFSET(装备属性!$G$1083,1+INT(COUNTA($Q$11:Q37)/5),0),L37)</f>
        <v>提成色</v>
      </c>
      <c r="M38" s="89" t="str">
        <f ca="1">IF(MOD(COUNTIF($Q$11:Q37,Q37),5)=0,OFFSET(装备属性!$H$1083,1+INT(COUNTA($Q$11:Q37)/5),0),M37)</f>
        <v>equip_extra_attr</v>
      </c>
      <c r="N38" s="76">
        <f ca="1">IF(MOD(COUNTIF($Q$11:Q37,Q37),5)=0,OFFSET(装备属性!$K$1083,1+INT(COUNTA($Q$11:Q37)/5),0),N37)</f>
        <v>0.5</v>
      </c>
      <c r="O38" s="76">
        <f ca="1">IF(MOD(COUNTIF($Q$11:Q37,Q37),5)=0,OFFSET(装备属性!$L$1083,1+INT(COUNTA($Q$11:Q37)/5),0),O37)</f>
        <v>0.5</v>
      </c>
      <c r="Q38" s="89" t="str">
        <f ca="1">IF(MOD(COUNTIF($Q$11:Q37,Q37),5)=0,OFFSET(装备属性!$M$1083,1+INT(COUNTA($Q$11:Q37)/5),0),Q37)</f>
        <v>稀有词条</v>
      </c>
      <c r="R38" s="83" t="e">
        <f ca="1">IF(MOD(COUNTIF($Q$11:Q37,Q37),5)=0,10000*SUBSTITUTE(SUBSTITUTE(OFFSET(装备属性!$F$1083,1+INT(COUNTA($Q$11:Q37)/5),0),"[",""),"]","")+_xlfn.XLOOKUP(C38,$M$3:$M$7,$N$3:$N$7)*100,R37)</f>
        <v>#N/A</v>
      </c>
    </row>
    <row r="39" customHeight="1" spans="1:18">
      <c r="A39" s="78" t="str">
        <f ca="1" t="shared" si="0"/>
        <v/>
      </c>
      <c r="B39" s="82" t="str">
        <f ca="1">IFERROR(R39+COUNTIFS($R$11:$R39,R39),"")</f>
        <v/>
      </c>
      <c r="C39" s="83">
        <f ca="1">IF(MOD(COUNTIF($Q$11:Q38,Q38),5)=0,OFFSET(装备属性!$D$1083,1+INT(COUNTA($Q$11:Q38)/5),0),C38)</f>
        <v>0</v>
      </c>
      <c r="D39" s="82">
        <f t="shared" si="2"/>
        <v>1500</v>
      </c>
      <c r="F39" s="82" t="str">
        <f ca="1" t="shared" si="1"/>
        <v/>
      </c>
      <c r="G39" s="78" t="str">
        <f ca="1">IF(AND(LEFT("[{"&amp;M39&amp;","&amp;CEILING(N39*10000+(O39-N39)/4*(COUNTIF($F$11:F39,F39)-1)*10000,10)&amp;"}]",7)="[{equip",MID("[{"&amp;M39&amp;","&amp;CEILING(N39*10000+(O39-N39)/4*(COUNTIF($F$11:F39,F39)-1)*10000,10)&amp;"}]",8,1)&lt;&gt;"_"),"[{"&amp;M39&amp;","&amp;1&amp;"}]","[{"&amp;M39&amp;","&amp;CEILING(N39*10000+(O39-N39)/4*(COUNTIF($F$11:F39,F39)-1)*10000,10)&amp;"}]")</f>
        <v>[{equip_extra_attr,5000}]</v>
      </c>
      <c r="H39" s="82" t="s">
        <v>563</v>
      </c>
      <c r="J39" s="78">
        <f ca="1">IF(MOD(COUNTIF($Q$11:Q38,Q38),5)=0,OFFSET(装备属性!$P$1083,1+INT(COUNTA($Q$11:Q38)/5),0),J38)</f>
        <v>8</v>
      </c>
      <c r="K39" s="83" t="str">
        <f ca="1">IF(RIGHT(G39,13)="rune_slot,1}]",_xlfn.XLOOKUP(LEFT(SUBSTITUTE(G39,"[{",""),FIND(",",SUBSTITUTE(G39,"[{",""))-1),Sheet2!B:B,Sheet2!C:C)&amp;"+"&amp;1,_xlfn.XLOOKUP(LEFT(SUBSTITUTE(G39,"[{",""),FIND(",",SUBSTITUTE(G39,"[{",""))-1),Sheet2!B:B,Sheet2!C:C)&amp;"+"&amp;SUBSTITUTE(RIGHT(G39,LEN(G39)-FIND(",",G39)),"}]","")/100&amp;"%")</f>
        <v>装备附加属性加成+50%</v>
      </c>
      <c r="L39" s="83" t="str">
        <f ca="1">IF(MOD(COUNTIF($Q$11:Q38,Q38),5)=0,OFFSET(装备属性!$G$1083,1+INT(COUNTA($Q$11:Q38)/5),0),L38)</f>
        <v>提成色</v>
      </c>
      <c r="M39" s="89" t="str">
        <f ca="1">IF(MOD(COUNTIF($Q$11:Q38,Q38),5)=0,OFFSET(装备属性!$H$1083,1+INT(COUNTA($Q$11:Q38)/5),0),M38)</f>
        <v>equip_extra_attr</v>
      </c>
      <c r="N39" s="76">
        <f ca="1">IF(MOD(COUNTIF($Q$11:Q38,Q38),5)=0,OFFSET(装备属性!$K$1083,1+INT(COUNTA($Q$11:Q38)/5),0),N38)</f>
        <v>0.5</v>
      </c>
      <c r="O39" s="76">
        <f ca="1">IF(MOD(COUNTIF($Q$11:Q38,Q38),5)=0,OFFSET(装备属性!$L$1083,1+INT(COUNTA($Q$11:Q38)/5),0),O38)</f>
        <v>0.5</v>
      </c>
      <c r="Q39" s="89" t="str">
        <f ca="1">IF(MOD(COUNTIF($Q$11:Q38,Q38),5)=0,OFFSET(装备属性!$M$1083,1+INT(COUNTA($Q$11:Q38)/5),0),Q38)</f>
        <v>稀有词条</v>
      </c>
      <c r="R39" s="83" t="e">
        <f ca="1">IF(MOD(COUNTIF($Q$11:Q38,Q38),5)=0,10000*SUBSTITUTE(SUBSTITUTE(OFFSET(装备属性!$F$1083,1+INT(COUNTA($Q$11:Q38)/5),0),"[",""),"]","")+_xlfn.XLOOKUP(C39,$M$3:$M$7,$N$3:$N$7)*100,R38)</f>
        <v>#N/A</v>
      </c>
    </row>
    <row r="40" customHeight="1" spans="1:18">
      <c r="A40" s="78" t="str">
        <f ca="1" t="shared" si="0"/>
        <v/>
      </c>
      <c r="B40" s="82" t="str">
        <f ca="1">IFERROR(R40+COUNTIFS($R$11:$R40,R40),"")</f>
        <v/>
      </c>
      <c r="C40" s="83">
        <f ca="1">IF(MOD(COUNTIF($Q$11:Q39,Q39),5)=0,OFFSET(装备属性!$D$1083,1+INT(COUNTA($Q$11:Q39)/5),0),C39)</f>
        <v>0</v>
      </c>
      <c r="D40" s="82">
        <f t="shared" si="2"/>
        <v>1000</v>
      </c>
      <c r="F40" s="82" t="str">
        <f ca="1" t="shared" si="1"/>
        <v/>
      </c>
      <c r="G40" s="78" t="str">
        <f ca="1">IF(AND(LEFT("[{"&amp;M40&amp;","&amp;CEILING(N40*10000+(O40-N40)/4*(COUNTIF($F$11:F40,F40)-1)*10000,10)&amp;"}]",7)="[{equip",MID("[{"&amp;M40&amp;","&amp;CEILING(N40*10000+(O40-N40)/4*(COUNTIF($F$11:F40,F40)-1)*10000,10)&amp;"}]",8,1)&lt;&gt;"_"),"[{"&amp;M40&amp;","&amp;1&amp;"}]","[{"&amp;M40&amp;","&amp;CEILING(N40*10000+(O40-N40)/4*(COUNTIF($F$11:F40,F40)-1)*10000,10)&amp;"}]")</f>
        <v>[{equip_extra_attr,5000}]</v>
      </c>
      <c r="H40" s="82" t="s">
        <v>563</v>
      </c>
      <c r="J40" s="78">
        <f ca="1">IF(MOD(COUNTIF($Q$11:Q39,Q39),5)=0,OFFSET(装备属性!$P$1083,1+INT(COUNTA($Q$11:Q39)/5),0),J39)</f>
        <v>8</v>
      </c>
      <c r="K40" s="83" t="str">
        <f ca="1">IF(RIGHT(G40,13)="rune_slot,1}]",_xlfn.XLOOKUP(LEFT(SUBSTITUTE(G40,"[{",""),FIND(",",SUBSTITUTE(G40,"[{",""))-1),Sheet2!B:B,Sheet2!C:C)&amp;"+"&amp;1,_xlfn.XLOOKUP(LEFT(SUBSTITUTE(G40,"[{",""),FIND(",",SUBSTITUTE(G40,"[{",""))-1),Sheet2!B:B,Sheet2!C:C)&amp;"+"&amp;SUBSTITUTE(RIGHT(G40,LEN(G40)-FIND(",",G40)),"}]","")/100&amp;"%")</f>
        <v>装备附加属性加成+50%</v>
      </c>
      <c r="L40" s="83" t="str">
        <f ca="1">IF(MOD(COUNTIF($Q$11:Q39,Q39),5)=0,OFFSET(装备属性!$G$1083,1+INT(COUNTA($Q$11:Q39)/5),0),L39)</f>
        <v>提成色</v>
      </c>
      <c r="M40" s="89" t="str">
        <f ca="1">IF(MOD(COUNTIF($Q$11:Q39,Q39),5)=0,OFFSET(装备属性!$H$1083,1+INT(COUNTA($Q$11:Q39)/5),0),M39)</f>
        <v>equip_extra_attr</v>
      </c>
      <c r="N40" s="76">
        <f ca="1">IF(MOD(COUNTIF($Q$11:Q39,Q39),5)=0,OFFSET(装备属性!$K$1083,1+INT(COUNTA($Q$11:Q39)/5),0),N39)</f>
        <v>0.5</v>
      </c>
      <c r="O40" s="76">
        <f ca="1">IF(MOD(COUNTIF($Q$11:Q39,Q39),5)=0,OFFSET(装备属性!$L$1083,1+INT(COUNTA($Q$11:Q39)/5),0),O39)</f>
        <v>0.5</v>
      </c>
      <c r="Q40" s="89" t="str">
        <f ca="1">IF(MOD(COUNTIF($Q$11:Q39,Q39),5)=0,OFFSET(装备属性!$M$1083,1+INT(COUNTA($Q$11:Q39)/5),0),Q39)</f>
        <v>稀有词条</v>
      </c>
      <c r="R40" s="83" t="e">
        <f ca="1">IF(MOD(COUNTIF($Q$11:Q39,Q39),5)=0,10000*SUBSTITUTE(SUBSTITUTE(OFFSET(装备属性!$F$1083,1+INT(COUNTA($Q$11:Q39)/5),0),"[",""),"]","")+_xlfn.XLOOKUP(C40,$M$3:$M$7,$N$3:$N$7)*100,R39)</f>
        <v>#N/A</v>
      </c>
    </row>
    <row r="41" customHeight="1" spans="1:18">
      <c r="A41" s="78" t="str">
        <f ca="1" t="shared" si="0"/>
        <v/>
      </c>
      <c r="B41" s="82" t="str">
        <f ca="1">IFERROR(R41+COUNTIFS($R$11:$R41,R41),"")</f>
        <v/>
      </c>
      <c r="C41" s="83">
        <f ca="1">IF(MOD(COUNTIF($Q$11:Q40,Q40),5)=0,OFFSET(装备属性!$D$1083,1+INT(COUNTA($Q$11:Q40)/5),0),C40)</f>
        <v>0</v>
      </c>
      <c r="D41" s="82">
        <f t="shared" si="2"/>
        <v>3000</v>
      </c>
      <c r="F41" s="82" t="str">
        <f ca="1" t="shared" si="1"/>
        <v/>
      </c>
      <c r="G41" s="78" t="str">
        <f ca="1">IF(AND(LEFT("[{"&amp;M41&amp;","&amp;CEILING(N41*10000+(O41-N41)/4*(COUNTIF($F$11:F41,F41)-1)*10000,10)&amp;"}]",7)="[{equip",MID("[{"&amp;M41&amp;","&amp;CEILING(N41*10000+(O41-N41)/4*(COUNTIF($F$11:F41,F41)-1)*10000,10)&amp;"}]",8,1)&lt;&gt;"_"),"[{"&amp;M41&amp;","&amp;1&amp;"}]","[{"&amp;M41&amp;","&amp;CEILING(N41*10000+(O41-N41)/4*(COUNTIF($F$11:F41,F41)-1)*10000,10)&amp;"}]")</f>
        <v>[{arena_pve_hit_rare,970}]</v>
      </c>
      <c r="H41" s="82" t="s">
        <v>563</v>
      </c>
      <c r="J41" s="78">
        <f ca="1">IF(MOD(COUNTIF($Q$11:Q40,Q40),5)=0,OFFSET(装备属性!$P$1083,1+INT(COUNTA($Q$11:Q40)/5),0),J40)</f>
        <v>1</v>
      </c>
      <c r="K41" s="83" t="str">
        <f ca="1">IF(RIGHT(G41,13)="rune_slot,1}]",_xlfn.XLOOKUP(LEFT(SUBSTITUTE(G41,"[{",""),FIND(",",SUBSTITUTE(G41,"[{",""))-1),Sheet2!B:B,Sheet2!C:C)&amp;"+"&amp;1,_xlfn.XLOOKUP(LEFT(SUBSTITUTE(G41,"[{",""),FIND(",",SUBSTITUTE(G41,"[{",""))-1),Sheet2!B:B,Sheet2!C:C)&amp;"+"&amp;SUBSTITUTE(RIGHT(G41,LEN(G41)-FIND(",",G41)),"}]","")/100&amp;"%")</f>
        <v>荧幕争锋增伤+9.7%</v>
      </c>
      <c r="L41" s="83" t="str">
        <f ca="1">IF(MOD(COUNTIF($Q$11:Q40,Q40),5)=0,OFFSET(装备属性!$G$1083,1+INT(COUNTA($Q$11:Q40)/5),0),L40)</f>
        <v>关键开团Ⅰ</v>
      </c>
      <c r="M41" s="89" t="str">
        <f ca="1">IF(MOD(COUNTIF($Q$11:Q40,Q40),5)=0,OFFSET(装备属性!$H$1083,1+INT(COUNTA($Q$11:Q40)/5),0),M40)</f>
        <v>arena_pve_hit_rare</v>
      </c>
      <c r="N41" s="76">
        <f ca="1">IF(MOD(COUNTIF($Q$11:Q40,Q40),5)=0,OFFSET(装备属性!$K$1083,1+INT(COUNTA($Q$11:Q40)/5),0),N40)</f>
        <v>0.044</v>
      </c>
      <c r="O41" s="76">
        <f ca="1">IF(MOD(COUNTIF($Q$11:Q40,Q40),5)=0,OFFSET(装备属性!$L$1083,1+INT(COUNTA($Q$11:Q40)/5),0),O40)</f>
        <v>0.058</v>
      </c>
      <c r="Q41" s="89" t="str">
        <f ca="1">IF(MOD(COUNTIF($Q$11:Q40,Q40),5)=0,OFFSET(装备属性!$M$1083,1+INT(COUNTA($Q$11:Q40)/5),0),Q40)</f>
        <v>玩法类</v>
      </c>
      <c r="R41" s="83" t="e">
        <f ca="1">IF(MOD(COUNTIF($Q$11:Q40,Q40),5)=0,10000*SUBSTITUTE(SUBSTITUTE(OFFSET(装备属性!$F$1083,1+INT(COUNTA($Q$11:Q40)/5),0),"[",""),"]","")+_xlfn.XLOOKUP(C41,$M$3:$M$7,$N$3:$N$7)*100,R40)</f>
        <v>#N/A</v>
      </c>
    </row>
    <row r="42" customHeight="1" spans="1:18">
      <c r="A42" s="78" t="str">
        <f ca="1" t="shared" si="0"/>
        <v/>
      </c>
      <c r="B42" s="82" t="str">
        <f ca="1">IFERROR(R42+COUNTIFS($R$11:$R42,R42),"")</f>
        <v/>
      </c>
      <c r="C42" s="83">
        <f ca="1">IF(MOD(COUNTIF($Q$11:Q41,Q41),5)=0,OFFSET(装备属性!$D$1083,1+INT(COUNTA($Q$11:Q41)/5),0),C41)</f>
        <v>0</v>
      </c>
      <c r="D42" s="82">
        <f t="shared" si="2"/>
        <v>2500</v>
      </c>
      <c r="F42" s="82" t="str">
        <f ca="1" t="shared" si="1"/>
        <v/>
      </c>
      <c r="G42" s="78" t="str">
        <f ca="1">IF(AND(LEFT("[{"&amp;M42&amp;","&amp;CEILING(N42*10000+(O42-N42)/4*(COUNTIF($F$11:F42,F42)-1)*10000,10)&amp;"}]",7)="[{equip",MID("[{"&amp;M42&amp;","&amp;CEILING(N42*10000+(O42-N42)/4*(COUNTIF($F$11:F42,F42)-1)*10000,10)&amp;"}]",8,1)&lt;&gt;"_"),"[{"&amp;M42&amp;","&amp;1&amp;"}]","[{"&amp;M42&amp;","&amp;CEILING(N42*10000+(O42-N42)/4*(COUNTIF($F$11:F42,F42)-1)*10000,10)&amp;"}]")</f>
        <v>[{arena_pve_hit_rare,1000}]</v>
      </c>
      <c r="H42" s="82" t="s">
        <v>563</v>
      </c>
      <c r="J42" s="78">
        <f ca="1">IF(MOD(COUNTIF($Q$11:Q41,Q41),5)=0,OFFSET(装备属性!$P$1083,1+INT(COUNTA($Q$11:Q41)/5),0),J41)</f>
        <v>1</v>
      </c>
      <c r="K42" s="83" t="str">
        <f ca="1">IF(RIGHT(G42,13)="rune_slot,1}]",_xlfn.XLOOKUP(LEFT(SUBSTITUTE(G42,"[{",""),FIND(",",SUBSTITUTE(G42,"[{",""))-1),Sheet2!B:B,Sheet2!C:C)&amp;"+"&amp;1,_xlfn.XLOOKUP(LEFT(SUBSTITUTE(G42,"[{",""),FIND(",",SUBSTITUTE(G42,"[{",""))-1),Sheet2!B:B,Sheet2!C:C)&amp;"+"&amp;SUBSTITUTE(RIGHT(G42,LEN(G42)-FIND(",",G42)),"}]","")/100&amp;"%")</f>
        <v>荧幕争锋增伤+10%</v>
      </c>
      <c r="L42" s="83" t="str">
        <f ca="1">IF(MOD(COUNTIF($Q$11:Q41,Q41),5)=0,OFFSET(装备属性!$G$1083,1+INT(COUNTA($Q$11:Q41)/5),0),L41)</f>
        <v>关键开团Ⅰ</v>
      </c>
      <c r="M42" s="89" t="str">
        <f ca="1">IF(MOD(COUNTIF($Q$11:Q41,Q41),5)=0,OFFSET(装备属性!$H$1083,1+INT(COUNTA($Q$11:Q41)/5),0),M41)</f>
        <v>arena_pve_hit_rare</v>
      </c>
      <c r="N42" s="76">
        <f ca="1">IF(MOD(COUNTIF($Q$11:Q41,Q41),5)=0,OFFSET(装备属性!$K$1083,1+INT(COUNTA($Q$11:Q41)/5),0),N41)</f>
        <v>0.044</v>
      </c>
      <c r="O42" s="76">
        <f ca="1">IF(MOD(COUNTIF($Q$11:Q41,Q41),5)=0,OFFSET(装备属性!$L$1083,1+INT(COUNTA($Q$11:Q41)/5),0),O41)</f>
        <v>0.058</v>
      </c>
      <c r="Q42" s="89" t="str">
        <f ca="1">IF(MOD(COUNTIF($Q$11:Q41,Q41),5)=0,OFFSET(装备属性!$M$1083,1+INT(COUNTA($Q$11:Q41)/5),0),Q41)</f>
        <v>玩法类</v>
      </c>
      <c r="R42" s="83" t="e">
        <f ca="1">IF(MOD(COUNTIF($Q$11:Q41,Q41),5)=0,10000*SUBSTITUTE(SUBSTITUTE(OFFSET(装备属性!$F$1083,1+INT(COUNTA($Q$11:Q41)/5),0),"[",""),"]","")+_xlfn.XLOOKUP(C42,$M$3:$M$7,$N$3:$N$7)*100,R41)</f>
        <v>#N/A</v>
      </c>
    </row>
    <row r="43" customHeight="1" spans="1:18">
      <c r="A43" s="78" t="str">
        <f ca="1" t="shared" si="0"/>
        <v/>
      </c>
      <c r="B43" s="82" t="str">
        <f ca="1">IFERROR(R43+COUNTIFS($R$11:$R43,R43),"")</f>
        <v/>
      </c>
      <c r="C43" s="83">
        <f ca="1">IF(MOD(COUNTIF($Q$11:Q42,Q42),5)=0,OFFSET(装备属性!$D$1083,1+INT(COUNTA($Q$11:Q42)/5),0),C42)</f>
        <v>0</v>
      </c>
      <c r="D43" s="82">
        <f t="shared" si="2"/>
        <v>2000</v>
      </c>
      <c r="F43" s="82" t="str">
        <f ca="1" t="shared" si="1"/>
        <v/>
      </c>
      <c r="G43" s="78" t="str">
        <f ca="1">IF(AND(LEFT("[{"&amp;M43&amp;","&amp;CEILING(N43*10000+(O43-N43)/4*(COUNTIF($F$11:F43,F43)-1)*10000,10)&amp;"}]",7)="[{equip",MID("[{"&amp;M43&amp;","&amp;CEILING(N43*10000+(O43-N43)/4*(COUNTIF($F$11:F43,F43)-1)*10000,10)&amp;"}]",8,1)&lt;&gt;"_"),"[{"&amp;M43&amp;","&amp;1&amp;"}]","[{"&amp;M43&amp;","&amp;CEILING(N43*10000+(O43-N43)/4*(COUNTIF($F$11:F43,F43)-1)*10000,10)&amp;"}]")</f>
        <v>[{arena_pve_hit_rare,1040}]</v>
      </c>
      <c r="H43" s="82" t="s">
        <v>563</v>
      </c>
      <c r="J43" s="78">
        <f ca="1">IF(MOD(COUNTIF($Q$11:Q42,Q42),5)=0,OFFSET(装备属性!$P$1083,1+INT(COUNTA($Q$11:Q42)/5),0),J42)</f>
        <v>1</v>
      </c>
      <c r="K43" s="83" t="str">
        <f ca="1">IF(RIGHT(G43,13)="rune_slot,1}]",_xlfn.XLOOKUP(LEFT(SUBSTITUTE(G43,"[{",""),FIND(",",SUBSTITUTE(G43,"[{",""))-1),Sheet2!B:B,Sheet2!C:C)&amp;"+"&amp;1,_xlfn.XLOOKUP(LEFT(SUBSTITUTE(G43,"[{",""),FIND(",",SUBSTITUTE(G43,"[{",""))-1),Sheet2!B:B,Sheet2!C:C)&amp;"+"&amp;SUBSTITUTE(RIGHT(G43,LEN(G43)-FIND(",",G43)),"}]","")/100&amp;"%")</f>
        <v>荧幕争锋增伤+10.4%</v>
      </c>
      <c r="L43" s="83" t="str">
        <f ca="1">IF(MOD(COUNTIF($Q$11:Q42,Q42),5)=0,OFFSET(装备属性!$G$1083,1+INT(COUNTA($Q$11:Q42)/5),0),L42)</f>
        <v>关键开团Ⅰ</v>
      </c>
      <c r="M43" s="89" t="str">
        <f ca="1">IF(MOD(COUNTIF($Q$11:Q42,Q42),5)=0,OFFSET(装备属性!$H$1083,1+INT(COUNTA($Q$11:Q42)/5),0),M42)</f>
        <v>arena_pve_hit_rare</v>
      </c>
      <c r="N43" s="76">
        <f ca="1">IF(MOD(COUNTIF($Q$11:Q42,Q42),5)=0,OFFSET(装备属性!$K$1083,1+INT(COUNTA($Q$11:Q42)/5),0),N42)</f>
        <v>0.044</v>
      </c>
      <c r="O43" s="76">
        <f ca="1">IF(MOD(COUNTIF($Q$11:Q42,Q42),5)=0,OFFSET(装备属性!$L$1083,1+INT(COUNTA($Q$11:Q42)/5),0),O42)</f>
        <v>0.058</v>
      </c>
      <c r="Q43" s="89" t="str">
        <f ca="1">IF(MOD(COUNTIF($Q$11:Q42,Q42),5)=0,OFFSET(装备属性!$M$1083,1+INT(COUNTA($Q$11:Q42)/5),0),Q42)</f>
        <v>玩法类</v>
      </c>
      <c r="R43" s="83" t="e">
        <f ca="1">IF(MOD(COUNTIF($Q$11:Q42,Q42),5)=0,10000*SUBSTITUTE(SUBSTITUTE(OFFSET(装备属性!$F$1083,1+INT(COUNTA($Q$11:Q42)/5),0),"[",""),"]","")+_xlfn.XLOOKUP(C43,$M$3:$M$7,$N$3:$N$7)*100,R42)</f>
        <v>#N/A</v>
      </c>
    </row>
    <row r="44" customHeight="1" spans="1:18">
      <c r="A44" s="78" t="str">
        <f ca="1" t="shared" si="0"/>
        <v/>
      </c>
      <c r="B44" s="82" t="str">
        <f ca="1">IFERROR(R44+COUNTIFS($R$11:$R44,R44),"")</f>
        <v/>
      </c>
      <c r="C44" s="83">
        <f ca="1">IF(MOD(COUNTIF($Q$11:Q43,Q43),5)=0,OFFSET(装备属性!$D$1083,1+INT(COUNTA($Q$11:Q43)/5),0),C43)</f>
        <v>0</v>
      </c>
      <c r="D44" s="82">
        <f t="shared" si="2"/>
        <v>1500</v>
      </c>
      <c r="F44" s="82" t="str">
        <f ca="1" t="shared" si="1"/>
        <v/>
      </c>
      <c r="G44" s="78" t="str">
        <f ca="1">IF(AND(LEFT("[{"&amp;M44&amp;","&amp;CEILING(N44*10000+(O44-N44)/4*(COUNTIF($F$11:F44,F44)-1)*10000,10)&amp;"}]",7)="[{equip",MID("[{"&amp;M44&amp;","&amp;CEILING(N44*10000+(O44-N44)/4*(COUNTIF($F$11:F44,F44)-1)*10000,10)&amp;"}]",8,1)&lt;&gt;"_"),"[{"&amp;M44&amp;","&amp;1&amp;"}]","[{"&amp;M44&amp;","&amp;CEILING(N44*10000+(O44-N44)/4*(COUNTIF($F$11:F44,F44)-1)*10000,10)&amp;"}]")</f>
        <v>[{arena_pve_hit_rare,1070}]</v>
      </c>
      <c r="H44" s="82" t="s">
        <v>563</v>
      </c>
      <c r="J44" s="78">
        <f ca="1">IF(MOD(COUNTIF($Q$11:Q43,Q43),5)=0,OFFSET(装备属性!$P$1083,1+INT(COUNTA($Q$11:Q43)/5),0),J43)</f>
        <v>1</v>
      </c>
      <c r="K44" s="83" t="str">
        <f ca="1">IF(RIGHT(G44,13)="rune_slot,1}]",_xlfn.XLOOKUP(LEFT(SUBSTITUTE(G44,"[{",""),FIND(",",SUBSTITUTE(G44,"[{",""))-1),Sheet2!B:B,Sheet2!C:C)&amp;"+"&amp;1,_xlfn.XLOOKUP(LEFT(SUBSTITUTE(G44,"[{",""),FIND(",",SUBSTITUTE(G44,"[{",""))-1),Sheet2!B:B,Sheet2!C:C)&amp;"+"&amp;SUBSTITUTE(RIGHT(G44,LEN(G44)-FIND(",",G44)),"}]","")/100&amp;"%")</f>
        <v>荧幕争锋增伤+10.7%</v>
      </c>
      <c r="L44" s="83" t="str">
        <f ca="1">IF(MOD(COUNTIF($Q$11:Q43,Q43),5)=0,OFFSET(装备属性!$G$1083,1+INT(COUNTA($Q$11:Q43)/5),0),L43)</f>
        <v>关键开团Ⅰ</v>
      </c>
      <c r="M44" s="89" t="str">
        <f ca="1">IF(MOD(COUNTIF($Q$11:Q43,Q43),5)=0,OFFSET(装备属性!$H$1083,1+INT(COUNTA($Q$11:Q43)/5),0),M43)</f>
        <v>arena_pve_hit_rare</v>
      </c>
      <c r="N44" s="76">
        <f ca="1">IF(MOD(COUNTIF($Q$11:Q43,Q43),5)=0,OFFSET(装备属性!$K$1083,1+INT(COUNTA($Q$11:Q43)/5),0),N43)</f>
        <v>0.044</v>
      </c>
      <c r="O44" s="76">
        <f ca="1">IF(MOD(COUNTIF($Q$11:Q43,Q43),5)=0,OFFSET(装备属性!$L$1083,1+INT(COUNTA($Q$11:Q43)/5),0),O43)</f>
        <v>0.058</v>
      </c>
      <c r="Q44" s="89" t="str">
        <f ca="1">IF(MOD(COUNTIF($Q$11:Q43,Q43),5)=0,OFFSET(装备属性!$M$1083,1+INT(COUNTA($Q$11:Q43)/5),0),Q43)</f>
        <v>玩法类</v>
      </c>
      <c r="R44" s="83" t="e">
        <f ca="1">IF(MOD(COUNTIF($Q$11:Q43,Q43),5)=0,10000*SUBSTITUTE(SUBSTITUTE(OFFSET(装备属性!$F$1083,1+INT(COUNTA($Q$11:Q43)/5),0),"[",""),"]","")+_xlfn.XLOOKUP(C44,$M$3:$M$7,$N$3:$N$7)*100,R43)</f>
        <v>#N/A</v>
      </c>
    </row>
    <row r="45" customHeight="1" spans="1:18">
      <c r="A45" s="78" t="str">
        <f ca="1" t="shared" si="0"/>
        <v/>
      </c>
      <c r="B45" s="82" t="str">
        <f ca="1">IFERROR(R45+COUNTIFS($R$11:$R45,R45),"")</f>
        <v/>
      </c>
      <c r="C45" s="83">
        <f ca="1">IF(MOD(COUNTIF($Q$11:Q44,Q44),5)=0,OFFSET(装备属性!$D$1083,1+INT(COUNTA($Q$11:Q44)/5),0),C44)</f>
        <v>0</v>
      </c>
      <c r="D45" s="82">
        <f t="shared" si="2"/>
        <v>1000</v>
      </c>
      <c r="F45" s="82" t="str">
        <f ca="1" t="shared" si="1"/>
        <v/>
      </c>
      <c r="G45" s="78" t="str">
        <f ca="1">IF(AND(LEFT("[{"&amp;M45&amp;","&amp;CEILING(N45*10000+(O45-N45)/4*(COUNTIF($F$11:F45,F45)-1)*10000,10)&amp;"}]",7)="[{equip",MID("[{"&amp;M45&amp;","&amp;CEILING(N45*10000+(O45-N45)/4*(COUNTIF($F$11:F45,F45)-1)*10000,10)&amp;"}]",8,1)&lt;&gt;"_"),"[{"&amp;M45&amp;","&amp;1&amp;"}]","[{"&amp;M45&amp;","&amp;CEILING(N45*10000+(O45-N45)/4*(COUNTIF($F$11:F45,F45)-1)*10000,10)&amp;"}]")</f>
        <v>[{arena_pve_hit_rare,1110}]</v>
      </c>
      <c r="H45" s="82" t="s">
        <v>563</v>
      </c>
      <c r="J45" s="78">
        <f ca="1">IF(MOD(COUNTIF($Q$11:Q44,Q44),5)=0,OFFSET(装备属性!$P$1083,1+INT(COUNTA($Q$11:Q44)/5),0),J44)</f>
        <v>1</v>
      </c>
      <c r="K45" s="83" t="str">
        <f ca="1">IF(RIGHT(G45,13)="rune_slot,1}]",_xlfn.XLOOKUP(LEFT(SUBSTITUTE(G45,"[{",""),FIND(",",SUBSTITUTE(G45,"[{",""))-1),Sheet2!B:B,Sheet2!C:C)&amp;"+"&amp;1,_xlfn.XLOOKUP(LEFT(SUBSTITUTE(G45,"[{",""),FIND(",",SUBSTITUTE(G45,"[{",""))-1),Sheet2!B:B,Sheet2!C:C)&amp;"+"&amp;SUBSTITUTE(RIGHT(G45,LEN(G45)-FIND(",",G45)),"}]","")/100&amp;"%")</f>
        <v>荧幕争锋增伤+11.1%</v>
      </c>
      <c r="L45" s="83" t="str">
        <f ca="1">IF(MOD(COUNTIF($Q$11:Q44,Q44),5)=0,OFFSET(装备属性!$G$1083,1+INT(COUNTA($Q$11:Q44)/5),0),L44)</f>
        <v>关键开团Ⅰ</v>
      </c>
      <c r="M45" s="89" t="str">
        <f ca="1">IF(MOD(COUNTIF($Q$11:Q44,Q44),5)=0,OFFSET(装备属性!$H$1083,1+INT(COUNTA($Q$11:Q44)/5),0),M44)</f>
        <v>arena_pve_hit_rare</v>
      </c>
      <c r="N45" s="76">
        <f ca="1">IF(MOD(COUNTIF($Q$11:Q44,Q44),5)=0,OFFSET(装备属性!$K$1083,1+INT(COUNTA($Q$11:Q44)/5),0),N44)</f>
        <v>0.044</v>
      </c>
      <c r="O45" s="76">
        <f ca="1">IF(MOD(COUNTIF($Q$11:Q44,Q44),5)=0,OFFSET(装备属性!$L$1083,1+INT(COUNTA($Q$11:Q44)/5),0),O44)</f>
        <v>0.058</v>
      </c>
      <c r="Q45" s="89" t="str">
        <f ca="1">IF(MOD(COUNTIF($Q$11:Q44,Q44),5)=0,OFFSET(装备属性!$M$1083,1+INT(COUNTA($Q$11:Q44)/5),0),Q44)</f>
        <v>玩法类</v>
      </c>
      <c r="R45" s="83" t="e">
        <f ca="1">IF(MOD(COUNTIF($Q$11:Q44,Q44),5)=0,10000*SUBSTITUTE(SUBSTITUTE(OFFSET(装备属性!$F$1083,1+INT(COUNTA($Q$11:Q44)/5),0),"[",""),"]","")+_xlfn.XLOOKUP(C45,$M$3:$M$7,$N$3:$N$7)*100,R44)</f>
        <v>#N/A</v>
      </c>
    </row>
    <row r="46" customHeight="1" spans="1:18">
      <c r="A46" s="78">
        <f ca="1" t="shared" si="0"/>
        <v>10401</v>
      </c>
      <c r="B46" s="82">
        <f ca="1">IFERROR(R46+COUNTIFS($R$11:$R46,R46),"")</f>
        <v>10416</v>
      </c>
      <c r="C46" s="83" t="str">
        <f ca="1">IF(MOD(COUNTIF($Q$11:Q45,Q45),5)=0,OFFSET(装备属性!$D$1083,1+INT(COUNTA($Q$11:Q45)/5),0),C45)</f>
        <v>紫</v>
      </c>
      <c r="D46" s="82">
        <f t="shared" si="2"/>
        <v>3000</v>
      </c>
      <c r="F46" s="82">
        <f ca="1" t="shared" si="1"/>
        <v>10403</v>
      </c>
      <c r="G46" s="78" t="str">
        <f ca="1">IF(AND(LEFT("[{"&amp;M46&amp;","&amp;CEILING(N46*10000+(O46-N46)/4*(COUNTIF($F$11:F46,F46)-1)*10000,10)&amp;"}]",7)="[{equip",MID("[{"&amp;M46&amp;","&amp;CEILING(N46*10000+(O46-N46)/4*(COUNTIF($F$11:F46,F46)-1)*10000,10)&amp;"}]",8,1)&lt;&gt;"_"),"[{"&amp;M46&amp;","&amp;1&amp;"}]","[{"&amp;M46&amp;","&amp;CEILING(N46*10000+(O46-N46)/4*(COUNTIF($F$11:F46,F46)-1)*10000,10)&amp;"}]")</f>
        <v>[{warrior_dmg_red_rate,150}]</v>
      </c>
      <c r="H46" s="82" t="s">
        <v>563</v>
      </c>
      <c r="J46" s="78">
        <f ca="1">IF(MOD(COUNTIF($Q$11:Q45,Q45),5)=0,OFFSET(装备属性!$P$1083,1+INT(COUNTA($Q$11:Q45)/5),0),J45)</f>
        <v>6</v>
      </c>
      <c r="K46" s="83" t="str">
        <f ca="1">IF(RIGHT(G46,13)="rune_slot,1}]",_xlfn.XLOOKUP(LEFT(SUBSTITUTE(G46,"[{",""),FIND(",",SUBSTITUTE(G46,"[{",""))-1),Sheet2!B:B,Sheet2!C:C)&amp;"+"&amp;1,_xlfn.XLOOKUP(LEFT(SUBSTITUTE(G46,"[{",""),FIND(",",SUBSTITUTE(G46,"[{",""))-1),Sheet2!B:B,Sheet2!C:C)&amp;"+"&amp;SUBSTITUTE(RIGHT(G46,LEN(G46)-FIND(",",G46)),"}]","")/100&amp;"%")</f>
        <v>战士伤害减免+1.5%</v>
      </c>
      <c r="L46" s="83" t="str">
        <f ca="1">IF(MOD(COUNTIF($Q$11:Q45,Q45),5)=0,OFFSET(装备属性!$G$1083,1+INT(COUNTA($Q$11:Q45)/5),0),L45)</f>
        <v>猛男耐打Ⅰ</v>
      </c>
      <c r="M46" s="89" t="str">
        <f ca="1">IF(MOD(COUNTIF($Q$11:Q45,Q45),5)=0,OFFSET(装备属性!$H$1083,1+INT(COUNTA($Q$11:Q45)/5),0),M45)</f>
        <v>warrior_dmg_red_rate</v>
      </c>
      <c r="N46" s="76">
        <f ca="1">IF(MOD(COUNTIF($Q$11:Q45,Q45),5)=0,OFFSET(装备属性!$K$1083,1+INT(COUNTA($Q$11:Q45)/5),0),N45)</f>
        <v>0.015</v>
      </c>
      <c r="O46" s="76">
        <f ca="1">IF(MOD(COUNTIF($Q$11:Q45,Q45),5)=0,OFFSET(装备属性!$L$1083,1+INT(COUNTA($Q$11:Q45)/5),0),O45)</f>
        <v>0.019</v>
      </c>
      <c r="Q46" s="89" t="str">
        <f ca="1">IF(MOD(COUNTIF($Q$11:Q45,Q45),5)=0,OFFSET(装备属性!$M$1083,1+INT(COUNTA($Q$11:Q45)/5),0),Q45)</f>
        <v>通用属性</v>
      </c>
      <c r="R46" s="83">
        <f ca="1">IF(MOD(COUNTIF($Q$11:Q45,Q45),5)=0,10000*SUBSTITUTE(SUBSTITUTE(OFFSET(装备属性!$F$1083,1+INT(COUNTA($Q$11:Q45)/5),0),"[",""),"]","")+_xlfn.XLOOKUP(C46,$M$3:$M$7,$N$3:$N$7)*100,R45)</f>
        <v>10400</v>
      </c>
    </row>
    <row r="47" customHeight="1" spans="1:18">
      <c r="A47" s="78">
        <f ca="1" t="shared" si="0"/>
        <v>10401</v>
      </c>
      <c r="B47" s="82">
        <f ca="1">IFERROR(R47+COUNTIFS($R$11:$R47,R47),"")</f>
        <v>10417</v>
      </c>
      <c r="C47" s="83" t="str">
        <f ca="1">IF(MOD(COUNTIF($Q$11:Q46,Q46),5)=0,OFFSET(装备属性!$D$1083,1+INT(COUNTA($Q$11:Q46)/5),0),C46)</f>
        <v>紫</v>
      </c>
      <c r="D47" s="82">
        <f t="shared" si="2"/>
        <v>2500</v>
      </c>
      <c r="F47" s="82">
        <f ca="1" t="shared" si="1"/>
        <v>10403</v>
      </c>
      <c r="G47" s="78" t="str">
        <f ca="1">IF(AND(LEFT("[{"&amp;M47&amp;","&amp;CEILING(N47*10000+(O47-N47)/4*(COUNTIF($F$11:F47,F47)-1)*10000,10)&amp;"}]",7)="[{equip",MID("[{"&amp;M47&amp;","&amp;CEILING(N47*10000+(O47-N47)/4*(COUNTIF($F$11:F47,F47)-1)*10000,10)&amp;"}]",8,1)&lt;&gt;"_"),"[{"&amp;M47&amp;","&amp;1&amp;"}]","[{"&amp;M47&amp;","&amp;CEILING(N47*10000+(O47-N47)/4*(COUNTIF($F$11:F47,F47)-1)*10000,10)&amp;"}]")</f>
        <v>[{warrior_dmg_red_rate,160}]</v>
      </c>
      <c r="H47" s="82" t="s">
        <v>563</v>
      </c>
      <c r="J47" s="78">
        <f ca="1">IF(MOD(COUNTIF($Q$11:Q46,Q46),5)=0,OFFSET(装备属性!$P$1083,1+INT(COUNTA($Q$11:Q46)/5),0),J46)</f>
        <v>6</v>
      </c>
      <c r="K47" s="83" t="str">
        <f ca="1">IF(RIGHT(G47,13)="rune_slot,1}]",_xlfn.XLOOKUP(LEFT(SUBSTITUTE(G47,"[{",""),FIND(",",SUBSTITUTE(G47,"[{",""))-1),Sheet2!B:B,Sheet2!C:C)&amp;"+"&amp;1,_xlfn.XLOOKUP(LEFT(SUBSTITUTE(G47,"[{",""),FIND(",",SUBSTITUTE(G47,"[{",""))-1),Sheet2!B:B,Sheet2!C:C)&amp;"+"&amp;SUBSTITUTE(RIGHT(G47,LEN(G47)-FIND(",",G47)),"}]","")/100&amp;"%")</f>
        <v>战士伤害减免+1.6%</v>
      </c>
      <c r="L47" s="83" t="str">
        <f ca="1">IF(MOD(COUNTIF($Q$11:Q46,Q46),5)=0,OFFSET(装备属性!$G$1083,1+INT(COUNTA($Q$11:Q46)/5),0),L46)</f>
        <v>猛男耐打Ⅰ</v>
      </c>
      <c r="M47" s="89" t="str">
        <f ca="1">IF(MOD(COUNTIF($Q$11:Q46,Q46),5)=0,OFFSET(装备属性!$H$1083,1+INT(COUNTA($Q$11:Q46)/5),0),M46)</f>
        <v>warrior_dmg_red_rate</v>
      </c>
      <c r="N47" s="76">
        <f ca="1">IF(MOD(COUNTIF($Q$11:Q46,Q46),5)=0,OFFSET(装备属性!$K$1083,1+INT(COUNTA($Q$11:Q46)/5),0),N46)</f>
        <v>0.015</v>
      </c>
      <c r="O47" s="76">
        <f ca="1">IF(MOD(COUNTIF($Q$11:Q46,Q46),5)=0,OFFSET(装备属性!$L$1083,1+INT(COUNTA($Q$11:Q46)/5),0),O46)</f>
        <v>0.019</v>
      </c>
      <c r="Q47" s="89" t="str">
        <f ca="1">IF(MOD(COUNTIF($Q$11:Q46,Q46),5)=0,OFFSET(装备属性!$M$1083,1+INT(COUNTA($Q$11:Q46)/5),0),Q46)</f>
        <v>通用属性</v>
      </c>
      <c r="R47" s="83">
        <f ca="1">IF(MOD(COUNTIF($Q$11:Q46,Q46),5)=0,10000*SUBSTITUTE(SUBSTITUTE(OFFSET(装备属性!$F$1083,1+INT(COUNTA($Q$11:Q46)/5),0),"[",""),"]","")+_xlfn.XLOOKUP(C47,$M$3:$M$7,$N$3:$N$7)*100,R46)</f>
        <v>10400</v>
      </c>
    </row>
    <row r="48" customHeight="1" spans="1:18">
      <c r="A48" s="78">
        <f ca="1" t="shared" si="0"/>
        <v>10401</v>
      </c>
      <c r="B48" s="82">
        <f ca="1">IFERROR(R48+COUNTIFS($R$11:$R48,R48),"")</f>
        <v>10418</v>
      </c>
      <c r="C48" s="83" t="str">
        <f ca="1">IF(MOD(COUNTIF($Q$11:Q47,Q47),5)=0,OFFSET(装备属性!$D$1083,1+INT(COUNTA($Q$11:Q47)/5),0),C47)</f>
        <v>紫</v>
      </c>
      <c r="D48" s="82">
        <f t="shared" si="2"/>
        <v>2000</v>
      </c>
      <c r="F48" s="82">
        <f ca="1" t="shared" si="1"/>
        <v>10403</v>
      </c>
      <c r="G48" s="78" t="str">
        <f ca="1">IF(AND(LEFT("[{"&amp;M48&amp;","&amp;CEILING(N48*10000+(O48-N48)/4*(COUNTIF($F$11:F48,F48)-1)*10000,10)&amp;"}]",7)="[{equip",MID("[{"&amp;M48&amp;","&amp;CEILING(N48*10000+(O48-N48)/4*(COUNTIF($F$11:F48,F48)-1)*10000,10)&amp;"}]",8,1)&lt;&gt;"_"),"[{"&amp;M48&amp;","&amp;1&amp;"}]","[{"&amp;M48&amp;","&amp;CEILING(N48*10000+(O48-N48)/4*(COUNTIF($F$11:F48,F48)-1)*10000,10)&amp;"}]")</f>
        <v>[{warrior_dmg_red_rate,170}]</v>
      </c>
      <c r="H48" s="82" t="s">
        <v>563</v>
      </c>
      <c r="J48" s="78">
        <f ca="1">IF(MOD(COUNTIF($Q$11:Q47,Q47),5)=0,OFFSET(装备属性!$P$1083,1+INT(COUNTA($Q$11:Q47)/5),0),J47)</f>
        <v>6</v>
      </c>
      <c r="K48" s="83" t="str">
        <f ca="1">IF(RIGHT(G48,13)="rune_slot,1}]",_xlfn.XLOOKUP(LEFT(SUBSTITUTE(G48,"[{",""),FIND(",",SUBSTITUTE(G48,"[{",""))-1),Sheet2!B:B,Sheet2!C:C)&amp;"+"&amp;1,_xlfn.XLOOKUP(LEFT(SUBSTITUTE(G48,"[{",""),FIND(",",SUBSTITUTE(G48,"[{",""))-1),Sheet2!B:B,Sheet2!C:C)&amp;"+"&amp;SUBSTITUTE(RIGHT(G48,LEN(G48)-FIND(",",G48)),"}]","")/100&amp;"%")</f>
        <v>战士伤害减免+1.7%</v>
      </c>
      <c r="L48" s="83" t="str">
        <f ca="1">IF(MOD(COUNTIF($Q$11:Q47,Q47),5)=0,OFFSET(装备属性!$G$1083,1+INT(COUNTA($Q$11:Q47)/5),0),L47)</f>
        <v>猛男耐打Ⅰ</v>
      </c>
      <c r="M48" s="89" t="str">
        <f ca="1">IF(MOD(COUNTIF($Q$11:Q47,Q47),5)=0,OFFSET(装备属性!$H$1083,1+INT(COUNTA($Q$11:Q47)/5),0),M47)</f>
        <v>warrior_dmg_red_rate</v>
      </c>
      <c r="N48" s="76">
        <f ca="1">IF(MOD(COUNTIF($Q$11:Q47,Q47),5)=0,OFFSET(装备属性!$K$1083,1+INT(COUNTA($Q$11:Q47)/5),0),N47)</f>
        <v>0.015</v>
      </c>
      <c r="O48" s="76">
        <f ca="1">IF(MOD(COUNTIF($Q$11:Q47,Q47),5)=0,OFFSET(装备属性!$L$1083,1+INT(COUNTA($Q$11:Q47)/5),0),O47)</f>
        <v>0.019</v>
      </c>
      <c r="Q48" s="89" t="str">
        <f ca="1">IF(MOD(COUNTIF($Q$11:Q47,Q47),5)=0,OFFSET(装备属性!$M$1083,1+INT(COUNTA($Q$11:Q47)/5),0),Q47)</f>
        <v>通用属性</v>
      </c>
      <c r="R48" s="83">
        <f ca="1">IF(MOD(COUNTIF($Q$11:Q47,Q47),5)=0,10000*SUBSTITUTE(SUBSTITUTE(OFFSET(装备属性!$F$1083,1+INT(COUNTA($Q$11:Q47)/5),0),"[",""),"]","")+_xlfn.XLOOKUP(C48,$M$3:$M$7,$N$3:$N$7)*100,R47)</f>
        <v>10400</v>
      </c>
    </row>
    <row r="49" customHeight="1" spans="1:18">
      <c r="A49" s="78">
        <f ca="1" t="shared" si="0"/>
        <v>10401</v>
      </c>
      <c r="B49" s="82">
        <f ca="1">IFERROR(R49+COUNTIFS($R$11:$R49,R49),"")</f>
        <v>10419</v>
      </c>
      <c r="C49" s="83" t="str">
        <f ca="1">IF(MOD(COUNTIF($Q$11:Q48,Q48),5)=0,OFFSET(装备属性!$D$1083,1+INT(COUNTA($Q$11:Q48)/5),0),C48)</f>
        <v>紫</v>
      </c>
      <c r="D49" s="82">
        <f t="shared" si="2"/>
        <v>1500</v>
      </c>
      <c r="F49" s="82">
        <f ca="1" t="shared" si="1"/>
        <v>10403</v>
      </c>
      <c r="G49" s="78" t="str">
        <f ca="1">IF(AND(LEFT("[{"&amp;M49&amp;","&amp;CEILING(N49*10000+(O49-N49)/4*(COUNTIF($F$11:F49,F49)-1)*10000,10)&amp;"}]",7)="[{equip",MID("[{"&amp;M49&amp;","&amp;CEILING(N49*10000+(O49-N49)/4*(COUNTIF($F$11:F49,F49)-1)*10000,10)&amp;"}]",8,1)&lt;&gt;"_"),"[{"&amp;M49&amp;","&amp;1&amp;"}]","[{"&amp;M49&amp;","&amp;CEILING(N49*10000+(O49-N49)/4*(COUNTIF($F$11:F49,F49)-1)*10000,10)&amp;"}]")</f>
        <v>[{warrior_dmg_red_rate,180}]</v>
      </c>
      <c r="H49" s="82" t="s">
        <v>563</v>
      </c>
      <c r="J49" s="78">
        <f ca="1">IF(MOD(COUNTIF($Q$11:Q48,Q48),5)=0,OFFSET(装备属性!$P$1083,1+INT(COUNTA($Q$11:Q48)/5),0),J48)</f>
        <v>6</v>
      </c>
      <c r="K49" s="83" t="str">
        <f ca="1">IF(RIGHT(G49,13)="rune_slot,1}]",_xlfn.XLOOKUP(LEFT(SUBSTITUTE(G49,"[{",""),FIND(",",SUBSTITUTE(G49,"[{",""))-1),Sheet2!B:B,Sheet2!C:C)&amp;"+"&amp;1,_xlfn.XLOOKUP(LEFT(SUBSTITUTE(G49,"[{",""),FIND(",",SUBSTITUTE(G49,"[{",""))-1),Sheet2!B:B,Sheet2!C:C)&amp;"+"&amp;SUBSTITUTE(RIGHT(G49,LEN(G49)-FIND(",",G49)),"}]","")/100&amp;"%")</f>
        <v>战士伤害减免+1.8%</v>
      </c>
      <c r="L49" s="83" t="str">
        <f ca="1">IF(MOD(COUNTIF($Q$11:Q48,Q48),5)=0,OFFSET(装备属性!$G$1083,1+INT(COUNTA($Q$11:Q48)/5),0),L48)</f>
        <v>猛男耐打Ⅰ</v>
      </c>
      <c r="M49" s="89" t="str">
        <f ca="1">IF(MOD(COUNTIF($Q$11:Q48,Q48),5)=0,OFFSET(装备属性!$H$1083,1+INT(COUNTA($Q$11:Q48)/5),0),M48)</f>
        <v>warrior_dmg_red_rate</v>
      </c>
      <c r="N49" s="76">
        <f ca="1">IF(MOD(COUNTIF($Q$11:Q48,Q48),5)=0,OFFSET(装备属性!$K$1083,1+INT(COUNTA($Q$11:Q48)/5),0),N48)</f>
        <v>0.015</v>
      </c>
      <c r="O49" s="76">
        <f ca="1">IF(MOD(COUNTIF($Q$11:Q48,Q48),5)=0,OFFSET(装备属性!$L$1083,1+INT(COUNTA($Q$11:Q48)/5),0),O48)</f>
        <v>0.019</v>
      </c>
      <c r="Q49" s="89" t="str">
        <f ca="1">IF(MOD(COUNTIF($Q$11:Q48,Q48),5)=0,OFFSET(装备属性!$M$1083,1+INT(COUNTA($Q$11:Q48)/5),0),Q48)</f>
        <v>通用属性</v>
      </c>
      <c r="R49" s="83">
        <f ca="1">IF(MOD(COUNTIF($Q$11:Q48,Q48),5)=0,10000*SUBSTITUTE(SUBSTITUTE(OFFSET(装备属性!$F$1083,1+INT(COUNTA($Q$11:Q48)/5),0),"[",""),"]","")+_xlfn.XLOOKUP(C49,$M$3:$M$7,$N$3:$N$7)*100,R48)</f>
        <v>10400</v>
      </c>
    </row>
    <row r="50" customHeight="1" spans="1:18">
      <c r="A50" s="78">
        <f ca="1" t="shared" si="0"/>
        <v>10401</v>
      </c>
      <c r="B50" s="82">
        <f ca="1">IFERROR(R50+COUNTIFS($R$11:$R50,R50),"")</f>
        <v>10420</v>
      </c>
      <c r="C50" s="83" t="str">
        <f ca="1">IF(MOD(COUNTIF($Q$11:Q49,Q49),5)=0,OFFSET(装备属性!$D$1083,1+INT(COUNTA($Q$11:Q49)/5),0),C49)</f>
        <v>紫</v>
      </c>
      <c r="D50" s="82">
        <f t="shared" si="2"/>
        <v>1000</v>
      </c>
      <c r="F50" s="82">
        <f ca="1" t="shared" si="1"/>
        <v>10403</v>
      </c>
      <c r="G50" s="78" t="str">
        <f ca="1">IF(AND(LEFT("[{"&amp;M50&amp;","&amp;CEILING(N50*10000+(O50-N50)/4*(COUNTIF($F$11:F50,F50)-1)*10000,10)&amp;"}]",7)="[{equip",MID("[{"&amp;M50&amp;","&amp;CEILING(N50*10000+(O50-N50)/4*(COUNTIF($F$11:F50,F50)-1)*10000,10)&amp;"}]",8,1)&lt;&gt;"_"),"[{"&amp;M50&amp;","&amp;1&amp;"}]","[{"&amp;M50&amp;","&amp;CEILING(N50*10000+(O50-N50)/4*(COUNTIF($F$11:F50,F50)-1)*10000,10)&amp;"}]")</f>
        <v>[{warrior_dmg_red_rate,190}]</v>
      </c>
      <c r="H50" s="82" t="s">
        <v>563</v>
      </c>
      <c r="J50" s="78">
        <f ca="1">IF(MOD(COUNTIF($Q$11:Q49,Q49),5)=0,OFFSET(装备属性!$P$1083,1+INT(COUNTA($Q$11:Q49)/5),0),J49)</f>
        <v>6</v>
      </c>
      <c r="K50" s="83" t="str">
        <f ca="1">IF(RIGHT(G50,13)="rune_slot,1}]",_xlfn.XLOOKUP(LEFT(SUBSTITUTE(G50,"[{",""),FIND(",",SUBSTITUTE(G50,"[{",""))-1),Sheet2!B:B,Sheet2!C:C)&amp;"+"&amp;1,_xlfn.XLOOKUP(LEFT(SUBSTITUTE(G50,"[{",""),FIND(",",SUBSTITUTE(G50,"[{",""))-1),Sheet2!B:B,Sheet2!C:C)&amp;"+"&amp;SUBSTITUTE(RIGHT(G50,LEN(G50)-FIND(",",G50)),"}]","")/100&amp;"%")</f>
        <v>战士伤害减免+1.9%</v>
      </c>
      <c r="L50" s="83" t="str">
        <f ca="1">IF(MOD(COUNTIF($Q$11:Q49,Q49),5)=0,OFFSET(装备属性!$G$1083,1+INT(COUNTA($Q$11:Q49)/5),0),L49)</f>
        <v>猛男耐打Ⅰ</v>
      </c>
      <c r="M50" s="89" t="str">
        <f ca="1">IF(MOD(COUNTIF($Q$11:Q49,Q49),5)=0,OFFSET(装备属性!$H$1083,1+INT(COUNTA($Q$11:Q49)/5),0),M49)</f>
        <v>warrior_dmg_red_rate</v>
      </c>
      <c r="N50" s="76">
        <f ca="1">IF(MOD(COUNTIF($Q$11:Q49,Q49),5)=0,OFFSET(装备属性!$K$1083,1+INT(COUNTA($Q$11:Q49)/5),0),N49)</f>
        <v>0.015</v>
      </c>
      <c r="O50" s="76">
        <f ca="1">IF(MOD(COUNTIF($Q$11:Q49,Q49),5)=0,OFFSET(装备属性!$L$1083,1+INT(COUNTA($Q$11:Q49)/5),0),O49)</f>
        <v>0.019</v>
      </c>
      <c r="Q50" s="89" t="str">
        <f ca="1">IF(MOD(COUNTIF($Q$11:Q49,Q49),5)=0,OFFSET(装备属性!$M$1083,1+INT(COUNTA($Q$11:Q49)/5),0),Q49)</f>
        <v>通用属性</v>
      </c>
      <c r="R50" s="83">
        <f ca="1">IF(MOD(COUNTIF($Q$11:Q49,Q49),5)=0,10000*SUBSTITUTE(SUBSTITUTE(OFFSET(装备属性!$F$1083,1+INT(COUNTA($Q$11:Q49)/5),0),"[",""),"]","")+_xlfn.XLOOKUP(C50,$M$3:$M$7,$N$3:$N$7)*100,R49)</f>
        <v>10400</v>
      </c>
    </row>
    <row r="51" customHeight="1" spans="1:18">
      <c r="A51" s="78">
        <f ca="1" t="shared" si="0"/>
        <v>10401</v>
      </c>
      <c r="B51" s="82">
        <f ca="1">IFERROR(R51+COUNTIFS($R$11:$R51,R51),"")</f>
        <v>10421</v>
      </c>
      <c r="C51" s="83" t="str">
        <f ca="1">IF(MOD(COUNTIF($Q$11:Q50,Q50),5)=0,OFFSET(装备属性!$D$1083,1+INT(COUNTA($Q$11:Q50)/5),0),C50)</f>
        <v>紫</v>
      </c>
      <c r="D51" s="82">
        <f t="shared" si="2"/>
        <v>3000</v>
      </c>
      <c r="F51" s="82">
        <f ca="1" t="shared" si="1"/>
        <v>10404</v>
      </c>
      <c r="G51" s="78" t="str">
        <f ca="1">IF(AND(LEFT("[{"&amp;M51&amp;","&amp;CEILING(N51*10000+(O51-N51)/4*(COUNTIF($F$11:F51,F51)-1)*10000,10)&amp;"}]",7)="[{equip",MID("[{"&amp;M51&amp;","&amp;CEILING(N51*10000+(O51-N51)/4*(COUNTIF($F$11:F51,F51)-1)*10000,10)&amp;"}]",8,1)&lt;&gt;"_"),"[{"&amp;M51&amp;","&amp;1&amp;"}]","[{"&amp;M51&amp;","&amp;CEILING(N51*10000+(O51-N51)/4*(COUNTIF($F$11:F51,F51)-1)*10000,10)&amp;"}]")</f>
        <v>[{warrior_dmg_rate,440}]</v>
      </c>
      <c r="H51" s="82" t="s">
        <v>563</v>
      </c>
      <c r="J51" s="78">
        <f ca="1">IF(MOD(COUNTIF($Q$11:Q50,Q50),5)=0,OFFSET(装备属性!$P$1083,1+INT(COUNTA($Q$11:Q50)/5),0),J50)</f>
        <v>5</v>
      </c>
      <c r="K51" s="83" t="str">
        <f ca="1">IF(RIGHT(G51,13)="rune_slot,1}]",_xlfn.XLOOKUP(LEFT(SUBSTITUTE(G51,"[{",""),FIND(",",SUBSTITUTE(G51,"[{",""))-1),Sheet2!B:B,Sheet2!C:C)&amp;"+"&amp;1,_xlfn.XLOOKUP(LEFT(SUBSTITUTE(G51,"[{",""),FIND(",",SUBSTITUTE(G51,"[{",""))-1),Sheet2!B:B,Sheet2!C:C)&amp;"+"&amp;SUBSTITUTE(RIGHT(G51,LEN(G51)-FIND(",",G51)),"}]","")/100&amp;"%")</f>
        <v>战士伤害+4.4%</v>
      </c>
      <c r="L51" s="83" t="str">
        <f ca="1">IF(MOD(COUNTIF($Q$11:Q50,Q50),5)=0,OFFSET(装备属性!$G$1083,1+INT(COUNTA($Q$11:Q50)/5),0),L50)</f>
        <v>猛男加劲Ⅰ</v>
      </c>
      <c r="M51" s="89" t="str">
        <f ca="1">IF(MOD(COUNTIF($Q$11:Q50,Q50),5)=0,OFFSET(装备属性!$H$1083,1+INT(COUNTA($Q$11:Q50)/5),0),M50)</f>
        <v>warrior_dmg_rate</v>
      </c>
      <c r="N51" s="76">
        <f ca="1">IF(MOD(COUNTIF($Q$11:Q50,Q50),5)=0,OFFSET(装备属性!$K$1083,1+INT(COUNTA($Q$11:Q50)/5),0),N50)</f>
        <v>0.044</v>
      </c>
      <c r="O51" s="76">
        <f ca="1">IF(MOD(COUNTIF($Q$11:Q50,Q50),5)=0,OFFSET(装备属性!$L$1083,1+INT(COUNTA($Q$11:Q50)/5),0),O50)</f>
        <v>0.058</v>
      </c>
      <c r="Q51" s="89" t="str">
        <f ca="1">IF(MOD(COUNTIF($Q$11:Q50,Q50),5)=0,OFFSET(装备属性!$M$1083,1+INT(COUNTA($Q$11:Q50)/5),0),Q50)</f>
        <v>通用属性</v>
      </c>
      <c r="R51" s="83">
        <f ca="1">IF(MOD(COUNTIF($Q$11:Q50,Q50),5)=0,10000*SUBSTITUTE(SUBSTITUTE(OFFSET(装备属性!$F$1083,1+INT(COUNTA($Q$11:Q50)/5),0),"[",""),"]","")+_xlfn.XLOOKUP(C51,$M$3:$M$7,$N$3:$N$7)*100,R50)</f>
        <v>10400</v>
      </c>
    </row>
    <row r="52" customHeight="1" spans="1:18">
      <c r="A52" s="78">
        <f ca="1" t="shared" si="0"/>
        <v>10401</v>
      </c>
      <c r="B52" s="82">
        <f ca="1">IFERROR(R52+COUNTIFS($R$11:$R52,R52),"")</f>
        <v>10422</v>
      </c>
      <c r="C52" s="83" t="str">
        <f ca="1">IF(MOD(COUNTIF($Q$11:Q51,Q51),5)=0,OFFSET(装备属性!$D$1083,1+INT(COUNTA($Q$11:Q51)/5),0),C51)</f>
        <v>紫</v>
      </c>
      <c r="D52" s="82">
        <f t="shared" si="2"/>
        <v>2500</v>
      </c>
      <c r="F52" s="82">
        <f ca="1" t="shared" si="1"/>
        <v>10404</v>
      </c>
      <c r="G52" s="78" t="str">
        <f ca="1">IF(AND(LEFT("[{"&amp;M52&amp;","&amp;CEILING(N52*10000+(O52-N52)/4*(COUNTIF($F$11:F52,F52)-1)*10000,10)&amp;"}]",7)="[{equip",MID("[{"&amp;M52&amp;","&amp;CEILING(N52*10000+(O52-N52)/4*(COUNTIF($F$11:F52,F52)-1)*10000,10)&amp;"}]",8,1)&lt;&gt;"_"),"[{"&amp;M52&amp;","&amp;1&amp;"}]","[{"&amp;M52&amp;","&amp;CEILING(N52*10000+(O52-N52)/4*(COUNTIF($F$11:F52,F52)-1)*10000,10)&amp;"}]")</f>
        <v>[{warrior_dmg_rate,480}]</v>
      </c>
      <c r="H52" s="82" t="s">
        <v>563</v>
      </c>
      <c r="J52" s="78">
        <f ca="1">IF(MOD(COUNTIF($Q$11:Q51,Q51),5)=0,OFFSET(装备属性!$P$1083,1+INT(COUNTA($Q$11:Q51)/5),0),J51)</f>
        <v>5</v>
      </c>
      <c r="K52" s="83" t="str">
        <f ca="1">IF(RIGHT(G52,13)="rune_slot,1}]",_xlfn.XLOOKUP(LEFT(SUBSTITUTE(G52,"[{",""),FIND(",",SUBSTITUTE(G52,"[{",""))-1),Sheet2!B:B,Sheet2!C:C)&amp;"+"&amp;1,_xlfn.XLOOKUP(LEFT(SUBSTITUTE(G52,"[{",""),FIND(",",SUBSTITUTE(G52,"[{",""))-1),Sheet2!B:B,Sheet2!C:C)&amp;"+"&amp;SUBSTITUTE(RIGHT(G52,LEN(G52)-FIND(",",G52)),"}]","")/100&amp;"%")</f>
        <v>战士伤害+4.8%</v>
      </c>
      <c r="L52" s="83" t="str">
        <f ca="1">IF(MOD(COUNTIF($Q$11:Q51,Q51),5)=0,OFFSET(装备属性!$G$1083,1+INT(COUNTA($Q$11:Q51)/5),0),L51)</f>
        <v>猛男加劲Ⅰ</v>
      </c>
      <c r="M52" s="89" t="str">
        <f ca="1">IF(MOD(COUNTIF($Q$11:Q51,Q51),5)=0,OFFSET(装备属性!$H$1083,1+INT(COUNTA($Q$11:Q51)/5),0),M51)</f>
        <v>warrior_dmg_rate</v>
      </c>
      <c r="N52" s="76">
        <f ca="1">IF(MOD(COUNTIF($Q$11:Q51,Q51),5)=0,OFFSET(装备属性!$K$1083,1+INT(COUNTA($Q$11:Q51)/5),0),N51)</f>
        <v>0.044</v>
      </c>
      <c r="O52" s="76">
        <f ca="1">IF(MOD(COUNTIF($Q$11:Q51,Q51),5)=0,OFFSET(装备属性!$L$1083,1+INT(COUNTA($Q$11:Q51)/5),0),O51)</f>
        <v>0.058</v>
      </c>
      <c r="Q52" s="89" t="str">
        <f ca="1">IF(MOD(COUNTIF($Q$11:Q51,Q51),5)=0,OFFSET(装备属性!$M$1083,1+INT(COUNTA($Q$11:Q51)/5),0),Q51)</f>
        <v>通用属性</v>
      </c>
      <c r="R52" s="83">
        <f ca="1">IF(MOD(COUNTIF($Q$11:Q51,Q51),5)=0,10000*SUBSTITUTE(SUBSTITUTE(OFFSET(装备属性!$F$1083,1+INT(COUNTA($Q$11:Q51)/5),0),"[",""),"]","")+_xlfn.XLOOKUP(C52,$M$3:$M$7,$N$3:$N$7)*100,R51)</f>
        <v>10400</v>
      </c>
    </row>
    <row r="53" customHeight="1" spans="1:18">
      <c r="A53" s="78">
        <f ca="1" t="shared" si="0"/>
        <v>10401</v>
      </c>
      <c r="B53" s="82">
        <f ca="1">IFERROR(R53+COUNTIFS($R$11:$R53,R53),"")</f>
        <v>10423</v>
      </c>
      <c r="C53" s="83" t="str">
        <f ca="1">IF(MOD(COUNTIF($Q$11:Q52,Q52),5)=0,OFFSET(装备属性!$D$1083,1+INT(COUNTA($Q$11:Q52)/5),0),C52)</f>
        <v>紫</v>
      </c>
      <c r="D53" s="82">
        <f t="shared" si="2"/>
        <v>2000</v>
      </c>
      <c r="F53" s="82">
        <f ca="1" t="shared" si="1"/>
        <v>10404</v>
      </c>
      <c r="G53" s="78" t="str">
        <f ca="1">IF(AND(LEFT("[{"&amp;M53&amp;","&amp;CEILING(N53*10000+(O53-N53)/4*(COUNTIF($F$11:F53,F53)-1)*10000,10)&amp;"}]",7)="[{equip",MID("[{"&amp;M53&amp;","&amp;CEILING(N53*10000+(O53-N53)/4*(COUNTIF($F$11:F53,F53)-1)*10000,10)&amp;"}]",8,1)&lt;&gt;"_"),"[{"&amp;M53&amp;","&amp;1&amp;"}]","[{"&amp;M53&amp;","&amp;CEILING(N53*10000+(O53-N53)/4*(COUNTIF($F$11:F53,F53)-1)*10000,10)&amp;"}]")</f>
        <v>[{warrior_dmg_rate,510}]</v>
      </c>
      <c r="H53" s="82" t="s">
        <v>563</v>
      </c>
      <c r="J53" s="78">
        <f ca="1">IF(MOD(COUNTIF($Q$11:Q52,Q52),5)=0,OFFSET(装备属性!$P$1083,1+INT(COUNTA($Q$11:Q52)/5),0),J52)</f>
        <v>5</v>
      </c>
      <c r="K53" s="83" t="str">
        <f ca="1">IF(RIGHT(G53,13)="rune_slot,1}]",_xlfn.XLOOKUP(LEFT(SUBSTITUTE(G53,"[{",""),FIND(",",SUBSTITUTE(G53,"[{",""))-1),Sheet2!B:B,Sheet2!C:C)&amp;"+"&amp;1,_xlfn.XLOOKUP(LEFT(SUBSTITUTE(G53,"[{",""),FIND(",",SUBSTITUTE(G53,"[{",""))-1),Sheet2!B:B,Sheet2!C:C)&amp;"+"&amp;SUBSTITUTE(RIGHT(G53,LEN(G53)-FIND(",",G53)),"}]","")/100&amp;"%")</f>
        <v>战士伤害+5.1%</v>
      </c>
      <c r="L53" s="83" t="str">
        <f ca="1">IF(MOD(COUNTIF($Q$11:Q52,Q52),5)=0,OFFSET(装备属性!$G$1083,1+INT(COUNTA($Q$11:Q52)/5),0),L52)</f>
        <v>猛男加劲Ⅰ</v>
      </c>
      <c r="M53" s="89" t="str">
        <f ca="1">IF(MOD(COUNTIF($Q$11:Q52,Q52),5)=0,OFFSET(装备属性!$H$1083,1+INT(COUNTA($Q$11:Q52)/5),0),M52)</f>
        <v>warrior_dmg_rate</v>
      </c>
      <c r="N53" s="76">
        <f ca="1">IF(MOD(COUNTIF($Q$11:Q52,Q52),5)=0,OFFSET(装备属性!$K$1083,1+INT(COUNTA($Q$11:Q52)/5),0),N52)</f>
        <v>0.044</v>
      </c>
      <c r="O53" s="76">
        <f ca="1">IF(MOD(COUNTIF($Q$11:Q52,Q52),5)=0,OFFSET(装备属性!$L$1083,1+INT(COUNTA($Q$11:Q52)/5),0),O52)</f>
        <v>0.058</v>
      </c>
      <c r="Q53" s="89" t="str">
        <f ca="1">IF(MOD(COUNTIF($Q$11:Q52,Q52),5)=0,OFFSET(装备属性!$M$1083,1+INT(COUNTA($Q$11:Q52)/5),0),Q52)</f>
        <v>通用属性</v>
      </c>
      <c r="R53" s="83">
        <f ca="1">IF(MOD(COUNTIF($Q$11:Q52,Q52),5)=0,10000*SUBSTITUTE(SUBSTITUTE(OFFSET(装备属性!$F$1083,1+INT(COUNTA($Q$11:Q52)/5),0),"[",""),"]","")+_xlfn.XLOOKUP(C53,$M$3:$M$7,$N$3:$N$7)*100,R52)</f>
        <v>10400</v>
      </c>
    </row>
    <row r="54" customHeight="1" spans="1:18">
      <c r="A54" s="78">
        <f ca="1" t="shared" si="0"/>
        <v>10401</v>
      </c>
      <c r="B54" s="82">
        <f ca="1">IFERROR(R54+COUNTIFS($R$11:$R54,R54),"")</f>
        <v>10424</v>
      </c>
      <c r="C54" s="83" t="str">
        <f ca="1">IF(MOD(COUNTIF($Q$11:Q53,Q53),5)=0,OFFSET(装备属性!$D$1083,1+INT(COUNTA($Q$11:Q53)/5),0),C53)</f>
        <v>紫</v>
      </c>
      <c r="D54" s="82">
        <f t="shared" si="2"/>
        <v>1500</v>
      </c>
      <c r="F54" s="82">
        <f ca="1" t="shared" si="1"/>
        <v>10404</v>
      </c>
      <c r="G54" s="78" t="str">
        <f ca="1">IF(AND(LEFT("[{"&amp;M54&amp;","&amp;CEILING(N54*10000+(O54-N54)/4*(COUNTIF($F$11:F54,F54)-1)*10000,10)&amp;"}]",7)="[{equip",MID("[{"&amp;M54&amp;","&amp;CEILING(N54*10000+(O54-N54)/4*(COUNTIF($F$11:F54,F54)-1)*10000,10)&amp;"}]",8,1)&lt;&gt;"_"),"[{"&amp;M54&amp;","&amp;1&amp;"}]","[{"&amp;M54&amp;","&amp;CEILING(N54*10000+(O54-N54)/4*(COUNTIF($F$11:F54,F54)-1)*10000,10)&amp;"}]")</f>
        <v>[{warrior_dmg_rate,550}]</v>
      </c>
      <c r="H54" s="82" t="s">
        <v>563</v>
      </c>
      <c r="J54" s="78">
        <f ca="1">IF(MOD(COUNTIF($Q$11:Q53,Q53),5)=0,OFFSET(装备属性!$P$1083,1+INT(COUNTA($Q$11:Q53)/5),0),J53)</f>
        <v>5</v>
      </c>
      <c r="K54" s="83" t="str">
        <f ca="1">IF(RIGHT(G54,13)="rune_slot,1}]",_xlfn.XLOOKUP(LEFT(SUBSTITUTE(G54,"[{",""),FIND(",",SUBSTITUTE(G54,"[{",""))-1),Sheet2!B:B,Sheet2!C:C)&amp;"+"&amp;1,_xlfn.XLOOKUP(LEFT(SUBSTITUTE(G54,"[{",""),FIND(",",SUBSTITUTE(G54,"[{",""))-1),Sheet2!B:B,Sheet2!C:C)&amp;"+"&amp;SUBSTITUTE(RIGHT(G54,LEN(G54)-FIND(",",G54)),"}]","")/100&amp;"%")</f>
        <v>战士伤害+5.5%</v>
      </c>
      <c r="L54" s="83" t="str">
        <f ca="1">IF(MOD(COUNTIF($Q$11:Q53,Q53),5)=0,OFFSET(装备属性!$G$1083,1+INT(COUNTA($Q$11:Q53)/5),0),L53)</f>
        <v>猛男加劲Ⅰ</v>
      </c>
      <c r="M54" s="89" t="str">
        <f ca="1">IF(MOD(COUNTIF($Q$11:Q53,Q53),5)=0,OFFSET(装备属性!$H$1083,1+INT(COUNTA($Q$11:Q53)/5),0),M53)</f>
        <v>warrior_dmg_rate</v>
      </c>
      <c r="N54" s="76">
        <f ca="1">IF(MOD(COUNTIF($Q$11:Q53,Q53),5)=0,OFFSET(装备属性!$K$1083,1+INT(COUNTA($Q$11:Q53)/5),0),N53)</f>
        <v>0.044</v>
      </c>
      <c r="O54" s="76">
        <f ca="1">IF(MOD(COUNTIF($Q$11:Q53,Q53),5)=0,OFFSET(装备属性!$L$1083,1+INT(COUNTA($Q$11:Q53)/5),0),O53)</f>
        <v>0.058</v>
      </c>
      <c r="Q54" s="89" t="str">
        <f ca="1">IF(MOD(COUNTIF($Q$11:Q53,Q53),5)=0,OFFSET(装备属性!$M$1083,1+INT(COUNTA($Q$11:Q53)/5),0),Q53)</f>
        <v>通用属性</v>
      </c>
      <c r="R54" s="83">
        <f ca="1">IF(MOD(COUNTIF($Q$11:Q53,Q53),5)=0,10000*SUBSTITUTE(SUBSTITUTE(OFFSET(装备属性!$F$1083,1+INT(COUNTA($Q$11:Q53)/5),0),"[",""),"]","")+_xlfn.XLOOKUP(C54,$M$3:$M$7,$N$3:$N$7)*100,R53)</f>
        <v>10400</v>
      </c>
    </row>
    <row r="55" customHeight="1" spans="1:18">
      <c r="A55" s="78">
        <f ca="1" t="shared" si="0"/>
        <v>10401</v>
      </c>
      <c r="B55" s="82">
        <f ca="1">IFERROR(R55+COUNTIFS($R$11:$R55,R55),"")</f>
        <v>10425</v>
      </c>
      <c r="C55" s="83" t="str">
        <f ca="1">IF(MOD(COUNTIF($Q$11:Q54,Q54),5)=0,OFFSET(装备属性!$D$1083,1+INT(COUNTA($Q$11:Q54)/5),0),C54)</f>
        <v>紫</v>
      </c>
      <c r="D55" s="82">
        <f t="shared" si="2"/>
        <v>1000</v>
      </c>
      <c r="F55" s="82">
        <f ca="1" t="shared" si="1"/>
        <v>10404</v>
      </c>
      <c r="G55" s="78" t="str">
        <f ca="1">IF(AND(LEFT("[{"&amp;M55&amp;","&amp;CEILING(N55*10000+(O55-N55)/4*(COUNTIF($F$11:F55,F55)-1)*10000,10)&amp;"}]",7)="[{equip",MID("[{"&amp;M55&amp;","&amp;CEILING(N55*10000+(O55-N55)/4*(COUNTIF($F$11:F55,F55)-1)*10000,10)&amp;"}]",8,1)&lt;&gt;"_"),"[{"&amp;M55&amp;","&amp;1&amp;"}]","[{"&amp;M55&amp;","&amp;CEILING(N55*10000+(O55-N55)/4*(COUNTIF($F$11:F55,F55)-1)*10000,10)&amp;"}]")</f>
        <v>[{warrior_dmg_rate,580}]</v>
      </c>
      <c r="H55" s="82" t="s">
        <v>563</v>
      </c>
      <c r="J55" s="78">
        <f ca="1">IF(MOD(COUNTIF($Q$11:Q54,Q54),5)=0,OFFSET(装备属性!$P$1083,1+INT(COUNTA($Q$11:Q54)/5),0),J54)</f>
        <v>5</v>
      </c>
      <c r="K55" s="83" t="str">
        <f ca="1">IF(RIGHT(G55,13)="rune_slot,1}]",_xlfn.XLOOKUP(LEFT(SUBSTITUTE(G55,"[{",""),FIND(",",SUBSTITUTE(G55,"[{",""))-1),Sheet2!B:B,Sheet2!C:C)&amp;"+"&amp;1,_xlfn.XLOOKUP(LEFT(SUBSTITUTE(G55,"[{",""),FIND(",",SUBSTITUTE(G55,"[{",""))-1),Sheet2!B:B,Sheet2!C:C)&amp;"+"&amp;SUBSTITUTE(RIGHT(G55,LEN(G55)-FIND(",",G55)),"}]","")/100&amp;"%")</f>
        <v>战士伤害+5.8%</v>
      </c>
      <c r="L55" s="83" t="str">
        <f ca="1">IF(MOD(COUNTIF($Q$11:Q54,Q54),5)=0,OFFSET(装备属性!$G$1083,1+INT(COUNTA($Q$11:Q54)/5),0),L54)</f>
        <v>猛男加劲Ⅰ</v>
      </c>
      <c r="M55" s="89" t="str">
        <f ca="1">IF(MOD(COUNTIF($Q$11:Q54,Q54),5)=0,OFFSET(装备属性!$H$1083,1+INT(COUNTA($Q$11:Q54)/5),0),M54)</f>
        <v>warrior_dmg_rate</v>
      </c>
      <c r="N55" s="76">
        <f ca="1">IF(MOD(COUNTIF($Q$11:Q54,Q54),5)=0,OFFSET(装备属性!$K$1083,1+INT(COUNTA($Q$11:Q54)/5),0),N54)</f>
        <v>0.044</v>
      </c>
      <c r="O55" s="76">
        <f ca="1">IF(MOD(COUNTIF($Q$11:Q54,Q54),5)=0,OFFSET(装备属性!$L$1083,1+INT(COUNTA($Q$11:Q54)/5),0),O54)</f>
        <v>0.058</v>
      </c>
      <c r="Q55" s="89" t="str">
        <f ca="1">IF(MOD(COUNTIF($Q$11:Q54,Q54),5)=0,OFFSET(装备属性!$M$1083,1+INT(COUNTA($Q$11:Q54)/5),0),Q54)</f>
        <v>通用属性</v>
      </c>
      <c r="R55" s="83">
        <f ca="1">IF(MOD(COUNTIF($Q$11:Q54,Q54),5)=0,10000*SUBSTITUTE(SUBSTITUTE(OFFSET(装备属性!$F$1083,1+INT(COUNTA($Q$11:Q54)/5),0),"[",""),"]","")+_xlfn.XLOOKUP(C55,$M$3:$M$7,$N$3:$N$7)*100,R54)</f>
        <v>10400</v>
      </c>
    </row>
    <row r="56" customHeight="1" spans="1:18">
      <c r="A56" s="78" t="str">
        <f ca="1" t="shared" si="0"/>
        <v/>
      </c>
      <c r="B56" s="82" t="str">
        <f ca="1">IFERROR(R56+COUNTIFS($R$11:$R56,R56),"")</f>
        <v/>
      </c>
      <c r="C56" s="83">
        <f ca="1">IF(MOD(COUNTIF($Q$11:Q55,Q55),5)=0,OFFSET(装备属性!$D$1083,1+INT(COUNTA($Q$11:Q55)/5),0),C55)</f>
        <v>0</v>
      </c>
      <c r="D56" s="82">
        <f t="shared" si="2"/>
        <v>3000</v>
      </c>
      <c r="F56" s="82" t="str">
        <f ca="1" t="shared" si="1"/>
        <v/>
      </c>
      <c r="G56" s="78" t="str">
        <f ca="1">IF(AND(LEFT("[{"&amp;M56&amp;","&amp;CEILING(N56*10000+(O56-N56)/4*(COUNTIF($F$11:F56,F56)-1)*10000,10)&amp;"}]",7)="[{equip",MID("[{"&amp;M56&amp;","&amp;CEILING(N56*10000+(O56-N56)/4*(COUNTIF($F$11:F56,F56)-1)*10000,10)&amp;"}]",8,1)&lt;&gt;"_"),"[{"&amp;M56&amp;","&amp;1&amp;"}]","[{"&amp;M56&amp;","&amp;CEILING(N56*10000+(O56-N56)/4*(COUNTIF($F$11:F56,F56)-1)*10000,10)&amp;"}]")</f>
        <v>[{warrior_class_dmg_rate,1350}]</v>
      </c>
      <c r="H56" s="82" t="s">
        <v>563</v>
      </c>
      <c r="J56" s="78">
        <f ca="1">IF(MOD(COUNTIF($Q$11:Q55,Q55),5)=0,OFFSET(装备属性!$P$1083,1+INT(COUNTA($Q$11:Q55)/5),0),J55)</f>
        <v>3</v>
      </c>
      <c r="K56" s="83" t="str">
        <f ca="1">IF(RIGHT(G56,13)="rune_slot,1}]",_xlfn.XLOOKUP(LEFT(SUBSTITUTE(G56,"[{",""),FIND(",",SUBSTITUTE(G56,"[{",""))-1),Sheet2!B:B,Sheet2!C:C)&amp;"+"&amp;1,_xlfn.XLOOKUP(LEFT(SUBSTITUTE(G56,"[{",""),FIND(",",SUBSTITUTE(G56,"[{",""))-1),Sheet2!B:B,Sheet2!C:C)&amp;"+"&amp;SUBSTITUTE(RIGHT(G56,LEN(G56)-FIND(",",G56)),"}]","")/100&amp;"%")</f>
        <v>上阵两个战士职业增伤+13.5%</v>
      </c>
      <c r="L56" s="83" t="str">
        <f ca="1">IF(MOD(COUNTIF($Q$11:Q55,Q55),5)=0,OFFSET(装备属性!$G$1083,1+INT(COUNTA($Q$11:Q55)/5),0),L55)</f>
        <v>猛男小队Ⅰ</v>
      </c>
      <c r="M56" s="89" t="str">
        <f ca="1">IF(MOD(COUNTIF($Q$11:Q55,Q55),5)=0,OFFSET(装备属性!$H$1083,1+INT(COUNTA($Q$11:Q55)/5),0),M55)</f>
        <v>warrior_class_dmg_rate</v>
      </c>
      <c r="N56" s="76">
        <f ca="1">IF(MOD(COUNTIF($Q$11:Q55,Q55),5)=0,OFFSET(装备属性!$K$1083,1+INT(COUNTA($Q$11:Q55)/5),0),N55)</f>
        <v>0.06</v>
      </c>
      <c r="O56" s="76">
        <f ca="1">IF(MOD(COUNTIF($Q$11:Q55,Q55),5)=0,OFFSET(装备属性!$L$1083,1+INT(COUNTA($Q$11:Q55)/5),0),O55)</f>
        <v>0.075</v>
      </c>
      <c r="Q56" s="89" t="str">
        <f ca="1">IF(MOD(COUNTIF($Q$11:Q55,Q55),5)=0,OFFSET(装备属性!$M$1083,1+INT(COUNTA($Q$11:Q55)/5),0),Q55)</f>
        <v>通用属性</v>
      </c>
      <c r="R56" s="83" t="e">
        <f ca="1">IF(MOD(COUNTIF($Q$11:Q55,Q55),5)=0,10000*SUBSTITUTE(SUBSTITUTE(OFFSET(装备属性!$F$1083,1+INT(COUNTA($Q$11:Q55)/5),0),"[",""),"]","")+_xlfn.XLOOKUP(C56,$M$3:$M$7,$N$3:$N$7)*100,R55)</f>
        <v>#N/A</v>
      </c>
    </row>
    <row r="57" customHeight="1" spans="1:18">
      <c r="A57" s="78" t="str">
        <f ca="1" t="shared" si="0"/>
        <v/>
      </c>
      <c r="B57" s="82" t="str">
        <f ca="1">IFERROR(R57+COUNTIFS($R$11:$R57,R57),"")</f>
        <v/>
      </c>
      <c r="C57" s="83">
        <f ca="1">IF(MOD(COUNTIF($Q$11:Q56,Q56),5)=0,OFFSET(装备属性!$D$1083,1+INT(COUNTA($Q$11:Q56)/5),0),C56)</f>
        <v>0</v>
      </c>
      <c r="D57" s="82">
        <f t="shared" si="2"/>
        <v>2500</v>
      </c>
      <c r="F57" s="82" t="str">
        <f ca="1" t="shared" si="1"/>
        <v/>
      </c>
      <c r="G57" s="78" t="str">
        <f ca="1">IF(AND(LEFT("[{"&amp;M57&amp;","&amp;CEILING(N57*10000+(O57-N57)/4*(COUNTIF($F$11:F57,F57)-1)*10000,10)&amp;"}]",7)="[{equip",MID("[{"&amp;M57&amp;","&amp;CEILING(N57*10000+(O57-N57)/4*(COUNTIF($F$11:F57,F57)-1)*10000,10)&amp;"}]",8,1)&lt;&gt;"_"),"[{"&amp;M57&amp;","&amp;1&amp;"}]","[{"&amp;M57&amp;","&amp;CEILING(N57*10000+(O57-N57)/4*(COUNTIF($F$11:F57,F57)-1)*10000,10)&amp;"}]")</f>
        <v>[{warrior_class_dmg_rate,1390}]</v>
      </c>
      <c r="H57" s="82" t="s">
        <v>563</v>
      </c>
      <c r="J57" s="78">
        <f ca="1">IF(MOD(COUNTIF($Q$11:Q56,Q56),5)=0,OFFSET(装备属性!$P$1083,1+INT(COUNTA($Q$11:Q56)/5),0),J56)</f>
        <v>3</v>
      </c>
      <c r="K57" s="83" t="str">
        <f ca="1">IF(RIGHT(G57,13)="rune_slot,1}]",_xlfn.XLOOKUP(LEFT(SUBSTITUTE(G57,"[{",""),FIND(",",SUBSTITUTE(G57,"[{",""))-1),Sheet2!B:B,Sheet2!C:C)&amp;"+"&amp;1,_xlfn.XLOOKUP(LEFT(SUBSTITUTE(G57,"[{",""),FIND(",",SUBSTITUTE(G57,"[{",""))-1),Sheet2!B:B,Sheet2!C:C)&amp;"+"&amp;SUBSTITUTE(RIGHT(G57,LEN(G57)-FIND(",",G57)),"}]","")/100&amp;"%")</f>
        <v>上阵两个战士职业增伤+13.9%</v>
      </c>
      <c r="L57" s="83" t="str">
        <f ca="1">IF(MOD(COUNTIF($Q$11:Q56,Q56),5)=0,OFFSET(装备属性!$G$1083,1+INT(COUNTA($Q$11:Q56)/5),0),L56)</f>
        <v>猛男小队Ⅰ</v>
      </c>
      <c r="M57" s="89" t="str">
        <f ca="1">IF(MOD(COUNTIF($Q$11:Q56,Q56),5)=0,OFFSET(装备属性!$H$1083,1+INT(COUNTA($Q$11:Q56)/5),0),M56)</f>
        <v>warrior_class_dmg_rate</v>
      </c>
      <c r="N57" s="76">
        <f ca="1">IF(MOD(COUNTIF($Q$11:Q56,Q56),5)=0,OFFSET(装备属性!$K$1083,1+INT(COUNTA($Q$11:Q56)/5),0),N56)</f>
        <v>0.06</v>
      </c>
      <c r="O57" s="76">
        <f ca="1">IF(MOD(COUNTIF($Q$11:Q56,Q56),5)=0,OFFSET(装备属性!$L$1083,1+INT(COUNTA($Q$11:Q56)/5),0),O56)</f>
        <v>0.075</v>
      </c>
      <c r="Q57" s="89" t="str">
        <f ca="1">IF(MOD(COUNTIF($Q$11:Q56,Q56),5)=0,OFFSET(装备属性!$M$1083,1+INT(COUNTA($Q$11:Q56)/5),0),Q56)</f>
        <v>通用属性</v>
      </c>
      <c r="R57" s="83" t="e">
        <f ca="1">IF(MOD(COUNTIF($Q$11:Q56,Q56),5)=0,10000*SUBSTITUTE(SUBSTITUTE(OFFSET(装备属性!$F$1083,1+INT(COUNTA($Q$11:Q56)/5),0),"[",""),"]","")+_xlfn.XLOOKUP(C57,$M$3:$M$7,$N$3:$N$7)*100,R56)</f>
        <v>#N/A</v>
      </c>
    </row>
    <row r="58" customHeight="1" spans="1:18">
      <c r="A58" s="78" t="str">
        <f ca="1" t="shared" si="0"/>
        <v/>
      </c>
      <c r="B58" s="82" t="str">
        <f ca="1">IFERROR(R58+COUNTIFS($R$11:$R58,R58),"")</f>
        <v/>
      </c>
      <c r="C58" s="83">
        <f ca="1">IF(MOD(COUNTIF($Q$11:Q57,Q57),5)=0,OFFSET(装备属性!$D$1083,1+INT(COUNTA($Q$11:Q57)/5),0),C57)</f>
        <v>0</v>
      </c>
      <c r="D58" s="82">
        <f t="shared" si="2"/>
        <v>2000</v>
      </c>
      <c r="F58" s="82" t="str">
        <f ca="1" t="shared" si="1"/>
        <v/>
      </c>
      <c r="G58" s="78" t="str">
        <f ca="1">IF(AND(LEFT("[{"&amp;M58&amp;","&amp;CEILING(N58*10000+(O58-N58)/4*(COUNTIF($F$11:F58,F58)-1)*10000,10)&amp;"}]",7)="[{equip",MID("[{"&amp;M58&amp;","&amp;CEILING(N58*10000+(O58-N58)/4*(COUNTIF($F$11:F58,F58)-1)*10000,10)&amp;"}]",8,1)&lt;&gt;"_"),"[{"&amp;M58&amp;","&amp;1&amp;"}]","[{"&amp;M58&amp;","&amp;CEILING(N58*10000+(O58-N58)/4*(COUNTIF($F$11:F58,F58)-1)*10000,10)&amp;"}]")</f>
        <v>[{warrior_class_dmg_rate,1430}]</v>
      </c>
      <c r="H58" s="82" t="s">
        <v>563</v>
      </c>
      <c r="J58" s="78">
        <f ca="1">IF(MOD(COUNTIF($Q$11:Q57,Q57),5)=0,OFFSET(装备属性!$P$1083,1+INT(COUNTA($Q$11:Q57)/5),0),J57)</f>
        <v>3</v>
      </c>
      <c r="K58" s="83" t="str">
        <f ca="1">IF(RIGHT(G58,13)="rune_slot,1}]",_xlfn.XLOOKUP(LEFT(SUBSTITUTE(G58,"[{",""),FIND(",",SUBSTITUTE(G58,"[{",""))-1),Sheet2!B:B,Sheet2!C:C)&amp;"+"&amp;1,_xlfn.XLOOKUP(LEFT(SUBSTITUTE(G58,"[{",""),FIND(",",SUBSTITUTE(G58,"[{",""))-1),Sheet2!B:B,Sheet2!C:C)&amp;"+"&amp;SUBSTITUTE(RIGHT(G58,LEN(G58)-FIND(",",G58)),"}]","")/100&amp;"%")</f>
        <v>上阵两个战士职业增伤+14.3%</v>
      </c>
      <c r="L58" s="83" t="str">
        <f ca="1">IF(MOD(COUNTIF($Q$11:Q57,Q57),5)=0,OFFSET(装备属性!$G$1083,1+INT(COUNTA($Q$11:Q57)/5),0),L57)</f>
        <v>猛男小队Ⅰ</v>
      </c>
      <c r="M58" s="89" t="str">
        <f ca="1">IF(MOD(COUNTIF($Q$11:Q57,Q57),5)=0,OFFSET(装备属性!$H$1083,1+INT(COUNTA($Q$11:Q57)/5),0),M57)</f>
        <v>warrior_class_dmg_rate</v>
      </c>
      <c r="N58" s="76">
        <f ca="1">IF(MOD(COUNTIF($Q$11:Q57,Q57),5)=0,OFFSET(装备属性!$K$1083,1+INT(COUNTA($Q$11:Q57)/5),0),N57)</f>
        <v>0.06</v>
      </c>
      <c r="O58" s="76">
        <f ca="1">IF(MOD(COUNTIF($Q$11:Q57,Q57),5)=0,OFFSET(装备属性!$L$1083,1+INT(COUNTA($Q$11:Q57)/5),0),O57)</f>
        <v>0.075</v>
      </c>
      <c r="Q58" s="89" t="str">
        <f ca="1">IF(MOD(COUNTIF($Q$11:Q57,Q57),5)=0,OFFSET(装备属性!$M$1083,1+INT(COUNTA($Q$11:Q57)/5),0),Q57)</f>
        <v>通用属性</v>
      </c>
      <c r="R58" s="83" t="e">
        <f ca="1">IF(MOD(COUNTIF($Q$11:Q57,Q57),5)=0,10000*SUBSTITUTE(SUBSTITUTE(OFFSET(装备属性!$F$1083,1+INT(COUNTA($Q$11:Q57)/5),0),"[",""),"]","")+_xlfn.XLOOKUP(C58,$M$3:$M$7,$N$3:$N$7)*100,R57)</f>
        <v>#N/A</v>
      </c>
    </row>
    <row r="59" customHeight="1" spans="1:18">
      <c r="A59" s="78" t="str">
        <f ca="1" t="shared" si="0"/>
        <v/>
      </c>
      <c r="B59" s="82" t="str">
        <f ca="1">IFERROR(R59+COUNTIFS($R$11:$R59,R59),"")</f>
        <v/>
      </c>
      <c r="C59" s="83">
        <f ca="1">IF(MOD(COUNTIF($Q$11:Q58,Q58),5)=0,OFFSET(装备属性!$D$1083,1+INT(COUNTA($Q$11:Q58)/5),0),C58)</f>
        <v>0</v>
      </c>
      <c r="D59" s="82">
        <f t="shared" si="2"/>
        <v>1500</v>
      </c>
      <c r="F59" s="82" t="str">
        <f ca="1" t="shared" si="1"/>
        <v/>
      </c>
      <c r="G59" s="78" t="str">
        <f ca="1">IF(AND(LEFT("[{"&amp;M59&amp;","&amp;CEILING(N59*10000+(O59-N59)/4*(COUNTIF($F$11:F59,F59)-1)*10000,10)&amp;"}]",7)="[{equip",MID("[{"&amp;M59&amp;","&amp;CEILING(N59*10000+(O59-N59)/4*(COUNTIF($F$11:F59,F59)-1)*10000,10)&amp;"}]",8,1)&lt;&gt;"_"),"[{"&amp;M59&amp;","&amp;1&amp;"}]","[{"&amp;M59&amp;","&amp;CEILING(N59*10000+(O59-N59)/4*(COUNTIF($F$11:F59,F59)-1)*10000,10)&amp;"}]")</f>
        <v>[{warrior_class_dmg_rate,1470}]</v>
      </c>
      <c r="H59" s="82" t="s">
        <v>563</v>
      </c>
      <c r="J59" s="78">
        <f ca="1">IF(MOD(COUNTIF($Q$11:Q58,Q58),5)=0,OFFSET(装备属性!$P$1083,1+INT(COUNTA($Q$11:Q58)/5),0),J58)</f>
        <v>3</v>
      </c>
      <c r="K59" s="83" t="str">
        <f ca="1">IF(RIGHT(G59,13)="rune_slot,1}]",_xlfn.XLOOKUP(LEFT(SUBSTITUTE(G59,"[{",""),FIND(",",SUBSTITUTE(G59,"[{",""))-1),Sheet2!B:B,Sheet2!C:C)&amp;"+"&amp;1,_xlfn.XLOOKUP(LEFT(SUBSTITUTE(G59,"[{",""),FIND(",",SUBSTITUTE(G59,"[{",""))-1),Sheet2!B:B,Sheet2!C:C)&amp;"+"&amp;SUBSTITUTE(RIGHT(G59,LEN(G59)-FIND(",",G59)),"}]","")/100&amp;"%")</f>
        <v>上阵两个战士职业增伤+14.7%</v>
      </c>
      <c r="L59" s="83" t="str">
        <f ca="1">IF(MOD(COUNTIF($Q$11:Q58,Q58),5)=0,OFFSET(装备属性!$G$1083,1+INT(COUNTA($Q$11:Q58)/5),0),L58)</f>
        <v>猛男小队Ⅰ</v>
      </c>
      <c r="M59" s="89" t="str">
        <f ca="1">IF(MOD(COUNTIF($Q$11:Q58,Q58),5)=0,OFFSET(装备属性!$H$1083,1+INT(COUNTA($Q$11:Q58)/5),0),M58)</f>
        <v>warrior_class_dmg_rate</v>
      </c>
      <c r="N59" s="76">
        <f ca="1">IF(MOD(COUNTIF($Q$11:Q58,Q58),5)=0,OFFSET(装备属性!$K$1083,1+INT(COUNTA($Q$11:Q58)/5),0),N58)</f>
        <v>0.06</v>
      </c>
      <c r="O59" s="76">
        <f ca="1">IF(MOD(COUNTIF($Q$11:Q58,Q58),5)=0,OFFSET(装备属性!$L$1083,1+INT(COUNTA($Q$11:Q58)/5),0),O58)</f>
        <v>0.075</v>
      </c>
      <c r="Q59" s="89" t="str">
        <f ca="1">IF(MOD(COUNTIF($Q$11:Q58,Q58),5)=0,OFFSET(装备属性!$M$1083,1+INT(COUNTA($Q$11:Q58)/5),0),Q58)</f>
        <v>通用属性</v>
      </c>
      <c r="R59" s="83" t="e">
        <f ca="1">IF(MOD(COUNTIF($Q$11:Q58,Q58),5)=0,10000*SUBSTITUTE(SUBSTITUTE(OFFSET(装备属性!$F$1083,1+INT(COUNTA($Q$11:Q58)/5),0),"[",""),"]","")+_xlfn.XLOOKUP(C59,$M$3:$M$7,$N$3:$N$7)*100,R58)</f>
        <v>#N/A</v>
      </c>
    </row>
    <row r="60" customHeight="1" spans="1:18">
      <c r="A60" s="78" t="str">
        <f ca="1" t="shared" si="0"/>
        <v/>
      </c>
      <c r="B60" s="82" t="str">
        <f ca="1">IFERROR(R60+COUNTIFS($R$11:$R60,R60),"")</f>
        <v/>
      </c>
      <c r="C60" s="83">
        <f ca="1">IF(MOD(COUNTIF($Q$11:Q59,Q59),5)=0,OFFSET(装备属性!$D$1083,1+INT(COUNTA($Q$11:Q59)/5),0),C59)</f>
        <v>0</v>
      </c>
      <c r="D60" s="82">
        <f t="shared" si="2"/>
        <v>1000</v>
      </c>
      <c r="F60" s="82" t="str">
        <f ca="1" t="shared" si="1"/>
        <v/>
      </c>
      <c r="G60" s="78" t="str">
        <f ca="1">IF(AND(LEFT("[{"&amp;M60&amp;","&amp;CEILING(N60*10000+(O60-N60)/4*(COUNTIF($F$11:F60,F60)-1)*10000,10)&amp;"}]",7)="[{equip",MID("[{"&amp;M60&amp;","&amp;CEILING(N60*10000+(O60-N60)/4*(COUNTIF($F$11:F60,F60)-1)*10000,10)&amp;"}]",8,1)&lt;&gt;"_"),"[{"&amp;M60&amp;","&amp;1&amp;"}]","[{"&amp;M60&amp;","&amp;CEILING(N60*10000+(O60-N60)/4*(COUNTIF($F$11:F60,F60)-1)*10000,10)&amp;"}]")</f>
        <v>[{warrior_class_dmg_rate,1500}]</v>
      </c>
      <c r="H60" s="82" t="s">
        <v>563</v>
      </c>
      <c r="J60" s="78">
        <f ca="1">IF(MOD(COUNTIF($Q$11:Q59,Q59),5)=0,OFFSET(装备属性!$P$1083,1+INT(COUNTA($Q$11:Q59)/5),0),J59)</f>
        <v>3</v>
      </c>
      <c r="K60" s="83" t="str">
        <f ca="1">IF(RIGHT(G60,13)="rune_slot,1}]",_xlfn.XLOOKUP(LEFT(SUBSTITUTE(G60,"[{",""),FIND(",",SUBSTITUTE(G60,"[{",""))-1),Sheet2!B:B,Sheet2!C:C)&amp;"+"&amp;1,_xlfn.XLOOKUP(LEFT(SUBSTITUTE(G60,"[{",""),FIND(",",SUBSTITUTE(G60,"[{",""))-1),Sheet2!B:B,Sheet2!C:C)&amp;"+"&amp;SUBSTITUTE(RIGHT(G60,LEN(G60)-FIND(",",G60)),"}]","")/100&amp;"%")</f>
        <v>上阵两个战士职业增伤+15%</v>
      </c>
      <c r="L60" s="83" t="str">
        <f ca="1">IF(MOD(COUNTIF($Q$11:Q59,Q59),5)=0,OFFSET(装备属性!$G$1083,1+INT(COUNTA($Q$11:Q59)/5),0),L59)</f>
        <v>猛男小队Ⅰ</v>
      </c>
      <c r="M60" s="89" t="str">
        <f ca="1">IF(MOD(COUNTIF($Q$11:Q59,Q59),5)=0,OFFSET(装备属性!$H$1083,1+INT(COUNTA($Q$11:Q59)/5),0),M59)</f>
        <v>warrior_class_dmg_rate</v>
      </c>
      <c r="N60" s="76">
        <f ca="1">IF(MOD(COUNTIF($Q$11:Q59,Q59),5)=0,OFFSET(装备属性!$K$1083,1+INT(COUNTA($Q$11:Q59)/5),0),N59)</f>
        <v>0.06</v>
      </c>
      <c r="O60" s="76">
        <f ca="1">IF(MOD(COUNTIF($Q$11:Q59,Q59),5)=0,OFFSET(装备属性!$L$1083,1+INT(COUNTA($Q$11:Q59)/5),0),O59)</f>
        <v>0.075</v>
      </c>
      <c r="Q60" s="89" t="str">
        <f ca="1">IF(MOD(COUNTIF($Q$11:Q59,Q59),5)=0,OFFSET(装备属性!$M$1083,1+INT(COUNTA($Q$11:Q59)/5),0),Q59)</f>
        <v>通用属性</v>
      </c>
      <c r="R60" s="83" t="e">
        <f ca="1">IF(MOD(COUNTIF($Q$11:Q59,Q59),5)=0,10000*SUBSTITUTE(SUBSTITUTE(OFFSET(装备属性!$F$1083,1+INT(COUNTA($Q$11:Q59)/5),0),"[",""),"]","")+_xlfn.XLOOKUP(C60,$M$3:$M$7,$N$3:$N$7)*100,R59)</f>
        <v>#N/A</v>
      </c>
    </row>
    <row r="61" customHeight="1" spans="1:18">
      <c r="A61" s="78">
        <f ca="1" t="shared" si="0"/>
        <v>10401</v>
      </c>
      <c r="B61" s="82">
        <f ca="1">IFERROR(R61+COUNTIFS($R$11:$R61,R61),"")</f>
        <v>10426</v>
      </c>
      <c r="C61" s="83" t="str">
        <f ca="1">IF(MOD(COUNTIF($Q$11:Q60,Q60),5)=0,OFFSET(装备属性!$D$1083,1+INT(COUNTA($Q$11:Q60)/5),0),C60)</f>
        <v>紫</v>
      </c>
      <c r="D61" s="82">
        <f t="shared" si="2"/>
        <v>3000</v>
      </c>
      <c r="F61" s="82">
        <f ca="1" t="shared" si="1"/>
        <v>10405</v>
      </c>
      <c r="G61" s="78" t="str">
        <f ca="1">IF(AND(LEFT("[{"&amp;M61&amp;","&amp;CEILING(N61*10000+(O61-N61)/4*(COUNTIF($F$11:F61,F61)-1)*10000,10)&amp;"}]",7)="[{equip",MID("[{"&amp;M61&amp;","&amp;CEILING(N61*10000+(O61-N61)/4*(COUNTIF($F$11:F61,F61)-1)*10000,10)&amp;"}]",8,1)&lt;&gt;"_"),"[{"&amp;M61&amp;","&amp;1&amp;"}]","[{"&amp;M61&amp;","&amp;CEILING(N61*10000+(O61-N61)/4*(COUNTIF($F$11:F61,F61)-1)*10000,10)&amp;"}]")</f>
        <v>[{warrior_crit_dmg,2000}]</v>
      </c>
      <c r="H61" s="82" t="s">
        <v>563</v>
      </c>
      <c r="J61" s="78">
        <f ca="1">IF(MOD(COUNTIF($Q$11:Q60,Q60),5)=0,OFFSET(装备属性!$P$1083,1+INT(COUNTA($Q$11:Q60)/5),0),J60)</f>
        <v>4</v>
      </c>
      <c r="K61" s="83" t="str">
        <f ca="1">IF(RIGHT(G61,13)="rune_slot,1}]",_xlfn.XLOOKUP(LEFT(SUBSTITUTE(G61,"[{",""),FIND(",",SUBSTITUTE(G61,"[{",""))-1),Sheet2!B:B,Sheet2!C:C)&amp;"+"&amp;1,_xlfn.XLOOKUP(LEFT(SUBSTITUTE(G61,"[{",""),FIND(",",SUBSTITUTE(G61,"[{",""))-1),Sheet2!B:B,Sheet2!C:C)&amp;"+"&amp;SUBSTITUTE(RIGHT(G61,LEN(G61)-FIND(",",G61)),"}]","")/100&amp;"%")</f>
        <v>战士暴击伤害+20%</v>
      </c>
      <c r="L61" s="83" t="str">
        <f ca="1">IF(MOD(COUNTIF($Q$11:Q60,Q60),5)=0,OFFSET(装备属性!$G$1083,1+INT(COUNTA($Q$11:Q60)/5),0),L60)</f>
        <v>暴走猛男Ⅰ</v>
      </c>
      <c r="M61" s="89" t="str">
        <f ca="1">IF(MOD(COUNTIF($Q$11:Q60,Q60),5)=0,OFFSET(装备属性!$H$1083,1+INT(COUNTA($Q$11:Q60)/5),0),M60)</f>
        <v>warrior_crit_dmg</v>
      </c>
      <c r="N61" s="76">
        <f ca="1">IF(MOD(COUNTIF($Q$11:Q60,Q60),5)=0,OFFSET(装备属性!$K$1083,1+INT(COUNTA($Q$11:Q60)/5),0),N60)</f>
        <v>0.2</v>
      </c>
      <c r="O61" s="76">
        <f ca="1">IF(MOD(COUNTIF($Q$11:Q60,Q60),5)=0,OFFSET(装备属性!$L$1083,1+INT(COUNTA($Q$11:Q60)/5),0),O60)</f>
        <v>0.24</v>
      </c>
      <c r="Q61" s="89" t="str">
        <f ca="1">IF(MOD(COUNTIF($Q$11:Q60,Q60),5)=0,OFFSET(装备属性!$M$1083,1+INT(COUNTA($Q$11:Q60)/5),0),Q60)</f>
        <v>通用属性</v>
      </c>
      <c r="R61" s="83">
        <f ca="1">IF(MOD(COUNTIF($Q$11:Q60,Q60),5)=0,10000*SUBSTITUTE(SUBSTITUTE(OFFSET(装备属性!$F$1083,1+INT(COUNTA($Q$11:Q60)/5),0),"[",""),"]","")+_xlfn.XLOOKUP(C61,$M$3:$M$7,$N$3:$N$7)*100,R60)</f>
        <v>10400</v>
      </c>
    </row>
    <row r="62" customHeight="1" spans="1:18">
      <c r="A62" s="78">
        <f ca="1" t="shared" si="0"/>
        <v>10401</v>
      </c>
      <c r="B62" s="82">
        <f ca="1">IFERROR(R62+COUNTIFS($R$11:$R62,R62),"")</f>
        <v>10427</v>
      </c>
      <c r="C62" s="83" t="str">
        <f ca="1">IF(MOD(COUNTIF($Q$11:Q61,Q61),5)=0,OFFSET(装备属性!$D$1083,1+INT(COUNTA($Q$11:Q61)/5),0),C61)</f>
        <v>紫</v>
      </c>
      <c r="D62" s="82">
        <f t="shared" si="2"/>
        <v>2500</v>
      </c>
      <c r="F62" s="82">
        <f ca="1" t="shared" si="1"/>
        <v>10405</v>
      </c>
      <c r="G62" s="78" t="str">
        <f ca="1">IF(AND(LEFT("[{"&amp;M62&amp;","&amp;CEILING(N62*10000+(O62-N62)/4*(COUNTIF($F$11:F62,F62)-1)*10000,10)&amp;"}]",7)="[{equip",MID("[{"&amp;M62&amp;","&amp;CEILING(N62*10000+(O62-N62)/4*(COUNTIF($F$11:F62,F62)-1)*10000,10)&amp;"}]",8,1)&lt;&gt;"_"),"[{"&amp;M62&amp;","&amp;1&amp;"}]","[{"&amp;M62&amp;","&amp;CEILING(N62*10000+(O62-N62)/4*(COUNTIF($F$11:F62,F62)-1)*10000,10)&amp;"}]")</f>
        <v>[{warrior_crit_dmg,2100}]</v>
      </c>
      <c r="H62" s="82" t="s">
        <v>563</v>
      </c>
      <c r="J62" s="78">
        <f ca="1">IF(MOD(COUNTIF($Q$11:Q61,Q61),5)=0,OFFSET(装备属性!$P$1083,1+INT(COUNTA($Q$11:Q61)/5),0),J61)</f>
        <v>4</v>
      </c>
      <c r="K62" s="83" t="str">
        <f ca="1">IF(RIGHT(G62,13)="rune_slot,1}]",_xlfn.XLOOKUP(LEFT(SUBSTITUTE(G62,"[{",""),FIND(",",SUBSTITUTE(G62,"[{",""))-1),Sheet2!B:B,Sheet2!C:C)&amp;"+"&amp;1,_xlfn.XLOOKUP(LEFT(SUBSTITUTE(G62,"[{",""),FIND(",",SUBSTITUTE(G62,"[{",""))-1),Sheet2!B:B,Sheet2!C:C)&amp;"+"&amp;SUBSTITUTE(RIGHT(G62,LEN(G62)-FIND(",",G62)),"}]","")/100&amp;"%")</f>
        <v>战士暴击伤害+21%</v>
      </c>
      <c r="L62" s="83" t="str">
        <f ca="1">IF(MOD(COUNTIF($Q$11:Q61,Q61),5)=0,OFFSET(装备属性!$G$1083,1+INT(COUNTA($Q$11:Q61)/5),0),L61)</f>
        <v>暴走猛男Ⅰ</v>
      </c>
      <c r="M62" s="89" t="str">
        <f ca="1">IF(MOD(COUNTIF($Q$11:Q61,Q61),5)=0,OFFSET(装备属性!$H$1083,1+INT(COUNTA($Q$11:Q61)/5),0),M61)</f>
        <v>warrior_crit_dmg</v>
      </c>
      <c r="N62" s="76">
        <f ca="1">IF(MOD(COUNTIF($Q$11:Q61,Q61),5)=0,OFFSET(装备属性!$K$1083,1+INT(COUNTA($Q$11:Q61)/5),0),N61)</f>
        <v>0.2</v>
      </c>
      <c r="O62" s="76">
        <f ca="1">IF(MOD(COUNTIF($Q$11:Q61,Q61),5)=0,OFFSET(装备属性!$L$1083,1+INT(COUNTA($Q$11:Q61)/5),0),O61)</f>
        <v>0.24</v>
      </c>
      <c r="Q62" s="89" t="str">
        <f ca="1">IF(MOD(COUNTIF($Q$11:Q61,Q61),5)=0,OFFSET(装备属性!$M$1083,1+INT(COUNTA($Q$11:Q61)/5),0),Q61)</f>
        <v>通用属性</v>
      </c>
      <c r="R62" s="83">
        <f ca="1">IF(MOD(COUNTIF($Q$11:Q61,Q61),5)=0,10000*SUBSTITUTE(SUBSTITUTE(OFFSET(装备属性!$F$1083,1+INT(COUNTA($Q$11:Q61)/5),0),"[",""),"]","")+_xlfn.XLOOKUP(C62,$M$3:$M$7,$N$3:$N$7)*100,R61)</f>
        <v>10400</v>
      </c>
    </row>
    <row r="63" customHeight="1" spans="1:18">
      <c r="A63" s="78">
        <f ca="1" t="shared" si="0"/>
        <v>10401</v>
      </c>
      <c r="B63" s="82">
        <f ca="1">IFERROR(R63+COUNTIFS($R$11:$R63,R63),"")</f>
        <v>10428</v>
      </c>
      <c r="C63" s="83" t="str">
        <f ca="1">IF(MOD(COUNTIF($Q$11:Q62,Q62),5)=0,OFFSET(装备属性!$D$1083,1+INT(COUNTA($Q$11:Q62)/5),0),C62)</f>
        <v>紫</v>
      </c>
      <c r="D63" s="82">
        <f t="shared" si="2"/>
        <v>2000</v>
      </c>
      <c r="F63" s="82">
        <f ca="1" t="shared" si="1"/>
        <v>10405</v>
      </c>
      <c r="G63" s="78" t="str">
        <f ca="1">IF(AND(LEFT("[{"&amp;M63&amp;","&amp;CEILING(N63*10000+(O63-N63)/4*(COUNTIF($F$11:F63,F63)-1)*10000,10)&amp;"}]",7)="[{equip",MID("[{"&amp;M63&amp;","&amp;CEILING(N63*10000+(O63-N63)/4*(COUNTIF($F$11:F63,F63)-1)*10000,10)&amp;"}]",8,1)&lt;&gt;"_"),"[{"&amp;M63&amp;","&amp;1&amp;"}]","[{"&amp;M63&amp;","&amp;CEILING(N63*10000+(O63-N63)/4*(COUNTIF($F$11:F63,F63)-1)*10000,10)&amp;"}]")</f>
        <v>[{warrior_crit_dmg,2200}]</v>
      </c>
      <c r="H63" s="82" t="s">
        <v>563</v>
      </c>
      <c r="J63" s="78">
        <f ca="1">IF(MOD(COUNTIF($Q$11:Q62,Q62),5)=0,OFFSET(装备属性!$P$1083,1+INT(COUNTA($Q$11:Q62)/5),0),J62)</f>
        <v>4</v>
      </c>
      <c r="K63" s="83" t="str">
        <f ca="1">IF(RIGHT(G63,13)="rune_slot,1}]",_xlfn.XLOOKUP(LEFT(SUBSTITUTE(G63,"[{",""),FIND(",",SUBSTITUTE(G63,"[{",""))-1),Sheet2!B:B,Sheet2!C:C)&amp;"+"&amp;1,_xlfn.XLOOKUP(LEFT(SUBSTITUTE(G63,"[{",""),FIND(",",SUBSTITUTE(G63,"[{",""))-1),Sheet2!B:B,Sheet2!C:C)&amp;"+"&amp;SUBSTITUTE(RIGHT(G63,LEN(G63)-FIND(",",G63)),"}]","")/100&amp;"%")</f>
        <v>战士暴击伤害+22%</v>
      </c>
      <c r="L63" s="83" t="str">
        <f ca="1">IF(MOD(COUNTIF($Q$11:Q62,Q62),5)=0,OFFSET(装备属性!$G$1083,1+INT(COUNTA($Q$11:Q62)/5),0),L62)</f>
        <v>暴走猛男Ⅰ</v>
      </c>
      <c r="M63" s="89" t="str">
        <f ca="1">IF(MOD(COUNTIF($Q$11:Q62,Q62),5)=0,OFFSET(装备属性!$H$1083,1+INT(COUNTA($Q$11:Q62)/5),0),M62)</f>
        <v>warrior_crit_dmg</v>
      </c>
      <c r="N63" s="76">
        <f ca="1">IF(MOD(COUNTIF($Q$11:Q62,Q62),5)=0,OFFSET(装备属性!$K$1083,1+INT(COUNTA($Q$11:Q62)/5),0),N62)</f>
        <v>0.2</v>
      </c>
      <c r="O63" s="76">
        <f ca="1">IF(MOD(COUNTIF($Q$11:Q62,Q62),5)=0,OFFSET(装备属性!$L$1083,1+INT(COUNTA($Q$11:Q62)/5),0),O62)</f>
        <v>0.24</v>
      </c>
      <c r="Q63" s="89" t="str">
        <f ca="1">IF(MOD(COUNTIF($Q$11:Q62,Q62),5)=0,OFFSET(装备属性!$M$1083,1+INT(COUNTA($Q$11:Q62)/5),0),Q62)</f>
        <v>通用属性</v>
      </c>
      <c r="R63" s="83">
        <f ca="1">IF(MOD(COUNTIF($Q$11:Q62,Q62),5)=0,10000*SUBSTITUTE(SUBSTITUTE(OFFSET(装备属性!$F$1083,1+INT(COUNTA($Q$11:Q62)/5),0),"[",""),"]","")+_xlfn.XLOOKUP(C63,$M$3:$M$7,$N$3:$N$7)*100,R62)</f>
        <v>10400</v>
      </c>
    </row>
    <row r="64" customHeight="1" spans="1:18">
      <c r="A64" s="78">
        <f ca="1" t="shared" si="0"/>
        <v>10401</v>
      </c>
      <c r="B64" s="82">
        <f ca="1">IFERROR(R64+COUNTIFS($R$11:$R64,R64),"")</f>
        <v>10429</v>
      </c>
      <c r="C64" s="83" t="str">
        <f ca="1">IF(MOD(COUNTIF($Q$11:Q63,Q63),5)=0,OFFSET(装备属性!$D$1083,1+INT(COUNTA($Q$11:Q63)/5),0),C63)</f>
        <v>紫</v>
      </c>
      <c r="D64" s="82">
        <f t="shared" si="2"/>
        <v>1500</v>
      </c>
      <c r="F64" s="82">
        <f ca="1" t="shared" si="1"/>
        <v>10405</v>
      </c>
      <c r="G64" s="78" t="str">
        <f ca="1">IF(AND(LEFT("[{"&amp;M64&amp;","&amp;CEILING(N64*10000+(O64-N64)/4*(COUNTIF($F$11:F64,F64)-1)*10000,10)&amp;"}]",7)="[{equip",MID("[{"&amp;M64&amp;","&amp;CEILING(N64*10000+(O64-N64)/4*(COUNTIF($F$11:F64,F64)-1)*10000,10)&amp;"}]",8,1)&lt;&gt;"_"),"[{"&amp;M64&amp;","&amp;1&amp;"}]","[{"&amp;M64&amp;","&amp;CEILING(N64*10000+(O64-N64)/4*(COUNTIF($F$11:F64,F64)-1)*10000,10)&amp;"}]")</f>
        <v>[{warrior_crit_dmg,2300}]</v>
      </c>
      <c r="H64" s="82" t="s">
        <v>563</v>
      </c>
      <c r="J64" s="78">
        <f ca="1">IF(MOD(COUNTIF($Q$11:Q63,Q63),5)=0,OFFSET(装备属性!$P$1083,1+INT(COUNTA($Q$11:Q63)/5),0),J63)</f>
        <v>4</v>
      </c>
      <c r="K64" s="83" t="str">
        <f ca="1">IF(RIGHT(G64,13)="rune_slot,1}]",_xlfn.XLOOKUP(LEFT(SUBSTITUTE(G64,"[{",""),FIND(",",SUBSTITUTE(G64,"[{",""))-1),Sheet2!B:B,Sheet2!C:C)&amp;"+"&amp;1,_xlfn.XLOOKUP(LEFT(SUBSTITUTE(G64,"[{",""),FIND(",",SUBSTITUTE(G64,"[{",""))-1),Sheet2!B:B,Sheet2!C:C)&amp;"+"&amp;SUBSTITUTE(RIGHT(G64,LEN(G64)-FIND(",",G64)),"}]","")/100&amp;"%")</f>
        <v>战士暴击伤害+23%</v>
      </c>
      <c r="L64" s="83" t="str">
        <f ca="1">IF(MOD(COUNTIF($Q$11:Q63,Q63),5)=0,OFFSET(装备属性!$G$1083,1+INT(COUNTA($Q$11:Q63)/5),0),L63)</f>
        <v>暴走猛男Ⅰ</v>
      </c>
      <c r="M64" s="89" t="str">
        <f ca="1">IF(MOD(COUNTIF($Q$11:Q63,Q63),5)=0,OFFSET(装备属性!$H$1083,1+INT(COUNTA($Q$11:Q63)/5),0),M63)</f>
        <v>warrior_crit_dmg</v>
      </c>
      <c r="N64" s="76">
        <f ca="1">IF(MOD(COUNTIF($Q$11:Q63,Q63),5)=0,OFFSET(装备属性!$K$1083,1+INT(COUNTA($Q$11:Q63)/5),0),N63)</f>
        <v>0.2</v>
      </c>
      <c r="O64" s="76">
        <f ca="1">IF(MOD(COUNTIF($Q$11:Q63,Q63),5)=0,OFFSET(装备属性!$L$1083,1+INT(COUNTA($Q$11:Q63)/5),0),O63)</f>
        <v>0.24</v>
      </c>
      <c r="Q64" s="89" t="str">
        <f ca="1">IF(MOD(COUNTIF($Q$11:Q63,Q63),5)=0,OFFSET(装备属性!$M$1083,1+INT(COUNTA($Q$11:Q63)/5),0),Q63)</f>
        <v>通用属性</v>
      </c>
      <c r="R64" s="83">
        <f ca="1">IF(MOD(COUNTIF($Q$11:Q63,Q63),5)=0,10000*SUBSTITUTE(SUBSTITUTE(OFFSET(装备属性!$F$1083,1+INT(COUNTA($Q$11:Q63)/5),0),"[",""),"]","")+_xlfn.XLOOKUP(C64,$M$3:$M$7,$N$3:$N$7)*100,R63)</f>
        <v>10400</v>
      </c>
    </row>
    <row r="65" customHeight="1" spans="1:18">
      <c r="A65" s="78">
        <f ca="1" t="shared" si="0"/>
        <v>10401</v>
      </c>
      <c r="B65" s="82">
        <f ca="1">IFERROR(R65+COUNTIFS($R$11:$R65,R65),"")</f>
        <v>10430</v>
      </c>
      <c r="C65" s="83" t="str">
        <f ca="1">IF(MOD(COUNTIF($Q$11:Q64,Q64),5)=0,OFFSET(装备属性!$D$1083,1+INT(COUNTA($Q$11:Q64)/5),0),C64)</f>
        <v>紫</v>
      </c>
      <c r="D65" s="82">
        <f t="shared" si="2"/>
        <v>1000</v>
      </c>
      <c r="F65" s="82">
        <f ca="1" t="shared" si="1"/>
        <v>10405</v>
      </c>
      <c r="G65" s="78" t="str">
        <f ca="1">IF(AND(LEFT("[{"&amp;M65&amp;","&amp;CEILING(N65*10000+(O65-N65)/4*(COUNTIF($F$11:F65,F65)-1)*10000,10)&amp;"}]",7)="[{equip",MID("[{"&amp;M65&amp;","&amp;CEILING(N65*10000+(O65-N65)/4*(COUNTIF($F$11:F65,F65)-1)*10000,10)&amp;"}]",8,1)&lt;&gt;"_"),"[{"&amp;M65&amp;","&amp;1&amp;"}]","[{"&amp;M65&amp;","&amp;CEILING(N65*10000+(O65-N65)/4*(COUNTIF($F$11:F65,F65)-1)*10000,10)&amp;"}]")</f>
        <v>[{warrior_crit_dmg,2400}]</v>
      </c>
      <c r="H65" s="82" t="s">
        <v>563</v>
      </c>
      <c r="J65" s="78">
        <f ca="1">IF(MOD(COUNTIF($Q$11:Q64,Q64),5)=0,OFFSET(装备属性!$P$1083,1+INT(COUNTA($Q$11:Q64)/5),0),J64)</f>
        <v>4</v>
      </c>
      <c r="K65" s="83" t="str">
        <f ca="1">IF(RIGHT(G65,13)="rune_slot,1}]",_xlfn.XLOOKUP(LEFT(SUBSTITUTE(G65,"[{",""),FIND(",",SUBSTITUTE(G65,"[{",""))-1),Sheet2!B:B,Sheet2!C:C)&amp;"+"&amp;1,_xlfn.XLOOKUP(LEFT(SUBSTITUTE(G65,"[{",""),FIND(",",SUBSTITUTE(G65,"[{",""))-1),Sheet2!B:B,Sheet2!C:C)&amp;"+"&amp;SUBSTITUTE(RIGHT(G65,LEN(G65)-FIND(",",G65)),"}]","")/100&amp;"%")</f>
        <v>战士暴击伤害+24%</v>
      </c>
      <c r="L65" s="83" t="str">
        <f ca="1">IF(MOD(COUNTIF($Q$11:Q64,Q64),5)=0,OFFSET(装备属性!$G$1083,1+INT(COUNTA($Q$11:Q64)/5),0),L64)</f>
        <v>暴走猛男Ⅰ</v>
      </c>
      <c r="M65" s="89" t="str">
        <f ca="1">IF(MOD(COUNTIF($Q$11:Q64,Q64),5)=0,OFFSET(装备属性!$H$1083,1+INT(COUNTA($Q$11:Q64)/5),0),M64)</f>
        <v>warrior_crit_dmg</v>
      </c>
      <c r="N65" s="76">
        <f ca="1">IF(MOD(COUNTIF($Q$11:Q64,Q64),5)=0,OFFSET(装备属性!$K$1083,1+INT(COUNTA($Q$11:Q64)/5),0),N64)</f>
        <v>0.2</v>
      </c>
      <c r="O65" s="76">
        <f ca="1">IF(MOD(COUNTIF($Q$11:Q64,Q64),5)=0,OFFSET(装备属性!$L$1083,1+INT(COUNTA($Q$11:Q64)/5),0),O64)</f>
        <v>0.24</v>
      </c>
      <c r="Q65" s="89" t="str">
        <f ca="1">IF(MOD(COUNTIF($Q$11:Q64,Q64),5)=0,OFFSET(装备属性!$M$1083,1+INT(COUNTA($Q$11:Q64)/5),0),Q64)</f>
        <v>通用属性</v>
      </c>
      <c r="R65" s="83">
        <f ca="1">IF(MOD(COUNTIF($Q$11:Q64,Q64),5)=0,10000*SUBSTITUTE(SUBSTITUTE(OFFSET(装备属性!$F$1083,1+INT(COUNTA($Q$11:Q64)/5),0),"[",""),"]","")+_xlfn.XLOOKUP(C65,$M$3:$M$7,$N$3:$N$7)*100,R64)</f>
        <v>10400</v>
      </c>
    </row>
    <row r="66" customHeight="1" spans="1:18">
      <c r="A66" s="78" t="str">
        <f ca="1" t="shared" si="0"/>
        <v/>
      </c>
      <c r="B66" s="82" t="str">
        <f ca="1">IFERROR(R66+COUNTIFS($R$11:$R66,R66),"")</f>
        <v/>
      </c>
      <c r="C66" s="83">
        <f ca="1">IF(MOD(COUNTIF($Q$11:Q65,Q65),5)=0,OFFSET(装备属性!$D$1083,1+INT(COUNTA($Q$11:Q65)/5),0),C65)</f>
        <v>0</v>
      </c>
      <c r="D66" s="82">
        <f t="shared" si="2"/>
        <v>3000</v>
      </c>
      <c r="F66" s="82" t="str">
        <f ca="1" t="shared" si="1"/>
        <v/>
      </c>
      <c r="G66" s="78" t="str">
        <f ca="1">IF(AND(LEFT("[{"&amp;M66&amp;","&amp;CEILING(N66*10000+(O66-N66)/4*(COUNTIF($F$11:F66,F66)-1)*10000,10)&amp;"}]",7)="[{equip",MID("[{"&amp;M66&amp;","&amp;CEILING(N66*10000+(O66-N66)/4*(COUNTIF($F$11:F66,F66)-1)*10000,10)&amp;"}]",8,1)&lt;&gt;"_"),"[{"&amp;M66&amp;","&amp;1&amp;"}]","[{"&amp;M66&amp;","&amp;CEILING(N66*10000+(O66-N66)/4*(COUNTIF($F$11:F66,F66)-1)*10000,10)&amp;"}]")</f>
        <v>[{equip6_rune_slot,1}]</v>
      </c>
      <c r="H66" s="82" t="s">
        <v>563</v>
      </c>
      <c r="J66" s="78">
        <f ca="1">IF(MOD(COUNTIF($Q$11:Q65,Q65),5)=0,OFFSET(装备属性!$P$1083,1+INT(COUNTA($Q$11:Q65)/5),0),J65)</f>
        <v>10</v>
      </c>
      <c r="K66" s="83" t="str">
        <f ca="1">IF(RIGHT(G66,13)="rune_slot,1}]",_xlfn.XLOOKUP(LEFT(SUBSTITUTE(G66,"[{",""),FIND(",",SUBSTITUTE(G66,"[{",""))-1),Sheet2!B:B,Sheet2!C:C)&amp;"+"&amp;1,_xlfn.XLOOKUP(LEFT(SUBSTITUTE(G66,"[{",""),FIND(",",SUBSTITUTE(G66,"[{",""))-1),Sheet2!B:B,Sheet2!C:C)&amp;"+"&amp;SUBSTITUTE(RIGHT(G66,LEN(G66)-FIND(",",G66)),"}]","")/100&amp;"%")</f>
        <v>头盔符文孔位+1</v>
      </c>
      <c r="L66" s="83" t="str">
        <f ca="1">IF(MOD(COUNTIF($Q$11:Q65,Q65),5)=0,OFFSET(装备属性!$G$1083,1+INT(COUNTA($Q$11:Q65)/5),0),L65)</f>
        <v>扩符槽</v>
      </c>
      <c r="M66" s="89" t="str">
        <f ca="1">IF(MOD(COUNTIF($Q$11:Q65,Q65),5)=0,OFFSET(装备属性!$H$1083,1+INT(COUNTA($Q$11:Q65)/5),0),M65)</f>
        <v>equip6_rune_slot</v>
      </c>
      <c r="N66" s="76">
        <f ca="1">IF(MOD(COUNTIF($Q$11:Q65,Q65),5)=0,OFFSET(装备属性!$K$1083,1+INT(COUNTA($Q$11:Q65)/5),0),N65)</f>
        <v>1</v>
      </c>
      <c r="O66" s="76">
        <f ca="1">IF(MOD(COUNTIF($Q$11:Q65,Q65),5)=0,OFFSET(装备属性!$L$1083,1+INT(COUNTA($Q$11:Q65)/5),0),O65)</f>
        <v>1</v>
      </c>
      <c r="Q66" s="89" t="str">
        <f ca="1">IF(MOD(COUNTIF($Q$11:Q65,Q65),5)=0,OFFSET(装备属性!$M$1083,1+INT(COUNTA($Q$11:Q65)/5),0),Q65)</f>
        <v>稀有词条</v>
      </c>
      <c r="R66" s="83" t="e">
        <f ca="1">IF(MOD(COUNTIF($Q$11:Q65,Q65),5)=0,10000*SUBSTITUTE(SUBSTITUTE(OFFSET(装备属性!$F$1083,1+INT(COUNTA($Q$11:Q65)/5),0),"[",""),"]","")+_xlfn.XLOOKUP(C66,$M$3:$M$7,$N$3:$N$7)*100,R65)</f>
        <v>#N/A</v>
      </c>
    </row>
    <row r="67" customHeight="1" spans="1:18">
      <c r="A67" s="78" t="str">
        <f ca="1" t="shared" si="0"/>
        <v/>
      </c>
      <c r="B67" s="82" t="str">
        <f ca="1">IFERROR(R67+COUNTIFS($R$11:$R67,R67),"")</f>
        <v/>
      </c>
      <c r="C67" s="83">
        <f ca="1">IF(MOD(COUNTIF($Q$11:Q66,Q66),5)=0,OFFSET(装备属性!$D$1083,1+INT(COUNTA($Q$11:Q66)/5),0),C66)</f>
        <v>0</v>
      </c>
      <c r="D67" s="82">
        <f t="shared" si="2"/>
        <v>2500</v>
      </c>
      <c r="F67" s="82" t="str">
        <f ca="1" t="shared" si="1"/>
        <v/>
      </c>
      <c r="G67" s="78" t="str">
        <f ca="1">IF(AND(LEFT("[{"&amp;M67&amp;","&amp;CEILING(N67*10000+(O67-N67)/4*(COUNTIF($F$11:F67,F67)-1)*10000,10)&amp;"}]",7)="[{equip",MID("[{"&amp;M67&amp;","&amp;CEILING(N67*10000+(O67-N67)/4*(COUNTIF($F$11:F67,F67)-1)*10000,10)&amp;"}]",8,1)&lt;&gt;"_"),"[{"&amp;M67&amp;","&amp;1&amp;"}]","[{"&amp;M67&amp;","&amp;CEILING(N67*10000+(O67-N67)/4*(COUNTIF($F$11:F67,F67)-1)*10000,10)&amp;"}]")</f>
        <v>[{equip6_rune_slot,1}]</v>
      </c>
      <c r="H67" s="82" t="s">
        <v>563</v>
      </c>
      <c r="J67" s="78">
        <f ca="1">IF(MOD(COUNTIF($Q$11:Q66,Q66),5)=0,OFFSET(装备属性!$P$1083,1+INT(COUNTA($Q$11:Q66)/5),0),J66)</f>
        <v>10</v>
      </c>
      <c r="K67" s="83" t="str">
        <f ca="1">IF(RIGHT(G67,13)="rune_slot,1}]",_xlfn.XLOOKUP(LEFT(SUBSTITUTE(G67,"[{",""),FIND(",",SUBSTITUTE(G67,"[{",""))-1),Sheet2!B:B,Sheet2!C:C)&amp;"+"&amp;1,_xlfn.XLOOKUP(LEFT(SUBSTITUTE(G67,"[{",""),FIND(",",SUBSTITUTE(G67,"[{",""))-1),Sheet2!B:B,Sheet2!C:C)&amp;"+"&amp;SUBSTITUTE(RIGHT(G67,LEN(G67)-FIND(",",G67)),"}]","")/100&amp;"%")</f>
        <v>头盔符文孔位+1</v>
      </c>
      <c r="L67" s="83" t="str">
        <f ca="1">IF(MOD(COUNTIF($Q$11:Q66,Q66),5)=0,OFFSET(装备属性!$G$1083,1+INT(COUNTA($Q$11:Q66)/5),0),L66)</f>
        <v>扩符槽</v>
      </c>
      <c r="M67" s="89" t="str">
        <f ca="1">IF(MOD(COUNTIF($Q$11:Q66,Q66),5)=0,OFFSET(装备属性!$H$1083,1+INT(COUNTA($Q$11:Q66)/5),0),M66)</f>
        <v>equip6_rune_slot</v>
      </c>
      <c r="N67" s="76">
        <f ca="1">IF(MOD(COUNTIF($Q$11:Q66,Q66),5)=0,OFFSET(装备属性!$K$1083,1+INT(COUNTA($Q$11:Q66)/5),0),N66)</f>
        <v>1</v>
      </c>
      <c r="O67" s="76">
        <f ca="1">IF(MOD(COUNTIF($Q$11:Q66,Q66),5)=0,OFFSET(装备属性!$L$1083,1+INT(COUNTA($Q$11:Q66)/5),0),O66)</f>
        <v>1</v>
      </c>
      <c r="Q67" s="89" t="str">
        <f ca="1">IF(MOD(COUNTIF($Q$11:Q66,Q66),5)=0,OFFSET(装备属性!$M$1083,1+INT(COUNTA($Q$11:Q66)/5),0),Q66)</f>
        <v>稀有词条</v>
      </c>
      <c r="R67" s="83" t="e">
        <f ca="1">IF(MOD(COUNTIF($Q$11:Q66,Q66),5)=0,10000*SUBSTITUTE(SUBSTITUTE(OFFSET(装备属性!$F$1083,1+INT(COUNTA($Q$11:Q66)/5),0),"[",""),"]","")+_xlfn.XLOOKUP(C67,$M$3:$M$7,$N$3:$N$7)*100,R66)</f>
        <v>#N/A</v>
      </c>
    </row>
    <row r="68" customHeight="1" spans="1:18">
      <c r="A68" s="78" t="str">
        <f ca="1" t="shared" si="0"/>
        <v/>
      </c>
      <c r="B68" s="82" t="str">
        <f ca="1">IFERROR(R68+COUNTIFS($R$11:$R68,R68),"")</f>
        <v/>
      </c>
      <c r="C68" s="83">
        <f ca="1">IF(MOD(COUNTIF($Q$11:Q67,Q67),5)=0,OFFSET(装备属性!$D$1083,1+INT(COUNTA($Q$11:Q67)/5),0),C67)</f>
        <v>0</v>
      </c>
      <c r="D68" s="82">
        <f t="shared" si="2"/>
        <v>2000</v>
      </c>
      <c r="F68" s="82" t="str">
        <f ca="1" t="shared" si="1"/>
        <v/>
      </c>
      <c r="G68" s="78" t="str">
        <f ca="1">IF(AND(LEFT("[{"&amp;M68&amp;","&amp;CEILING(N68*10000+(O68-N68)/4*(COUNTIF($F$11:F68,F68)-1)*10000,10)&amp;"}]",7)="[{equip",MID("[{"&amp;M68&amp;","&amp;CEILING(N68*10000+(O68-N68)/4*(COUNTIF($F$11:F68,F68)-1)*10000,10)&amp;"}]",8,1)&lt;&gt;"_"),"[{"&amp;M68&amp;","&amp;1&amp;"}]","[{"&amp;M68&amp;","&amp;CEILING(N68*10000+(O68-N68)/4*(COUNTIF($F$11:F68,F68)-1)*10000,10)&amp;"}]")</f>
        <v>[{equip6_rune_slot,1}]</v>
      </c>
      <c r="H68" s="82" t="s">
        <v>563</v>
      </c>
      <c r="J68" s="78">
        <f ca="1">IF(MOD(COUNTIF($Q$11:Q67,Q67),5)=0,OFFSET(装备属性!$P$1083,1+INT(COUNTA($Q$11:Q67)/5),0),J67)</f>
        <v>10</v>
      </c>
      <c r="K68" s="83" t="str">
        <f ca="1">IF(RIGHT(G68,13)="rune_slot,1}]",_xlfn.XLOOKUP(LEFT(SUBSTITUTE(G68,"[{",""),FIND(",",SUBSTITUTE(G68,"[{",""))-1),Sheet2!B:B,Sheet2!C:C)&amp;"+"&amp;1,_xlfn.XLOOKUP(LEFT(SUBSTITUTE(G68,"[{",""),FIND(",",SUBSTITUTE(G68,"[{",""))-1),Sheet2!B:B,Sheet2!C:C)&amp;"+"&amp;SUBSTITUTE(RIGHT(G68,LEN(G68)-FIND(",",G68)),"}]","")/100&amp;"%")</f>
        <v>头盔符文孔位+1</v>
      </c>
      <c r="L68" s="83" t="str">
        <f ca="1">IF(MOD(COUNTIF($Q$11:Q67,Q67),5)=0,OFFSET(装备属性!$G$1083,1+INT(COUNTA($Q$11:Q67)/5),0),L67)</f>
        <v>扩符槽</v>
      </c>
      <c r="M68" s="89" t="str">
        <f ca="1">IF(MOD(COUNTIF($Q$11:Q67,Q67),5)=0,OFFSET(装备属性!$H$1083,1+INT(COUNTA($Q$11:Q67)/5),0),M67)</f>
        <v>equip6_rune_slot</v>
      </c>
      <c r="N68" s="76">
        <f ca="1">IF(MOD(COUNTIF($Q$11:Q67,Q67),5)=0,OFFSET(装备属性!$K$1083,1+INT(COUNTA($Q$11:Q67)/5),0),N67)</f>
        <v>1</v>
      </c>
      <c r="O68" s="76">
        <f ca="1">IF(MOD(COUNTIF($Q$11:Q67,Q67),5)=0,OFFSET(装备属性!$L$1083,1+INT(COUNTA($Q$11:Q67)/5),0),O67)</f>
        <v>1</v>
      </c>
      <c r="Q68" s="89" t="str">
        <f ca="1">IF(MOD(COUNTIF($Q$11:Q67,Q67),5)=0,OFFSET(装备属性!$M$1083,1+INT(COUNTA($Q$11:Q67)/5),0),Q67)</f>
        <v>稀有词条</v>
      </c>
      <c r="R68" s="83" t="e">
        <f ca="1">IF(MOD(COUNTIF($Q$11:Q67,Q67),5)=0,10000*SUBSTITUTE(SUBSTITUTE(OFFSET(装备属性!$F$1083,1+INT(COUNTA($Q$11:Q67)/5),0),"[",""),"]","")+_xlfn.XLOOKUP(C68,$M$3:$M$7,$N$3:$N$7)*100,R67)</f>
        <v>#N/A</v>
      </c>
    </row>
    <row r="69" customHeight="1" spans="1:18">
      <c r="A69" s="78" t="str">
        <f ca="1" t="shared" si="0"/>
        <v/>
      </c>
      <c r="B69" s="82" t="str">
        <f ca="1">IFERROR(R69+COUNTIFS($R$11:$R69,R69),"")</f>
        <v/>
      </c>
      <c r="C69" s="83">
        <f ca="1">IF(MOD(COUNTIF($Q$11:Q68,Q68),5)=0,OFFSET(装备属性!$D$1083,1+INT(COUNTA($Q$11:Q68)/5),0),C68)</f>
        <v>0</v>
      </c>
      <c r="D69" s="82">
        <f t="shared" si="2"/>
        <v>1500</v>
      </c>
      <c r="F69" s="82" t="str">
        <f ca="1" t="shared" si="1"/>
        <v/>
      </c>
      <c r="G69" s="78" t="str">
        <f ca="1">IF(AND(LEFT("[{"&amp;M69&amp;","&amp;CEILING(N69*10000+(O69-N69)/4*(COUNTIF($F$11:F69,F69)-1)*10000,10)&amp;"}]",7)="[{equip",MID("[{"&amp;M69&amp;","&amp;CEILING(N69*10000+(O69-N69)/4*(COUNTIF($F$11:F69,F69)-1)*10000,10)&amp;"}]",8,1)&lt;&gt;"_"),"[{"&amp;M69&amp;","&amp;1&amp;"}]","[{"&amp;M69&amp;","&amp;CEILING(N69*10000+(O69-N69)/4*(COUNTIF($F$11:F69,F69)-1)*10000,10)&amp;"}]")</f>
        <v>[{equip6_rune_slot,1}]</v>
      </c>
      <c r="H69" s="82" t="s">
        <v>563</v>
      </c>
      <c r="J69" s="78">
        <f ca="1">IF(MOD(COUNTIF($Q$11:Q68,Q68),5)=0,OFFSET(装备属性!$P$1083,1+INT(COUNTA($Q$11:Q68)/5),0),J68)</f>
        <v>10</v>
      </c>
      <c r="K69" s="83" t="str">
        <f ca="1">IF(RIGHT(G69,13)="rune_slot,1}]",_xlfn.XLOOKUP(LEFT(SUBSTITUTE(G69,"[{",""),FIND(",",SUBSTITUTE(G69,"[{",""))-1),Sheet2!B:B,Sheet2!C:C)&amp;"+"&amp;1,_xlfn.XLOOKUP(LEFT(SUBSTITUTE(G69,"[{",""),FIND(",",SUBSTITUTE(G69,"[{",""))-1),Sheet2!B:B,Sheet2!C:C)&amp;"+"&amp;SUBSTITUTE(RIGHT(G69,LEN(G69)-FIND(",",G69)),"}]","")/100&amp;"%")</f>
        <v>头盔符文孔位+1</v>
      </c>
      <c r="L69" s="83" t="str">
        <f ca="1">IF(MOD(COUNTIF($Q$11:Q68,Q68),5)=0,OFFSET(装备属性!$G$1083,1+INT(COUNTA($Q$11:Q68)/5),0),L68)</f>
        <v>扩符槽</v>
      </c>
      <c r="M69" s="89" t="str">
        <f ca="1">IF(MOD(COUNTIF($Q$11:Q68,Q68),5)=0,OFFSET(装备属性!$H$1083,1+INT(COUNTA($Q$11:Q68)/5),0),M68)</f>
        <v>equip6_rune_slot</v>
      </c>
      <c r="N69" s="76">
        <f ca="1">IF(MOD(COUNTIF($Q$11:Q68,Q68),5)=0,OFFSET(装备属性!$K$1083,1+INT(COUNTA($Q$11:Q68)/5),0),N68)</f>
        <v>1</v>
      </c>
      <c r="O69" s="76">
        <f ca="1">IF(MOD(COUNTIF($Q$11:Q68,Q68),5)=0,OFFSET(装备属性!$L$1083,1+INT(COUNTA($Q$11:Q68)/5),0),O68)</f>
        <v>1</v>
      </c>
      <c r="Q69" s="89" t="str">
        <f ca="1">IF(MOD(COUNTIF($Q$11:Q68,Q68),5)=0,OFFSET(装备属性!$M$1083,1+INT(COUNTA($Q$11:Q68)/5),0),Q68)</f>
        <v>稀有词条</v>
      </c>
      <c r="R69" s="83" t="e">
        <f ca="1">IF(MOD(COUNTIF($Q$11:Q68,Q68),5)=0,10000*SUBSTITUTE(SUBSTITUTE(OFFSET(装备属性!$F$1083,1+INT(COUNTA($Q$11:Q68)/5),0),"[",""),"]","")+_xlfn.XLOOKUP(C69,$M$3:$M$7,$N$3:$N$7)*100,R68)</f>
        <v>#N/A</v>
      </c>
    </row>
    <row r="70" customHeight="1" spans="1:18">
      <c r="A70" s="78" t="str">
        <f ca="1" t="shared" si="0"/>
        <v/>
      </c>
      <c r="B70" s="82" t="str">
        <f ca="1">IFERROR(R70+COUNTIFS($R$11:$R70,R70),"")</f>
        <v/>
      </c>
      <c r="C70" s="83">
        <f ca="1">IF(MOD(COUNTIF($Q$11:Q69,Q69),5)=0,OFFSET(装备属性!$D$1083,1+INT(COUNTA($Q$11:Q69)/5),0),C69)</f>
        <v>0</v>
      </c>
      <c r="D70" s="82">
        <f t="shared" si="2"/>
        <v>1000</v>
      </c>
      <c r="F70" s="82" t="str">
        <f ca="1" t="shared" si="1"/>
        <v/>
      </c>
      <c r="G70" s="78" t="str">
        <f ca="1">IF(AND(LEFT("[{"&amp;M70&amp;","&amp;CEILING(N70*10000+(O70-N70)/4*(COUNTIF($F$11:F70,F70)-1)*10000,10)&amp;"}]",7)="[{equip",MID("[{"&amp;M70&amp;","&amp;CEILING(N70*10000+(O70-N70)/4*(COUNTIF($F$11:F70,F70)-1)*10000,10)&amp;"}]",8,1)&lt;&gt;"_"),"[{"&amp;M70&amp;","&amp;1&amp;"}]","[{"&amp;M70&amp;","&amp;CEILING(N70*10000+(O70-N70)/4*(COUNTIF($F$11:F70,F70)-1)*10000,10)&amp;"}]")</f>
        <v>[{equip6_rune_slot,1}]</v>
      </c>
      <c r="H70" s="82" t="s">
        <v>563</v>
      </c>
      <c r="J70" s="78">
        <f ca="1">IF(MOD(COUNTIF($Q$11:Q69,Q69),5)=0,OFFSET(装备属性!$P$1083,1+INT(COUNTA($Q$11:Q69)/5),0),J69)</f>
        <v>10</v>
      </c>
      <c r="K70" s="83" t="str">
        <f ca="1">IF(RIGHT(G70,13)="rune_slot,1}]",_xlfn.XLOOKUP(LEFT(SUBSTITUTE(G70,"[{",""),FIND(",",SUBSTITUTE(G70,"[{",""))-1),Sheet2!B:B,Sheet2!C:C)&amp;"+"&amp;1,_xlfn.XLOOKUP(LEFT(SUBSTITUTE(G70,"[{",""),FIND(",",SUBSTITUTE(G70,"[{",""))-1),Sheet2!B:B,Sheet2!C:C)&amp;"+"&amp;SUBSTITUTE(RIGHT(G70,LEN(G70)-FIND(",",G70)),"}]","")/100&amp;"%")</f>
        <v>头盔符文孔位+1</v>
      </c>
      <c r="L70" s="83" t="str">
        <f ca="1">IF(MOD(COUNTIF($Q$11:Q69,Q69),5)=0,OFFSET(装备属性!$G$1083,1+INT(COUNTA($Q$11:Q69)/5),0),L69)</f>
        <v>扩符槽</v>
      </c>
      <c r="M70" s="89" t="str">
        <f ca="1">IF(MOD(COUNTIF($Q$11:Q69,Q69),5)=0,OFFSET(装备属性!$H$1083,1+INT(COUNTA($Q$11:Q69)/5),0),M69)</f>
        <v>equip6_rune_slot</v>
      </c>
      <c r="N70" s="76">
        <f ca="1">IF(MOD(COUNTIF($Q$11:Q69,Q69),5)=0,OFFSET(装备属性!$K$1083,1+INT(COUNTA($Q$11:Q69)/5),0),N69)</f>
        <v>1</v>
      </c>
      <c r="O70" s="76">
        <f ca="1">IF(MOD(COUNTIF($Q$11:Q69,Q69),5)=0,OFFSET(装备属性!$L$1083,1+INT(COUNTA($Q$11:Q69)/5),0),O69)</f>
        <v>1</v>
      </c>
      <c r="Q70" s="89" t="str">
        <f ca="1">IF(MOD(COUNTIF($Q$11:Q69,Q69),5)=0,OFFSET(装备属性!$M$1083,1+INT(COUNTA($Q$11:Q69)/5),0),Q69)</f>
        <v>稀有词条</v>
      </c>
      <c r="R70" s="83" t="e">
        <f ca="1">IF(MOD(COUNTIF($Q$11:Q69,Q69),5)=0,10000*SUBSTITUTE(SUBSTITUTE(OFFSET(装备属性!$F$1083,1+INT(COUNTA($Q$11:Q69)/5),0),"[",""),"]","")+_xlfn.XLOOKUP(C70,$M$3:$M$7,$N$3:$N$7)*100,R69)</f>
        <v>#N/A</v>
      </c>
    </row>
    <row r="71" customHeight="1" spans="1:18">
      <c r="A71" s="78" t="str">
        <f ca="1" t="shared" si="0"/>
        <v/>
      </c>
      <c r="B71" s="82" t="str">
        <f ca="1">IFERROR(R71+COUNTIFS($R$11:$R71,R71),"")</f>
        <v/>
      </c>
      <c r="C71" s="83">
        <f ca="1">IF(MOD(COUNTIF($Q$11:Q70,Q70),5)=0,OFFSET(装备属性!$D$1083,1+INT(COUNTA($Q$11:Q70)/5),0),C70)</f>
        <v>0</v>
      </c>
      <c r="D71" s="82">
        <f t="shared" si="2"/>
        <v>3000</v>
      </c>
      <c r="F71" s="82" t="str">
        <f ca="1" t="shared" si="1"/>
        <v/>
      </c>
      <c r="G71" s="78" t="str">
        <f ca="1">IF(AND(LEFT("[{"&amp;M71&amp;","&amp;CEILING(N71*10000+(O71-N71)/4*(COUNTIF($F$11:F71,F71)-1)*10000,10)&amp;"}]",7)="[{equip",MID("[{"&amp;M71&amp;","&amp;CEILING(N71*10000+(O71-N71)/4*(COUNTIF($F$11:F71,F71)-1)*10000,10)&amp;"}]",8,1)&lt;&gt;"_"),"[{"&amp;M71&amp;","&amp;1&amp;"}]","[{"&amp;M71&amp;","&amp;CEILING(N71*10000+(O71-N71)/4*(COUNTIF($F$11:F71,F71)-1)*10000,10)&amp;"}]")</f>
        <v>[{global_dmg_rate,1490}]</v>
      </c>
      <c r="H71" s="82" t="s">
        <v>563</v>
      </c>
      <c r="J71" s="78">
        <f ca="1">IF(MOD(COUNTIF($Q$11:Q70,Q70),5)=0,OFFSET(装备属性!$P$1083,1+INT(COUNTA($Q$11:Q70)/5),0),J70)</f>
        <v>2</v>
      </c>
      <c r="K71" s="83" t="str">
        <f ca="1">IF(RIGHT(G71,13)="rune_slot,1}]",_xlfn.XLOOKUP(LEFT(SUBSTITUTE(G71,"[{",""),FIND(",",SUBSTITUTE(G71,"[{",""))-1),Sheet2!B:B,Sheet2!C:C)&amp;"+"&amp;1,_xlfn.XLOOKUP(LEFT(SUBSTITUTE(G71,"[{",""),FIND(",",SUBSTITUTE(G71,"[{",""))-1),Sheet2!B:B,Sheet2!C:C)&amp;"+"&amp;SUBSTITUTE(RIGHT(G71,LEN(G71)-FIND(",",G71)),"}]","")/100&amp;"%")</f>
        <v>伤害加成+14.9%</v>
      </c>
      <c r="L71" s="83" t="str">
        <f ca="1">IF(MOD(COUNTIF($Q$11:Q70,Q70),5)=0,OFFSET(装备属性!$G$1083,1+INT(COUNTA($Q$11:Q70)/5),0),L70)</f>
        <v>全职小队Ⅱ</v>
      </c>
      <c r="M71" s="89" t="str">
        <f ca="1">IF(MOD(COUNTIF($Q$11:Q70,Q70),5)=0,OFFSET(装备属性!$H$1083,1+INT(COUNTA($Q$11:Q70)/5),0),M70)</f>
        <v>global_dmg_rate</v>
      </c>
      <c r="N71" s="76">
        <f ca="1">IF(MOD(COUNTIF($Q$11:Q70,Q70),5)=0,OFFSET(装备属性!$K$1083,1+INT(COUNTA($Q$11:Q70)/5),0),N70)</f>
        <v>0.044</v>
      </c>
      <c r="O71" s="76">
        <f ca="1">IF(MOD(COUNTIF($Q$11:Q70,Q70),5)=0,OFFSET(装备属性!$L$1083,1+INT(COUNTA($Q$11:Q70)/5),0),O70)</f>
        <v>0.058</v>
      </c>
      <c r="Q71" s="89" t="str">
        <f ca="1">IF(MOD(COUNTIF($Q$11:Q70,Q70),5)=0,OFFSET(装备属性!$M$1083,1+INT(COUNTA($Q$11:Q70)/5),0),Q70)</f>
        <v>通用属性</v>
      </c>
      <c r="R71" s="83" t="e">
        <f ca="1">IF(MOD(COUNTIF($Q$11:Q70,Q70),5)=0,10000*SUBSTITUTE(SUBSTITUTE(OFFSET(装备属性!$F$1083,1+INT(COUNTA($Q$11:Q70)/5),0),"[",""),"]","")+_xlfn.XLOOKUP(C71,$M$3:$M$7,$N$3:$N$7)*100,R70)</f>
        <v>#N/A</v>
      </c>
    </row>
    <row r="72" customHeight="1" spans="1:18">
      <c r="A72" s="78" t="str">
        <f ca="1" t="shared" si="0"/>
        <v/>
      </c>
      <c r="B72" s="82" t="str">
        <f ca="1">IFERROR(R72+COUNTIFS($R$11:$R72,R72),"")</f>
        <v/>
      </c>
      <c r="C72" s="83">
        <f ca="1">IF(MOD(COUNTIF($Q$11:Q71,Q71),5)=0,OFFSET(装备属性!$D$1083,1+INT(COUNTA($Q$11:Q71)/5),0),C71)</f>
        <v>0</v>
      </c>
      <c r="D72" s="82">
        <f t="shared" si="2"/>
        <v>2500</v>
      </c>
      <c r="F72" s="82" t="str">
        <f ca="1" t="shared" si="1"/>
        <v/>
      </c>
      <c r="G72" s="78" t="str">
        <f ca="1">IF(AND(LEFT("[{"&amp;M72&amp;","&amp;CEILING(N72*10000+(O72-N72)/4*(COUNTIF($F$11:F72,F72)-1)*10000,10)&amp;"}]",7)="[{equip",MID("[{"&amp;M72&amp;","&amp;CEILING(N72*10000+(O72-N72)/4*(COUNTIF($F$11:F72,F72)-1)*10000,10)&amp;"}]",8,1)&lt;&gt;"_"),"[{"&amp;M72&amp;","&amp;1&amp;"}]","[{"&amp;M72&amp;","&amp;CEILING(N72*10000+(O72-N72)/4*(COUNTIF($F$11:F72,F72)-1)*10000,10)&amp;"}]")</f>
        <v>[{global_dmg_rate,1530}]</v>
      </c>
      <c r="H72" s="82" t="s">
        <v>563</v>
      </c>
      <c r="J72" s="78">
        <f ca="1">IF(MOD(COUNTIF($Q$11:Q71,Q71),5)=0,OFFSET(装备属性!$P$1083,1+INT(COUNTA($Q$11:Q71)/5),0),J71)</f>
        <v>2</v>
      </c>
      <c r="K72" s="83" t="str">
        <f ca="1">IF(RIGHT(G72,13)="rune_slot,1}]",_xlfn.XLOOKUP(LEFT(SUBSTITUTE(G72,"[{",""),FIND(",",SUBSTITUTE(G72,"[{",""))-1),Sheet2!B:B,Sheet2!C:C)&amp;"+"&amp;1,_xlfn.XLOOKUP(LEFT(SUBSTITUTE(G72,"[{",""),FIND(",",SUBSTITUTE(G72,"[{",""))-1),Sheet2!B:B,Sheet2!C:C)&amp;"+"&amp;SUBSTITUTE(RIGHT(G72,LEN(G72)-FIND(",",G72)),"}]","")/100&amp;"%")</f>
        <v>伤害加成+15.3%</v>
      </c>
      <c r="L72" s="83" t="str">
        <f ca="1">IF(MOD(COUNTIF($Q$11:Q71,Q71),5)=0,OFFSET(装备属性!$G$1083,1+INT(COUNTA($Q$11:Q71)/5),0),L71)</f>
        <v>全职小队Ⅱ</v>
      </c>
      <c r="M72" s="89" t="str">
        <f ca="1">IF(MOD(COUNTIF($Q$11:Q71,Q71),5)=0,OFFSET(装备属性!$H$1083,1+INT(COUNTA($Q$11:Q71)/5),0),M71)</f>
        <v>global_dmg_rate</v>
      </c>
      <c r="N72" s="76">
        <f ca="1">IF(MOD(COUNTIF($Q$11:Q71,Q71),5)=0,OFFSET(装备属性!$K$1083,1+INT(COUNTA($Q$11:Q71)/5),0),N71)</f>
        <v>0.044</v>
      </c>
      <c r="O72" s="76">
        <f ca="1">IF(MOD(COUNTIF($Q$11:Q71,Q71),5)=0,OFFSET(装备属性!$L$1083,1+INT(COUNTA($Q$11:Q71)/5),0),O71)</f>
        <v>0.058</v>
      </c>
      <c r="Q72" s="89" t="str">
        <f ca="1">IF(MOD(COUNTIF($Q$11:Q71,Q71),5)=0,OFFSET(装备属性!$M$1083,1+INT(COUNTA($Q$11:Q71)/5),0),Q71)</f>
        <v>通用属性</v>
      </c>
      <c r="R72" s="83" t="e">
        <f ca="1">IF(MOD(COUNTIF($Q$11:Q71,Q71),5)=0,10000*SUBSTITUTE(SUBSTITUTE(OFFSET(装备属性!$F$1083,1+INT(COUNTA($Q$11:Q71)/5),0),"[",""),"]","")+_xlfn.XLOOKUP(C72,$M$3:$M$7,$N$3:$N$7)*100,R71)</f>
        <v>#N/A</v>
      </c>
    </row>
    <row r="73" customHeight="1" spans="1:18">
      <c r="A73" s="78" t="str">
        <f ca="1" t="shared" si="0"/>
        <v/>
      </c>
      <c r="B73" s="82" t="str">
        <f ca="1">IFERROR(R73+COUNTIFS($R$11:$R73,R73),"")</f>
        <v/>
      </c>
      <c r="C73" s="83">
        <f ca="1">IF(MOD(COUNTIF($Q$11:Q72,Q72),5)=0,OFFSET(装备属性!$D$1083,1+INT(COUNTA($Q$11:Q72)/5),0),C72)</f>
        <v>0</v>
      </c>
      <c r="D73" s="82">
        <f t="shared" si="2"/>
        <v>2000</v>
      </c>
      <c r="F73" s="82" t="str">
        <f ca="1" t="shared" si="1"/>
        <v/>
      </c>
      <c r="G73" s="78" t="str">
        <f ca="1">IF(AND(LEFT("[{"&amp;M73&amp;","&amp;CEILING(N73*10000+(O73-N73)/4*(COUNTIF($F$11:F73,F73)-1)*10000,10)&amp;"}]",7)="[{equip",MID("[{"&amp;M73&amp;","&amp;CEILING(N73*10000+(O73-N73)/4*(COUNTIF($F$11:F73,F73)-1)*10000,10)&amp;"}]",8,1)&lt;&gt;"_"),"[{"&amp;M73&amp;","&amp;1&amp;"}]","[{"&amp;M73&amp;","&amp;CEILING(N73*10000+(O73-N73)/4*(COUNTIF($F$11:F73,F73)-1)*10000,10)&amp;"}]")</f>
        <v>[{global_dmg_rate,1560}]</v>
      </c>
      <c r="H73" s="82" t="s">
        <v>563</v>
      </c>
      <c r="J73" s="78">
        <f ca="1">IF(MOD(COUNTIF($Q$11:Q72,Q72),5)=0,OFFSET(装备属性!$P$1083,1+INT(COUNTA($Q$11:Q72)/5),0),J72)</f>
        <v>2</v>
      </c>
      <c r="K73" s="83" t="str">
        <f ca="1">IF(RIGHT(G73,13)="rune_slot,1}]",_xlfn.XLOOKUP(LEFT(SUBSTITUTE(G73,"[{",""),FIND(",",SUBSTITUTE(G73,"[{",""))-1),Sheet2!B:B,Sheet2!C:C)&amp;"+"&amp;1,_xlfn.XLOOKUP(LEFT(SUBSTITUTE(G73,"[{",""),FIND(",",SUBSTITUTE(G73,"[{",""))-1),Sheet2!B:B,Sheet2!C:C)&amp;"+"&amp;SUBSTITUTE(RIGHT(G73,LEN(G73)-FIND(",",G73)),"}]","")/100&amp;"%")</f>
        <v>伤害加成+15.6%</v>
      </c>
      <c r="L73" s="83" t="str">
        <f ca="1">IF(MOD(COUNTIF($Q$11:Q72,Q72),5)=0,OFFSET(装备属性!$G$1083,1+INT(COUNTA($Q$11:Q72)/5),0),L72)</f>
        <v>全职小队Ⅱ</v>
      </c>
      <c r="M73" s="89" t="str">
        <f ca="1">IF(MOD(COUNTIF($Q$11:Q72,Q72),5)=0,OFFSET(装备属性!$H$1083,1+INT(COUNTA($Q$11:Q72)/5),0),M72)</f>
        <v>global_dmg_rate</v>
      </c>
      <c r="N73" s="76">
        <f ca="1">IF(MOD(COUNTIF($Q$11:Q72,Q72),5)=0,OFFSET(装备属性!$K$1083,1+INT(COUNTA($Q$11:Q72)/5),0),N72)</f>
        <v>0.044</v>
      </c>
      <c r="O73" s="76">
        <f ca="1">IF(MOD(COUNTIF($Q$11:Q72,Q72),5)=0,OFFSET(装备属性!$L$1083,1+INT(COUNTA($Q$11:Q72)/5),0),O72)</f>
        <v>0.058</v>
      </c>
      <c r="Q73" s="89" t="str">
        <f ca="1">IF(MOD(COUNTIF($Q$11:Q72,Q72),5)=0,OFFSET(装备属性!$M$1083,1+INT(COUNTA($Q$11:Q72)/5),0),Q72)</f>
        <v>通用属性</v>
      </c>
      <c r="R73" s="83" t="e">
        <f ca="1">IF(MOD(COUNTIF($Q$11:Q72,Q72),5)=0,10000*SUBSTITUTE(SUBSTITUTE(OFFSET(装备属性!$F$1083,1+INT(COUNTA($Q$11:Q72)/5),0),"[",""),"]","")+_xlfn.XLOOKUP(C73,$M$3:$M$7,$N$3:$N$7)*100,R72)</f>
        <v>#N/A</v>
      </c>
    </row>
    <row r="74" customHeight="1" spans="1:18">
      <c r="A74" s="78" t="str">
        <f ca="1" t="shared" si="0"/>
        <v/>
      </c>
      <c r="B74" s="82" t="str">
        <f ca="1">IFERROR(R74+COUNTIFS($R$11:$R74,R74),"")</f>
        <v/>
      </c>
      <c r="C74" s="83">
        <f ca="1">IF(MOD(COUNTIF($Q$11:Q73,Q73),5)=0,OFFSET(装备属性!$D$1083,1+INT(COUNTA($Q$11:Q73)/5),0),C73)</f>
        <v>0</v>
      </c>
      <c r="D74" s="82">
        <f t="shared" si="2"/>
        <v>1500</v>
      </c>
      <c r="F74" s="82" t="str">
        <f ca="1" t="shared" si="1"/>
        <v/>
      </c>
      <c r="G74" s="78" t="str">
        <f ca="1">IF(AND(LEFT("[{"&amp;M74&amp;","&amp;CEILING(N74*10000+(O74-N74)/4*(COUNTIF($F$11:F74,F74)-1)*10000,10)&amp;"}]",7)="[{equip",MID("[{"&amp;M74&amp;","&amp;CEILING(N74*10000+(O74-N74)/4*(COUNTIF($F$11:F74,F74)-1)*10000,10)&amp;"}]",8,1)&lt;&gt;"_"),"[{"&amp;M74&amp;","&amp;1&amp;"}]","[{"&amp;M74&amp;","&amp;CEILING(N74*10000+(O74-N74)/4*(COUNTIF($F$11:F74,F74)-1)*10000,10)&amp;"}]")</f>
        <v>[{global_dmg_rate,1600}]</v>
      </c>
      <c r="H74" s="82" t="s">
        <v>563</v>
      </c>
      <c r="J74" s="78">
        <f ca="1">IF(MOD(COUNTIF($Q$11:Q73,Q73),5)=0,OFFSET(装备属性!$P$1083,1+INT(COUNTA($Q$11:Q73)/5),0),J73)</f>
        <v>2</v>
      </c>
      <c r="K74" s="83" t="str">
        <f ca="1">IF(RIGHT(G74,13)="rune_slot,1}]",_xlfn.XLOOKUP(LEFT(SUBSTITUTE(G74,"[{",""),FIND(",",SUBSTITUTE(G74,"[{",""))-1),Sheet2!B:B,Sheet2!C:C)&amp;"+"&amp;1,_xlfn.XLOOKUP(LEFT(SUBSTITUTE(G74,"[{",""),FIND(",",SUBSTITUTE(G74,"[{",""))-1),Sheet2!B:B,Sheet2!C:C)&amp;"+"&amp;SUBSTITUTE(RIGHT(G74,LEN(G74)-FIND(",",G74)),"}]","")/100&amp;"%")</f>
        <v>伤害加成+16%</v>
      </c>
      <c r="L74" s="83" t="str">
        <f ca="1">IF(MOD(COUNTIF($Q$11:Q73,Q73),5)=0,OFFSET(装备属性!$G$1083,1+INT(COUNTA($Q$11:Q73)/5),0),L73)</f>
        <v>全职小队Ⅱ</v>
      </c>
      <c r="M74" s="89" t="str">
        <f ca="1">IF(MOD(COUNTIF($Q$11:Q73,Q73),5)=0,OFFSET(装备属性!$H$1083,1+INT(COUNTA($Q$11:Q73)/5),0),M73)</f>
        <v>global_dmg_rate</v>
      </c>
      <c r="N74" s="76">
        <f ca="1">IF(MOD(COUNTIF($Q$11:Q73,Q73),5)=0,OFFSET(装备属性!$K$1083,1+INT(COUNTA($Q$11:Q73)/5),0),N73)</f>
        <v>0.044</v>
      </c>
      <c r="O74" s="76">
        <f ca="1">IF(MOD(COUNTIF($Q$11:Q73,Q73),5)=0,OFFSET(装备属性!$L$1083,1+INT(COUNTA($Q$11:Q73)/5),0),O73)</f>
        <v>0.058</v>
      </c>
      <c r="Q74" s="89" t="str">
        <f ca="1">IF(MOD(COUNTIF($Q$11:Q73,Q73),5)=0,OFFSET(装备属性!$M$1083,1+INT(COUNTA($Q$11:Q73)/5),0),Q73)</f>
        <v>通用属性</v>
      </c>
      <c r="R74" s="83" t="e">
        <f ca="1">IF(MOD(COUNTIF($Q$11:Q73,Q73),5)=0,10000*SUBSTITUTE(SUBSTITUTE(OFFSET(装备属性!$F$1083,1+INT(COUNTA($Q$11:Q73)/5),0),"[",""),"]","")+_xlfn.XLOOKUP(C74,$M$3:$M$7,$N$3:$N$7)*100,R73)</f>
        <v>#N/A</v>
      </c>
    </row>
    <row r="75" customHeight="1" spans="1:18">
      <c r="A75" s="78" t="str">
        <f ca="1" t="shared" si="0"/>
        <v/>
      </c>
      <c r="B75" s="82" t="str">
        <f ca="1">IFERROR(R75+COUNTIFS($R$11:$R75,R75),"")</f>
        <v/>
      </c>
      <c r="C75" s="83">
        <f ca="1">IF(MOD(COUNTIF($Q$11:Q74,Q74),5)=0,OFFSET(装备属性!$D$1083,1+INT(COUNTA($Q$11:Q74)/5),0),C74)</f>
        <v>0</v>
      </c>
      <c r="D75" s="82">
        <f t="shared" si="2"/>
        <v>1000</v>
      </c>
      <c r="F75" s="82" t="str">
        <f ca="1" t="shared" si="1"/>
        <v/>
      </c>
      <c r="G75" s="78" t="str">
        <f ca="1">IF(AND(LEFT("[{"&amp;M75&amp;","&amp;CEILING(N75*10000+(O75-N75)/4*(COUNTIF($F$11:F75,F75)-1)*10000,10)&amp;"}]",7)="[{equip",MID("[{"&amp;M75&amp;","&amp;CEILING(N75*10000+(O75-N75)/4*(COUNTIF($F$11:F75,F75)-1)*10000,10)&amp;"}]",8,1)&lt;&gt;"_"),"[{"&amp;M75&amp;","&amp;1&amp;"}]","[{"&amp;M75&amp;","&amp;CEILING(N75*10000+(O75-N75)/4*(COUNTIF($F$11:F75,F75)-1)*10000,10)&amp;"}]")</f>
        <v>[{global_dmg_rate,1630}]</v>
      </c>
      <c r="H75" s="82" t="s">
        <v>563</v>
      </c>
      <c r="J75" s="78">
        <f ca="1">IF(MOD(COUNTIF($Q$11:Q74,Q74),5)=0,OFFSET(装备属性!$P$1083,1+INT(COUNTA($Q$11:Q74)/5),0),J74)</f>
        <v>2</v>
      </c>
      <c r="K75" s="83" t="str">
        <f ca="1">IF(RIGHT(G75,13)="rune_slot,1}]",_xlfn.XLOOKUP(LEFT(SUBSTITUTE(G75,"[{",""),FIND(",",SUBSTITUTE(G75,"[{",""))-1),Sheet2!B:B,Sheet2!C:C)&amp;"+"&amp;1,_xlfn.XLOOKUP(LEFT(SUBSTITUTE(G75,"[{",""),FIND(",",SUBSTITUTE(G75,"[{",""))-1),Sheet2!B:B,Sheet2!C:C)&amp;"+"&amp;SUBSTITUTE(RIGHT(G75,LEN(G75)-FIND(",",G75)),"}]","")/100&amp;"%")</f>
        <v>伤害加成+16.3%</v>
      </c>
      <c r="L75" s="83" t="str">
        <f ca="1">IF(MOD(COUNTIF($Q$11:Q74,Q74),5)=0,OFFSET(装备属性!$G$1083,1+INT(COUNTA($Q$11:Q74)/5),0),L74)</f>
        <v>全职小队Ⅱ</v>
      </c>
      <c r="M75" s="89" t="str">
        <f ca="1">IF(MOD(COUNTIF($Q$11:Q74,Q74),5)=0,OFFSET(装备属性!$H$1083,1+INT(COUNTA($Q$11:Q74)/5),0),M74)</f>
        <v>global_dmg_rate</v>
      </c>
      <c r="N75" s="76">
        <f ca="1">IF(MOD(COUNTIF($Q$11:Q74,Q74),5)=0,OFFSET(装备属性!$K$1083,1+INT(COUNTA($Q$11:Q74)/5),0),N74)</f>
        <v>0.044</v>
      </c>
      <c r="O75" s="76">
        <f ca="1">IF(MOD(COUNTIF($Q$11:Q74,Q74),5)=0,OFFSET(装备属性!$L$1083,1+INT(COUNTA($Q$11:Q74)/5),0),O74)</f>
        <v>0.058</v>
      </c>
      <c r="Q75" s="89" t="str">
        <f ca="1">IF(MOD(COUNTIF($Q$11:Q74,Q74),5)=0,OFFSET(装备属性!$M$1083,1+INT(COUNTA($Q$11:Q74)/5),0),Q74)</f>
        <v>通用属性</v>
      </c>
      <c r="R75" s="83" t="e">
        <f ca="1">IF(MOD(COUNTIF($Q$11:Q74,Q74),5)=0,10000*SUBSTITUTE(SUBSTITUTE(OFFSET(装备属性!$F$1083,1+INT(COUNTA($Q$11:Q74)/5),0),"[",""),"]","")+_xlfn.XLOOKUP(C75,$M$3:$M$7,$N$3:$N$7)*100,R74)</f>
        <v>#N/A</v>
      </c>
    </row>
    <row r="76" customHeight="1" spans="1:18">
      <c r="A76" s="78">
        <f ca="1" t="shared" ref="A76:A139" si="3">IFERROR(R76+IF(Q76="通用属性",1,IF(Q76="玩法类",2,IF(Q76="稀有词条",3,0))),"")</f>
        <v>10501</v>
      </c>
      <c r="B76" s="82">
        <f ca="1">IFERROR(R76+COUNTIFS($R$11:$R76,R76),"")</f>
        <v>10501</v>
      </c>
      <c r="C76" s="83" t="str">
        <f ca="1">IF(MOD(COUNTIF($Q$11:Q75,Q75),5)=0,OFFSET(装备属性!$D$1083,1+INT(COUNTA($Q$11:Q75)/5),0),C75)</f>
        <v>橙</v>
      </c>
      <c r="D76" s="82">
        <f t="shared" si="2"/>
        <v>3000</v>
      </c>
      <c r="F76" s="82">
        <f ca="1" t="shared" ref="F76:F139" si="4">IFERROR(R76+INT((B76-R76-1)/5),"")</f>
        <v>10500</v>
      </c>
      <c r="G76" s="78" t="str">
        <f ca="1">IF(AND(LEFT("[{"&amp;M76&amp;","&amp;CEILING(N76*10000+(O76-N76)/4*(COUNTIF($F$11:F76,F76)-1)*10000,10)&amp;"}]",7)="[{equip",MID("[{"&amp;M76&amp;","&amp;CEILING(N76*10000+(O76-N76)/4*(COUNTIF($F$11:F76,F76)-1)*10000,10)&amp;"}]",8,1)&lt;&gt;"_"),"[{"&amp;M76&amp;","&amp;1&amp;"}]","[{"&amp;M76&amp;","&amp;CEILING(N76*10000+(O76-N76)/4*(COUNTIF($F$11:F76,F76)-1)*10000,10)&amp;"}]")</f>
        <v>[{dmg_red_rate,150}]</v>
      </c>
      <c r="H76" s="82" t="s">
        <v>563</v>
      </c>
      <c r="J76" s="78">
        <f ca="1">IF(MOD(COUNTIF($Q$11:Q75,Q75),5)=0,OFFSET(装备属性!$P$1083,1+INT(COUNTA($Q$11:Q75)/5),0),J75)</f>
        <v>6</v>
      </c>
      <c r="K76" s="83" t="str">
        <f ca="1">IF(RIGHT(G76,13)="rune_slot,1}]",_xlfn.XLOOKUP(LEFT(SUBSTITUTE(G76,"[{",""),FIND(",",SUBSTITUTE(G76,"[{",""))-1),Sheet2!B:B,Sheet2!C:C)&amp;"+"&amp;1,_xlfn.XLOOKUP(LEFT(SUBSTITUTE(G76,"[{",""),FIND(",",SUBSTITUTE(G76,"[{",""))-1),Sheet2!B:B,Sheet2!C:C)&amp;"+"&amp;SUBSTITUTE(RIGHT(G76,LEN(G76)-FIND(",",G76)),"}]","")/100&amp;"%")</f>
        <v>伤害减免+1.5%</v>
      </c>
      <c r="L76" s="83" t="str">
        <f ca="1">IF(MOD(COUNTIF($Q$11:Q75,Q75),5)=0,OFFSET(装备属性!$G$1083,1+INT(COUNTA($Q$11:Q75)/5),0),L75)</f>
        <v>全员抗揍Ⅱ</v>
      </c>
      <c r="M76" s="89" t="str">
        <f ca="1">IF(MOD(COUNTIF($Q$11:Q75,Q75),5)=0,OFFSET(装备属性!$H$1083,1+INT(COUNTA($Q$11:Q75)/5),0),M75)</f>
        <v>dmg_red_rate</v>
      </c>
      <c r="N76" s="76">
        <f ca="1">IF(MOD(COUNTIF($Q$11:Q75,Q75),5)=0,OFFSET(装备属性!$K$1083,1+INT(COUNTA($Q$11:Q75)/5),0),N75)</f>
        <v>0.015</v>
      </c>
      <c r="O76" s="76">
        <f ca="1">IF(MOD(COUNTIF($Q$11:Q75,Q75),5)=0,OFFSET(装备属性!$L$1083,1+INT(COUNTA($Q$11:Q75)/5),0),O75)</f>
        <v>0.019</v>
      </c>
      <c r="Q76" s="89" t="str">
        <f ca="1">IF(MOD(COUNTIF($Q$11:Q75,Q75),5)=0,OFFSET(装备属性!$M$1083,1+INT(COUNTA($Q$11:Q75)/5),0),Q75)</f>
        <v>通用属性</v>
      </c>
      <c r="R76" s="83">
        <f ca="1">IF(MOD(COUNTIF($Q$11:Q75,Q75),5)=0,10000*SUBSTITUTE(SUBSTITUTE(OFFSET(装备属性!$F$1083,1+INT(COUNTA($Q$11:Q75)/5),0),"[",""),"]","")+_xlfn.XLOOKUP(C76,$M$3:$M$7,$N$3:$N$7)*100,R75)</f>
        <v>10500</v>
      </c>
    </row>
    <row r="77" customHeight="1" spans="1:18">
      <c r="A77" s="78">
        <f ca="1" t="shared" si="3"/>
        <v>10501</v>
      </c>
      <c r="B77" s="82">
        <f ca="1">IFERROR(R77+COUNTIFS($R$11:$R77,R77),"")</f>
        <v>10502</v>
      </c>
      <c r="C77" s="83" t="str">
        <f ca="1">IF(MOD(COUNTIF($Q$11:Q76,Q76),5)=0,OFFSET(装备属性!$D$1083,1+INT(COUNTA($Q$11:Q76)/5),0),C76)</f>
        <v>橙</v>
      </c>
      <c r="D77" s="82">
        <f t="shared" si="2"/>
        <v>2500</v>
      </c>
      <c r="F77" s="82">
        <f ca="1" t="shared" si="4"/>
        <v>10500</v>
      </c>
      <c r="G77" s="78" t="str">
        <f ca="1">IF(AND(LEFT("[{"&amp;M77&amp;","&amp;CEILING(N77*10000+(O77-N77)/4*(COUNTIF($F$11:F77,F77)-1)*10000,10)&amp;"}]",7)="[{equip",MID("[{"&amp;M77&amp;","&amp;CEILING(N77*10000+(O77-N77)/4*(COUNTIF($F$11:F77,F77)-1)*10000,10)&amp;"}]",8,1)&lt;&gt;"_"),"[{"&amp;M77&amp;","&amp;1&amp;"}]","[{"&amp;M77&amp;","&amp;CEILING(N77*10000+(O77-N77)/4*(COUNTIF($F$11:F77,F77)-1)*10000,10)&amp;"}]")</f>
        <v>[{dmg_red_rate,160}]</v>
      </c>
      <c r="H77" s="82" t="s">
        <v>563</v>
      </c>
      <c r="J77" s="78">
        <f ca="1">IF(MOD(COUNTIF($Q$11:Q76,Q76),5)=0,OFFSET(装备属性!$P$1083,1+INT(COUNTA($Q$11:Q76)/5),0),J76)</f>
        <v>6</v>
      </c>
      <c r="K77" s="83" t="str">
        <f ca="1">IF(RIGHT(G77,13)="rune_slot,1}]",_xlfn.XLOOKUP(LEFT(SUBSTITUTE(G77,"[{",""),FIND(",",SUBSTITUTE(G77,"[{",""))-1),Sheet2!B:B,Sheet2!C:C)&amp;"+"&amp;1,_xlfn.XLOOKUP(LEFT(SUBSTITUTE(G77,"[{",""),FIND(",",SUBSTITUTE(G77,"[{",""))-1),Sheet2!B:B,Sheet2!C:C)&amp;"+"&amp;SUBSTITUTE(RIGHT(G77,LEN(G77)-FIND(",",G77)),"}]","")/100&amp;"%")</f>
        <v>伤害减免+1.6%</v>
      </c>
      <c r="L77" s="83" t="str">
        <f ca="1">IF(MOD(COUNTIF($Q$11:Q76,Q76),5)=0,OFFSET(装备属性!$G$1083,1+INT(COUNTA($Q$11:Q76)/5),0),L76)</f>
        <v>全员抗揍Ⅱ</v>
      </c>
      <c r="M77" s="89" t="str">
        <f ca="1">IF(MOD(COUNTIF($Q$11:Q76,Q76),5)=0,OFFSET(装备属性!$H$1083,1+INT(COUNTA($Q$11:Q76)/5),0),M76)</f>
        <v>dmg_red_rate</v>
      </c>
      <c r="N77" s="76">
        <f ca="1">IF(MOD(COUNTIF($Q$11:Q76,Q76),5)=0,OFFSET(装备属性!$K$1083,1+INT(COUNTA($Q$11:Q76)/5),0),N76)</f>
        <v>0.015</v>
      </c>
      <c r="O77" s="76">
        <f ca="1">IF(MOD(COUNTIF($Q$11:Q76,Q76),5)=0,OFFSET(装备属性!$L$1083,1+INT(COUNTA($Q$11:Q76)/5),0),O76)</f>
        <v>0.019</v>
      </c>
      <c r="Q77" s="89" t="str">
        <f ca="1">IF(MOD(COUNTIF($Q$11:Q76,Q76),5)=0,OFFSET(装备属性!$M$1083,1+INT(COUNTA($Q$11:Q76)/5),0),Q76)</f>
        <v>通用属性</v>
      </c>
      <c r="R77" s="83">
        <f ca="1">IF(MOD(COUNTIF($Q$11:Q76,Q76),5)=0,10000*SUBSTITUTE(SUBSTITUTE(OFFSET(装备属性!$F$1083,1+INT(COUNTA($Q$11:Q76)/5),0),"[",""),"]","")+_xlfn.XLOOKUP(C77,$M$3:$M$7,$N$3:$N$7)*100,R76)</f>
        <v>10500</v>
      </c>
    </row>
    <row r="78" customHeight="1" spans="1:18">
      <c r="A78" s="78">
        <f ca="1" t="shared" si="3"/>
        <v>10501</v>
      </c>
      <c r="B78" s="82">
        <f ca="1">IFERROR(R78+COUNTIFS($R$11:$R78,R78),"")</f>
        <v>10503</v>
      </c>
      <c r="C78" s="83" t="str">
        <f ca="1">IF(MOD(COUNTIF($Q$11:Q77,Q77),5)=0,OFFSET(装备属性!$D$1083,1+INT(COUNTA($Q$11:Q77)/5),0),C77)</f>
        <v>橙</v>
      </c>
      <c r="D78" s="82">
        <f t="shared" si="2"/>
        <v>2000</v>
      </c>
      <c r="F78" s="82">
        <f ca="1" t="shared" si="4"/>
        <v>10500</v>
      </c>
      <c r="G78" s="78" t="str">
        <f ca="1">IF(AND(LEFT("[{"&amp;M78&amp;","&amp;CEILING(N78*10000+(O78-N78)/4*(COUNTIF($F$11:F78,F78)-1)*10000,10)&amp;"}]",7)="[{equip",MID("[{"&amp;M78&amp;","&amp;CEILING(N78*10000+(O78-N78)/4*(COUNTIF($F$11:F78,F78)-1)*10000,10)&amp;"}]",8,1)&lt;&gt;"_"),"[{"&amp;M78&amp;","&amp;1&amp;"}]","[{"&amp;M78&amp;","&amp;CEILING(N78*10000+(O78-N78)/4*(COUNTIF($F$11:F78,F78)-1)*10000,10)&amp;"}]")</f>
        <v>[{dmg_red_rate,170}]</v>
      </c>
      <c r="H78" s="82" t="s">
        <v>563</v>
      </c>
      <c r="J78" s="78">
        <f ca="1">IF(MOD(COUNTIF($Q$11:Q77,Q77),5)=0,OFFSET(装备属性!$P$1083,1+INT(COUNTA($Q$11:Q77)/5),0),J77)</f>
        <v>6</v>
      </c>
      <c r="K78" s="83" t="str">
        <f ca="1">IF(RIGHT(G78,13)="rune_slot,1}]",_xlfn.XLOOKUP(LEFT(SUBSTITUTE(G78,"[{",""),FIND(",",SUBSTITUTE(G78,"[{",""))-1),Sheet2!B:B,Sheet2!C:C)&amp;"+"&amp;1,_xlfn.XLOOKUP(LEFT(SUBSTITUTE(G78,"[{",""),FIND(",",SUBSTITUTE(G78,"[{",""))-1),Sheet2!B:B,Sheet2!C:C)&amp;"+"&amp;SUBSTITUTE(RIGHT(G78,LEN(G78)-FIND(",",G78)),"}]","")/100&amp;"%")</f>
        <v>伤害减免+1.7%</v>
      </c>
      <c r="L78" s="83" t="str">
        <f ca="1">IF(MOD(COUNTIF($Q$11:Q77,Q77),5)=0,OFFSET(装备属性!$G$1083,1+INT(COUNTA($Q$11:Q77)/5),0),L77)</f>
        <v>全员抗揍Ⅱ</v>
      </c>
      <c r="M78" s="89" t="str">
        <f ca="1">IF(MOD(COUNTIF($Q$11:Q77,Q77),5)=0,OFFSET(装备属性!$H$1083,1+INT(COUNTA($Q$11:Q77)/5),0),M77)</f>
        <v>dmg_red_rate</v>
      </c>
      <c r="N78" s="76">
        <f ca="1">IF(MOD(COUNTIF($Q$11:Q77,Q77),5)=0,OFFSET(装备属性!$K$1083,1+INT(COUNTA($Q$11:Q77)/5),0),N77)</f>
        <v>0.015</v>
      </c>
      <c r="O78" s="76">
        <f ca="1">IF(MOD(COUNTIF($Q$11:Q77,Q77),5)=0,OFFSET(装备属性!$L$1083,1+INT(COUNTA($Q$11:Q77)/5),0),O77)</f>
        <v>0.019</v>
      </c>
      <c r="Q78" s="89" t="str">
        <f ca="1">IF(MOD(COUNTIF($Q$11:Q77,Q77),5)=0,OFFSET(装备属性!$M$1083,1+INT(COUNTA($Q$11:Q77)/5),0),Q77)</f>
        <v>通用属性</v>
      </c>
      <c r="R78" s="83">
        <f ca="1">IF(MOD(COUNTIF($Q$11:Q77,Q77),5)=0,10000*SUBSTITUTE(SUBSTITUTE(OFFSET(装备属性!$F$1083,1+INT(COUNTA($Q$11:Q77)/5),0),"[",""),"]","")+_xlfn.XLOOKUP(C78,$M$3:$M$7,$N$3:$N$7)*100,R77)</f>
        <v>10500</v>
      </c>
    </row>
    <row r="79" customHeight="1" spans="1:18">
      <c r="A79" s="78">
        <f ca="1" t="shared" si="3"/>
        <v>10501</v>
      </c>
      <c r="B79" s="82">
        <f ca="1">IFERROR(R79+COUNTIFS($R$11:$R79,R79),"")</f>
        <v>10504</v>
      </c>
      <c r="C79" s="83" t="str">
        <f ca="1">IF(MOD(COUNTIF($Q$11:Q78,Q78),5)=0,OFFSET(装备属性!$D$1083,1+INT(COUNTA($Q$11:Q78)/5),0),C78)</f>
        <v>橙</v>
      </c>
      <c r="D79" s="82">
        <f t="shared" si="2"/>
        <v>1500</v>
      </c>
      <c r="F79" s="82">
        <f ca="1" t="shared" si="4"/>
        <v>10500</v>
      </c>
      <c r="G79" s="78" t="str">
        <f ca="1">IF(AND(LEFT("[{"&amp;M79&amp;","&amp;CEILING(N79*10000+(O79-N79)/4*(COUNTIF($F$11:F79,F79)-1)*10000,10)&amp;"}]",7)="[{equip",MID("[{"&amp;M79&amp;","&amp;CEILING(N79*10000+(O79-N79)/4*(COUNTIF($F$11:F79,F79)-1)*10000,10)&amp;"}]",8,1)&lt;&gt;"_"),"[{"&amp;M79&amp;","&amp;1&amp;"}]","[{"&amp;M79&amp;","&amp;CEILING(N79*10000+(O79-N79)/4*(COUNTIF($F$11:F79,F79)-1)*10000,10)&amp;"}]")</f>
        <v>[{dmg_red_rate,180}]</v>
      </c>
      <c r="H79" s="82" t="s">
        <v>563</v>
      </c>
      <c r="J79" s="78">
        <f ca="1">IF(MOD(COUNTIF($Q$11:Q78,Q78),5)=0,OFFSET(装备属性!$P$1083,1+INT(COUNTA($Q$11:Q78)/5),0),J78)</f>
        <v>6</v>
      </c>
      <c r="K79" s="83" t="str">
        <f ca="1">IF(RIGHT(G79,13)="rune_slot,1}]",_xlfn.XLOOKUP(LEFT(SUBSTITUTE(G79,"[{",""),FIND(",",SUBSTITUTE(G79,"[{",""))-1),Sheet2!B:B,Sheet2!C:C)&amp;"+"&amp;1,_xlfn.XLOOKUP(LEFT(SUBSTITUTE(G79,"[{",""),FIND(",",SUBSTITUTE(G79,"[{",""))-1),Sheet2!B:B,Sheet2!C:C)&amp;"+"&amp;SUBSTITUTE(RIGHT(G79,LEN(G79)-FIND(",",G79)),"}]","")/100&amp;"%")</f>
        <v>伤害减免+1.8%</v>
      </c>
      <c r="L79" s="83" t="str">
        <f ca="1">IF(MOD(COUNTIF($Q$11:Q78,Q78),5)=0,OFFSET(装备属性!$G$1083,1+INT(COUNTA($Q$11:Q78)/5),0),L78)</f>
        <v>全员抗揍Ⅱ</v>
      </c>
      <c r="M79" s="89" t="str">
        <f ca="1">IF(MOD(COUNTIF($Q$11:Q78,Q78),5)=0,OFFSET(装备属性!$H$1083,1+INT(COUNTA($Q$11:Q78)/5),0),M78)</f>
        <v>dmg_red_rate</v>
      </c>
      <c r="N79" s="76">
        <f ca="1">IF(MOD(COUNTIF($Q$11:Q78,Q78),5)=0,OFFSET(装备属性!$K$1083,1+INT(COUNTA($Q$11:Q78)/5),0),N78)</f>
        <v>0.015</v>
      </c>
      <c r="O79" s="76">
        <f ca="1">IF(MOD(COUNTIF($Q$11:Q78,Q78),5)=0,OFFSET(装备属性!$L$1083,1+INT(COUNTA($Q$11:Q78)/5),0),O78)</f>
        <v>0.019</v>
      </c>
      <c r="Q79" s="89" t="str">
        <f ca="1">IF(MOD(COUNTIF($Q$11:Q78,Q78),5)=0,OFFSET(装备属性!$M$1083,1+INT(COUNTA($Q$11:Q78)/5),0),Q78)</f>
        <v>通用属性</v>
      </c>
      <c r="R79" s="83">
        <f ca="1">IF(MOD(COUNTIF($Q$11:Q78,Q78),5)=0,10000*SUBSTITUTE(SUBSTITUTE(OFFSET(装备属性!$F$1083,1+INT(COUNTA($Q$11:Q78)/5),0),"[",""),"]","")+_xlfn.XLOOKUP(C79,$M$3:$M$7,$N$3:$N$7)*100,R78)</f>
        <v>10500</v>
      </c>
    </row>
    <row r="80" customHeight="1" spans="1:18">
      <c r="A80" s="78">
        <f ca="1" t="shared" si="3"/>
        <v>10501</v>
      </c>
      <c r="B80" s="82">
        <f ca="1">IFERROR(R80+COUNTIFS($R$11:$R80,R80),"")</f>
        <v>10505</v>
      </c>
      <c r="C80" s="83" t="str">
        <f ca="1">IF(MOD(COUNTIF($Q$11:Q79,Q79),5)=0,OFFSET(装备属性!$D$1083,1+INT(COUNTA($Q$11:Q79)/5),0),C79)</f>
        <v>橙</v>
      </c>
      <c r="D80" s="82">
        <f t="shared" si="2"/>
        <v>1000</v>
      </c>
      <c r="F80" s="82">
        <f ca="1" t="shared" si="4"/>
        <v>10500</v>
      </c>
      <c r="G80" s="78" t="str">
        <f ca="1">IF(AND(LEFT("[{"&amp;M80&amp;","&amp;CEILING(N80*10000+(O80-N80)/4*(COUNTIF($F$11:F80,F80)-1)*10000,10)&amp;"}]",7)="[{equip",MID("[{"&amp;M80&amp;","&amp;CEILING(N80*10000+(O80-N80)/4*(COUNTIF($F$11:F80,F80)-1)*10000,10)&amp;"}]",8,1)&lt;&gt;"_"),"[{"&amp;M80&amp;","&amp;1&amp;"}]","[{"&amp;M80&amp;","&amp;CEILING(N80*10000+(O80-N80)/4*(COUNTIF($F$11:F80,F80)-1)*10000,10)&amp;"}]")</f>
        <v>[{dmg_red_rate,190}]</v>
      </c>
      <c r="H80" s="82" t="s">
        <v>563</v>
      </c>
      <c r="J80" s="78">
        <f ca="1">IF(MOD(COUNTIF($Q$11:Q79,Q79),5)=0,OFFSET(装备属性!$P$1083,1+INT(COUNTA($Q$11:Q79)/5),0),J79)</f>
        <v>6</v>
      </c>
      <c r="K80" s="83" t="str">
        <f ca="1">IF(RIGHT(G80,13)="rune_slot,1}]",_xlfn.XLOOKUP(LEFT(SUBSTITUTE(G80,"[{",""),FIND(",",SUBSTITUTE(G80,"[{",""))-1),Sheet2!B:B,Sheet2!C:C)&amp;"+"&amp;1,_xlfn.XLOOKUP(LEFT(SUBSTITUTE(G80,"[{",""),FIND(",",SUBSTITUTE(G80,"[{",""))-1),Sheet2!B:B,Sheet2!C:C)&amp;"+"&amp;SUBSTITUTE(RIGHT(G80,LEN(G80)-FIND(",",G80)),"}]","")/100&amp;"%")</f>
        <v>伤害减免+1.9%</v>
      </c>
      <c r="L80" s="83" t="str">
        <f ca="1">IF(MOD(COUNTIF($Q$11:Q79,Q79),5)=0,OFFSET(装备属性!$G$1083,1+INT(COUNTA($Q$11:Q79)/5),0),L79)</f>
        <v>全员抗揍Ⅱ</v>
      </c>
      <c r="M80" s="89" t="str">
        <f ca="1">IF(MOD(COUNTIF($Q$11:Q79,Q79),5)=0,OFFSET(装备属性!$H$1083,1+INT(COUNTA($Q$11:Q79)/5),0),M79)</f>
        <v>dmg_red_rate</v>
      </c>
      <c r="N80" s="76">
        <f ca="1">IF(MOD(COUNTIF($Q$11:Q79,Q79),5)=0,OFFSET(装备属性!$K$1083,1+INT(COUNTA($Q$11:Q79)/5),0),N79)</f>
        <v>0.015</v>
      </c>
      <c r="O80" s="76">
        <f ca="1">IF(MOD(COUNTIF($Q$11:Q79,Q79),5)=0,OFFSET(装备属性!$L$1083,1+INT(COUNTA($Q$11:Q79)/5),0),O79)</f>
        <v>0.019</v>
      </c>
      <c r="Q80" s="89" t="str">
        <f ca="1">IF(MOD(COUNTIF($Q$11:Q79,Q79),5)=0,OFFSET(装备属性!$M$1083,1+INT(COUNTA($Q$11:Q79)/5),0),Q79)</f>
        <v>通用属性</v>
      </c>
      <c r="R80" s="83">
        <f ca="1">IF(MOD(COUNTIF($Q$11:Q79,Q79),5)=0,10000*SUBSTITUTE(SUBSTITUTE(OFFSET(装备属性!$F$1083,1+INT(COUNTA($Q$11:Q79)/5),0),"[",""),"]","")+_xlfn.XLOOKUP(C80,$M$3:$M$7,$N$3:$N$7)*100,R79)</f>
        <v>10500</v>
      </c>
    </row>
    <row r="81" customHeight="1" spans="1:18">
      <c r="A81" s="78">
        <f ca="1" t="shared" si="3"/>
        <v>10501</v>
      </c>
      <c r="B81" s="82">
        <f ca="1">IFERROR(R81+COUNTIFS($R$11:$R81,R81),"")</f>
        <v>10506</v>
      </c>
      <c r="C81" s="83" t="str">
        <f ca="1">IF(MOD(COUNTIF($Q$11:Q80,Q80),5)=0,OFFSET(装备属性!$D$1083,1+INT(COUNTA($Q$11:Q80)/5),0),C80)</f>
        <v>橙</v>
      </c>
      <c r="D81" s="82">
        <f t="shared" ref="D81:D144" si="5">D76</f>
        <v>3000</v>
      </c>
      <c r="F81" s="82">
        <f ca="1" t="shared" si="4"/>
        <v>10501</v>
      </c>
      <c r="G81" s="78" t="str">
        <f ca="1">IF(AND(LEFT("[{"&amp;M81&amp;","&amp;CEILING(N81*10000+(O81-N81)/4*(COUNTIF($F$11:F81,F81)-1)*10000,10)&amp;"}]",7)="[{equip",MID("[{"&amp;M81&amp;","&amp;CEILING(N81*10000+(O81-N81)/4*(COUNTIF($F$11:F81,F81)-1)*10000,10)&amp;"}]",8,1)&lt;&gt;"_"),"[{"&amp;M81&amp;","&amp;1&amp;"}]","[{"&amp;M81&amp;","&amp;CEILING(N81*10000+(O81-N81)/4*(COUNTIF($F$11:F81,F81)-1)*10000,10)&amp;"}]")</f>
        <v>[{all_class_dmg,440}]</v>
      </c>
      <c r="H81" s="82" t="s">
        <v>563</v>
      </c>
      <c r="J81" s="78">
        <f ca="1">IF(MOD(COUNTIF($Q$11:Q80,Q80),5)=0,OFFSET(装备属性!$P$1083,1+INT(COUNTA($Q$11:Q80)/5),0),J80)</f>
        <v>2</v>
      </c>
      <c r="K81" s="83" t="str">
        <f ca="1">IF(RIGHT(G81,13)="rune_slot,1}]",_xlfn.XLOOKUP(LEFT(SUBSTITUTE(G81,"[{",""),FIND(",",SUBSTITUTE(G81,"[{",""))-1),Sheet2!B:B,Sheet2!C:C)&amp;"+"&amp;1,_xlfn.XLOOKUP(LEFT(SUBSTITUTE(G81,"[{",""),FIND(",",SUBSTITUTE(G81,"[{",""))-1),Sheet2!B:B,Sheet2!C:C)&amp;"+"&amp;SUBSTITUTE(RIGHT(G81,LEN(G81)-FIND(",",G81)),"}]","")/100&amp;"%")</f>
        <v>上阵五个不同职业增伤+4.4%</v>
      </c>
      <c r="L81" s="83" t="str">
        <f ca="1">IF(MOD(COUNTIF($Q$11:Q80,Q80),5)=0,OFFSET(装备属性!$G$1083,1+INT(COUNTA($Q$11:Q80)/5),0),L80)</f>
        <v>全员出力Ⅱ</v>
      </c>
      <c r="M81" s="89" t="str">
        <f ca="1">IF(MOD(COUNTIF($Q$11:Q80,Q80),5)=0,OFFSET(装备属性!$H$1083,1+INT(COUNTA($Q$11:Q80)/5),0),M80)</f>
        <v>all_class_dmg</v>
      </c>
      <c r="N81" s="76">
        <f ca="1">IF(MOD(COUNTIF($Q$11:Q80,Q80),5)=0,OFFSET(装备属性!$K$1083,1+INT(COUNTA($Q$11:Q80)/5),0),N80)</f>
        <v>0.044</v>
      </c>
      <c r="O81" s="76">
        <f ca="1">IF(MOD(COUNTIF($Q$11:Q80,Q80),5)=0,OFFSET(装备属性!$L$1083,1+INT(COUNTA($Q$11:Q80)/5),0),O80)</f>
        <v>0.058</v>
      </c>
      <c r="Q81" s="89" t="str">
        <f ca="1">IF(MOD(COUNTIF($Q$11:Q80,Q80),5)=0,OFFSET(装备属性!$M$1083,1+INT(COUNTA($Q$11:Q80)/5),0),Q80)</f>
        <v>通用属性</v>
      </c>
      <c r="R81" s="83">
        <f ca="1">IF(MOD(COUNTIF($Q$11:Q80,Q80),5)=0,10000*SUBSTITUTE(SUBSTITUTE(OFFSET(装备属性!$F$1083,1+INT(COUNTA($Q$11:Q80)/5),0),"[",""),"]","")+_xlfn.XLOOKUP(C81,$M$3:$M$7,$N$3:$N$7)*100,R80)</f>
        <v>10500</v>
      </c>
    </row>
    <row r="82" customHeight="1" spans="1:18">
      <c r="A82" s="78">
        <f ca="1" t="shared" si="3"/>
        <v>10501</v>
      </c>
      <c r="B82" s="82">
        <f ca="1">IFERROR(R82+COUNTIFS($R$11:$R82,R82),"")</f>
        <v>10507</v>
      </c>
      <c r="C82" s="83" t="str">
        <f ca="1">IF(MOD(COUNTIF($Q$11:Q81,Q81),5)=0,OFFSET(装备属性!$D$1083,1+INT(COUNTA($Q$11:Q81)/5),0),C81)</f>
        <v>橙</v>
      </c>
      <c r="D82" s="82">
        <f t="shared" si="5"/>
        <v>2500</v>
      </c>
      <c r="F82" s="82">
        <f ca="1" t="shared" si="4"/>
        <v>10501</v>
      </c>
      <c r="G82" s="78" t="str">
        <f ca="1">IF(AND(LEFT("[{"&amp;M82&amp;","&amp;CEILING(N82*10000+(O82-N82)/4*(COUNTIF($F$11:F82,F82)-1)*10000,10)&amp;"}]",7)="[{equip",MID("[{"&amp;M82&amp;","&amp;CEILING(N82*10000+(O82-N82)/4*(COUNTIF($F$11:F82,F82)-1)*10000,10)&amp;"}]",8,1)&lt;&gt;"_"),"[{"&amp;M82&amp;","&amp;1&amp;"}]","[{"&amp;M82&amp;","&amp;CEILING(N82*10000+(O82-N82)/4*(COUNTIF($F$11:F82,F82)-1)*10000,10)&amp;"}]")</f>
        <v>[{all_class_dmg,480}]</v>
      </c>
      <c r="H82" s="82" t="s">
        <v>563</v>
      </c>
      <c r="J82" s="78">
        <f ca="1">IF(MOD(COUNTIF($Q$11:Q81,Q81),5)=0,OFFSET(装备属性!$P$1083,1+INT(COUNTA($Q$11:Q81)/5),0),J81)</f>
        <v>2</v>
      </c>
      <c r="K82" s="83" t="str">
        <f ca="1">IF(RIGHT(G82,13)="rune_slot,1}]",_xlfn.XLOOKUP(LEFT(SUBSTITUTE(G82,"[{",""),FIND(",",SUBSTITUTE(G82,"[{",""))-1),Sheet2!B:B,Sheet2!C:C)&amp;"+"&amp;1,_xlfn.XLOOKUP(LEFT(SUBSTITUTE(G82,"[{",""),FIND(",",SUBSTITUTE(G82,"[{",""))-1),Sheet2!B:B,Sheet2!C:C)&amp;"+"&amp;SUBSTITUTE(RIGHT(G82,LEN(G82)-FIND(",",G82)),"}]","")/100&amp;"%")</f>
        <v>上阵五个不同职业增伤+4.8%</v>
      </c>
      <c r="L82" s="83" t="str">
        <f ca="1">IF(MOD(COUNTIF($Q$11:Q81,Q81),5)=0,OFFSET(装备属性!$G$1083,1+INT(COUNTA($Q$11:Q81)/5),0),L81)</f>
        <v>全员出力Ⅱ</v>
      </c>
      <c r="M82" s="89" t="str">
        <f ca="1">IF(MOD(COUNTIF($Q$11:Q81,Q81),5)=0,OFFSET(装备属性!$H$1083,1+INT(COUNTA($Q$11:Q81)/5),0),M81)</f>
        <v>all_class_dmg</v>
      </c>
      <c r="N82" s="76">
        <f ca="1">IF(MOD(COUNTIF($Q$11:Q81,Q81),5)=0,OFFSET(装备属性!$K$1083,1+INT(COUNTA($Q$11:Q81)/5),0),N81)</f>
        <v>0.044</v>
      </c>
      <c r="O82" s="76">
        <f ca="1">IF(MOD(COUNTIF($Q$11:Q81,Q81),5)=0,OFFSET(装备属性!$L$1083,1+INT(COUNTA($Q$11:Q81)/5),0),O81)</f>
        <v>0.058</v>
      </c>
      <c r="Q82" s="89" t="str">
        <f ca="1">IF(MOD(COUNTIF($Q$11:Q81,Q81),5)=0,OFFSET(装备属性!$M$1083,1+INT(COUNTA($Q$11:Q81)/5),0),Q81)</f>
        <v>通用属性</v>
      </c>
      <c r="R82" s="83">
        <f ca="1">IF(MOD(COUNTIF($Q$11:Q81,Q81),5)=0,10000*SUBSTITUTE(SUBSTITUTE(OFFSET(装备属性!$F$1083,1+INT(COUNTA($Q$11:Q81)/5),0),"[",""),"]","")+_xlfn.XLOOKUP(C82,$M$3:$M$7,$N$3:$N$7)*100,R81)</f>
        <v>10500</v>
      </c>
    </row>
    <row r="83" customHeight="1" spans="1:18">
      <c r="A83" s="78">
        <f ca="1" t="shared" si="3"/>
        <v>10501</v>
      </c>
      <c r="B83" s="82">
        <f ca="1">IFERROR(R83+COUNTIFS($R$11:$R83,R83),"")</f>
        <v>10508</v>
      </c>
      <c r="C83" s="83" t="str">
        <f ca="1">IF(MOD(COUNTIF($Q$11:Q82,Q82),5)=0,OFFSET(装备属性!$D$1083,1+INT(COUNTA($Q$11:Q82)/5),0),C82)</f>
        <v>橙</v>
      </c>
      <c r="D83" s="82">
        <f t="shared" si="5"/>
        <v>2000</v>
      </c>
      <c r="F83" s="82">
        <f ca="1" t="shared" si="4"/>
        <v>10501</v>
      </c>
      <c r="G83" s="78" t="str">
        <f ca="1">IF(AND(LEFT("[{"&amp;M83&amp;","&amp;CEILING(N83*10000+(O83-N83)/4*(COUNTIF($F$11:F83,F83)-1)*10000,10)&amp;"}]",7)="[{equip",MID("[{"&amp;M83&amp;","&amp;CEILING(N83*10000+(O83-N83)/4*(COUNTIF($F$11:F83,F83)-1)*10000,10)&amp;"}]",8,1)&lt;&gt;"_"),"[{"&amp;M83&amp;","&amp;1&amp;"}]","[{"&amp;M83&amp;","&amp;CEILING(N83*10000+(O83-N83)/4*(COUNTIF($F$11:F83,F83)-1)*10000,10)&amp;"}]")</f>
        <v>[{all_class_dmg,510}]</v>
      </c>
      <c r="H83" s="82" t="s">
        <v>563</v>
      </c>
      <c r="J83" s="78">
        <f ca="1">IF(MOD(COUNTIF($Q$11:Q82,Q82),5)=0,OFFSET(装备属性!$P$1083,1+INT(COUNTA($Q$11:Q82)/5),0),J82)</f>
        <v>2</v>
      </c>
      <c r="K83" s="83" t="str">
        <f ca="1">IF(RIGHT(G83,13)="rune_slot,1}]",_xlfn.XLOOKUP(LEFT(SUBSTITUTE(G83,"[{",""),FIND(",",SUBSTITUTE(G83,"[{",""))-1),Sheet2!B:B,Sheet2!C:C)&amp;"+"&amp;1,_xlfn.XLOOKUP(LEFT(SUBSTITUTE(G83,"[{",""),FIND(",",SUBSTITUTE(G83,"[{",""))-1),Sheet2!B:B,Sheet2!C:C)&amp;"+"&amp;SUBSTITUTE(RIGHT(G83,LEN(G83)-FIND(",",G83)),"}]","")/100&amp;"%")</f>
        <v>上阵五个不同职业增伤+5.1%</v>
      </c>
      <c r="L83" s="83" t="str">
        <f ca="1">IF(MOD(COUNTIF($Q$11:Q82,Q82),5)=0,OFFSET(装备属性!$G$1083,1+INT(COUNTA($Q$11:Q82)/5),0),L82)</f>
        <v>全员出力Ⅱ</v>
      </c>
      <c r="M83" s="89" t="str">
        <f ca="1">IF(MOD(COUNTIF($Q$11:Q82,Q82),5)=0,OFFSET(装备属性!$H$1083,1+INT(COUNTA($Q$11:Q82)/5),0),M82)</f>
        <v>all_class_dmg</v>
      </c>
      <c r="N83" s="76">
        <f ca="1">IF(MOD(COUNTIF($Q$11:Q82,Q82),5)=0,OFFSET(装备属性!$K$1083,1+INT(COUNTA($Q$11:Q82)/5),0),N82)</f>
        <v>0.044</v>
      </c>
      <c r="O83" s="76">
        <f ca="1">IF(MOD(COUNTIF($Q$11:Q82,Q82),5)=0,OFFSET(装备属性!$L$1083,1+INT(COUNTA($Q$11:Q82)/5),0),O82)</f>
        <v>0.058</v>
      </c>
      <c r="Q83" s="89" t="str">
        <f ca="1">IF(MOD(COUNTIF($Q$11:Q82,Q82),5)=0,OFFSET(装备属性!$M$1083,1+INT(COUNTA($Q$11:Q82)/5),0),Q82)</f>
        <v>通用属性</v>
      </c>
      <c r="R83" s="83">
        <f ca="1">IF(MOD(COUNTIF($Q$11:Q82,Q82),5)=0,10000*SUBSTITUTE(SUBSTITUTE(OFFSET(装备属性!$F$1083,1+INT(COUNTA($Q$11:Q82)/5),0),"[",""),"]","")+_xlfn.XLOOKUP(C83,$M$3:$M$7,$N$3:$N$7)*100,R82)</f>
        <v>10500</v>
      </c>
    </row>
    <row r="84" customHeight="1" spans="1:18">
      <c r="A84" s="78">
        <f ca="1" t="shared" si="3"/>
        <v>10501</v>
      </c>
      <c r="B84" s="82">
        <f ca="1">IFERROR(R84+COUNTIFS($R$11:$R84,R84),"")</f>
        <v>10509</v>
      </c>
      <c r="C84" s="83" t="str">
        <f ca="1">IF(MOD(COUNTIF($Q$11:Q83,Q83),5)=0,OFFSET(装备属性!$D$1083,1+INT(COUNTA($Q$11:Q83)/5),0),C83)</f>
        <v>橙</v>
      </c>
      <c r="D84" s="82">
        <f t="shared" si="5"/>
        <v>1500</v>
      </c>
      <c r="F84" s="82">
        <f ca="1" t="shared" si="4"/>
        <v>10501</v>
      </c>
      <c r="G84" s="78" t="str">
        <f ca="1">IF(AND(LEFT("[{"&amp;M84&amp;","&amp;CEILING(N84*10000+(O84-N84)/4*(COUNTIF($F$11:F84,F84)-1)*10000,10)&amp;"}]",7)="[{equip",MID("[{"&amp;M84&amp;","&amp;CEILING(N84*10000+(O84-N84)/4*(COUNTIF($F$11:F84,F84)-1)*10000,10)&amp;"}]",8,1)&lt;&gt;"_"),"[{"&amp;M84&amp;","&amp;1&amp;"}]","[{"&amp;M84&amp;","&amp;CEILING(N84*10000+(O84-N84)/4*(COUNTIF($F$11:F84,F84)-1)*10000,10)&amp;"}]")</f>
        <v>[{all_class_dmg,550}]</v>
      </c>
      <c r="H84" s="82" t="s">
        <v>563</v>
      </c>
      <c r="J84" s="78">
        <f ca="1">IF(MOD(COUNTIF($Q$11:Q83,Q83),5)=0,OFFSET(装备属性!$P$1083,1+INT(COUNTA($Q$11:Q83)/5),0),J83)</f>
        <v>2</v>
      </c>
      <c r="K84" s="83" t="str">
        <f ca="1">IF(RIGHT(G84,13)="rune_slot,1}]",_xlfn.XLOOKUP(LEFT(SUBSTITUTE(G84,"[{",""),FIND(",",SUBSTITUTE(G84,"[{",""))-1),Sheet2!B:B,Sheet2!C:C)&amp;"+"&amp;1,_xlfn.XLOOKUP(LEFT(SUBSTITUTE(G84,"[{",""),FIND(",",SUBSTITUTE(G84,"[{",""))-1),Sheet2!B:B,Sheet2!C:C)&amp;"+"&amp;SUBSTITUTE(RIGHT(G84,LEN(G84)-FIND(",",G84)),"}]","")/100&amp;"%")</f>
        <v>上阵五个不同职业增伤+5.5%</v>
      </c>
      <c r="L84" s="83" t="str">
        <f ca="1">IF(MOD(COUNTIF($Q$11:Q83,Q83),5)=0,OFFSET(装备属性!$G$1083,1+INT(COUNTA($Q$11:Q83)/5),0),L83)</f>
        <v>全员出力Ⅱ</v>
      </c>
      <c r="M84" s="89" t="str">
        <f ca="1">IF(MOD(COUNTIF($Q$11:Q83,Q83),5)=0,OFFSET(装备属性!$H$1083,1+INT(COUNTA($Q$11:Q83)/5),0),M83)</f>
        <v>all_class_dmg</v>
      </c>
      <c r="N84" s="76">
        <f ca="1">IF(MOD(COUNTIF($Q$11:Q83,Q83),5)=0,OFFSET(装备属性!$K$1083,1+INT(COUNTA($Q$11:Q83)/5),0),N83)</f>
        <v>0.044</v>
      </c>
      <c r="O84" s="76">
        <f ca="1">IF(MOD(COUNTIF($Q$11:Q83,Q83),5)=0,OFFSET(装备属性!$L$1083,1+INT(COUNTA($Q$11:Q83)/5),0),O83)</f>
        <v>0.058</v>
      </c>
      <c r="Q84" s="89" t="str">
        <f ca="1">IF(MOD(COUNTIF($Q$11:Q83,Q83),5)=0,OFFSET(装备属性!$M$1083,1+INT(COUNTA($Q$11:Q83)/5),0),Q83)</f>
        <v>通用属性</v>
      </c>
      <c r="R84" s="83">
        <f ca="1">IF(MOD(COUNTIF($Q$11:Q83,Q83),5)=0,10000*SUBSTITUTE(SUBSTITUTE(OFFSET(装备属性!$F$1083,1+INT(COUNTA($Q$11:Q83)/5),0),"[",""),"]","")+_xlfn.XLOOKUP(C84,$M$3:$M$7,$N$3:$N$7)*100,R83)</f>
        <v>10500</v>
      </c>
    </row>
    <row r="85" customHeight="1" spans="1:18">
      <c r="A85" s="78">
        <f ca="1" t="shared" si="3"/>
        <v>10501</v>
      </c>
      <c r="B85" s="82">
        <f ca="1">IFERROR(R85+COUNTIFS($R$11:$R85,R85),"")</f>
        <v>10510</v>
      </c>
      <c r="C85" s="83" t="str">
        <f ca="1">IF(MOD(COUNTIF($Q$11:Q84,Q84),5)=0,OFFSET(装备属性!$D$1083,1+INT(COUNTA($Q$11:Q84)/5),0),C84)</f>
        <v>橙</v>
      </c>
      <c r="D85" s="82">
        <f t="shared" si="5"/>
        <v>1000</v>
      </c>
      <c r="F85" s="82">
        <f ca="1" t="shared" si="4"/>
        <v>10501</v>
      </c>
      <c r="G85" s="78" t="str">
        <f ca="1">IF(AND(LEFT("[{"&amp;M85&amp;","&amp;CEILING(N85*10000+(O85-N85)/4*(COUNTIF($F$11:F85,F85)-1)*10000,10)&amp;"}]",7)="[{equip",MID("[{"&amp;M85&amp;","&amp;CEILING(N85*10000+(O85-N85)/4*(COUNTIF($F$11:F85,F85)-1)*10000,10)&amp;"}]",8,1)&lt;&gt;"_"),"[{"&amp;M85&amp;","&amp;1&amp;"}]","[{"&amp;M85&amp;","&amp;CEILING(N85*10000+(O85-N85)/4*(COUNTIF($F$11:F85,F85)-1)*10000,10)&amp;"}]")</f>
        <v>[{all_class_dmg,580}]</v>
      </c>
      <c r="H85" s="82" t="s">
        <v>563</v>
      </c>
      <c r="J85" s="78">
        <f ca="1">IF(MOD(COUNTIF($Q$11:Q84,Q84),5)=0,OFFSET(装备属性!$P$1083,1+INT(COUNTA($Q$11:Q84)/5),0),J84)</f>
        <v>2</v>
      </c>
      <c r="K85" s="83" t="str">
        <f ca="1">IF(RIGHT(G85,13)="rune_slot,1}]",_xlfn.XLOOKUP(LEFT(SUBSTITUTE(G85,"[{",""),FIND(",",SUBSTITUTE(G85,"[{",""))-1),Sheet2!B:B,Sheet2!C:C)&amp;"+"&amp;1,_xlfn.XLOOKUP(LEFT(SUBSTITUTE(G85,"[{",""),FIND(",",SUBSTITUTE(G85,"[{",""))-1),Sheet2!B:B,Sheet2!C:C)&amp;"+"&amp;SUBSTITUTE(RIGHT(G85,LEN(G85)-FIND(",",G85)),"}]","")/100&amp;"%")</f>
        <v>上阵五个不同职业增伤+5.8%</v>
      </c>
      <c r="L85" s="83" t="str">
        <f ca="1">IF(MOD(COUNTIF($Q$11:Q84,Q84),5)=0,OFFSET(装备属性!$G$1083,1+INT(COUNTA($Q$11:Q84)/5),0),L84)</f>
        <v>全员出力Ⅱ</v>
      </c>
      <c r="M85" s="89" t="str">
        <f ca="1">IF(MOD(COUNTIF($Q$11:Q84,Q84),5)=0,OFFSET(装备属性!$H$1083,1+INT(COUNTA($Q$11:Q84)/5),0),M84)</f>
        <v>all_class_dmg</v>
      </c>
      <c r="N85" s="76">
        <f ca="1">IF(MOD(COUNTIF($Q$11:Q84,Q84),5)=0,OFFSET(装备属性!$K$1083,1+INT(COUNTA($Q$11:Q84)/5),0),N84)</f>
        <v>0.044</v>
      </c>
      <c r="O85" s="76">
        <f ca="1">IF(MOD(COUNTIF($Q$11:Q84,Q84),5)=0,OFFSET(装备属性!$L$1083,1+INT(COUNTA($Q$11:Q84)/5),0),O84)</f>
        <v>0.058</v>
      </c>
      <c r="Q85" s="89" t="str">
        <f ca="1">IF(MOD(COUNTIF($Q$11:Q84,Q84),5)=0,OFFSET(装备属性!$M$1083,1+INT(COUNTA($Q$11:Q84)/5),0),Q84)</f>
        <v>通用属性</v>
      </c>
      <c r="R85" s="83">
        <f ca="1">IF(MOD(COUNTIF($Q$11:Q84,Q84),5)=0,10000*SUBSTITUTE(SUBSTITUTE(OFFSET(装备属性!$F$1083,1+INT(COUNTA($Q$11:Q84)/5),0),"[",""),"]","")+_xlfn.XLOOKUP(C85,$M$3:$M$7,$N$3:$N$7)*100,R84)</f>
        <v>10500</v>
      </c>
    </row>
    <row r="86" customHeight="1" spans="1:18">
      <c r="A86" s="78" t="str">
        <f ca="1" t="shared" si="3"/>
        <v/>
      </c>
      <c r="B86" s="82" t="str">
        <f ca="1">IFERROR(R86+COUNTIFS($R$11:$R86,R86),"")</f>
        <v/>
      </c>
      <c r="C86" s="83">
        <f ca="1">IF(MOD(COUNTIF($Q$11:Q85,Q85),5)=0,OFFSET(装备属性!$D$1083,1+INT(COUNTA($Q$11:Q85)/5),0),C85)</f>
        <v>0</v>
      </c>
      <c r="D86" s="82">
        <f t="shared" si="5"/>
        <v>3000</v>
      </c>
      <c r="F86" s="82" t="str">
        <f ca="1" t="shared" si="4"/>
        <v/>
      </c>
      <c r="G86" s="78" t="str">
        <f ca="1">IF(AND(LEFT("[{"&amp;M86&amp;","&amp;CEILING(N86*10000+(O86-N86)/4*(COUNTIF($F$11:F86,F86)-1)*10000,10)&amp;"}]",7)="[{equip",MID("[{"&amp;M86&amp;","&amp;CEILING(N86*10000+(O86-N86)/4*(COUNTIF($F$11:F86,F86)-1)*10000,10)&amp;"}]",8,1)&lt;&gt;"_"),"[{"&amp;M86&amp;","&amp;1&amp;"}]","[{"&amp;M86&amp;","&amp;CEILING(N86*10000+(O86-N86)/4*(COUNTIF($F$11:F86,F86)-1)*10000,10)&amp;"}]")</f>
        <v>[{exp_boost,2000}]</v>
      </c>
      <c r="H86" s="82" t="s">
        <v>563</v>
      </c>
      <c r="J86" s="78">
        <f ca="1">IF(MOD(COUNTIF($Q$11:Q85,Q85),5)=0,OFFSET(装备属性!$P$1083,1+INT(COUNTA($Q$11:Q85)/5),0),J85)</f>
        <v>9</v>
      </c>
      <c r="K86" s="83" t="str">
        <f ca="1">IF(RIGHT(G86,13)="rune_slot,1}]",_xlfn.XLOOKUP(LEFT(SUBSTITUTE(G86,"[{",""),FIND(",",SUBSTITUTE(G86,"[{",""))-1),Sheet2!B:B,Sheet2!C:C)&amp;"+"&amp;1,_xlfn.XLOOKUP(LEFT(SUBSTITUTE(G86,"[{",""),FIND(",",SUBSTITUTE(G86,"[{",""))-1),Sheet2!B:B,Sheet2!C:C)&amp;"+"&amp;SUBSTITUTE(RIGHT(G86,LEN(G86)-FIND(",",G86)),"}]","")/100&amp;"%")</f>
        <v>经验加成+20%</v>
      </c>
      <c r="L86" s="83" t="str">
        <f ca="1">IF(MOD(COUNTIF($Q$11:Q85,Q85),5)=0,OFFSET(装备属性!$G$1083,1+INT(COUNTA($Q$11:Q85)/5),0),L85)</f>
        <v>涨见识</v>
      </c>
      <c r="M86" s="89" t="str">
        <f ca="1">IF(MOD(COUNTIF($Q$11:Q85,Q85),5)=0,OFFSET(装备属性!$H$1083,1+INT(COUNTA($Q$11:Q85)/5),0),M85)</f>
        <v>exp_boost</v>
      </c>
      <c r="N86" s="76">
        <f ca="1">IF(MOD(COUNTIF($Q$11:Q85,Q85),5)=0,OFFSET(装备属性!$K$1083,1+INT(COUNTA($Q$11:Q85)/5),0),N85)</f>
        <v>0.2</v>
      </c>
      <c r="O86" s="76">
        <f ca="1">IF(MOD(COUNTIF($Q$11:Q85,Q85),5)=0,OFFSET(装备属性!$L$1083,1+INT(COUNTA($Q$11:Q85)/5),0),O85)</f>
        <v>0.2</v>
      </c>
      <c r="Q86" s="89" t="str">
        <f ca="1">IF(MOD(COUNTIF($Q$11:Q85,Q85),5)=0,OFFSET(装备属性!$M$1083,1+INT(COUNTA($Q$11:Q85)/5),0),Q85)</f>
        <v>稀有词条</v>
      </c>
      <c r="R86" s="83" t="e">
        <f ca="1">IF(MOD(COUNTIF($Q$11:Q85,Q85),5)=0,10000*SUBSTITUTE(SUBSTITUTE(OFFSET(装备属性!$F$1083,1+INT(COUNTA($Q$11:Q85)/5),0),"[",""),"]","")+_xlfn.XLOOKUP(C86,$M$3:$M$7,$N$3:$N$7)*100,R85)</f>
        <v>#N/A</v>
      </c>
    </row>
    <row r="87" customHeight="1" spans="1:18">
      <c r="A87" s="78" t="str">
        <f ca="1" t="shared" si="3"/>
        <v/>
      </c>
      <c r="B87" s="82" t="str">
        <f ca="1">IFERROR(R87+COUNTIFS($R$11:$R87,R87),"")</f>
        <v/>
      </c>
      <c r="C87" s="83">
        <f ca="1">IF(MOD(COUNTIF($Q$11:Q86,Q86),5)=0,OFFSET(装备属性!$D$1083,1+INT(COUNTA($Q$11:Q86)/5),0),C86)</f>
        <v>0</v>
      </c>
      <c r="D87" s="82">
        <f t="shared" si="5"/>
        <v>2500</v>
      </c>
      <c r="F87" s="82" t="str">
        <f ca="1" t="shared" si="4"/>
        <v/>
      </c>
      <c r="G87" s="78" t="str">
        <f ca="1">IF(AND(LEFT("[{"&amp;M87&amp;","&amp;CEILING(N87*10000+(O87-N87)/4*(COUNTIF($F$11:F87,F87)-1)*10000,10)&amp;"}]",7)="[{equip",MID("[{"&amp;M87&amp;","&amp;CEILING(N87*10000+(O87-N87)/4*(COUNTIF($F$11:F87,F87)-1)*10000,10)&amp;"}]",8,1)&lt;&gt;"_"),"[{"&amp;M87&amp;","&amp;1&amp;"}]","[{"&amp;M87&amp;","&amp;CEILING(N87*10000+(O87-N87)/4*(COUNTIF($F$11:F87,F87)-1)*10000,10)&amp;"}]")</f>
        <v>[{exp_boost,2000}]</v>
      </c>
      <c r="H87" s="82" t="s">
        <v>563</v>
      </c>
      <c r="J87" s="78">
        <f ca="1">IF(MOD(COUNTIF($Q$11:Q86,Q86),5)=0,OFFSET(装备属性!$P$1083,1+INT(COUNTA($Q$11:Q86)/5),0),J86)</f>
        <v>9</v>
      </c>
      <c r="K87" s="83" t="str">
        <f ca="1">IF(RIGHT(G87,13)="rune_slot,1}]",_xlfn.XLOOKUP(LEFT(SUBSTITUTE(G87,"[{",""),FIND(",",SUBSTITUTE(G87,"[{",""))-1),Sheet2!B:B,Sheet2!C:C)&amp;"+"&amp;1,_xlfn.XLOOKUP(LEFT(SUBSTITUTE(G87,"[{",""),FIND(",",SUBSTITUTE(G87,"[{",""))-1),Sheet2!B:B,Sheet2!C:C)&amp;"+"&amp;SUBSTITUTE(RIGHT(G87,LEN(G87)-FIND(",",G87)),"}]","")/100&amp;"%")</f>
        <v>经验加成+20%</v>
      </c>
      <c r="L87" s="83" t="str">
        <f ca="1">IF(MOD(COUNTIF($Q$11:Q86,Q86),5)=0,OFFSET(装备属性!$G$1083,1+INT(COUNTA($Q$11:Q86)/5),0),L86)</f>
        <v>涨见识</v>
      </c>
      <c r="M87" s="89" t="str">
        <f ca="1">IF(MOD(COUNTIF($Q$11:Q86,Q86),5)=0,OFFSET(装备属性!$H$1083,1+INT(COUNTA($Q$11:Q86)/5),0),M86)</f>
        <v>exp_boost</v>
      </c>
      <c r="N87" s="76">
        <f ca="1">IF(MOD(COUNTIF($Q$11:Q86,Q86),5)=0,OFFSET(装备属性!$K$1083,1+INT(COUNTA($Q$11:Q86)/5),0),N86)</f>
        <v>0.2</v>
      </c>
      <c r="O87" s="76">
        <f ca="1">IF(MOD(COUNTIF($Q$11:Q86,Q86),5)=0,OFFSET(装备属性!$L$1083,1+INT(COUNTA($Q$11:Q86)/5),0),O86)</f>
        <v>0.2</v>
      </c>
      <c r="Q87" s="89" t="str">
        <f ca="1">IF(MOD(COUNTIF($Q$11:Q86,Q86),5)=0,OFFSET(装备属性!$M$1083,1+INT(COUNTA($Q$11:Q86)/5),0),Q86)</f>
        <v>稀有词条</v>
      </c>
      <c r="R87" s="83" t="e">
        <f ca="1">IF(MOD(COUNTIF($Q$11:Q86,Q86),5)=0,10000*SUBSTITUTE(SUBSTITUTE(OFFSET(装备属性!$F$1083,1+INT(COUNTA($Q$11:Q86)/5),0),"[",""),"]","")+_xlfn.XLOOKUP(C87,$M$3:$M$7,$N$3:$N$7)*100,R86)</f>
        <v>#N/A</v>
      </c>
    </row>
    <row r="88" customHeight="1" spans="1:18">
      <c r="A88" s="78" t="str">
        <f ca="1" t="shared" si="3"/>
        <v/>
      </c>
      <c r="B88" s="82" t="str">
        <f ca="1">IFERROR(R88+COUNTIFS($R$11:$R88,R88),"")</f>
        <v/>
      </c>
      <c r="C88" s="83">
        <f ca="1">IF(MOD(COUNTIF($Q$11:Q87,Q87),5)=0,OFFSET(装备属性!$D$1083,1+INT(COUNTA($Q$11:Q87)/5),0),C87)</f>
        <v>0</v>
      </c>
      <c r="D88" s="82">
        <f t="shared" si="5"/>
        <v>2000</v>
      </c>
      <c r="F88" s="82" t="str">
        <f ca="1" t="shared" si="4"/>
        <v/>
      </c>
      <c r="G88" s="78" t="str">
        <f ca="1">IF(AND(LEFT("[{"&amp;M88&amp;","&amp;CEILING(N88*10000+(O88-N88)/4*(COUNTIF($F$11:F88,F88)-1)*10000,10)&amp;"}]",7)="[{equip",MID("[{"&amp;M88&amp;","&amp;CEILING(N88*10000+(O88-N88)/4*(COUNTIF($F$11:F88,F88)-1)*10000,10)&amp;"}]",8,1)&lt;&gt;"_"),"[{"&amp;M88&amp;","&amp;1&amp;"}]","[{"&amp;M88&amp;","&amp;CEILING(N88*10000+(O88-N88)/4*(COUNTIF($F$11:F88,F88)-1)*10000,10)&amp;"}]")</f>
        <v>[{exp_boost,2000}]</v>
      </c>
      <c r="H88" s="82" t="s">
        <v>563</v>
      </c>
      <c r="J88" s="78">
        <f ca="1">IF(MOD(COUNTIF($Q$11:Q87,Q87),5)=0,OFFSET(装备属性!$P$1083,1+INT(COUNTA($Q$11:Q87)/5),0),J87)</f>
        <v>9</v>
      </c>
      <c r="K88" s="83" t="str">
        <f ca="1">IF(RIGHT(G88,13)="rune_slot,1}]",_xlfn.XLOOKUP(LEFT(SUBSTITUTE(G88,"[{",""),FIND(",",SUBSTITUTE(G88,"[{",""))-1),Sheet2!B:B,Sheet2!C:C)&amp;"+"&amp;1,_xlfn.XLOOKUP(LEFT(SUBSTITUTE(G88,"[{",""),FIND(",",SUBSTITUTE(G88,"[{",""))-1),Sheet2!B:B,Sheet2!C:C)&amp;"+"&amp;SUBSTITUTE(RIGHT(G88,LEN(G88)-FIND(",",G88)),"}]","")/100&amp;"%")</f>
        <v>经验加成+20%</v>
      </c>
      <c r="L88" s="83" t="str">
        <f ca="1">IF(MOD(COUNTIF($Q$11:Q87,Q87),5)=0,OFFSET(装备属性!$G$1083,1+INT(COUNTA($Q$11:Q87)/5),0),L87)</f>
        <v>涨见识</v>
      </c>
      <c r="M88" s="89" t="str">
        <f ca="1">IF(MOD(COUNTIF($Q$11:Q87,Q87),5)=0,OFFSET(装备属性!$H$1083,1+INT(COUNTA($Q$11:Q87)/5),0),M87)</f>
        <v>exp_boost</v>
      </c>
      <c r="N88" s="76">
        <f ca="1">IF(MOD(COUNTIF($Q$11:Q87,Q87),5)=0,OFFSET(装备属性!$K$1083,1+INT(COUNTA($Q$11:Q87)/5),0),N87)</f>
        <v>0.2</v>
      </c>
      <c r="O88" s="76">
        <f ca="1">IF(MOD(COUNTIF($Q$11:Q87,Q87),5)=0,OFFSET(装备属性!$L$1083,1+INT(COUNTA($Q$11:Q87)/5),0),O87)</f>
        <v>0.2</v>
      </c>
      <c r="Q88" s="89" t="str">
        <f ca="1">IF(MOD(COUNTIF($Q$11:Q87,Q87),5)=0,OFFSET(装备属性!$M$1083,1+INT(COUNTA($Q$11:Q87)/5),0),Q87)</f>
        <v>稀有词条</v>
      </c>
      <c r="R88" s="83" t="e">
        <f ca="1">IF(MOD(COUNTIF($Q$11:Q87,Q87),5)=0,10000*SUBSTITUTE(SUBSTITUTE(OFFSET(装备属性!$F$1083,1+INT(COUNTA($Q$11:Q87)/5),0),"[",""),"]","")+_xlfn.XLOOKUP(C88,$M$3:$M$7,$N$3:$N$7)*100,R87)</f>
        <v>#N/A</v>
      </c>
    </row>
    <row r="89" customHeight="1" spans="1:18">
      <c r="A89" s="78" t="str">
        <f ca="1" t="shared" si="3"/>
        <v/>
      </c>
      <c r="B89" s="82" t="str">
        <f ca="1">IFERROR(R89+COUNTIFS($R$11:$R89,R89),"")</f>
        <v/>
      </c>
      <c r="C89" s="83">
        <f ca="1">IF(MOD(COUNTIF($Q$11:Q88,Q88),5)=0,OFFSET(装备属性!$D$1083,1+INT(COUNTA($Q$11:Q88)/5),0),C88)</f>
        <v>0</v>
      </c>
      <c r="D89" s="82">
        <f t="shared" si="5"/>
        <v>1500</v>
      </c>
      <c r="F89" s="82" t="str">
        <f ca="1" t="shared" si="4"/>
        <v/>
      </c>
      <c r="G89" s="78" t="str">
        <f ca="1">IF(AND(LEFT("[{"&amp;M89&amp;","&amp;CEILING(N89*10000+(O89-N89)/4*(COUNTIF($F$11:F89,F89)-1)*10000,10)&amp;"}]",7)="[{equip",MID("[{"&amp;M89&amp;","&amp;CEILING(N89*10000+(O89-N89)/4*(COUNTIF($F$11:F89,F89)-1)*10000,10)&amp;"}]",8,1)&lt;&gt;"_"),"[{"&amp;M89&amp;","&amp;1&amp;"}]","[{"&amp;M89&amp;","&amp;CEILING(N89*10000+(O89-N89)/4*(COUNTIF($F$11:F89,F89)-1)*10000,10)&amp;"}]")</f>
        <v>[{exp_boost,2000}]</v>
      </c>
      <c r="H89" s="82" t="s">
        <v>563</v>
      </c>
      <c r="J89" s="78">
        <f ca="1">IF(MOD(COUNTIF($Q$11:Q88,Q88),5)=0,OFFSET(装备属性!$P$1083,1+INT(COUNTA($Q$11:Q88)/5),0),J88)</f>
        <v>9</v>
      </c>
      <c r="K89" s="83" t="str">
        <f ca="1">IF(RIGHT(G89,13)="rune_slot,1}]",_xlfn.XLOOKUP(LEFT(SUBSTITUTE(G89,"[{",""),FIND(",",SUBSTITUTE(G89,"[{",""))-1),Sheet2!B:B,Sheet2!C:C)&amp;"+"&amp;1,_xlfn.XLOOKUP(LEFT(SUBSTITUTE(G89,"[{",""),FIND(",",SUBSTITUTE(G89,"[{",""))-1),Sheet2!B:B,Sheet2!C:C)&amp;"+"&amp;SUBSTITUTE(RIGHT(G89,LEN(G89)-FIND(",",G89)),"}]","")/100&amp;"%")</f>
        <v>经验加成+20%</v>
      </c>
      <c r="L89" s="83" t="str">
        <f ca="1">IF(MOD(COUNTIF($Q$11:Q88,Q88),5)=0,OFFSET(装备属性!$G$1083,1+INT(COUNTA($Q$11:Q88)/5),0),L88)</f>
        <v>涨见识</v>
      </c>
      <c r="M89" s="89" t="str">
        <f ca="1">IF(MOD(COUNTIF($Q$11:Q88,Q88),5)=0,OFFSET(装备属性!$H$1083,1+INT(COUNTA($Q$11:Q88)/5),0),M88)</f>
        <v>exp_boost</v>
      </c>
      <c r="N89" s="76">
        <f ca="1">IF(MOD(COUNTIF($Q$11:Q88,Q88),5)=0,OFFSET(装备属性!$K$1083,1+INT(COUNTA($Q$11:Q88)/5),0),N88)</f>
        <v>0.2</v>
      </c>
      <c r="O89" s="76">
        <f ca="1">IF(MOD(COUNTIF($Q$11:Q88,Q88),5)=0,OFFSET(装备属性!$L$1083,1+INT(COUNTA($Q$11:Q88)/5),0),O88)</f>
        <v>0.2</v>
      </c>
      <c r="Q89" s="89" t="str">
        <f ca="1">IF(MOD(COUNTIF($Q$11:Q88,Q88),5)=0,OFFSET(装备属性!$M$1083,1+INT(COUNTA($Q$11:Q88)/5),0),Q88)</f>
        <v>稀有词条</v>
      </c>
      <c r="R89" s="83" t="e">
        <f ca="1">IF(MOD(COUNTIF($Q$11:Q88,Q88),5)=0,10000*SUBSTITUTE(SUBSTITUTE(OFFSET(装备属性!$F$1083,1+INT(COUNTA($Q$11:Q88)/5),0),"[",""),"]","")+_xlfn.XLOOKUP(C89,$M$3:$M$7,$N$3:$N$7)*100,R88)</f>
        <v>#N/A</v>
      </c>
    </row>
    <row r="90" customHeight="1" spans="1:18">
      <c r="A90" s="78" t="str">
        <f ca="1" t="shared" si="3"/>
        <v/>
      </c>
      <c r="B90" s="82" t="str">
        <f ca="1">IFERROR(R90+COUNTIFS($R$11:$R90,R90),"")</f>
        <v/>
      </c>
      <c r="C90" s="83">
        <f ca="1">IF(MOD(COUNTIF($Q$11:Q89,Q89),5)=0,OFFSET(装备属性!$D$1083,1+INT(COUNTA($Q$11:Q89)/5),0),C89)</f>
        <v>0</v>
      </c>
      <c r="D90" s="82">
        <f t="shared" si="5"/>
        <v>1000</v>
      </c>
      <c r="F90" s="82" t="str">
        <f ca="1" t="shared" si="4"/>
        <v/>
      </c>
      <c r="G90" s="78" t="str">
        <f ca="1">IF(AND(LEFT("[{"&amp;M90&amp;","&amp;CEILING(N90*10000+(O90-N90)/4*(COUNTIF($F$11:F90,F90)-1)*10000,10)&amp;"}]",7)="[{equip",MID("[{"&amp;M90&amp;","&amp;CEILING(N90*10000+(O90-N90)/4*(COUNTIF($F$11:F90,F90)-1)*10000,10)&amp;"}]",8,1)&lt;&gt;"_"),"[{"&amp;M90&amp;","&amp;1&amp;"}]","[{"&amp;M90&amp;","&amp;CEILING(N90*10000+(O90-N90)/4*(COUNTIF($F$11:F90,F90)-1)*10000,10)&amp;"}]")</f>
        <v>[{exp_boost,2000}]</v>
      </c>
      <c r="H90" s="82" t="s">
        <v>563</v>
      </c>
      <c r="J90" s="78">
        <f ca="1">IF(MOD(COUNTIF($Q$11:Q89,Q89),5)=0,OFFSET(装备属性!$P$1083,1+INT(COUNTA($Q$11:Q89)/5),0),J89)</f>
        <v>9</v>
      </c>
      <c r="K90" s="83" t="str">
        <f ca="1">IF(RIGHT(G90,13)="rune_slot,1}]",_xlfn.XLOOKUP(LEFT(SUBSTITUTE(G90,"[{",""),FIND(",",SUBSTITUTE(G90,"[{",""))-1),Sheet2!B:B,Sheet2!C:C)&amp;"+"&amp;1,_xlfn.XLOOKUP(LEFT(SUBSTITUTE(G90,"[{",""),FIND(",",SUBSTITUTE(G90,"[{",""))-1),Sheet2!B:B,Sheet2!C:C)&amp;"+"&amp;SUBSTITUTE(RIGHT(G90,LEN(G90)-FIND(",",G90)),"}]","")/100&amp;"%")</f>
        <v>经验加成+20%</v>
      </c>
      <c r="L90" s="83" t="str">
        <f ca="1">IF(MOD(COUNTIF($Q$11:Q89,Q89),5)=0,OFFSET(装备属性!$G$1083,1+INT(COUNTA($Q$11:Q89)/5),0),L89)</f>
        <v>涨见识</v>
      </c>
      <c r="M90" s="89" t="str">
        <f ca="1">IF(MOD(COUNTIF($Q$11:Q89,Q89),5)=0,OFFSET(装备属性!$H$1083,1+INT(COUNTA($Q$11:Q89)/5),0),M89)</f>
        <v>exp_boost</v>
      </c>
      <c r="N90" s="76">
        <f ca="1">IF(MOD(COUNTIF($Q$11:Q89,Q89),5)=0,OFFSET(装备属性!$K$1083,1+INT(COUNTA($Q$11:Q89)/5),0),N89)</f>
        <v>0.2</v>
      </c>
      <c r="O90" s="76">
        <f ca="1">IF(MOD(COUNTIF($Q$11:Q89,Q89),5)=0,OFFSET(装备属性!$L$1083,1+INT(COUNTA($Q$11:Q89)/5),0),O89)</f>
        <v>0.2</v>
      </c>
      <c r="Q90" s="89" t="str">
        <f ca="1">IF(MOD(COUNTIF($Q$11:Q89,Q89),5)=0,OFFSET(装备属性!$M$1083,1+INT(COUNTA($Q$11:Q89)/5),0),Q89)</f>
        <v>稀有词条</v>
      </c>
      <c r="R90" s="83" t="e">
        <f ca="1">IF(MOD(COUNTIF($Q$11:Q89,Q89),5)=0,10000*SUBSTITUTE(SUBSTITUTE(OFFSET(装备属性!$F$1083,1+INT(COUNTA($Q$11:Q89)/5),0),"[",""),"]","")+_xlfn.XLOOKUP(C90,$M$3:$M$7,$N$3:$N$7)*100,R89)</f>
        <v>#N/A</v>
      </c>
    </row>
    <row r="91" customHeight="1" spans="1:18">
      <c r="A91" s="78" t="str">
        <f ca="1" t="shared" si="3"/>
        <v/>
      </c>
      <c r="B91" s="82" t="str">
        <f ca="1">IFERROR(R91+COUNTIFS($R$11:$R91,R91),"")</f>
        <v/>
      </c>
      <c r="C91" s="83">
        <f ca="1">IF(MOD(COUNTIF($Q$11:Q90,Q90),5)=0,OFFSET(装备属性!$D$1083,1+INT(COUNTA($Q$11:Q90)/5),0),C90)</f>
        <v>0</v>
      </c>
      <c r="D91" s="82">
        <f t="shared" si="5"/>
        <v>3000</v>
      </c>
      <c r="F91" s="82" t="str">
        <f ca="1" t="shared" si="4"/>
        <v/>
      </c>
      <c r="G91" s="78" t="str">
        <f ca="1">IF(AND(LEFT("[{"&amp;M91&amp;","&amp;CEILING(N91*10000+(O91-N91)/4*(COUNTIF($F$11:F91,F91)-1)*10000,10)&amp;"}]",7)="[{equip",MID("[{"&amp;M91&amp;","&amp;CEILING(N91*10000+(O91-N91)/4*(COUNTIF($F$11:F91,F91)-1)*10000,10)&amp;"}]",8,1)&lt;&gt;"_"),"[{"&amp;M91&amp;","&amp;1&amp;"}]","[{"&amp;M91&amp;","&amp;CEILING(N91*10000+(O91-N91)/4*(COUNTIF($F$11:F91,F91)-1)*10000,10)&amp;"}]")</f>
        <v>[{equip_base_attr,2500}]</v>
      </c>
      <c r="H91" s="82" t="s">
        <v>563</v>
      </c>
      <c r="J91" s="78">
        <f ca="1">IF(MOD(COUNTIF($Q$11:Q90,Q90),5)=0,OFFSET(装备属性!$P$1083,1+INT(COUNTA($Q$11:Q90)/5),0),J90)</f>
        <v>7</v>
      </c>
      <c r="K91" s="83" t="str">
        <f ca="1">IF(RIGHT(G91,13)="rune_slot,1}]",_xlfn.XLOOKUP(LEFT(SUBSTITUTE(G91,"[{",""),FIND(",",SUBSTITUTE(G91,"[{",""))-1),Sheet2!B:B,Sheet2!C:C)&amp;"+"&amp;1,_xlfn.XLOOKUP(LEFT(SUBSTITUTE(G91,"[{",""),FIND(",",SUBSTITUTE(G91,"[{",""))-1),Sheet2!B:B,Sheet2!C:C)&amp;"+"&amp;SUBSTITUTE(RIGHT(G91,LEN(G91)-FIND(",",G91)),"}]","")/100&amp;"%")</f>
        <v>装备基础属性加成+25%</v>
      </c>
      <c r="L91" s="83" t="str">
        <f ca="1">IF(MOD(COUNTIF($Q$11:Q90,Q90),5)=0,OFFSET(装备属性!$G$1083,1+INT(COUNTA($Q$11:Q90)/5),0),L90)</f>
        <v>厚底子</v>
      </c>
      <c r="M91" s="89" t="str">
        <f ca="1">IF(MOD(COUNTIF($Q$11:Q90,Q90),5)=0,OFFSET(装备属性!$H$1083,1+INT(COUNTA($Q$11:Q90)/5),0),M90)</f>
        <v>equip_base_attr</v>
      </c>
      <c r="N91" s="76">
        <f ca="1">IF(MOD(COUNTIF($Q$11:Q90,Q90),5)=0,OFFSET(装备属性!$K$1083,1+INT(COUNTA($Q$11:Q90)/5),0),N90)</f>
        <v>0.25</v>
      </c>
      <c r="O91" s="76">
        <f ca="1">IF(MOD(COUNTIF($Q$11:Q90,Q90),5)=0,OFFSET(装备属性!$L$1083,1+INT(COUNTA($Q$11:Q90)/5),0),O90)</f>
        <v>0.25</v>
      </c>
      <c r="Q91" s="89" t="str">
        <f ca="1">IF(MOD(COUNTIF($Q$11:Q90,Q90),5)=0,OFFSET(装备属性!$M$1083,1+INT(COUNTA($Q$11:Q90)/5),0),Q90)</f>
        <v>稀有词条</v>
      </c>
      <c r="R91" s="83" t="e">
        <f ca="1">IF(MOD(COUNTIF($Q$11:Q90,Q90),5)=0,10000*SUBSTITUTE(SUBSTITUTE(OFFSET(装备属性!$F$1083,1+INT(COUNTA($Q$11:Q90)/5),0),"[",""),"]","")+_xlfn.XLOOKUP(C91,$M$3:$M$7,$N$3:$N$7)*100,R90)</f>
        <v>#N/A</v>
      </c>
    </row>
    <row r="92" customHeight="1" spans="1:18">
      <c r="A92" s="78" t="str">
        <f ca="1" t="shared" si="3"/>
        <v/>
      </c>
      <c r="B92" s="82" t="str">
        <f ca="1">IFERROR(R92+COUNTIFS($R$11:$R92,R92),"")</f>
        <v/>
      </c>
      <c r="C92" s="83">
        <f ca="1">IF(MOD(COUNTIF($Q$11:Q91,Q91),5)=0,OFFSET(装备属性!$D$1083,1+INT(COUNTA($Q$11:Q91)/5),0),C91)</f>
        <v>0</v>
      </c>
      <c r="D92" s="82">
        <f t="shared" si="5"/>
        <v>2500</v>
      </c>
      <c r="F92" s="82" t="str">
        <f ca="1" t="shared" si="4"/>
        <v/>
      </c>
      <c r="G92" s="78" t="str">
        <f ca="1">IF(AND(LEFT("[{"&amp;M92&amp;","&amp;CEILING(N92*10000+(O92-N92)/4*(COUNTIF($F$11:F92,F92)-1)*10000,10)&amp;"}]",7)="[{equip",MID("[{"&amp;M92&amp;","&amp;CEILING(N92*10000+(O92-N92)/4*(COUNTIF($F$11:F92,F92)-1)*10000,10)&amp;"}]",8,1)&lt;&gt;"_"),"[{"&amp;M92&amp;","&amp;1&amp;"}]","[{"&amp;M92&amp;","&amp;CEILING(N92*10000+(O92-N92)/4*(COUNTIF($F$11:F92,F92)-1)*10000,10)&amp;"}]")</f>
        <v>[{equip_base_attr,2500}]</v>
      </c>
      <c r="H92" s="82" t="s">
        <v>563</v>
      </c>
      <c r="J92" s="78">
        <f ca="1">IF(MOD(COUNTIF($Q$11:Q91,Q91),5)=0,OFFSET(装备属性!$P$1083,1+INT(COUNTA($Q$11:Q91)/5),0),J91)</f>
        <v>7</v>
      </c>
      <c r="K92" s="83" t="str">
        <f ca="1">IF(RIGHT(G92,13)="rune_slot,1}]",_xlfn.XLOOKUP(LEFT(SUBSTITUTE(G92,"[{",""),FIND(",",SUBSTITUTE(G92,"[{",""))-1),Sheet2!B:B,Sheet2!C:C)&amp;"+"&amp;1,_xlfn.XLOOKUP(LEFT(SUBSTITUTE(G92,"[{",""),FIND(",",SUBSTITUTE(G92,"[{",""))-1),Sheet2!B:B,Sheet2!C:C)&amp;"+"&amp;SUBSTITUTE(RIGHT(G92,LEN(G92)-FIND(",",G92)),"}]","")/100&amp;"%")</f>
        <v>装备基础属性加成+25%</v>
      </c>
      <c r="L92" s="83" t="str">
        <f ca="1">IF(MOD(COUNTIF($Q$11:Q91,Q91),5)=0,OFFSET(装备属性!$G$1083,1+INT(COUNTA($Q$11:Q91)/5),0),L91)</f>
        <v>厚底子</v>
      </c>
      <c r="M92" s="89" t="str">
        <f ca="1">IF(MOD(COUNTIF($Q$11:Q91,Q91),5)=0,OFFSET(装备属性!$H$1083,1+INT(COUNTA($Q$11:Q91)/5),0),M91)</f>
        <v>equip_base_attr</v>
      </c>
      <c r="N92" s="76">
        <f ca="1">IF(MOD(COUNTIF($Q$11:Q91,Q91),5)=0,OFFSET(装备属性!$K$1083,1+INT(COUNTA($Q$11:Q91)/5),0),N91)</f>
        <v>0.25</v>
      </c>
      <c r="O92" s="76">
        <f ca="1">IF(MOD(COUNTIF($Q$11:Q91,Q91),5)=0,OFFSET(装备属性!$L$1083,1+INT(COUNTA($Q$11:Q91)/5),0),O91)</f>
        <v>0.25</v>
      </c>
      <c r="Q92" s="89" t="str">
        <f ca="1">IF(MOD(COUNTIF($Q$11:Q91,Q91),5)=0,OFFSET(装备属性!$M$1083,1+INT(COUNTA($Q$11:Q91)/5),0),Q91)</f>
        <v>稀有词条</v>
      </c>
      <c r="R92" s="83" t="e">
        <f ca="1">IF(MOD(COUNTIF($Q$11:Q91,Q91),5)=0,10000*SUBSTITUTE(SUBSTITUTE(OFFSET(装备属性!$F$1083,1+INT(COUNTA($Q$11:Q91)/5),0),"[",""),"]","")+_xlfn.XLOOKUP(C92,$M$3:$M$7,$N$3:$N$7)*100,R91)</f>
        <v>#N/A</v>
      </c>
    </row>
    <row r="93" customHeight="1" spans="1:18">
      <c r="A93" s="78" t="str">
        <f ca="1" t="shared" si="3"/>
        <v/>
      </c>
      <c r="B93" s="82" t="str">
        <f ca="1">IFERROR(R93+COUNTIFS($R$11:$R93,R93),"")</f>
        <v/>
      </c>
      <c r="C93" s="83">
        <f ca="1">IF(MOD(COUNTIF($Q$11:Q92,Q92),5)=0,OFFSET(装备属性!$D$1083,1+INT(COUNTA($Q$11:Q92)/5),0),C92)</f>
        <v>0</v>
      </c>
      <c r="D93" s="82">
        <f t="shared" si="5"/>
        <v>2000</v>
      </c>
      <c r="F93" s="82" t="str">
        <f ca="1" t="shared" si="4"/>
        <v/>
      </c>
      <c r="G93" s="78" t="str">
        <f ca="1">IF(AND(LEFT("[{"&amp;M93&amp;","&amp;CEILING(N93*10000+(O93-N93)/4*(COUNTIF($F$11:F93,F93)-1)*10000,10)&amp;"}]",7)="[{equip",MID("[{"&amp;M93&amp;","&amp;CEILING(N93*10000+(O93-N93)/4*(COUNTIF($F$11:F93,F93)-1)*10000,10)&amp;"}]",8,1)&lt;&gt;"_"),"[{"&amp;M93&amp;","&amp;1&amp;"}]","[{"&amp;M93&amp;","&amp;CEILING(N93*10000+(O93-N93)/4*(COUNTIF($F$11:F93,F93)-1)*10000,10)&amp;"}]")</f>
        <v>[{equip_base_attr,2500}]</v>
      </c>
      <c r="H93" s="82" t="s">
        <v>563</v>
      </c>
      <c r="J93" s="78">
        <f ca="1">IF(MOD(COUNTIF($Q$11:Q92,Q92),5)=0,OFFSET(装备属性!$P$1083,1+INT(COUNTA($Q$11:Q92)/5),0),J92)</f>
        <v>7</v>
      </c>
      <c r="K93" s="83" t="str">
        <f ca="1">IF(RIGHT(G93,13)="rune_slot,1}]",_xlfn.XLOOKUP(LEFT(SUBSTITUTE(G93,"[{",""),FIND(",",SUBSTITUTE(G93,"[{",""))-1),Sheet2!B:B,Sheet2!C:C)&amp;"+"&amp;1,_xlfn.XLOOKUP(LEFT(SUBSTITUTE(G93,"[{",""),FIND(",",SUBSTITUTE(G93,"[{",""))-1),Sheet2!B:B,Sheet2!C:C)&amp;"+"&amp;SUBSTITUTE(RIGHT(G93,LEN(G93)-FIND(",",G93)),"}]","")/100&amp;"%")</f>
        <v>装备基础属性加成+25%</v>
      </c>
      <c r="L93" s="83" t="str">
        <f ca="1">IF(MOD(COUNTIF($Q$11:Q92,Q92),5)=0,OFFSET(装备属性!$G$1083,1+INT(COUNTA($Q$11:Q92)/5),0),L92)</f>
        <v>厚底子</v>
      </c>
      <c r="M93" s="89" t="str">
        <f ca="1">IF(MOD(COUNTIF($Q$11:Q92,Q92),5)=0,OFFSET(装备属性!$H$1083,1+INT(COUNTA($Q$11:Q92)/5),0),M92)</f>
        <v>equip_base_attr</v>
      </c>
      <c r="N93" s="76">
        <f ca="1">IF(MOD(COUNTIF($Q$11:Q92,Q92),5)=0,OFFSET(装备属性!$K$1083,1+INT(COUNTA($Q$11:Q92)/5),0),N92)</f>
        <v>0.25</v>
      </c>
      <c r="O93" s="76">
        <f ca="1">IF(MOD(COUNTIF($Q$11:Q92,Q92),5)=0,OFFSET(装备属性!$L$1083,1+INT(COUNTA($Q$11:Q92)/5),0),O92)</f>
        <v>0.25</v>
      </c>
      <c r="Q93" s="89" t="str">
        <f ca="1">IF(MOD(COUNTIF($Q$11:Q92,Q92),5)=0,OFFSET(装备属性!$M$1083,1+INT(COUNTA($Q$11:Q92)/5),0),Q92)</f>
        <v>稀有词条</v>
      </c>
      <c r="R93" s="83" t="e">
        <f ca="1">IF(MOD(COUNTIF($Q$11:Q92,Q92),5)=0,10000*SUBSTITUTE(SUBSTITUTE(OFFSET(装备属性!$F$1083,1+INT(COUNTA($Q$11:Q92)/5),0),"[",""),"]","")+_xlfn.XLOOKUP(C93,$M$3:$M$7,$N$3:$N$7)*100,R92)</f>
        <v>#N/A</v>
      </c>
    </row>
    <row r="94" customHeight="1" spans="1:18">
      <c r="A94" s="78" t="str">
        <f ca="1" t="shared" si="3"/>
        <v/>
      </c>
      <c r="B94" s="82" t="str">
        <f ca="1">IFERROR(R94+COUNTIFS($R$11:$R94,R94),"")</f>
        <v/>
      </c>
      <c r="C94" s="83">
        <f ca="1">IF(MOD(COUNTIF($Q$11:Q93,Q93),5)=0,OFFSET(装备属性!$D$1083,1+INT(COUNTA($Q$11:Q93)/5),0),C93)</f>
        <v>0</v>
      </c>
      <c r="D94" s="82">
        <f t="shared" si="5"/>
        <v>1500</v>
      </c>
      <c r="F94" s="82" t="str">
        <f ca="1" t="shared" si="4"/>
        <v/>
      </c>
      <c r="G94" s="78" t="str">
        <f ca="1">IF(AND(LEFT("[{"&amp;M94&amp;","&amp;CEILING(N94*10000+(O94-N94)/4*(COUNTIF($F$11:F94,F94)-1)*10000,10)&amp;"}]",7)="[{equip",MID("[{"&amp;M94&amp;","&amp;CEILING(N94*10000+(O94-N94)/4*(COUNTIF($F$11:F94,F94)-1)*10000,10)&amp;"}]",8,1)&lt;&gt;"_"),"[{"&amp;M94&amp;","&amp;1&amp;"}]","[{"&amp;M94&amp;","&amp;CEILING(N94*10000+(O94-N94)/4*(COUNTIF($F$11:F94,F94)-1)*10000,10)&amp;"}]")</f>
        <v>[{equip_base_attr,2500}]</v>
      </c>
      <c r="H94" s="82" t="s">
        <v>563</v>
      </c>
      <c r="J94" s="78">
        <f ca="1">IF(MOD(COUNTIF($Q$11:Q93,Q93),5)=0,OFFSET(装备属性!$P$1083,1+INT(COUNTA($Q$11:Q93)/5),0),J93)</f>
        <v>7</v>
      </c>
      <c r="K94" s="83" t="str">
        <f ca="1">IF(RIGHT(G94,13)="rune_slot,1}]",_xlfn.XLOOKUP(LEFT(SUBSTITUTE(G94,"[{",""),FIND(",",SUBSTITUTE(G94,"[{",""))-1),Sheet2!B:B,Sheet2!C:C)&amp;"+"&amp;1,_xlfn.XLOOKUP(LEFT(SUBSTITUTE(G94,"[{",""),FIND(",",SUBSTITUTE(G94,"[{",""))-1),Sheet2!B:B,Sheet2!C:C)&amp;"+"&amp;SUBSTITUTE(RIGHT(G94,LEN(G94)-FIND(",",G94)),"}]","")/100&amp;"%")</f>
        <v>装备基础属性加成+25%</v>
      </c>
      <c r="L94" s="83" t="str">
        <f ca="1">IF(MOD(COUNTIF($Q$11:Q93,Q93),5)=0,OFFSET(装备属性!$G$1083,1+INT(COUNTA($Q$11:Q93)/5),0),L93)</f>
        <v>厚底子</v>
      </c>
      <c r="M94" s="89" t="str">
        <f ca="1">IF(MOD(COUNTIF($Q$11:Q93,Q93),5)=0,OFFSET(装备属性!$H$1083,1+INT(COUNTA($Q$11:Q93)/5),0),M93)</f>
        <v>equip_base_attr</v>
      </c>
      <c r="N94" s="76">
        <f ca="1">IF(MOD(COUNTIF($Q$11:Q93,Q93),5)=0,OFFSET(装备属性!$K$1083,1+INT(COUNTA($Q$11:Q93)/5),0),N93)</f>
        <v>0.25</v>
      </c>
      <c r="O94" s="76">
        <f ca="1">IF(MOD(COUNTIF($Q$11:Q93,Q93),5)=0,OFFSET(装备属性!$L$1083,1+INT(COUNTA($Q$11:Q93)/5),0),O93)</f>
        <v>0.25</v>
      </c>
      <c r="Q94" s="89" t="str">
        <f ca="1">IF(MOD(COUNTIF($Q$11:Q93,Q93),5)=0,OFFSET(装备属性!$M$1083,1+INT(COUNTA($Q$11:Q93)/5),0),Q93)</f>
        <v>稀有词条</v>
      </c>
      <c r="R94" s="83" t="e">
        <f ca="1">IF(MOD(COUNTIF($Q$11:Q93,Q93),5)=0,10000*SUBSTITUTE(SUBSTITUTE(OFFSET(装备属性!$F$1083,1+INT(COUNTA($Q$11:Q93)/5),0),"[",""),"]","")+_xlfn.XLOOKUP(C94,$M$3:$M$7,$N$3:$N$7)*100,R93)</f>
        <v>#N/A</v>
      </c>
    </row>
    <row r="95" customHeight="1" spans="1:18">
      <c r="A95" s="78" t="str">
        <f ca="1" t="shared" si="3"/>
        <v/>
      </c>
      <c r="B95" s="82" t="str">
        <f ca="1">IFERROR(R95+COUNTIFS($R$11:$R95,R95),"")</f>
        <v/>
      </c>
      <c r="C95" s="83">
        <f ca="1">IF(MOD(COUNTIF($Q$11:Q94,Q94),5)=0,OFFSET(装备属性!$D$1083,1+INT(COUNTA($Q$11:Q94)/5),0),C94)</f>
        <v>0</v>
      </c>
      <c r="D95" s="82">
        <f t="shared" si="5"/>
        <v>1000</v>
      </c>
      <c r="F95" s="82" t="str">
        <f ca="1" t="shared" si="4"/>
        <v/>
      </c>
      <c r="G95" s="78" t="str">
        <f ca="1">IF(AND(LEFT("[{"&amp;M95&amp;","&amp;CEILING(N95*10000+(O95-N95)/4*(COUNTIF($F$11:F95,F95)-1)*10000,10)&amp;"}]",7)="[{equip",MID("[{"&amp;M95&amp;","&amp;CEILING(N95*10000+(O95-N95)/4*(COUNTIF($F$11:F95,F95)-1)*10000,10)&amp;"}]",8,1)&lt;&gt;"_"),"[{"&amp;M95&amp;","&amp;1&amp;"}]","[{"&amp;M95&amp;","&amp;CEILING(N95*10000+(O95-N95)/4*(COUNTIF($F$11:F95,F95)-1)*10000,10)&amp;"}]")</f>
        <v>[{equip_base_attr,2500}]</v>
      </c>
      <c r="H95" s="82" t="s">
        <v>563</v>
      </c>
      <c r="J95" s="78">
        <f ca="1">IF(MOD(COUNTIF($Q$11:Q94,Q94),5)=0,OFFSET(装备属性!$P$1083,1+INT(COUNTA($Q$11:Q94)/5),0),J94)</f>
        <v>7</v>
      </c>
      <c r="K95" s="83" t="str">
        <f ca="1">IF(RIGHT(G95,13)="rune_slot,1}]",_xlfn.XLOOKUP(LEFT(SUBSTITUTE(G95,"[{",""),FIND(",",SUBSTITUTE(G95,"[{",""))-1),Sheet2!B:B,Sheet2!C:C)&amp;"+"&amp;1,_xlfn.XLOOKUP(LEFT(SUBSTITUTE(G95,"[{",""),FIND(",",SUBSTITUTE(G95,"[{",""))-1),Sheet2!B:B,Sheet2!C:C)&amp;"+"&amp;SUBSTITUTE(RIGHT(G95,LEN(G95)-FIND(",",G95)),"}]","")/100&amp;"%")</f>
        <v>装备基础属性加成+25%</v>
      </c>
      <c r="L95" s="83" t="str">
        <f ca="1">IF(MOD(COUNTIF($Q$11:Q94,Q94),5)=0,OFFSET(装备属性!$G$1083,1+INT(COUNTA($Q$11:Q94)/5),0),L94)</f>
        <v>厚底子</v>
      </c>
      <c r="M95" s="89" t="str">
        <f ca="1">IF(MOD(COUNTIF($Q$11:Q94,Q94),5)=0,OFFSET(装备属性!$H$1083,1+INT(COUNTA($Q$11:Q94)/5),0),M94)</f>
        <v>equip_base_attr</v>
      </c>
      <c r="N95" s="76">
        <f ca="1">IF(MOD(COUNTIF($Q$11:Q94,Q94),5)=0,OFFSET(装备属性!$K$1083,1+INT(COUNTA($Q$11:Q94)/5),0),N94)</f>
        <v>0.25</v>
      </c>
      <c r="O95" s="76">
        <f ca="1">IF(MOD(COUNTIF($Q$11:Q94,Q94),5)=0,OFFSET(装备属性!$L$1083,1+INT(COUNTA($Q$11:Q94)/5),0),O94)</f>
        <v>0.25</v>
      </c>
      <c r="Q95" s="89" t="str">
        <f ca="1">IF(MOD(COUNTIF($Q$11:Q94,Q94),5)=0,OFFSET(装备属性!$M$1083,1+INT(COUNTA($Q$11:Q94)/5),0),Q94)</f>
        <v>稀有词条</v>
      </c>
      <c r="R95" s="83" t="e">
        <f ca="1">IF(MOD(COUNTIF($Q$11:Q94,Q94),5)=0,10000*SUBSTITUTE(SUBSTITUTE(OFFSET(装备属性!$F$1083,1+INT(COUNTA($Q$11:Q94)/5),0),"[",""),"]","")+_xlfn.XLOOKUP(C95,$M$3:$M$7,$N$3:$N$7)*100,R94)</f>
        <v>#N/A</v>
      </c>
    </row>
    <row r="96" customHeight="1" spans="1:18">
      <c r="A96" s="78" t="str">
        <f ca="1" t="shared" si="3"/>
        <v/>
      </c>
      <c r="B96" s="82" t="str">
        <f ca="1">IFERROR(R96+COUNTIFS($R$11:$R96,R96),"")</f>
        <v/>
      </c>
      <c r="C96" s="83">
        <f ca="1">IF(MOD(COUNTIF($Q$11:Q95,Q95),5)=0,OFFSET(装备属性!$D$1083,1+INT(COUNTA($Q$11:Q95)/5),0),C95)</f>
        <v>0</v>
      </c>
      <c r="D96" s="82">
        <f t="shared" si="5"/>
        <v>3000</v>
      </c>
      <c r="F96" s="82" t="str">
        <f ca="1" t="shared" si="4"/>
        <v/>
      </c>
      <c r="G96" s="78" t="str">
        <f ca="1">IF(AND(LEFT("[{"&amp;M96&amp;","&amp;CEILING(N96*10000+(O96-N96)/4*(COUNTIF($F$11:F96,F96)-1)*10000,10)&amp;"}]",7)="[{equip",MID("[{"&amp;M96&amp;","&amp;CEILING(N96*10000+(O96-N96)/4*(COUNTIF($F$11:F96,F96)-1)*10000,10)&amp;"}]",8,1)&lt;&gt;"_"),"[{"&amp;M96&amp;","&amp;1&amp;"}]","[{"&amp;M96&amp;","&amp;CEILING(N96*10000+(O96-N96)/4*(COUNTIF($F$11:F96,F96)-1)*10000,10)&amp;"}]")</f>
        <v>[{equip_extra_attr,5000}]</v>
      </c>
      <c r="H96" s="82" t="s">
        <v>563</v>
      </c>
      <c r="J96" s="78">
        <f ca="1">IF(MOD(COUNTIF($Q$11:Q95,Q95),5)=0,OFFSET(装备属性!$P$1083,1+INT(COUNTA($Q$11:Q95)/5),0),J95)</f>
        <v>8</v>
      </c>
      <c r="K96" s="83" t="str">
        <f ca="1">IF(RIGHT(G96,13)="rune_slot,1}]",_xlfn.XLOOKUP(LEFT(SUBSTITUTE(G96,"[{",""),FIND(",",SUBSTITUTE(G96,"[{",""))-1),Sheet2!B:B,Sheet2!C:C)&amp;"+"&amp;1,_xlfn.XLOOKUP(LEFT(SUBSTITUTE(G96,"[{",""),FIND(",",SUBSTITUTE(G96,"[{",""))-1),Sheet2!B:B,Sheet2!C:C)&amp;"+"&amp;SUBSTITUTE(RIGHT(G96,LEN(G96)-FIND(",",G96)),"}]","")/100&amp;"%")</f>
        <v>装备附加属性加成+50%</v>
      </c>
      <c r="L96" s="83" t="str">
        <f ca="1">IF(MOD(COUNTIF($Q$11:Q95,Q95),5)=0,OFFSET(装备属性!$G$1083,1+INT(COUNTA($Q$11:Q95)/5),0),L95)</f>
        <v>提成色</v>
      </c>
      <c r="M96" s="89" t="str">
        <f ca="1">IF(MOD(COUNTIF($Q$11:Q95,Q95),5)=0,OFFSET(装备属性!$H$1083,1+INT(COUNTA($Q$11:Q95)/5),0),M95)</f>
        <v>equip_extra_attr</v>
      </c>
      <c r="N96" s="76">
        <f ca="1">IF(MOD(COUNTIF($Q$11:Q95,Q95),5)=0,OFFSET(装备属性!$K$1083,1+INT(COUNTA($Q$11:Q95)/5),0),N95)</f>
        <v>0.5</v>
      </c>
      <c r="O96" s="76">
        <f ca="1">IF(MOD(COUNTIF($Q$11:Q95,Q95),5)=0,OFFSET(装备属性!$L$1083,1+INT(COUNTA($Q$11:Q95)/5),0),O95)</f>
        <v>0.5</v>
      </c>
      <c r="Q96" s="89" t="str">
        <f ca="1">IF(MOD(COUNTIF($Q$11:Q95,Q95),5)=0,OFFSET(装备属性!$M$1083,1+INT(COUNTA($Q$11:Q95)/5),0),Q95)</f>
        <v>稀有词条</v>
      </c>
      <c r="R96" s="83" t="e">
        <f ca="1">IF(MOD(COUNTIF($Q$11:Q95,Q95),5)=0,10000*SUBSTITUTE(SUBSTITUTE(OFFSET(装备属性!$F$1083,1+INT(COUNTA($Q$11:Q95)/5),0),"[",""),"]","")+_xlfn.XLOOKUP(C96,$M$3:$M$7,$N$3:$N$7)*100,R95)</f>
        <v>#N/A</v>
      </c>
    </row>
    <row r="97" customHeight="1" spans="1:18">
      <c r="A97" s="78" t="str">
        <f ca="1" t="shared" si="3"/>
        <v/>
      </c>
      <c r="B97" s="82" t="str">
        <f ca="1">IFERROR(R97+COUNTIFS($R$11:$R97,R97),"")</f>
        <v/>
      </c>
      <c r="C97" s="83">
        <f ca="1">IF(MOD(COUNTIF($Q$11:Q96,Q96),5)=0,OFFSET(装备属性!$D$1083,1+INT(COUNTA($Q$11:Q96)/5),0),C96)</f>
        <v>0</v>
      </c>
      <c r="D97" s="82">
        <f t="shared" si="5"/>
        <v>2500</v>
      </c>
      <c r="F97" s="82" t="str">
        <f ca="1" t="shared" si="4"/>
        <v/>
      </c>
      <c r="G97" s="78" t="str">
        <f ca="1">IF(AND(LEFT("[{"&amp;M97&amp;","&amp;CEILING(N97*10000+(O97-N97)/4*(COUNTIF($F$11:F97,F97)-1)*10000,10)&amp;"}]",7)="[{equip",MID("[{"&amp;M97&amp;","&amp;CEILING(N97*10000+(O97-N97)/4*(COUNTIF($F$11:F97,F97)-1)*10000,10)&amp;"}]",8,1)&lt;&gt;"_"),"[{"&amp;M97&amp;","&amp;1&amp;"}]","[{"&amp;M97&amp;","&amp;CEILING(N97*10000+(O97-N97)/4*(COUNTIF($F$11:F97,F97)-1)*10000,10)&amp;"}]")</f>
        <v>[{equip_extra_attr,5000}]</v>
      </c>
      <c r="H97" s="82" t="s">
        <v>563</v>
      </c>
      <c r="J97" s="78">
        <f ca="1">IF(MOD(COUNTIF($Q$11:Q96,Q96),5)=0,OFFSET(装备属性!$P$1083,1+INT(COUNTA($Q$11:Q96)/5),0),J96)</f>
        <v>8</v>
      </c>
      <c r="K97" s="83" t="str">
        <f ca="1">IF(RIGHT(G97,13)="rune_slot,1}]",_xlfn.XLOOKUP(LEFT(SUBSTITUTE(G97,"[{",""),FIND(",",SUBSTITUTE(G97,"[{",""))-1),Sheet2!B:B,Sheet2!C:C)&amp;"+"&amp;1,_xlfn.XLOOKUP(LEFT(SUBSTITUTE(G97,"[{",""),FIND(",",SUBSTITUTE(G97,"[{",""))-1),Sheet2!B:B,Sheet2!C:C)&amp;"+"&amp;SUBSTITUTE(RIGHT(G97,LEN(G97)-FIND(",",G97)),"}]","")/100&amp;"%")</f>
        <v>装备附加属性加成+50%</v>
      </c>
      <c r="L97" s="83" t="str">
        <f ca="1">IF(MOD(COUNTIF($Q$11:Q96,Q96),5)=0,OFFSET(装备属性!$G$1083,1+INT(COUNTA($Q$11:Q96)/5),0),L96)</f>
        <v>提成色</v>
      </c>
      <c r="M97" s="89" t="str">
        <f ca="1">IF(MOD(COUNTIF($Q$11:Q96,Q96),5)=0,OFFSET(装备属性!$H$1083,1+INT(COUNTA($Q$11:Q96)/5),0),M96)</f>
        <v>equip_extra_attr</v>
      </c>
      <c r="N97" s="76">
        <f ca="1">IF(MOD(COUNTIF($Q$11:Q96,Q96),5)=0,OFFSET(装备属性!$K$1083,1+INT(COUNTA($Q$11:Q96)/5),0),N96)</f>
        <v>0.5</v>
      </c>
      <c r="O97" s="76">
        <f ca="1">IF(MOD(COUNTIF($Q$11:Q96,Q96),5)=0,OFFSET(装备属性!$L$1083,1+INT(COUNTA($Q$11:Q96)/5),0),O96)</f>
        <v>0.5</v>
      </c>
      <c r="Q97" s="89" t="str">
        <f ca="1">IF(MOD(COUNTIF($Q$11:Q96,Q96),5)=0,OFFSET(装备属性!$M$1083,1+INT(COUNTA($Q$11:Q96)/5),0),Q96)</f>
        <v>稀有词条</v>
      </c>
      <c r="R97" s="83" t="e">
        <f ca="1">IF(MOD(COUNTIF($Q$11:Q96,Q96),5)=0,10000*SUBSTITUTE(SUBSTITUTE(OFFSET(装备属性!$F$1083,1+INT(COUNTA($Q$11:Q96)/5),0),"[",""),"]","")+_xlfn.XLOOKUP(C97,$M$3:$M$7,$N$3:$N$7)*100,R96)</f>
        <v>#N/A</v>
      </c>
    </row>
    <row r="98" customHeight="1" spans="1:18">
      <c r="A98" s="78" t="str">
        <f ca="1" t="shared" si="3"/>
        <v/>
      </c>
      <c r="B98" s="82" t="str">
        <f ca="1">IFERROR(R98+COUNTIFS($R$11:$R98,R98),"")</f>
        <v/>
      </c>
      <c r="C98" s="83">
        <f ca="1">IF(MOD(COUNTIF($Q$11:Q97,Q97),5)=0,OFFSET(装备属性!$D$1083,1+INT(COUNTA($Q$11:Q97)/5),0),C97)</f>
        <v>0</v>
      </c>
      <c r="D98" s="82">
        <f t="shared" si="5"/>
        <v>2000</v>
      </c>
      <c r="F98" s="82" t="str">
        <f ca="1" t="shared" si="4"/>
        <v/>
      </c>
      <c r="G98" s="78" t="str">
        <f ca="1">IF(AND(LEFT("[{"&amp;M98&amp;","&amp;CEILING(N98*10000+(O98-N98)/4*(COUNTIF($F$11:F98,F98)-1)*10000,10)&amp;"}]",7)="[{equip",MID("[{"&amp;M98&amp;","&amp;CEILING(N98*10000+(O98-N98)/4*(COUNTIF($F$11:F98,F98)-1)*10000,10)&amp;"}]",8,1)&lt;&gt;"_"),"[{"&amp;M98&amp;","&amp;1&amp;"}]","[{"&amp;M98&amp;","&amp;CEILING(N98*10000+(O98-N98)/4*(COUNTIF($F$11:F98,F98)-1)*10000,10)&amp;"}]")</f>
        <v>[{equip_extra_attr,5000}]</v>
      </c>
      <c r="H98" s="82" t="s">
        <v>563</v>
      </c>
      <c r="J98" s="78">
        <f ca="1">IF(MOD(COUNTIF($Q$11:Q97,Q97),5)=0,OFFSET(装备属性!$P$1083,1+INT(COUNTA($Q$11:Q97)/5),0),J97)</f>
        <v>8</v>
      </c>
      <c r="K98" s="83" t="str">
        <f ca="1">IF(RIGHT(G98,13)="rune_slot,1}]",_xlfn.XLOOKUP(LEFT(SUBSTITUTE(G98,"[{",""),FIND(",",SUBSTITUTE(G98,"[{",""))-1),Sheet2!B:B,Sheet2!C:C)&amp;"+"&amp;1,_xlfn.XLOOKUP(LEFT(SUBSTITUTE(G98,"[{",""),FIND(",",SUBSTITUTE(G98,"[{",""))-1),Sheet2!B:B,Sheet2!C:C)&amp;"+"&amp;SUBSTITUTE(RIGHT(G98,LEN(G98)-FIND(",",G98)),"}]","")/100&amp;"%")</f>
        <v>装备附加属性加成+50%</v>
      </c>
      <c r="L98" s="83" t="str">
        <f ca="1">IF(MOD(COUNTIF($Q$11:Q97,Q97),5)=0,OFFSET(装备属性!$G$1083,1+INT(COUNTA($Q$11:Q97)/5),0),L97)</f>
        <v>提成色</v>
      </c>
      <c r="M98" s="89" t="str">
        <f ca="1">IF(MOD(COUNTIF($Q$11:Q97,Q97),5)=0,OFFSET(装备属性!$H$1083,1+INT(COUNTA($Q$11:Q97)/5),0),M97)</f>
        <v>equip_extra_attr</v>
      </c>
      <c r="N98" s="76">
        <f ca="1">IF(MOD(COUNTIF($Q$11:Q97,Q97),5)=0,OFFSET(装备属性!$K$1083,1+INT(COUNTA($Q$11:Q97)/5),0),N97)</f>
        <v>0.5</v>
      </c>
      <c r="O98" s="76">
        <f ca="1">IF(MOD(COUNTIF($Q$11:Q97,Q97),5)=0,OFFSET(装备属性!$L$1083,1+INT(COUNTA($Q$11:Q97)/5),0),O97)</f>
        <v>0.5</v>
      </c>
      <c r="Q98" s="89" t="str">
        <f ca="1">IF(MOD(COUNTIF($Q$11:Q97,Q97),5)=0,OFFSET(装备属性!$M$1083,1+INT(COUNTA($Q$11:Q97)/5),0),Q97)</f>
        <v>稀有词条</v>
      </c>
      <c r="R98" s="83" t="e">
        <f ca="1">IF(MOD(COUNTIF($Q$11:Q97,Q97),5)=0,10000*SUBSTITUTE(SUBSTITUTE(OFFSET(装备属性!$F$1083,1+INT(COUNTA($Q$11:Q97)/5),0),"[",""),"]","")+_xlfn.XLOOKUP(C98,$M$3:$M$7,$N$3:$N$7)*100,R97)</f>
        <v>#N/A</v>
      </c>
    </row>
    <row r="99" customHeight="1" spans="1:18">
      <c r="A99" s="78" t="str">
        <f ca="1" t="shared" si="3"/>
        <v/>
      </c>
      <c r="B99" s="82" t="str">
        <f ca="1">IFERROR(R99+COUNTIFS($R$11:$R99,R99),"")</f>
        <v/>
      </c>
      <c r="C99" s="83">
        <f ca="1">IF(MOD(COUNTIF($Q$11:Q98,Q98),5)=0,OFFSET(装备属性!$D$1083,1+INT(COUNTA($Q$11:Q98)/5),0),C98)</f>
        <v>0</v>
      </c>
      <c r="D99" s="82">
        <f t="shared" si="5"/>
        <v>1500</v>
      </c>
      <c r="F99" s="82" t="str">
        <f ca="1" t="shared" si="4"/>
        <v/>
      </c>
      <c r="G99" s="78" t="str">
        <f ca="1">IF(AND(LEFT("[{"&amp;M99&amp;","&amp;CEILING(N99*10000+(O99-N99)/4*(COUNTIF($F$11:F99,F99)-1)*10000,10)&amp;"}]",7)="[{equip",MID("[{"&amp;M99&amp;","&amp;CEILING(N99*10000+(O99-N99)/4*(COUNTIF($F$11:F99,F99)-1)*10000,10)&amp;"}]",8,1)&lt;&gt;"_"),"[{"&amp;M99&amp;","&amp;1&amp;"}]","[{"&amp;M99&amp;","&amp;CEILING(N99*10000+(O99-N99)/4*(COUNTIF($F$11:F99,F99)-1)*10000,10)&amp;"}]")</f>
        <v>[{equip_extra_attr,5000}]</v>
      </c>
      <c r="H99" s="82" t="s">
        <v>563</v>
      </c>
      <c r="J99" s="78">
        <f ca="1">IF(MOD(COUNTIF($Q$11:Q98,Q98),5)=0,OFFSET(装备属性!$P$1083,1+INT(COUNTA($Q$11:Q98)/5),0),J98)</f>
        <v>8</v>
      </c>
      <c r="K99" s="83" t="str">
        <f ca="1">IF(RIGHT(G99,13)="rune_slot,1}]",_xlfn.XLOOKUP(LEFT(SUBSTITUTE(G99,"[{",""),FIND(",",SUBSTITUTE(G99,"[{",""))-1),Sheet2!B:B,Sheet2!C:C)&amp;"+"&amp;1,_xlfn.XLOOKUP(LEFT(SUBSTITUTE(G99,"[{",""),FIND(",",SUBSTITUTE(G99,"[{",""))-1),Sheet2!B:B,Sheet2!C:C)&amp;"+"&amp;SUBSTITUTE(RIGHT(G99,LEN(G99)-FIND(",",G99)),"}]","")/100&amp;"%")</f>
        <v>装备附加属性加成+50%</v>
      </c>
      <c r="L99" s="83" t="str">
        <f ca="1">IF(MOD(COUNTIF($Q$11:Q98,Q98),5)=0,OFFSET(装备属性!$G$1083,1+INT(COUNTA($Q$11:Q98)/5),0),L98)</f>
        <v>提成色</v>
      </c>
      <c r="M99" s="89" t="str">
        <f ca="1">IF(MOD(COUNTIF($Q$11:Q98,Q98),5)=0,OFFSET(装备属性!$H$1083,1+INT(COUNTA($Q$11:Q98)/5),0),M98)</f>
        <v>equip_extra_attr</v>
      </c>
      <c r="N99" s="76">
        <f ca="1">IF(MOD(COUNTIF($Q$11:Q98,Q98),5)=0,OFFSET(装备属性!$K$1083,1+INT(COUNTA($Q$11:Q98)/5),0),N98)</f>
        <v>0.5</v>
      </c>
      <c r="O99" s="76">
        <f ca="1">IF(MOD(COUNTIF($Q$11:Q98,Q98),5)=0,OFFSET(装备属性!$L$1083,1+INT(COUNTA($Q$11:Q98)/5),0),O98)</f>
        <v>0.5</v>
      </c>
      <c r="Q99" s="89" t="str">
        <f ca="1">IF(MOD(COUNTIF($Q$11:Q98,Q98),5)=0,OFFSET(装备属性!$M$1083,1+INT(COUNTA($Q$11:Q98)/5),0),Q98)</f>
        <v>稀有词条</v>
      </c>
      <c r="R99" s="83" t="e">
        <f ca="1">IF(MOD(COUNTIF($Q$11:Q98,Q98),5)=0,10000*SUBSTITUTE(SUBSTITUTE(OFFSET(装备属性!$F$1083,1+INT(COUNTA($Q$11:Q98)/5),0),"[",""),"]","")+_xlfn.XLOOKUP(C99,$M$3:$M$7,$N$3:$N$7)*100,R98)</f>
        <v>#N/A</v>
      </c>
    </row>
    <row r="100" customHeight="1" spans="1:18">
      <c r="A100" s="78" t="str">
        <f ca="1" t="shared" si="3"/>
        <v/>
      </c>
      <c r="B100" s="82" t="str">
        <f ca="1">IFERROR(R100+COUNTIFS($R$11:$R100,R100),"")</f>
        <v/>
      </c>
      <c r="C100" s="83">
        <f ca="1">IF(MOD(COUNTIF($Q$11:Q99,Q99),5)=0,OFFSET(装备属性!$D$1083,1+INT(COUNTA($Q$11:Q99)/5),0),C99)</f>
        <v>0</v>
      </c>
      <c r="D100" s="82">
        <f t="shared" si="5"/>
        <v>1000</v>
      </c>
      <c r="F100" s="82" t="str">
        <f ca="1" t="shared" si="4"/>
        <v/>
      </c>
      <c r="G100" s="78" t="str">
        <f ca="1">IF(AND(LEFT("[{"&amp;M100&amp;","&amp;CEILING(N100*10000+(O100-N100)/4*(COUNTIF($F$11:F100,F100)-1)*10000,10)&amp;"}]",7)="[{equip",MID("[{"&amp;M100&amp;","&amp;CEILING(N100*10000+(O100-N100)/4*(COUNTIF($F$11:F100,F100)-1)*10000,10)&amp;"}]",8,1)&lt;&gt;"_"),"[{"&amp;M100&amp;","&amp;1&amp;"}]","[{"&amp;M100&amp;","&amp;CEILING(N100*10000+(O100-N100)/4*(COUNTIF($F$11:F100,F100)-1)*10000,10)&amp;"}]")</f>
        <v>[{equip_extra_attr,5000}]</v>
      </c>
      <c r="H100" s="82" t="s">
        <v>563</v>
      </c>
      <c r="J100" s="78">
        <f ca="1">IF(MOD(COUNTIF($Q$11:Q99,Q99),5)=0,OFFSET(装备属性!$P$1083,1+INT(COUNTA($Q$11:Q99)/5),0),J99)</f>
        <v>8</v>
      </c>
      <c r="K100" s="83" t="str">
        <f ca="1">IF(RIGHT(G100,13)="rune_slot,1}]",_xlfn.XLOOKUP(LEFT(SUBSTITUTE(G100,"[{",""),FIND(",",SUBSTITUTE(G100,"[{",""))-1),Sheet2!B:B,Sheet2!C:C)&amp;"+"&amp;1,_xlfn.XLOOKUP(LEFT(SUBSTITUTE(G100,"[{",""),FIND(",",SUBSTITUTE(G100,"[{",""))-1),Sheet2!B:B,Sheet2!C:C)&amp;"+"&amp;SUBSTITUTE(RIGHT(G100,LEN(G100)-FIND(",",G100)),"}]","")/100&amp;"%")</f>
        <v>装备附加属性加成+50%</v>
      </c>
      <c r="L100" s="83" t="str">
        <f ca="1">IF(MOD(COUNTIF($Q$11:Q99,Q99),5)=0,OFFSET(装备属性!$G$1083,1+INT(COUNTA($Q$11:Q99)/5),0),L99)</f>
        <v>提成色</v>
      </c>
      <c r="M100" s="89" t="str">
        <f ca="1">IF(MOD(COUNTIF($Q$11:Q99,Q99),5)=0,OFFSET(装备属性!$H$1083,1+INT(COUNTA($Q$11:Q99)/5),0),M99)</f>
        <v>equip_extra_attr</v>
      </c>
      <c r="N100" s="76">
        <f ca="1">IF(MOD(COUNTIF($Q$11:Q99,Q99),5)=0,OFFSET(装备属性!$K$1083,1+INT(COUNTA($Q$11:Q99)/5),0),N99)</f>
        <v>0.5</v>
      </c>
      <c r="O100" s="76">
        <f ca="1">IF(MOD(COUNTIF($Q$11:Q99,Q99),5)=0,OFFSET(装备属性!$L$1083,1+INT(COUNTA($Q$11:Q99)/5),0),O99)</f>
        <v>0.5</v>
      </c>
      <c r="Q100" s="89" t="str">
        <f ca="1">IF(MOD(COUNTIF($Q$11:Q99,Q99),5)=0,OFFSET(装备属性!$M$1083,1+INT(COUNTA($Q$11:Q99)/5),0),Q99)</f>
        <v>稀有词条</v>
      </c>
      <c r="R100" s="83" t="e">
        <f ca="1">IF(MOD(COUNTIF($Q$11:Q99,Q99),5)=0,10000*SUBSTITUTE(SUBSTITUTE(OFFSET(装备属性!$F$1083,1+INT(COUNTA($Q$11:Q99)/5),0),"[",""),"]","")+_xlfn.XLOOKUP(C100,$M$3:$M$7,$N$3:$N$7)*100,R99)</f>
        <v>#N/A</v>
      </c>
    </row>
    <row r="101" customHeight="1" spans="1:18">
      <c r="A101" s="78" t="str">
        <f ca="1" t="shared" si="3"/>
        <v/>
      </c>
      <c r="B101" s="82" t="str">
        <f ca="1">IFERROR(R101+COUNTIFS($R$11:$R101,R101),"")</f>
        <v/>
      </c>
      <c r="C101" s="83">
        <f ca="1">IF(MOD(COUNTIF($Q$11:Q100,Q100),5)=0,OFFSET(装备属性!$D$1083,1+INT(COUNTA($Q$11:Q100)/5),0),C100)</f>
        <v>0</v>
      </c>
      <c r="D101" s="82">
        <f t="shared" si="5"/>
        <v>3000</v>
      </c>
      <c r="F101" s="82" t="str">
        <f ca="1" t="shared" si="4"/>
        <v/>
      </c>
      <c r="G101" s="78" t="str">
        <f ca="1">IF(AND(LEFT("[{"&amp;M101&amp;","&amp;CEILING(N101*10000+(O101-N101)/4*(COUNTIF($F$11:F101,F101)-1)*10000,10)&amp;"}]",7)="[{equip",MID("[{"&amp;M101&amp;","&amp;CEILING(N101*10000+(O101-N101)/4*(COUNTIF($F$11:F101,F101)-1)*10000,10)&amp;"}]",8,1)&lt;&gt;"_"),"[{"&amp;M101&amp;","&amp;1&amp;"}]","[{"&amp;M101&amp;","&amp;CEILING(N101*10000+(O101-N101)/4*(COUNTIF($F$11:F101,F101)-1)*10000,10)&amp;"}]")</f>
        <v>[{arena_pve_hit_rare,2330}]</v>
      </c>
      <c r="H101" s="82" t="s">
        <v>563</v>
      </c>
      <c r="J101" s="78">
        <f ca="1">IF(MOD(COUNTIF($Q$11:Q100,Q100),5)=0,OFFSET(装备属性!$P$1083,1+INT(COUNTA($Q$11:Q100)/5),0),J100)</f>
        <v>1</v>
      </c>
      <c r="K101" s="83" t="str">
        <f ca="1">IF(RIGHT(G101,13)="rune_slot,1}]",_xlfn.XLOOKUP(LEFT(SUBSTITUTE(G101,"[{",""),FIND(",",SUBSTITUTE(G101,"[{",""))-1),Sheet2!B:B,Sheet2!C:C)&amp;"+"&amp;1,_xlfn.XLOOKUP(LEFT(SUBSTITUTE(G101,"[{",""),FIND(",",SUBSTITUTE(G101,"[{",""))-1),Sheet2!B:B,Sheet2!C:C)&amp;"+"&amp;SUBSTITUTE(RIGHT(G101,LEN(G101)-FIND(",",G101)),"}]","")/100&amp;"%")</f>
        <v>荧幕争锋增伤+23.3%</v>
      </c>
      <c r="L101" s="83" t="str">
        <f ca="1">IF(MOD(COUNTIF($Q$11:Q100,Q100),5)=0,OFFSET(装备属性!$G$1083,1+INT(COUNTA($Q$11:Q100)/5),0),L100)</f>
        <v>关键开团Ⅱ</v>
      </c>
      <c r="M101" s="89" t="str">
        <f ca="1">IF(MOD(COUNTIF($Q$11:Q100,Q100),5)=0,OFFSET(装备属性!$H$1083,1+INT(COUNTA($Q$11:Q100)/5),0),M100)</f>
        <v>arena_pve_hit_rare</v>
      </c>
      <c r="N101" s="76">
        <f ca="1">IF(MOD(COUNTIF($Q$11:Q100,Q100),5)=0,OFFSET(装备属性!$K$1083,1+INT(COUNTA($Q$11:Q100)/5),0),N100)</f>
        <v>0.058</v>
      </c>
      <c r="O101" s="76">
        <f ca="1">IF(MOD(COUNTIF($Q$11:Q100,Q100),5)=0,OFFSET(装备属性!$L$1083,1+INT(COUNTA($Q$11:Q100)/5),0),O100)</f>
        <v>0.072</v>
      </c>
      <c r="Q101" s="89" t="str">
        <f ca="1">IF(MOD(COUNTIF($Q$11:Q100,Q100),5)=0,OFFSET(装备属性!$M$1083,1+INT(COUNTA($Q$11:Q100)/5),0),Q100)</f>
        <v>玩法类</v>
      </c>
      <c r="R101" s="83" t="e">
        <f ca="1">IF(MOD(COUNTIF($Q$11:Q100,Q100),5)=0,10000*SUBSTITUTE(SUBSTITUTE(OFFSET(装备属性!$F$1083,1+INT(COUNTA($Q$11:Q100)/5),0),"[",""),"]","")+_xlfn.XLOOKUP(C101,$M$3:$M$7,$N$3:$N$7)*100,R100)</f>
        <v>#N/A</v>
      </c>
    </row>
    <row r="102" customHeight="1" spans="1:18">
      <c r="A102" s="78" t="str">
        <f ca="1" t="shared" si="3"/>
        <v/>
      </c>
      <c r="B102" s="82" t="str">
        <f ca="1">IFERROR(R102+COUNTIFS($R$11:$R102,R102),"")</f>
        <v/>
      </c>
      <c r="C102" s="83">
        <f ca="1">IF(MOD(COUNTIF($Q$11:Q101,Q101),5)=0,OFFSET(装备属性!$D$1083,1+INT(COUNTA($Q$11:Q101)/5),0),C101)</f>
        <v>0</v>
      </c>
      <c r="D102" s="82">
        <f t="shared" si="5"/>
        <v>2500</v>
      </c>
      <c r="F102" s="82" t="str">
        <f ca="1" t="shared" si="4"/>
        <v/>
      </c>
      <c r="G102" s="78" t="str">
        <f ca="1">IF(AND(LEFT("[{"&amp;M102&amp;","&amp;CEILING(N102*10000+(O102-N102)/4*(COUNTIF($F$11:F102,F102)-1)*10000,10)&amp;"}]",7)="[{equip",MID("[{"&amp;M102&amp;","&amp;CEILING(N102*10000+(O102-N102)/4*(COUNTIF($F$11:F102,F102)-1)*10000,10)&amp;"}]",8,1)&lt;&gt;"_"),"[{"&amp;M102&amp;","&amp;1&amp;"}]","[{"&amp;M102&amp;","&amp;CEILING(N102*10000+(O102-N102)/4*(COUNTIF($F$11:F102,F102)-1)*10000,10)&amp;"}]")</f>
        <v>[{arena_pve_hit_rare,2370}]</v>
      </c>
      <c r="H102" s="82" t="s">
        <v>563</v>
      </c>
      <c r="J102" s="78">
        <f ca="1">IF(MOD(COUNTIF($Q$11:Q101,Q101),5)=0,OFFSET(装备属性!$P$1083,1+INT(COUNTA($Q$11:Q101)/5),0),J101)</f>
        <v>1</v>
      </c>
      <c r="K102" s="83" t="str">
        <f ca="1">IF(RIGHT(G102,13)="rune_slot,1}]",_xlfn.XLOOKUP(LEFT(SUBSTITUTE(G102,"[{",""),FIND(",",SUBSTITUTE(G102,"[{",""))-1),Sheet2!B:B,Sheet2!C:C)&amp;"+"&amp;1,_xlfn.XLOOKUP(LEFT(SUBSTITUTE(G102,"[{",""),FIND(",",SUBSTITUTE(G102,"[{",""))-1),Sheet2!B:B,Sheet2!C:C)&amp;"+"&amp;SUBSTITUTE(RIGHT(G102,LEN(G102)-FIND(",",G102)),"}]","")/100&amp;"%")</f>
        <v>荧幕争锋增伤+23.7%</v>
      </c>
      <c r="L102" s="83" t="str">
        <f ca="1">IF(MOD(COUNTIF($Q$11:Q101,Q101),5)=0,OFFSET(装备属性!$G$1083,1+INT(COUNTA($Q$11:Q101)/5),0),L101)</f>
        <v>关键开团Ⅱ</v>
      </c>
      <c r="M102" s="89" t="str">
        <f ca="1">IF(MOD(COUNTIF($Q$11:Q101,Q101),5)=0,OFFSET(装备属性!$H$1083,1+INT(COUNTA($Q$11:Q101)/5),0),M101)</f>
        <v>arena_pve_hit_rare</v>
      </c>
      <c r="N102" s="76">
        <f ca="1">IF(MOD(COUNTIF($Q$11:Q101,Q101),5)=0,OFFSET(装备属性!$K$1083,1+INT(COUNTA($Q$11:Q101)/5),0),N101)</f>
        <v>0.058</v>
      </c>
      <c r="O102" s="76">
        <f ca="1">IF(MOD(COUNTIF($Q$11:Q101,Q101),5)=0,OFFSET(装备属性!$L$1083,1+INT(COUNTA($Q$11:Q101)/5),0),O101)</f>
        <v>0.072</v>
      </c>
      <c r="Q102" s="89" t="str">
        <f ca="1">IF(MOD(COUNTIF($Q$11:Q101,Q101),5)=0,OFFSET(装备属性!$M$1083,1+INT(COUNTA($Q$11:Q101)/5),0),Q101)</f>
        <v>玩法类</v>
      </c>
      <c r="R102" s="83" t="e">
        <f ca="1">IF(MOD(COUNTIF($Q$11:Q101,Q101),5)=0,10000*SUBSTITUTE(SUBSTITUTE(OFFSET(装备属性!$F$1083,1+INT(COUNTA($Q$11:Q101)/5),0),"[",""),"]","")+_xlfn.XLOOKUP(C102,$M$3:$M$7,$N$3:$N$7)*100,R101)</f>
        <v>#N/A</v>
      </c>
    </row>
    <row r="103" customHeight="1" spans="1:18">
      <c r="A103" s="78" t="str">
        <f ca="1" t="shared" si="3"/>
        <v/>
      </c>
      <c r="B103" s="82" t="str">
        <f ca="1">IFERROR(R103+COUNTIFS($R$11:$R103,R103),"")</f>
        <v/>
      </c>
      <c r="C103" s="83">
        <f ca="1">IF(MOD(COUNTIF($Q$11:Q102,Q102),5)=0,OFFSET(装备属性!$D$1083,1+INT(COUNTA($Q$11:Q102)/5),0),C102)</f>
        <v>0</v>
      </c>
      <c r="D103" s="82">
        <f t="shared" si="5"/>
        <v>2000</v>
      </c>
      <c r="F103" s="82" t="str">
        <f ca="1" t="shared" si="4"/>
        <v/>
      </c>
      <c r="G103" s="78" t="str">
        <f ca="1">IF(AND(LEFT("[{"&amp;M103&amp;","&amp;CEILING(N103*10000+(O103-N103)/4*(COUNTIF($F$11:F103,F103)-1)*10000,10)&amp;"}]",7)="[{equip",MID("[{"&amp;M103&amp;","&amp;CEILING(N103*10000+(O103-N103)/4*(COUNTIF($F$11:F103,F103)-1)*10000,10)&amp;"}]",8,1)&lt;&gt;"_"),"[{"&amp;M103&amp;","&amp;1&amp;"}]","[{"&amp;M103&amp;","&amp;CEILING(N103*10000+(O103-N103)/4*(COUNTIF($F$11:F103,F103)-1)*10000,10)&amp;"}]")</f>
        <v>[{arena_pve_hit_rare,2400}]</v>
      </c>
      <c r="H103" s="82" t="s">
        <v>563</v>
      </c>
      <c r="J103" s="78">
        <f ca="1">IF(MOD(COUNTIF($Q$11:Q102,Q102),5)=0,OFFSET(装备属性!$P$1083,1+INT(COUNTA($Q$11:Q102)/5),0),J102)</f>
        <v>1</v>
      </c>
      <c r="K103" s="83" t="str">
        <f ca="1">IF(RIGHT(G103,13)="rune_slot,1}]",_xlfn.XLOOKUP(LEFT(SUBSTITUTE(G103,"[{",""),FIND(",",SUBSTITUTE(G103,"[{",""))-1),Sheet2!B:B,Sheet2!C:C)&amp;"+"&amp;1,_xlfn.XLOOKUP(LEFT(SUBSTITUTE(G103,"[{",""),FIND(",",SUBSTITUTE(G103,"[{",""))-1),Sheet2!B:B,Sheet2!C:C)&amp;"+"&amp;SUBSTITUTE(RIGHT(G103,LEN(G103)-FIND(",",G103)),"}]","")/100&amp;"%")</f>
        <v>荧幕争锋增伤+24%</v>
      </c>
      <c r="L103" s="83" t="str">
        <f ca="1">IF(MOD(COUNTIF($Q$11:Q102,Q102),5)=0,OFFSET(装备属性!$G$1083,1+INT(COUNTA($Q$11:Q102)/5),0),L102)</f>
        <v>关键开团Ⅱ</v>
      </c>
      <c r="M103" s="89" t="str">
        <f ca="1">IF(MOD(COUNTIF($Q$11:Q102,Q102),5)=0,OFFSET(装备属性!$H$1083,1+INT(COUNTA($Q$11:Q102)/5),0),M102)</f>
        <v>arena_pve_hit_rare</v>
      </c>
      <c r="N103" s="76">
        <f ca="1">IF(MOD(COUNTIF($Q$11:Q102,Q102),5)=0,OFFSET(装备属性!$K$1083,1+INT(COUNTA($Q$11:Q102)/5),0),N102)</f>
        <v>0.058</v>
      </c>
      <c r="O103" s="76">
        <f ca="1">IF(MOD(COUNTIF($Q$11:Q102,Q102),5)=0,OFFSET(装备属性!$L$1083,1+INT(COUNTA($Q$11:Q102)/5),0),O102)</f>
        <v>0.072</v>
      </c>
      <c r="Q103" s="89" t="str">
        <f ca="1">IF(MOD(COUNTIF($Q$11:Q102,Q102),5)=0,OFFSET(装备属性!$M$1083,1+INT(COUNTA($Q$11:Q102)/5),0),Q102)</f>
        <v>玩法类</v>
      </c>
      <c r="R103" s="83" t="e">
        <f ca="1">IF(MOD(COUNTIF($Q$11:Q102,Q102),5)=0,10000*SUBSTITUTE(SUBSTITUTE(OFFSET(装备属性!$F$1083,1+INT(COUNTA($Q$11:Q102)/5),0),"[",""),"]","")+_xlfn.XLOOKUP(C103,$M$3:$M$7,$N$3:$N$7)*100,R102)</f>
        <v>#N/A</v>
      </c>
    </row>
    <row r="104" customHeight="1" spans="1:18">
      <c r="A104" s="78" t="str">
        <f ca="1" t="shared" si="3"/>
        <v/>
      </c>
      <c r="B104" s="82" t="str">
        <f ca="1">IFERROR(R104+COUNTIFS($R$11:$R104,R104),"")</f>
        <v/>
      </c>
      <c r="C104" s="83">
        <f ca="1">IF(MOD(COUNTIF($Q$11:Q103,Q103),5)=0,OFFSET(装备属性!$D$1083,1+INT(COUNTA($Q$11:Q103)/5),0),C103)</f>
        <v>0</v>
      </c>
      <c r="D104" s="82">
        <f t="shared" si="5"/>
        <v>1500</v>
      </c>
      <c r="F104" s="82" t="str">
        <f ca="1" t="shared" si="4"/>
        <v/>
      </c>
      <c r="G104" s="78" t="str">
        <f ca="1">IF(AND(LEFT("[{"&amp;M104&amp;","&amp;CEILING(N104*10000+(O104-N104)/4*(COUNTIF($F$11:F104,F104)-1)*10000,10)&amp;"}]",7)="[{equip",MID("[{"&amp;M104&amp;","&amp;CEILING(N104*10000+(O104-N104)/4*(COUNTIF($F$11:F104,F104)-1)*10000,10)&amp;"}]",8,1)&lt;&gt;"_"),"[{"&amp;M104&amp;","&amp;1&amp;"}]","[{"&amp;M104&amp;","&amp;CEILING(N104*10000+(O104-N104)/4*(COUNTIF($F$11:F104,F104)-1)*10000,10)&amp;"}]")</f>
        <v>[{arena_pve_hit_rare,2440}]</v>
      </c>
      <c r="H104" s="82" t="s">
        <v>563</v>
      </c>
      <c r="J104" s="78">
        <f ca="1">IF(MOD(COUNTIF($Q$11:Q103,Q103),5)=0,OFFSET(装备属性!$P$1083,1+INT(COUNTA($Q$11:Q103)/5),0),J103)</f>
        <v>1</v>
      </c>
      <c r="K104" s="83" t="str">
        <f ca="1">IF(RIGHT(G104,13)="rune_slot,1}]",_xlfn.XLOOKUP(LEFT(SUBSTITUTE(G104,"[{",""),FIND(",",SUBSTITUTE(G104,"[{",""))-1),Sheet2!B:B,Sheet2!C:C)&amp;"+"&amp;1,_xlfn.XLOOKUP(LEFT(SUBSTITUTE(G104,"[{",""),FIND(",",SUBSTITUTE(G104,"[{",""))-1),Sheet2!B:B,Sheet2!C:C)&amp;"+"&amp;SUBSTITUTE(RIGHT(G104,LEN(G104)-FIND(",",G104)),"}]","")/100&amp;"%")</f>
        <v>荧幕争锋增伤+24.4%</v>
      </c>
      <c r="L104" s="83" t="str">
        <f ca="1">IF(MOD(COUNTIF($Q$11:Q103,Q103),5)=0,OFFSET(装备属性!$G$1083,1+INT(COUNTA($Q$11:Q103)/5),0),L103)</f>
        <v>关键开团Ⅱ</v>
      </c>
      <c r="M104" s="89" t="str">
        <f ca="1">IF(MOD(COUNTIF($Q$11:Q103,Q103),5)=0,OFFSET(装备属性!$H$1083,1+INT(COUNTA($Q$11:Q103)/5),0),M103)</f>
        <v>arena_pve_hit_rare</v>
      </c>
      <c r="N104" s="76">
        <f ca="1">IF(MOD(COUNTIF($Q$11:Q103,Q103),5)=0,OFFSET(装备属性!$K$1083,1+INT(COUNTA($Q$11:Q103)/5),0),N103)</f>
        <v>0.058</v>
      </c>
      <c r="O104" s="76">
        <f ca="1">IF(MOD(COUNTIF($Q$11:Q103,Q103),5)=0,OFFSET(装备属性!$L$1083,1+INT(COUNTA($Q$11:Q103)/5),0),O103)</f>
        <v>0.072</v>
      </c>
      <c r="Q104" s="89" t="str">
        <f ca="1">IF(MOD(COUNTIF($Q$11:Q103,Q103),5)=0,OFFSET(装备属性!$M$1083,1+INT(COUNTA($Q$11:Q103)/5),0),Q103)</f>
        <v>玩法类</v>
      </c>
      <c r="R104" s="83" t="e">
        <f ca="1">IF(MOD(COUNTIF($Q$11:Q103,Q103),5)=0,10000*SUBSTITUTE(SUBSTITUTE(OFFSET(装备属性!$F$1083,1+INT(COUNTA($Q$11:Q103)/5),0),"[",""),"]","")+_xlfn.XLOOKUP(C104,$M$3:$M$7,$N$3:$N$7)*100,R103)</f>
        <v>#N/A</v>
      </c>
    </row>
    <row r="105" customHeight="1" spans="1:18">
      <c r="A105" s="78" t="str">
        <f ca="1" t="shared" si="3"/>
        <v/>
      </c>
      <c r="B105" s="82" t="str">
        <f ca="1">IFERROR(R105+COUNTIFS($R$11:$R105,R105),"")</f>
        <v/>
      </c>
      <c r="C105" s="83">
        <f ca="1">IF(MOD(COUNTIF($Q$11:Q104,Q104),5)=0,OFFSET(装备属性!$D$1083,1+INT(COUNTA($Q$11:Q104)/5),0),C104)</f>
        <v>0</v>
      </c>
      <c r="D105" s="82">
        <f t="shared" si="5"/>
        <v>1000</v>
      </c>
      <c r="F105" s="82" t="str">
        <f ca="1" t="shared" si="4"/>
        <v/>
      </c>
      <c r="G105" s="78" t="str">
        <f ca="1">IF(AND(LEFT("[{"&amp;M105&amp;","&amp;CEILING(N105*10000+(O105-N105)/4*(COUNTIF($F$11:F105,F105)-1)*10000,10)&amp;"}]",7)="[{equip",MID("[{"&amp;M105&amp;","&amp;CEILING(N105*10000+(O105-N105)/4*(COUNTIF($F$11:F105,F105)-1)*10000,10)&amp;"}]",8,1)&lt;&gt;"_"),"[{"&amp;M105&amp;","&amp;1&amp;"}]","[{"&amp;M105&amp;","&amp;CEILING(N105*10000+(O105-N105)/4*(COUNTIF($F$11:F105,F105)-1)*10000,10)&amp;"}]")</f>
        <v>[{arena_pve_hit_rare,2470}]</v>
      </c>
      <c r="H105" s="82" t="s">
        <v>563</v>
      </c>
      <c r="J105" s="78">
        <f ca="1">IF(MOD(COUNTIF($Q$11:Q104,Q104),5)=0,OFFSET(装备属性!$P$1083,1+INT(COUNTA($Q$11:Q104)/5),0),J104)</f>
        <v>1</v>
      </c>
      <c r="K105" s="83" t="str">
        <f ca="1">IF(RIGHT(G105,13)="rune_slot,1}]",_xlfn.XLOOKUP(LEFT(SUBSTITUTE(G105,"[{",""),FIND(",",SUBSTITUTE(G105,"[{",""))-1),Sheet2!B:B,Sheet2!C:C)&amp;"+"&amp;1,_xlfn.XLOOKUP(LEFT(SUBSTITUTE(G105,"[{",""),FIND(",",SUBSTITUTE(G105,"[{",""))-1),Sheet2!B:B,Sheet2!C:C)&amp;"+"&amp;SUBSTITUTE(RIGHT(G105,LEN(G105)-FIND(",",G105)),"}]","")/100&amp;"%")</f>
        <v>荧幕争锋增伤+24.7%</v>
      </c>
      <c r="L105" s="83" t="str">
        <f ca="1">IF(MOD(COUNTIF($Q$11:Q104,Q104),5)=0,OFFSET(装备属性!$G$1083,1+INT(COUNTA($Q$11:Q104)/5),0),L104)</f>
        <v>关键开团Ⅱ</v>
      </c>
      <c r="M105" s="89" t="str">
        <f ca="1">IF(MOD(COUNTIF($Q$11:Q104,Q104),5)=0,OFFSET(装备属性!$H$1083,1+INT(COUNTA($Q$11:Q104)/5),0),M104)</f>
        <v>arena_pve_hit_rare</v>
      </c>
      <c r="N105" s="76">
        <f ca="1">IF(MOD(COUNTIF($Q$11:Q104,Q104),5)=0,OFFSET(装备属性!$K$1083,1+INT(COUNTA($Q$11:Q104)/5),0),N104)</f>
        <v>0.058</v>
      </c>
      <c r="O105" s="76">
        <f ca="1">IF(MOD(COUNTIF($Q$11:Q104,Q104),5)=0,OFFSET(装备属性!$L$1083,1+INT(COUNTA($Q$11:Q104)/5),0),O104)</f>
        <v>0.072</v>
      </c>
      <c r="Q105" s="89" t="str">
        <f ca="1">IF(MOD(COUNTIF($Q$11:Q104,Q104),5)=0,OFFSET(装备属性!$M$1083,1+INT(COUNTA($Q$11:Q104)/5),0),Q104)</f>
        <v>玩法类</v>
      </c>
      <c r="R105" s="83" t="e">
        <f ca="1">IF(MOD(COUNTIF($Q$11:Q104,Q104),5)=0,10000*SUBSTITUTE(SUBSTITUTE(OFFSET(装备属性!$F$1083,1+INT(COUNTA($Q$11:Q104)/5),0),"[",""),"]","")+_xlfn.XLOOKUP(C105,$M$3:$M$7,$N$3:$N$7)*100,R104)</f>
        <v>#N/A</v>
      </c>
    </row>
    <row r="106" customHeight="1" spans="1:18">
      <c r="A106" s="78">
        <f ca="1" t="shared" si="3"/>
        <v>10501</v>
      </c>
      <c r="B106" s="82">
        <f ca="1">IFERROR(R106+COUNTIFS($R$11:$R106,R106),"")</f>
        <v>10511</v>
      </c>
      <c r="C106" s="83" t="str">
        <f ca="1">IF(MOD(COUNTIF($Q$11:Q105,Q105),5)=0,OFFSET(装备属性!$D$1083,1+INT(COUNTA($Q$11:Q105)/5),0),C105)</f>
        <v>橙</v>
      </c>
      <c r="D106" s="82">
        <f t="shared" si="5"/>
        <v>3000</v>
      </c>
      <c r="F106" s="82">
        <f ca="1" t="shared" si="4"/>
        <v>10502</v>
      </c>
      <c r="G106" s="78" t="str">
        <f ca="1">IF(AND(LEFT("[{"&amp;M106&amp;","&amp;CEILING(N106*10000+(O106-N106)/4*(COUNTIF($F$11:F106,F106)-1)*10000,10)&amp;"}]",7)="[{equip",MID("[{"&amp;M106&amp;","&amp;CEILING(N106*10000+(O106-N106)/4*(COUNTIF($F$11:F106,F106)-1)*10000,10)&amp;"}]",8,1)&lt;&gt;"_"),"[{"&amp;M106&amp;","&amp;1&amp;"}]","[{"&amp;M106&amp;","&amp;CEILING(N106*10000+(O106-N106)/4*(COUNTIF($F$11:F106,F106)-1)*10000,10)&amp;"}]")</f>
        <v>[{warrior_dmg_red_rate,200}]</v>
      </c>
      <c r="H106" s="82" t="s">
        <v>563</v>
      </c>
      <c r="J106" s="78">
        <f ca="1">IF(MOD(COUNTIF($Q$11:Q105,Q105),5)=0,OFFSET(装备属性!$P$1083,1+INT(COUNTA($Q$11:Q105)/5),0),J105)</f>
        <v>6</v>
      </c>
      <c r="K106" s="83" t="str">
        <f ca="1">IF(RIGHT(G106,13)="rune_slot,1}]",_xlfn.XLOOKUP(LEFT(SUBSTITUTE(G106,"[{",""),FIND(",",SUBSTITUTE(G106,"[{",""))-1),Sheet2!B:B,Sheet2!C:C)&amp;"+"&amp;1,_xlfn.XLOOKUP(LEFT(SUBSTITUTE(G106,"[{",""),FIND(",",SUBSTITUTE(G106,"[{",""))-1),Sheet2!B:B,Sheet2!C:C)&amp;"+"&amp;SUBSTITUTE(RIGHT(G106,LEN(G106)-FIND(",",G106)),"}]","")/100&amp;"%")</f>
        <v>战士伤害减免+2%</v>
      </c>
      <c r="L106" s="83" t="str">
        <f ca="1">IF(MOD(COUNTIF($Q$11:Q105,Q105),5)=0,OFFSET(装备属性!$G$1083,1+INT(COUNTA($Q$11:Q105)/5),0),L105)</f>
        <v>猛男耐打Ⅱ</v>
      </c>
      <c r="M106" s="89" t="str">
        <f ca="1">IF(MOD(COUNTIF($Q$11:Q105,Q105),5)=0,OFFSET(装备属性!$H$1083,1+INT(COUNTA($Q$11:Q105)/5),0),M105)</f>
        <v>warrior_dmg_red_rate</v>
      </c>
      <c r="N106" s="76">
        <f ca="1">IF(MOD(COUNTIF($Q$11:Q105,Q105),5)=0,OFFSET(装备属性!$K$1083,1+INT(COUNTA($Q$11:Q105)/5),0),N105)</f>
        <v>0.02</v>
      </c>
      <c r="O106" s="76">
        <f ca="1">IF(MOD(COUNTIF($Q$11:Q105,Q105),5)=0,OFFSET(装备属性!$L$1083,1+INT(COUNTA($Q$11:Q105)/5),0),O105)</f>
        <v>0.024</v>
      </c>
      <c r="Q106" s="89" t="str">
        <f ca="1">IF(MOD(COUNTIF($Q$11:Q105,Q105),5)=0,OFFSET(装备属性!$M$1083,1+INT(COUNTA($Q$11:Q105)/5),0),Q105)</f>
        <v>通用属性</v>
      </c>
      <c r="R106" s="83">
        <f ca="1">IF(MOD(COUNTIF($Q$11:Q105,Q105),5)=0,10000*SUBSTITUTE(SUBSTITUTE(OFFSET(装备属性!$F$1083,1+INT(COUNTA($Q$11:Q105)/5),0),"[",""),"]","")+_xlfn.XLOOKUP(C106,$M$3:$M$7,$N$3:$N$7)*100,R105)</f>
        <v>10500</v>
      </c>
    </row>
    <row r="107" customHeight="1" spans="1:18">
      <c r="A107" s="78">
        <f ca="1" t="shared" si="3"/>
        <v>10501</v>
      </c>
      <c r="B107" s="82">
        <f ca="1">IFERROR(R107+COUNTIFS($R$11:$R107,R107),"")</f>
        <v>10512</v>
      </c>
      <c r="C107" s="83" t="str">
        <f ca="1">IF(MOD(COUNTIF($Q$11:Q106,Q106),5)=0,OFFSET(装备属性!$D$1083,1+INT(COUNTA($Q$11:Q106)/5),0),C106)</f>
        <v>橙</v>
      </c>
      <c r="D107" s="82">
        <f t="shared" si="5"/>
        <v>2500</v>
      </c>
      <c r="F107" s="82">
        <f ca="1" t="shared" si="4"/>
        <v>10502</v>
      </c>
      <c r="G107" s="78" t="str">
        <f ca="1">IF(AND(LEFT("[{"&amp;M107&amp;","&amp;CEILING(N107*10000+(O107-N107)/4*(COUNTIF($F$11:F107,F107)-1)*10000,10)&amp;"}]",7)="[{equip",MID("[{"&amp;M107&amp;","&amp;CEILING(N107*10000+(O107-N107)/4*(COUNTIF($F$11:F107,F107)-1)*10000,10)&amp;"}]",8,1)&lt;&gt;"_"),"[{"&amp;M107&amp;","&amp;1&amp;"}]","[{"&amp;M107&amp;","&amp;CEILING(N107*10000+(O107-N107)/4*(COUNTIF($F$11:F107,F107)-1)*10000,10)&amp;"}]")</f>
        <v>[{warrior_dmg_red_rate,210}]</v>
      </c>
      <c r="H107" s="82" t="s">
        <v>563</v>
      </c>
      <c r="J107" s="78">
        <f ca="1">IF(MOD(COUNTIF($Q$11:Q106,Q106),5)=0,OFFSET(装备属性!$P$1083,1+INT(COUNTA($Q$11:Q106)/5),0),J106)</f>
        <v>6</v>
      </c>
      <c r="K107" s="83" t="str">
        <f ca="1">IF(RIGHT(G107,13)="rune_slot,1}]",_xlfn.XLOOKUP(LEFT(SUBSTITUTE(G107,"[{",""),FIND(",",SUBSTITUTE(G107,"[{",""))-1),Sheet2!B:B,Sheet2!C:C)&amp;"+"&amp;1,_xlfn.XLOOKUP(LEFT(SUBSTITUTE(G107,"[{",""),FIND(",",SUBSTITUTE(G107,"[{",""))-1),Sheet2!B:B,Sheet2!C:C)&amp;"+"&amp;SUBSTITUTE(RIGHT(G107,LEN(G107)-FIND(",",G107)),"}]","")/100&amp;"%")</f>
        <v>战士伤害减免+2.1%</v>
      </c>
      <c r="L107" s="83" t="str">
        <f ca="1">IF(MOD(COUNTIF($Q$11:Q106,Q106),5)=0,OFFSET(装备属性!$G$1083,1+INT(COUNTA($Q$11:Q106)/5),0),L106)</f>
        <v>猛男耐打Ⅱ</v>
      </c>
      <c r="M107" s="89" t="str">
        <f ca="1">IF(MOD(COUNTIF($Q$11:Q106,Q106),5)=0,OFFSET(装备属性!$H$1083,1+INT(COUNTA($Q$11:Q106)/5),0),M106)</f>
        <v>warrior_dmg_red_rate</v>
      </c>
      <c r="N107" s="76">
        <f ca="1">IF(MOD(COUNTIF($Q$11:Q106,Q106),5)=0,OFFSET(装备属性!$K$1083,1+INT(COUNTA($Q$11:Q106)/5),0),N106)</f>
        <v>0.02</v>
      </c>
      <c r="O107" s="76">
        <f ca="1">IF(MOD(COUNTIF($Q$11:Q106,Q106),5)=0,OFFSET(装备属性!$L$1083,1+INT(COUNTA($Q$11:Q106)/5),0),O106)</f>
        <v>0.024</v>
      </c>
      <c r="Q107" s="89" t="str">
        <f ca="1">IF(MOD(COUNTIF($Q$11:Q106,Q106),5)=0,OFFSET(装备属性!$M$1083,1+INT(COUNTA($Q$11:Q106)/5),0),Q106)</f>
        <v>通用属性</v>
      </c>
      <c r="R107" s="83">
        <f ca="1">IF(MOD(COUNTIF($Q$11:Q106,Q106),5)=0,10000*SUBSTITUTE(SUBSTITUTE(OFFSET(装备属性!$F$1083,1+INT(COUNTA($Q$11:Q106)/5),0),"[",""),"]","")+_xlfn.XLOOKUP(C107,$M$3:$M$7,$N$3:$N$7)*100,R106)</f>
        <v>10500</v>
      </c>
    </row>
    <row r="108" customHeight="1" spans="1:18">
      <c r="A108" s="78">
        <f ca="1" t="shared" si="3"/>
        <v>10501</v>
      </c>
      <c r="B108" s="82">
        <f ca="1">IFERROR(R108+COUNTIFS($R$11:$R108,R108),"")</f>
        <v>10513</v>
      </c>
      <c r="C108" s="83" t="str">
        <f ca="1">IF(MOD(COUNTIF($Q$11:Q107,Q107),5)=0,OFFSET(装备属性!$D$1083,1+INT(COUNTA($Q$11:Q107)/5),0),C107)</f>
        <v>橙</v>
      </c>
      <c r="D108" s="82">
        <f t="shared" si="5"/>
        <v>2000</v>
      </c>
      <c r="F108" s="82">
        <f ca="1" t="shared" si="4"/>
        <v>10502</v>
      </c>
      <c r="G108" s="78" t="str">
        <f ca="1">IF(AND(LEFT("[{"&amp;M108&amp;","&amp;CEILING(N108*10000+(O108-N108)/4*(COUNTIF($F$11:F108,F108)-1)*10000,10)&amp;"}]",7)="[{equip",MID("[{"&amp;M108&amp;","&amp;CEILING(N108*10000+(O108-N108)/4*(COUNTIF($F$11:F108,F108)-1)*10000,10)&amp;"}]",8,1)&lt;&gt;"_"),"[{"&amp;M108&amp;","&amp;1&amp;"}]","[{"&amp;M108&amp;","&amp;CEILING(N108*10000+(O108-N108)/4*(COUNTIF($F$11:F108,F108)-1)*10000,10)&amp;"}]")</f>
        <v>[{warrior_dmg_red_rate,220}]</v>
      </c>
      <c r="H108" s="82" t="s">
        <v>563</v>
      </c>
      <c r="J108" s="78">
        <f ca="1">IF(MOD(COUNTIF($Q$11:Q107,Q107),5)=0,OFFSET(装备属性!$P$1083,1+INT(COUNTA($Q$11:Q107)/5),0),J107)</f>
        <v>6</v>
      </c>
      <c r="K108" s="83" t="str">
        <f ca="1">IF(RIGHT(G108,13)="rune_slot,1}]",_xlfn.XLOOKUP(LEFT(SUBSTITUTE(G108,"[{",""),FIND(",",SUBSTITUTE(G108,"[{",""))-1),Sheet2!B:B,Sheet2!C:C)&amp;"+"&amp;1,_xlfn.XLOOKUP(LEFT(SUBSTITUTE(G108,"[{",""),FIND(",",SUBSTITUTE(G108,"[{",""))-1),Sheet2!B:B,Sheet2!C:C)&amp;"+"&amp;SUBSTITUTE(RIGHT(G108,LEN(G108)-FIND(",",G108)),"}]","")/100&amp;"%")</f>
        <v>战士伤害减免+2.2%</v>
      </c>
      <c r="L108" s="83" t="str">
        <f ca="1">IF(MOD(COUNTIF($Q$11:Q107,Q107),5)=0,OFFSET(装备属性!$G$1083,1+INT(COUNTA($Q$11:Q107)/5),0),L107)</f>
        <v>猛男耐打Ⅱ</v>
      </c>
      <c r="M108" s="89" t="str">
        <f ca="1">IF(MOD(COUNTIF($Q$11:Q107,Q107),5)=0,OFFSET(装备属性!$H$1083,1+INT(COUNTA($Q$11:Q107)/5),0),M107)</f>
        <v>warrior_dmg_red_rate</v>
      </c>
      <c r="N108" s="76">
        <f ca="1">IF(MOD(COUNTIF($Q$11:Q107,Q107),5)=0,OFFSET(装备属性!$K$1083,1+INT(COUNTA($Q$11:Q107)/5),0),N107)</f>
        <v>0.02</v>
      </c>
      <c r="O108" s="76">
        <f ca="1">IF(MOD(COUNTIF($Q$11:Q107,Q107),5)=0,OFFSET(装备属性!$L$1083,1+INT(COUNTA($Q$11:Q107)/5),0),O107)</f>
        <v>0.024</v>
      </c>
      <c r="Q108" s="89" t="str">
        <f ca="1">IF(MOD(COUNTIF($Q$11:Q107,Q107),5)=0,OFFSET(装备属性!$M$1083,1+INT(COUNTA($Q$11:Q107)/5),0),Q107)</f>
        <v>通用属性</v>
      </c>
      <c r="R108" s="83">
        <f ca="1">IF(MOD(COUNTIF($Q$11:Q107,Q107),5)=0,10000*SUBSTITUTE(SUBSTITUTE(OFFSET(装备属性!$F$1083,1+INT(COUNTA($Q$11:Q107)/5),0),"[",""),"]","")+_xlfn.XLOOKUP(C108,$M$3:$M$7,$N$3:$N$7)*100,R107)</f>
        <v>10500</v>
      </c>
    </row>
    <row r="109" customHeight="1" spans="1:18">
      <c r="A109" s="78">
        <f ca="1" t="shared" si="3"/>
        <v>10501</v>
      </c>
      <c r="B109" s="82">
        <f ca="1">IFERROR(R109+COUNTIFS($R$11:$R109,R109),"")</f>
        <v>10514</v>
      </c>
      <c r="C109" s="83" t="str">
        <f ca="1">IF(MOD(COUNTIF($Q$11:Q108,Q108),5)=0,OFFSET(装备属性!$D$1083,1+INT(COUNTA($Q$11:Q108)/5),0),C108)</f>
        <v>橙</v>
      </c>
      <c r="D109" s="82">
        <f t="shared" si="5"/>
        <v>1500</v>
      </c>
      <c r="F109" s="82">
        <f ca="1" t="shared" si="4"/>
        <v>10502</v>
      </c>
      <c r="G109" s="78" t="str">
        <f ca="1">IF(AND(LEFT("[{"&amp;M109&amp;","&amp;CEILING(N109*10000+(O109-N109)/4*(COUNTIF($F$11:F109,F109)-1)*10000,10)&amp;"}]",7)="[{equip",MID("[{"&amp;M109&amp;","&amp;CEILING(N109*10000+(O109-N109)/4*(COUNTIF($F$11:F109,F109)-1)*10000,10)&amp;"}]",8,1)&lt;&gt;"_"),"[{"&amp;M109&amp;","&amp;1&amp;"}]","[{"&amp;M109&amp;","&amp;CEILING(N109*10000+(O109-N109)/4*(COUNTIF($F$11:F109,F109)-1)*10000,10)&amp;"}]")</f>
        <v>[{warrior_dmg_red_rate,230}]</v>
      </c>
      <c r="H109" s="82" t="s">
        <v>563</v>
      </c>
      <c r="J109" s="78">
        <f ca="1">IF(MOD(COUNTIF($Q$11:Q108,Q108),5)=0,OFFSET(装备属性!$P$1083,1+INT(COUNTA($Q$11:Q108)/5),0),J108)</f>
        <v>6</v>
      </c>
      <c r="K109" s="83" t="str">
        <f ca="1">IF(RIGHT(G109,13)="rune_slot,1}]",_xlfn.XLOOKUP(LEFT(SUBSTITUTE(G109,"[{",""),FIND(",",SUBSTITUTE(G109,"[{",""))-1),Sheet2!B:B,Sheet2!C:C)&amp;"+"&amp;1,_xlfn.XLOOKUP(LEFT(SUBSTITUTE(G109,"[{",""),FIND(",",SUBSTITUTE(G109,"[{",""))-1),Sheet2!B:B,Sheet2!C:C)&amp;"+"&amp;SUBSTITUTE(RIGHT(G109,LEN(G109)-FIND(",",G109)),"}]","")/100&amp;"%")</f>
        <v>战士伤害减免+2.3%</v>
      </c>
      <c r="L109" s="83" t="str">
        <f ca="1">IF(MOD(COUNTIF($Q$11:Q108,Q108),5)=0,OFFSET(装备属性!$G$1083,1+INT(COUNTA($Q$11:Q108)/5),0),L108)</f>
        <v>猛男耐打Ⅱ</v>
      </c>
      <c r="M109" s="89" t="str">
        <f ca="1">IF(MOD(COUNTIF($Q$11:Q108,Q108),5)=0,OFFSET(装备属性!$H$1083,1+INT(COUNTA($Q$11:Q108)/5),0),M108)</f>
        <v>warrior_dmg_red_rate</v>
      </c>
      <c r="N109" s="76">
        <f ca="1">IF(MOD(COUNTIF($Q$11:Q108,Q108),5)=0,OFFSET(装备属性!$K$1083,1+INT(COUNTA($Q$11:Q108)/5),0),N108)</f>
        <v>0.02</v>
      </c>
      <c r="O109" s="76">
        <f ca="1">IF(MOD(COUNTIF($Q$11:Q108,Q108),5)=0,OFFSET(装备属性!$L$1083,1+INT(COUNTA($Q$11:Q108)/5),0),O108)</f>
        <v>0.024</v>
      </c>
      <c r="Q109" s="89" t="str">
        <f ca="1">IF(MOD(COUNTIF($Q$11:Q108,Q108),5)=0,OFFSET(装备属性!$M$1083,1+INT(COUNTA($Q$11:Q108)/5),0),Q108)</f>
        <v>通用属性</v>
      </c>
      <c r="R109" s="83">
        <f ca="1">IF(MOD(COUNTIF($Q$11:Q108,Q108),5)=0,10000*SUBSTITUTE(SUBSTITUTE(OFFSET(装备属性!$F$1083,1+INT(COUNTA($Q$11:Q108)/5),0),"[",""),"]","")+_xlfn.XLOOKUP(C109,$M$3:$M$7,$N$3:$N$7)*100,R108)</f>
        <v>10500</v>
      </c>
    </row>
    <row r="110" customHeight="1" spans="1:18">
      <c r="A110" s="78">
        <f ca="1" t="shared" si="3"/>
        <v>10501</v>
      </c>
      <c r="B110" s="82">
        <f ca="1">IFERROR(R110+COUNTIFS($R$11:$R110,R110),"")</f>
        <v>10515</v>
      </c>
      <c r="C110" s="83" t="str">
        <f ca="1">IF(MOD(COUNTIF($Q$11:Q109,Q109),5)=0,OFFSET(装备属性!$D$1083,1+INT(COUNTA($Q$11:Q109)/5),0),C109)</f>
        <v>橙</v>
      </c>
      <c r="D110" s="82">
        <f t="shared" si="5"/>
        <v>1000</v>
      </c>
      <c r="F110" s="82">
        <f ca="1" t="shared" si="4"/>
        <v>10502</v>
      </c>
      <c r="G110" s="78" t="str">
        <f ca="1">IF(AND(LEFT("[{"&amp;M110&amp;","&amp;CEILING(N110*10000+(O110-N110)/4*(COUNTIF($F$11:F110,F110)-1)*10000,10)&amp;"}]",7)="[{equip",MID("[{"&amp;M110&amp;","&amp;CEILING(N110*10000+(O110-N110)/4*(COUNTIF($F$11:F110,F110)-1)*10000,10)&amp;"}]",8,1)&lt;&gt;"_"),"[{"&amp;M110&amp;","&amp;1&amp;"}]","[{"&amp;M110&amp;","&amp;CEILING(N110*10000+(O110-N110)/4*(COUNTIF($F$11:F110,F110)-1)*10000,10)&amp;"}]")</f>
        <v>[{warrior_dmg_red_rate,240}]</v>
      </c>
      <c r="H110" s="82" t="s">
        <v>563</v>
      </c>
      <c r="J110" s="78">
        <f ca="1">IF(MOD(COUNTIF($Q$11:Q109,Q109),5)=0,OFFSET(装备属性!$P$1083,1+INT(COUNTA($Q$11:Q109)/5),0),J109)</f>
        <v>6</v>
      </c>
      <c r="K110" s="83" t="str">
        <f ca="1">IF(RIGHT(G110,13)="rune_slot,1}]",_xlfn.XLOOKUP(LEFT(SUBSTITUTE(G110,"[{",""),FIND(",",SUBSTITUTE(G110,"[{",""))-1),Sheet2!B:B,Sheet2!C:C)&amp;"+"&amp;1,_xlfn.XLOOKUP(LEFT(SUBSTITUTE(G110,"[{",""),FIND(",",SUBSTITUTE(G110,"[{",""))-1),Sheet2!B:B,Sheet2!C:C)&amp;"+"&amp;SUBSTITUTE(RIGHT(G110,LEN(G110)-FIND(",",G110)),"}]","")/100&amp;"%")</f>
        <v>战士伤害减免+2.4%</v>
      </c>
      <c r="L110" s="83" t="str">
        <f ca="1">IF(MOD(COUNTIF($Q$11:Q109,Q109),5)=0,OFFSET(装备属性!$G$1083,1+INT(COUNTA($Q$11:Q109)/5),0),L109)</f>
        <v>猛男耐打Ⅱ</v>
      </c>
      <c r="M110" s="89" t="str">
        <f ca="1">IF(MOD(COUNTIF($Q$11:Q109,Q109),5)=0,OFFSET(装备属性!$H$1083,1+INT(COUNTA($Q$11:Q109)/5),0),M109)</f>
        <v>warrior_dmg_red_rate</v>
      </c>
      <c r="N110" s="76">
        <f ca="1">IF(MOD(COUNTIF($Q$11:Q109,Q109),5)=0,OFFSET(装备属性!$K$1083,1+INT(COUNTA($Q$11:Q109)/5),0),N109)</f>
        <v>0.02</v>
      </c>
      <c r="O110" s="76">
        <f ca="1">IF(MOD(COUNTIF($Q$11:Q109,Q109),5)=0,OFFSET(装备属性!$L$1083,1+INT(COUNTA($Q$11:Q109)/5),0),O109)</f>
        <v>0.024</v>
      </c>
      <c r="Q110" s="89" t="str">
        <f ca="1">IF(MOD(COUNTIF($Q$11:Q109,Q109),5)=0,OFFSET(装备属性!$M$1083,1+INT(COUNTA($Q$11:Q109)/5),0),Q109)</f>
        <v>通用属性</v>
      </c>
      <c r="R110" s="83">
        <f ca="1">IF(MOD(COUNTIF($Q$11:Q109,Q109),5)=0,10000*SUBSTITUTE(SUBSTITUTE(OFFSET(装备属性!$F$1083,1+INT(COUNTA($Q$11:Q109)/5),0),"[",""),"]","")+_xlfn.XLOOKUP(C110,$M$3:$M$7,$N$3:$N$7)*100,R109)</f>
        <v>10500</v>
      </c>
    </row>
    <row r="111" customHeight="1" spans="1:18">
      <c r="A111" s="78">
        <f ca="1" t="shared" si="3"/>
        <v>10501</v>
      </c>
      <c r="B111" s="82">
        <f ca="1">IFERROR(R111+COUNTIFS($R$11:$R111,R111),"")</f>
        <v>10516</v>
      </c>
      <c r="C111" s="83" t="str">
        <f ca="1">IF(MOD(COUNTIF($Q$11:Q110,Q110),5)=0,OFFSET(装备属性!$D$1083,1+INT(COUNTA($Q$11:Q110)/5),0),C110)</f>
        <v>橙</v>
      </c>
      <c r="D111" s="82">
        <f t="shared" si="5"/>
        <v>3000</v>
      </c>
      <c r="F111" s="82">
        <f ca="1" t="shared" si="4"/>
        <v>10503</v>
      </c>
      <c r="G111" s="78" t="str">
        <f ca="1">IF(AND(LEFT("[{"&amp;M111&amp;","&amp;CEILING(N111*10000+(O111-N111)/4*(COUNTIF($F$11:F111,F111)-1)*10000,10)&amp;"}]",7)="[{equip",MID("[{"&amp;M111&amp;","&amp;CEILING(N111*10000+(O111-N111)/4*(COUNTIF($F$11:F111,F111)-1)*10000,10)&amp;"}]",8,1)&lt;&gt;"_"),"[{"&amp;M111&amp;","&amp;1&amp;"}]","[{"&amp;M111&amp;","&amp;CEILING(N111*10000+(O111-N111)/4*(COUNTIF($F$11:F111,F111)-1)*10000,10)&amp;"}]")</f>
        <v>[{warrior_dmg_rate,580}]</v>
      </c>
      <c r="H111" s="82" t="s">
        <v>563</v>
      </c>
      <c r="J111" s="78">
        <f ca="1">IF(MOD(COUNTIF($Q$11:Q110,Q110),5)=0,OFFSET(装备属性!$P$1083,1+INT(COUNTA($Q$11:Q110)/5),0),J110)</f>
        <v>5</v>
      </c>
      <c r="K111" s="83" t="str">
        <f ca="1">IF(RIGHT(G111,13)="rune_slot,1}]",_xlfn.XLOOKUP(LEFT(SUBSTITUTE(G111,"[{",""),FIND(",",SUBSTITUTE(G111,"[{",""))-1),Sheet2!B:B,Sheet2!C:C)&amp;"+"&amp;1,_xlfn.XLOOKUP(LEFT(SUBSTITUTE(G111,"[{",""),FIND(",",SUBSTITUTE(G111,"[{",""))-1),Sheet2!B:B,Sheet2!C:C)&amp;"+"&amp;SUBSTITUTE(RIGHT(G111,LEN(G111)-FIND(",",G111)),"}]","")/100&amp;"%")</f>
        <v>战士伤害+5.8%</v>
      </c>
      <c r="L111" s="83" t="str">
        <f ca="1">IF(MOD(COUNTIF($Q$11:Q110,Q110),5)=0,OFFSET(装备属性!$G$1083,1+INT(COUNTA($Q$11:Q110)/5),0),L110)</f>
        <v>猛男加劲Ⅱ</v>
      </c>
      <c r="M111" s="89" t="str">
        <f ca="1">IF(MOD(COUNTIF($Q$11:Q110,Q110),5)=0,OFFSET(装备属性!$H$1083,1+INT(COUNTA($Q$11:Q110)/5),0),M110)</f>
        <v>warrior_dmg_rate</v>
      </c>
      <c r="N111" s="76">
        <f ca="1">IF(MOD(COUNTIF($Q$11:Q110,Q110),5)=0,OFFSET(装备属性!$K$1083,1+INT(COUNTA($Q$11:Q110)/5),0),N110)</f>
        <v>0.058</v>
      </c>
      <c r="O111" s="76">
        <f ca="1">IF(MOD(COUNTIF($Q$11:Q110,Q110),5)=0,OFFSET(装备属性!$L$1083,1+INT(COUNTA($Q$11:Q110)/5),0),O110)</f>
        <v>0.072</v>
      </c>
      <c r="Q111" s="89" t="str">
        <f ca="1">IF(MOD(COUNTIF($Q$11:Q110,Q110),5)=0,OFFSET(装备属性!$M$1083,1+INT(COUNTA($Q$11:Q110)/5),0),Q110)</f>
        <v>通用属性</v>
      </c>
      <c r="R111" s="83">
        <f ca="1">IF(MOD(COUNTIF($Q$11:Q110,Q110),5)=0,10000*SUBSTITUTE(SUBSTITUTE(OFFSET(装备属性!$F$1083,1+INT(COUNTA($Q$11:Q110)/5),0),"[",""),"]","")+_xlfn.XLOOKUP(C111,$M$3:$M$7,$N$3:$N$7)*100,R110)</f>
        <v>10500</v>
      </c>
    </row>
    <row r="112" customHeight="1" spans="1:18">
      <c r="A112" s="78">
        <f ca="1" t="shared" si="3"/>
        <v>10501</v>
      </c>
      <c r="B112" s="82">
        <f ca="1">IFERROR(R112+COUNTIFS($R$11:$R112,R112),"")</f>
        <v>10517</v>
      </c>
      <c r="C112" s="83" t="str">
        <f ca="1">IF(MOD(COUNTIF($Q$11:Q111,Q111),5)=0,OFFSET(装备属性!$D$1083,1+INT(COUNTA($Q$11:Q111)/5),0),C111)</f>
        <v>橙</v>
      </c>
      <c r="D112" s="82">
        <f t="shared" si="5"/>
        <v>2500</v>
      </c>
      <c r="F112" s="82">
        <f ca="1" t="shared" si="4"/>
        <v>10503</v>
      </c>
      <c r="G112" s="78" t="str">
        <f ca="1">IF(AND(LEFT("[{"&amp;M112&amp;","&amp;CEILING(N112*10000+(O112-N112)/4*(COUNTIF($F$11:F112,F112)-1)*10000,10)&amp;"}]",7)="[{equip",MID("[{"&amp;M112&amp;","&amp;CEILING(N112*10000+(O112-N112)/4*(COUNTIF($F$11:F112,F112)-1)*10000,10)&amp;"}]",8,1)&lt;&gt;"_"),"[{"&amp;M112&amp;","&amp;1&amp;"}]","[{"&amp;M112&amp;","&amp;CEILING(N112*10000+(O112-N112)/4*(COUNTIF($F$11:F112,F112)-1)*10000,10)&amp;"}]")</f>
        <v>[{warrior_dmg_rate,620}]</v>
      </c>
      <c r="H112" s="82" t="s">
        <v>563</v>
      </c>
      <c r="J112" s="78">
        <f ca="1">IF(MOD(COUNTIF($Q$11:Q111,Q111),5)=0,OFFSET(装备属性!$P$1083,1+INT(COUNTA($Q$11:Q111)/5),0),J111)</f>
        <v>5</v>
      </c>
      <c r="K112" s="83" t="str">
        <f ca="1">IF(RIGHT(G112,13)="rune_slot,1}]",_xlfn.XLOOKUP(LEFT(SUBSTITUTE(G112,"[{",""),FIND(",",SUBSTITUTE(G112,"[{",""))-1),Sheet2!B:B,Sheet2!C:C)&amp;"+"&amp;1,_xlfn.XLOOKUP(LEFT(SUBSTITUTE(G112,"[{",""),FIND(",",SUBSTITUTE(G112,"[{",""))-1),Sheet2!B:B,Sheet2!C:C)&amp;"+"&amp;SUBSTITUTE(RIGHT(G112,LEN(G112)-FIND(",",G112)),"}]","")/100&amp;"%")</f>
        <v>战士伤害+6.2%</v>
      </c>
      <c r="L112" s="83" t="str">
        <f ca="1">IF(MOD(COUNTIF($Q$11:Q111,Q111),5)=0,OFFSET(装备属性!$G$1083,1+INT(COUNTA($Q$11:Q111)/5),0),L111)</f>
        <v>猛男加劲Ⅱ</v>
      </c>
      <c r="M112" s="89" t="str">
        <f ca="1">IF(MOD(COUNTIF($Q$11:Q111,Q111),5)=0,OFFSET(装备属性!$H$1083,1+INT(COUNTA($Q$11:Q111)/5),0),M111)</f>
        <v>warrior_dmg_rate</v>
      </c>
      <c r="N112" s="76">
        <f ca="1">IF(MOD(COUNTIF($Q$11:Q111,Q111),5)=0,OFFSET(装备属性!$K$1083,1+INT(COUNTA($Q$11:Q111)/5),0),N111)</f>
        <v>0.058</v>
      </c>
      <c r="O112" s="76">
        <f ca="1">IF(MOD(COUNTIF($Q$11:Q111,Q111),5)=0,OFFSET(装备属性!$L$1083,1+INT(COUNTA($Q$11:Q111)/5),0),O111)</f>
        <v>0.072</v>
      </c>
      <c r="Q112" s="89" t="str">
        <f ca="1">IF(MOD(COUNTIF($Q$11:Q111,Q111),5)=0,OFFSET(装备属性!$M$1083,1+INT(COUNTA($Q$11:Q111)/5),0),Q111)</f>
        <v>通用属性</v>
      </c>
      <c r="R112" s="83">
        <f ca="1">IF(MOD(COUNTIF($Q$11:Q111,Q111),5)=0,10000*SUBSTITUTE(SUBSTITUTE(OFFSET(装备属性!$F$1083,1+INT(COUNTA($Q$11:Q111)/5),0),"[",""),"]","")+_xlfn.XLOOKUP(C112,$M$3:$M$7,$N$3:$N$7)*100,R111)</f>
        <v>10500</v>
      </c>
    </row>
    <row r="113" customHeight="1" spans="1:18">
      <c r="A113" s="78">
        <f ca="1" t="shared" si="3"/>
        <v>10501</v>
      </c>
      <c r="B113" s="82">
        <f ca="1">IFERROR(R113+COUNTIFS($R$11:$R113,R113),"")</f>
        <v>10518</v>
      </c>
      <c r="C113" s="83" t="str">
        <f ca="1">IF(MOD(COUNTIF($Q$11:Q112,Q112),5)=0,OFFSET(装备属性!$D$1083,1+INT(COUNTA($Q$11:Q112)/5),0),C112)</f>
        <v>橙</v>
      </c>
      <c r="D113" s="82">
        <f t="shared" si="5"/>
        <v>2000</v>
      </c>
      <c r="F113" s="82">
        <f ca="1" t="shared" si="4"/>
        <v>10503</v>
      </c>
      <c r="G113" s="78" t="str">
        <f ca="1">IF(AND(LEFT("[{"&amp;M113&amp;","&amp;CEILING(N113*10000+(O113-N113)/4*(COUNTIF($F$11:F113,F113)-1)*10000,10)&amp;"}]",7)="[{equip",MID("[{"&amp;M113&amp;","&amp;CEILING(N113*10000+(O113-N113)/4*(COUNTIF($F$11:F113,F113)-1)*10000,10)&amp;"}]",8,1)&lt;&gt;"_"),"[{"&amp;M113&amp;","&amp;1&amp;"}]","[{"&amp;M113&amp;","&amp;CEILING(N113*10000+(O113-N113)/4*(COUNTIF($F$11:F113,F113)-1)*10000,10)&amp;"}]")</f>
        <v>[{warrior_dmg_rate,650}]</v>
      </c>
      <c r="H113" s="82" t="s">
        <v>563</v>
      </c>
      <c r="J113" s="78">
        <f ca="1">IF(MOD(COUNTIF($Q$11:Q112,Q112),5)=0,OFFSET(装备属性!$P$1083,1+INT(COUNTA($Q$11:Q112)/5),0),J112)</f>
        <v>5</v>
      </c>
      <c r="K113" s="83" t="str">
        <f ca="1">IF(RIGHT(G113,13)="rune_slot,1}]",_xlfn.XLOOKUP(LEFT(SUBSTITUTE(G113,"[{",""),FIND(",",SUBSTITUTE(G113,"[{",""))-1),Sheet2!B:B,Sheet2!C:C)&amp;"+"&amp;1,_xlfn.XLOOKUP(LEFT(SUBSTITUTE(G113,"[{",""),FIND(",",SUBSTITUTE(G113,"[{",""))-1),Sheet2!B:B,Sheet2!C:C)&amp;"+"&amp;SUBSTITUTE(RIGHT(G113,LEN(G113)-FIND(",",G113)),"}]","")/100&amp;"%")</f>
        <v>战士伤害+6.5%</v>
      </c>
      <c r="L113" s="83" t="str">
        <f ca="1">IF(MOD(COUNTIF($Q$11:Q112,Q112),5)=0,OFFSET(装备属性!$G$1083,1+INT(COUNTA($Q$11:Q112)/5),0),L112)</f>
        <v>猛男加劲Ⅱ</v>
      </c>
      <c r="M113" s="89" t="str">
        <f ca="1">IF(MOD(COUNTIF($Q$11:Q112,Q112),5)=0,OFFSET(装备属性!$H$1083,1+INT(COUNTA($Q$11:Q112)/5),0),M112)</f>
        <v>warrior_dmg_rate</v>
      </c>
      <c r="N113" s="76">
        <f ca="1">IF(MOD(COUNTIF($Q$11:Q112,Q112),5)=0,OFFSET(装备属性!$K$1083,1+INT(COUNTA($Q$11:Q112)/5),0),N112)</f>
        <v>0.058</v>
      </c>
      <c r="O113" s="76">
        <f ca="1">IF(MOD(COUNTIF($Q$11:Q112,Q112),5)=0,OFFSET(装备属性!$L$1083,1+INT(COUNTA($Q$11:Q112)/5),0),O112)</f>
        <v>0.072</v>
      </c>
      <c r="Q113" s="89" t="str">
        <f ca="1">IF(MOD(COUNTIF($Q$11:Q112,Q112),5)=0,OFFSET(装备属性!$M$1083,1+INT(COUNTA($Q$11:Q112)/5),0),Q112)</f>
        <v>通用属性</v>
      </c>
      <c r="R113" s="83">
        <f ca="1">IF(MOD(COUNTIF($Q$11:Q112,Q112),5)=0,10000*SUBSTITUTE(SUBSTITUTE(OFFSET(装备属性!$F$1083,1+INT(COUNTA($Q$11:Q112)/5),0),"[",""),"]","")+_xlfn.XLOOKUP(C113,$M$3:$M$7,$N$3:$N$7)*100,R112)</f>
        <v>10500</v>
      </c>
    </row>
    <row r="114" customHeight="1" spans="1:18">
      <c r="A114" s="78">
        <f ca="1" t="shared" si="3"/>
        <v>10501</v>
      </c>
      <c r="B114" s="82">
        <f ca="1">IFERROR(R114+COUNTIFS($R$11:$R114,R114),"")</f>
        <v>10519</v>
      </c>
      <c r="C114" s="83" t="str">
        <f ca="1">IF(MOD(COUNTIF($Q$11:Q113,Q113),5)=0,OFFSET(装备属性!$D$1083,1+INT(COUNTA($Q$11:Q113)/5),0),C113)</f>
        <v>橙</v>
      </c>
      <c r="D114" s="82">
        <f t="shared" si="5"/>
        <v>1500</v>
      </c>
      <c r="F114" s="82">
        <f ca="1" t="shared" si="4"/>
        <v>10503</v>
      </c>
      <c r="G114" s="78" t="str">
        <f ca="1">IF(AND(LEFT("[{"&amp;M114&amp;","&amp;CEILING(N114*10000+(O114-N114)/4*(COUNTIF($F$11:F114,F114)-1)*10000,10)&amp;"}]",7)="[{equip",MID("[{"&amp;M114&amp;","&amp;CEILING(N114*10000+(O114-N114)/4*(COUNTIF($F$11:F114,F114)-1)*10000,10)&amp;"}]",8,1)&lt;&gt;"_"),"[{"&amp;M114&amp;","&amp;1&amp;"}]","[{"&amp;M114&amp;","&amp;CEILING(N114*10000+(O114-N114)/4*(COUNTIF($F$11:F114,F114)-1)*10000,10)&amp;"}]")</f>
        <v>[{warrior_dmg_rate,690}]</v>
      </c>
      <c r="H114" s="82" t="s">
        <v>563</v>
      </c>
      <c r="J114" s="78">
        <f ca="1">IF(MOD(COUNTIF($Q$11:Q113,Q113),5)=0,OFFSET(装备属性!$P$1083,1+INT(COUNTA($Q$11:Q113)/5),0),J113)</f>
        <v>5</v>
      </c>
      <c r="K114" s="83" t="str">
        <f ca="1">IF(RIGHT(G114,13)="rune_slot,1}]",_xlfn.XLOOKUP(LEFT(SUBSTITUTE(G114,"[{",""),FIND(",",SUBSTITUTE(G114,"[{",""))-1),Sheet2!B:B,Sheet2!C:C)&amp;"+"&amp;1,_xlfn.XLOOKUP(LEFT(SUBSTITUTE(G114,"[{",""),FIND(",",SUBSTITUTE(G114,"[{",""))-1),Sheet2!B:B,Sheet2!C:C)&amp;"+"&amp;SUBSTITUTE(RIGHT(G114,LEN(G114)-FIND(",",G114)),"}]","")/100&amp;"%")</f>
        <v>战士伤害+6.9%</v>
      </c>
      <c r="L114" s="83" t="str">
        <f ca="1">IF(MOD(COUNTIF($Q$11:Q113,Q113),5)=0,OFFSET(装备属性!$G$1083,1+INT(COUNTA($Q$11:Q113)/5),0),L113)</f>
        <v>猛男加劲Ⅱ</v>
      </c>
      <c r="M114" s="89" t="str">
        <f ca="1">IF(MOD(COUNTIF($Q$11:Q113,Q113),5)=0,OFFSET(装备属性!$H$1083,1+INT(COUNTA($Q$11:Q113)/5),0),M113)</f>
        <v>warrior_dmg_rate</v>
      </c>
      <c r="N114" s="76">
        <f ca="1">IF(MOD(COUNTIF($Q$11:Q113,Q113),5)=0,OFFSET(装备属性!$K$1083,1+INT(COUNTA($Q$11:Q113)/5),0),N113)</f>
        <v>0.058</v>
      </c>
      <c r="O114" s="76">
        <f ca="1">IF(MOD(COUNTIF($Q$11:Q113,Q113),5)=0,OFFSET(装备属性!$L$1083,1+INT(COUNTA($Q$11:Q113)/5),0),O113)</f>
        <v>0.072</v>
      </c>
      <c r="Q114" s="89" t="str">
        <f ca="1">IF(MOD(COUNTIF($Q$11:Q113,Q113),5)=0,OFFSET(装备属性!$M$1083,1+INT(COUNTA($Q$11:Q113)/5),0),Q113)</f>
        <v>通用属性</v>
      </c>
      <c r="R114" s="83">
        <f ca="1">IF(MOD(COUNTIF($Q$11:Q113,Q113),5)=0,10000*SUBSTITUTE(SUBSTITUTE(OFFSET(装备属性!$F$1083,1+INT(COUNTA($Q$11:Q113)/5),0),"[",""),"]","")+_xlfn.XLOOKUP(C114,$M$3:$M$7,$N$3:$N$7)*100,R113)</f>
        <v>10500</v>
      </c>
    </row>
    <row r="115" customHeight="1" spans="1:18">
      <c r="A115" s="78">
        <f ca="1" t="shared" si="3"/>
        <v>10501</v>
      </c>
      <c r="B115" s="82">
        <f ca="1">IFERROR(R115+COUNTIFS($R$11:$R115,R115),"")</f>
        <v>10520</v>
      </c>
      <c r="C115" s="83" t="str">
        <f ca="1">IF(MOD(COUNTIF($Q$11:Q114,Q114),5)=0,OFFSET(装备属性!$D$1083,1+INT(COUNTA($Q$11:Q114)/5),0),C114)</f>
        <v>橙</v>
      </c>
      <c r="D115" s="82">
        <f t="shared" si="5"/>
        <v>1000</v>
      </c>
      <c r="F115" s="82">
        <f ca="1" t="shared" si="4"/>
        <v>10503</v>
      </c>
      <c r="G115" s="78" t="str">
        <f ca="1">IF(AND(LEFT("[{"&amp;M115&amp;","&amp;CEILING(N115*10000+(O115-N115)/4*(COUNTIF($F$11:F115,F115)-1)*10000,10)&amp;"}]",7)="[{equip",MID("[{"&amp;M115&amp;","&amp;CEILING(N115*10000+(O115-N115)/4*(COUNTIF($F$11:F115,F115)-1)*10000,10)&amp;"}]",8,1)&lt;&gt;"_"),"[{"&amp;M115&amp;","&amp;1&amp;"}]","[{"&amp;M115&amp;","&amp;CEILING(N115*10000+(O115-N115)/4*(COUNTIF($F$11:F115,F115)-1)*10000,10)&amp;"}]")</f>
        <v>[{warrior_dmg_rate,720}]</v>
      </c>
      <c r="H115" s="82" t="s">
        <v>563</v>
      </c>
      <c r="J115" s="78">
        <f ca="1">IF(MOD(COUNTIF($Q$11:Q114,Q114),5)=0,OFFSET(装备属性!$P$1083,1+INT(COUNTA($Q$11:Q114)/5),0),J114)</f>
        <v>5</v>
      </c>
      <c r="K115" s="83" t="str">
        <f ca="1">IF(RIGHT(G115,13)="rune_slot,1}]",_xlfn.XLOOKUP(LEFT(SUBSTITUTE(G115,"[{",""),FIND(",",SUBSTITUTE(G115,"[{",""))-1),Sheet2!B:B,Sheet2!C:C)&amp;"+"&amp;1,_xlfn.XLOOKUP(LEFT(SUBSTITUTE(G115,"[{",""),FIND(",",SUBSTITUTE(G115,"[{",""))-1),Sheet2!B:B,Sheet2!C:C)&amp;"+"&amp;SUBSTITUTE(RIGHT(G115,LEN(G115)-FIND(",",G115)),"}]","")/100&amp;"%")</f>
        <v>战士伤害+7.2%</v>
      </c>
      <c r="L115" s="83" t="str">
        <f ca="1">IF(MOD(COUNTIF($Q$11:Q114,Q114),5)=0,OFFSET(装备属性!$G$1083,1+INT(COUNTA($Q$11:Q114)/5),0),L114)</f>
        <v>猛男加劲Ⅱ</v>
      </c>
      <c r="M115" s="89" t="str">
        <f ca="1">IF(MOD(COUNTIF($Q$11:Q114,Q114),5)=0,OFFSET(装备属性!$H$1083,1+INT(COUNTA($Q$11:Q114)/5),0),M114)</f>
        <v>warrior_dmg_rate</v>
      </c>
      <c r="N115" s="76">
        <f ca="1">IF(MOD(COUNTIF($Q$11:Q114,Q114),5)=0,OFFSET(装备属性!$K$1083,1+INT(COUNTA($Q$11:Q114)/5),0),N114)</f>
        <v>0.058</v>
      </c>
      <c r="O115" s="76">
        <f ca="1">IF(MOD(COUNTIF($Q$11:Q114,Q114),5)=0,OFFSET(装备属性!$L$1083,1+INT(COUNTA($Q$11:Q114)/5),0),O114)</f>
        <v>0.072</v>
      </c>
      <c r="Q115" s="89" t="str">
        <f ca="1">IF(MOD(COUNTIF($Q$11:Q114,Q114),5)=0,OFFSET(装备属性!$M$1083,1+INT(COUNTA($Q$11:Q114)/5),0),Q114)</f>
        <v>通用属性</v>
      </c>
      <c r="R115" s="83">
        <f ca="1">IF(MOD(COUNTIF($Q$11:Q114,Q114),5)=0,10000*SUBSTITUTE(SUBSTITUTE(OFFSET(装备属性!$F$1083,1+INT(COUNTA($Q$11:Q114)/5),0),"[",""),"]","")+_xlfn.XLOOKUP(C115,$M$3:$M$7,$N$3:$N$7)*100,R114)</f>
        <v>10500</v>
      </c>
    </row>
    <row r="116" customHeight="1" spans="1:18">
      <c r="A116" s="78" t="str">
        <f ca="1" t="shared" si="3"/>
        <v/>
      </c>
      <c r="B116" s="82" t="str">
        <f ca="1">IFERROR(R116+COUNTIFS($R$11:$R116,R116),"")</f>
        <v/>
      </c>
      <c r="C116" s="83">
        <f ca="1">IF(MOD(COUNTIF($Q$11:Q115,Q115),5)=0,OFFSET(装备属性!$D$1083,1+INT(COUNTA($Q$11:Q115)/5),0),C115)</f>
        <v>0</v>
      </c>
      <c r="D116" s="82">
        <f t="shared" si="5"/>
        <v>3000</v>
      </c>
      <c r="F116" s="82" t="str">
        <f ca="1" t="shared" si="4"/>
        <v/>
      </c>
      <c r="G116" s="78" t="str">
        <f ca="1">IF(AND(LEFT("[{"&amp;M116&amp;","&amp;CEILING(N116*10000+(O116-N116)/4*(COUNTIF($F$11:F116,F116)-1)*10000,10)&amp;"}]",7)="[{equip",MID("[{"&amp;M116&amp;","&amp;CEILING(N116*10000+(O116-N116)/4*(COUNTIF($F$11:F116,F116)-1)*10000,10)&amp;"}]",8,1)&lt;&gt;"_"),"[{"&amp;M116&amp;","&amp;1&amp;"}]","[{"&amp;M116&amp;","&amp;CEILING(N116*10000+(O116-N116)/4*(COUNTIF($F$11:F116,F116)-1)*10000,10)&amp;"}]")</f>
        <v>[{warrior_class_dmg_rate,2820}]</v>
      </c>
      <c r="H116" s="82" t="s">
        <v>563</v>
      </c>
      <c r="J116" s="78">
        <f ca="1">IF(MOD(COUNTIF($Q$11:Q115,Q115),5)=0,OFFSET(装备属性!$P$1083,1+INT(COUNTA($Q$11:Q115)/5),0),J115)</f>
        <v>3</v>
      </c>
      <c r="K116" s="83" t="str">
        <f ca="1">IF(RIGHT(G116,13)="rune_slot,1}]",_xlfn.XLOOKUP(LEFT(SUBSTITUTE(G116,"[{",""),FIND(",",SUBSTITUTE(G116,"[{",""))-1),Sheet2!B:B,Sheet2!C:C)&amp;"+"&amp;1,_xlfn.XLOOKUP(LEFT(SUBSTITUTE(G116,"[{",""),FIND(",",SUBSTITUTE(G116,"[{",""))-1),Sheet2!B:B,Sheet2!C:C)&amp;"+"&amp;SUBSTITUTE(RIGHT(G116,LEN(G116)-FIND(",",G116)),"}]","")/100&amp;"%")</f>
        <v>上阵两个战士职业增伤+28.2%</v>
      </c>
      <c r="L116" s="83" t="str">
        <f ca="1">IF(MOD(COUNTIF($Q$11:Q115,Q115),5)=0,OFFSET(装备属性!$G$1083,1+INT(COUNTA($Q$11:Q115)/5),0),L115)</f>
        <v>猛男小队Ⅱ</v>
      </c>
      <c r="M116" s="89" t="str">
        <f ca="1">IF(MOD(COUNTIF($Q$11:Q115,Q115),5)=0,OFFSET(装备属性!$H$1083,1+INT(COUNTA($Q$11:Q115)/5),0),M115)</f>
        <v>warrior_class_dmg_rate</v>
      </c>
      <c r="N116" s="76">
        <f ca="1">IF(MOD(COUNTIF($Q$11:Q115,Q115),5)=0,OFFSET(装备属性!$K$1083,1+INT(COUNTA($Q$11:Q115)/5),0),N115)</f>
        <v>0.075</v>
      </c>
      <c r="O116" s="76">
        <f ca="1">IF(MOD(COUNTIF($Q$11:Q115,Q115),5)=0,OFFSET(装备属性!$L$1083,1+INT(COUNTA($Q$11:Q115)/5),0),O115)</f>
        <v>0.09</v>
      </c>
      <c r="Q116" s="89" t="str">
        <f ca="1">IF(MOD(COUNTIF($Q$11:Q115,Q115),5)=0,OFFSET(装备属性!$M$1083,1+INT(COUNTA($Q$11:Q115)/5),0),Q115)</f>
        <v>通用属性</v>
      </c>
      <c r="R116" s="83" t="e">
        <f ca="1">IF(MOD(COUNTIF($Q$11:Q115,Q115),5)=0,10000*SUBSTITUTE(SUBSTITUTE(OFFSET(装备属性!$F$1083,1+INT(COUNTA($Q$11:Q115)/5),0),"[",""),"]","")+_xlfn.XLOOKUP(C116,$M$3:$M$7,$N$3:$N$7)*100,R115)</f>
        <v>#N/A</v>
      </c>
    </row>
    <row r="117" customHeight="1" spans="1:18">
      <c r="A117" s="78" t="str">
        <f ca="1" t="shared" si="3"/>
        <v/>
      </c>
      <c r="B117" s="82" t="str">
        <f ca="1">IFERROR(R117+COUNTIFS($R$11:$R117,R117),"")</f>
        <v/>
      </c>
      <c r="C117" s="83">
        <f ca="1">IF(MOD(COUNTIF($Q$11:Q116,Q116),5)=0,OFFSET(装备属性!$D$1083,1+INT(COUNTA($Q$11:Q116)/5),0),C116)</f>
        <v>0</v>
      </c>
      <c r="D117" s="82">
        <f t="shared" si="5"/>
        <v>2500</v>
      </c>
      <c r="F117" s="82" t="str">
        <f ca="1" t="shared" si="4"/>
        <v/>
      </c>
      <c r="G117" s="78" t="str">
        <f ca="1">IF(AND(LEFT("[{"&amp;M117&amp;","&amp;CEILING(N117*10000+(O117-N117)/4*(COUNTIF($F$11:F117,F117)-1)*10000,10)&amp;"}]",7)="[{equip",MID("[{"&amp;M117&amp;","&amp;CEILING(N117*10000+(O117-N117)/4*(COUNTIF($F$11:F117,F117)-1)*10000,10)&amp;"}]",8,1)&lt;&gt;"_"),"[{"&amp;M117&amp;","&amp;1&amp;"}]","[{"&amp;M117&amp;","&amp;CEILING(N117*10000+(O117-N117)/4*(COUNTIF($F$11:F117,F117)-1)*10000,10)&amp;"}]")</f>
        <v>[{warrior_class_dmg_rate,2850}]</v>
      </c>
      <c r="H117" s="82" t="s">
        <v>563</v>
      </c>
      <c r="J117" s="78">
        <f ca="1">IF(MOD(COUNTIF($Q$11:Q116,Q116),5)=0,OFFSET(装备属性!$P$1083,1+INT(COUNTA($Q$11:Q116)/5),0),J116)</f>
        <v>3</v>
      </c>
      <c r="K117" s="83" t="str">
        <f ca="1">IF(RIGHT(G117,13)="rune_slot,1}]",_xlfn.XLOOKUP(LEFT(SUBSTITUTE(G117,"[{",""),FIND(",",SUBSTITUTE(G117,"[{",""))-1),Sheet2!B:B,Sheet2!C:C)&amp;"+"&amp;1,_xlfn.XLOOKUP(LEFT(SUBSTITUTE(G117,"[{",""),FIND(",",SUBSTITUTE(G117,"[{",""))-1),Sheet2!B:B,Sheet2!C:C)&amp;"+"&amp;SUBSTITUTE(RIGHT(G117,LEN(G117)-FIND(",",G117)),"}]","")/100&amp;"%")</f>
        <v>上阵两个战士职业增伤+28.5%</v>
      </c>
      <c r="L117" s="83" t="str">
        <f ca="1">IF(MOD(COUNTIF($Q$11:Q116,Q116),5)=0,OFFSET(装备属性!$G$1083,1+INT(COUNTA($Q$11:Q116)/5),0),L116)</f>
        <v>猛男小队Ⅱ</v>
      </c>
      <c r="M117" s="89" t="str">
        <f ca="1">IF(MOD(COUNTIF($Q$11:Q116,Q116),5)=0,OFFSET(装备属性!$H$1083,1+INT(COUNTA($Q$11:Q116)/5),0),M116)</f>
        <v>warrior_class_dmg_rate</v>
      </c>
      <c r="N117" s="76">
        <f ca="1">IF(MOD(COUNTIF($Q$11:Q116,Q116),5)=0,OFFSET(装备属性!$K$1083,1+INT(COUNTA($Q$11:Q116)/5),0),N116)</f>
        <v>0.075</v>
      </c>
      <c r="O117" s="76">
        <f ca="1">IF(MOD(COUNTIF($Q$11:Q116,Q116),5)=0,OFFSET(装备属性!$L$1083,1+INT(COUNTA($Q$11:Q116)/5),0),O116)</f>
        <v>0.09</v>
      </c>
      <c r="Q117" s="89" t="str">
        <f ca="1">IF(MOD(COUNTIF($Q$11:Q116,Q116),5)=0,OFFSET(装备属性!$M$1083,1+INT(COUNTA($Q$11:Q116)/5),0),Q116)</f>
        <v>通用属性</v>
      </c>
      <c r="R117" s="83" t="e">
        <f ca="1">IF(MOD(COUNTIF($Q$11:Q116,Q116),5)=0,10000*SUBSTITUTE(SUBSTITUTE(OFFSET(装备属性!$F$1083,1+INT(COUNTA($Q$11:Q116)/5),0),"[",""),"]","")+_xlfn.XLOOKUP(C117,$M$3:$M$7,$N$3:$N$7)*100,R116)</f>
        <v>#N/A</v>
      </c>
    </row>
    <row r="118" customHeight="1" spans="1:18">
      <c r="A118" s="78" t="str">
        <f ca="1" t="shared" si="3"/>
        <v/>
      </c>
      <c r="B118" s="82" t="str">
        <f ca="1">IFERROR(R118+COUNTIFS($R$11:$R118,R118),"")</f>
        <v/>
      </c>
      <c r="C118" s="83">
        <f ca="1">IF(MOD(COUNTIF($Q$11:Q117,Q117),5)=0,OFFSET(装备属性!$D$1083,1+INT(COUNTA($Q$11:Q117)/5),0),C117)</f>
        <v>0</v>
      </c>
      <c r="D118" s="82">
        <f t="shared" si="5"/>
        <v>2000</v>
      </c>
      <c r="F118" s="82" t="str">
        <f ca="1" t="shared" si="4"/>
        <v/>
      </c>
      <c r="G118" s="78" t="str">
        <f ca="1">IF(AND(LEFT("[{"&amp;M118&amp;","&amp;CEILING(N118*10000+(O118-N118)/4*(COUNTIF($F$11:F118,F118)-1)*10000,10)&amp;"}]",7)="[{equip",MID("[{"&amp;M118&amp;","&amp;CEILING(N118*10000+(O118-N118)/4*(COUNTIF($F$11:F118,F118)-1)*10000,10)&amp;"}]",8,1)&lt;&gt;"_"),"[{"&amp;M118&amp;","&amp;1&amp;"}]","[{"&amp;M118&amp;","&amp;CEILING(N118*10000+(O118-N118)/4*(COUNTIF($F$11:F118,F118)-1)*10000,10)&amp;"}]")</f>
        <v>[{warrior_class_dmg_rate,2890}]</v>
      </c>
      <c r="H118" s="82" t="s">
        <v>563</v>
      </c>
      <c r="J118" s="78">
        <f ca="1">IF(MOD(COUNTIF($Q$11:Q117,Q117),5)=0,OFFSET(装备属性!$P$1083,1+INT(COUNTA($Q$11:Q117)/5),0),J117)</f>
        <v>3</v>
      </c>
      <c r="K118" s="83" t="str">
        <f ca="1">IF(RIGHT(G118,13)="rune_slot,1}]",_xlfn.XLOOKUP(LEFT(SUBSTITUTE(G118,"[{",""),FIND(",",SUBSTITUTE(G118,"[{",""))-1),Sheet2!B:B,Sheet2!C:C)&amp;"+"&amp;1,_xlfn.XLOOKUP(LEFT(SUBSTITUTE(G118,"[{",""),FIND(",",SUBSTITUTE(G118,"[{",""))-1),Sheet2!B:B,Sheet2!C:C)&amp;"+"&amp;SUBSTITUTE(RIGHT(G118,LEN(G118)-FIND(",",G118)),"}]","")/100&amp;"%")</f>
        <v>上阵两个战士职业增伤+28.9%</v>
      </c>
      <c r="L118" s="83" t="str">
        <f ca="1">IF(MOD(COUNTIF($Q$11:Q117,Q117),5)=0,OFFSET(装备属性!$G$1083,1+INT(COUNTA($Q$11:Q117)/5),0),L117)</f>
        <v>猛男小队Ⅱ</v>
      </c>
      <c r="M118" s="89" t="str">
        <f ca="1">IF(MOD(COUNTIF($Q$11:Q117,Q117),5)=0,OFFSET(装备属性!$H$1083,1+INT(COUNTA($Q$11:Q117)/5),0),M117)</f>
        <v>warrior_class_dmg_rate</v>
      </c>
      <c r="N118" s="76">
        <f ca="1">IF(MOD(COUNTIF($Q$11:Q117,Q117),5)=0,OFFSET(装备属性!$K$1083,1+INT(COUNTA($Q$11:Q117)/5),0),N117)</f>
        <v>0.075</v>
      </c>
      <c r="O118" s="76">
        <f ca="1">IF(MOD(COUNTIF($Q$11:Q117,Q117),5)=0,OFFSET(装备属性!$L$1083,1+INT(COUNTA($Q$11:Q117)/5),0),O117)</f>
        <v>0.09</v>
      </c>
      <c r="Q118" s="89" t="str">
        <f ca="1">IF(MOD(COUNTIF($Q$11:Q117,Q117),5)=0,OFFSET(装备属性!$M$1083,1+INT(COUNTA($Q$11:Q117)/5),0),Q117)</f>
        <v>通用属性</v>
      </c>
      <c r="R118" s="83" t="e">
        <f ca="1">IF(MOD(COUNTIF($Q$11:Q117,Q117),5)=0,10000*SUBSTITUTE(SUBSTITUTE(OFFSET(装备属性!$F$1083,1+INT(COUNTA($Q$11:Q117)/5),0),"[",""),"]","")+_xlfn.XLOOKUP(C118,$M$3:$M$7,$N$3:$N$7)*100,R117)</f>
        <v>#N/A</v>
      </c>
    </row>
    <row r="119" customHeight="1" spans="1:18">
      <c r="A119" s="78" t="str">
        <f ca="1" t="shared" si="3"/>
        <v/>
      </c>
      <c r="B119" s="82" t="str">
        <f ca="1">IFERROR(R119+COUNTIFS($R$11:$R119,R119),"")</f>
        <v/>
      </c>
      <c r="C119" s="83">
        <f ca="1">IF(MOD(COUNTIF($Q$11:Q118,Q118),5)=0,OFFSET(装备属性!$D$1083,1+INT(COUNTA($Q$11:Q118)/5),0),C118)</f>
        <v>0</v>
      </c>
      <c r="D119" s="82">
        <f t="shared" si="5"/>
        <v>1500</v>
      </c>
      <c r="F119" s="82" t="str">
        <f ca="1" t="shared" si="4"/>
        <v/>
      </c>
      <c r="G119" s="78" t="str">
        <f ca="1">IF(AND(LEFT("[{"&amp;M119&amp;","&amp;CEILING(N119*10000+(O119-N119)/4*(COUNTIF($F$11:F119,F119)-1)*10000,10)&amp;"}]",7)="[{equip",MID("[{"&amp;M119&amp;","&amp;CEILING(N119*10000+(O119-N119)/4*(COUNTIF($F$11:F119,F119)-1)*10000,10)&amp;"}]",8,1)&lt;&gt;"_"),"[{"&amp;M119&amp;","&amp;1&amp;"}]","[{"&amp;M119&amp;","&amp;CEILING(N119*10000+(O119-N119)/4*(COUNTIF($F$11:F119,F119)-1)*10000,10)&amp;"}]")</f>
        <v>[{warrior_class_dmg_rate,2930}]</v>
      </c>
      <c r="H119" s="82" t="s">
        <v>563</v>
      </c>
      <c r="J119" s="78">
        <f ca="1">IF(MOD(COUNTIF($Q$11:Q118,Q118),5)=0,OFFSET(装备属性!$P$1083,1+INT(COUNTA($Q$11:Q118)/5),0),J118)</f>
        <v>3</v>
      </c>
      <c r="K119" s="83" t="str">
        <f ca="1">IF(RIGHT(G119,13)="rune_slot,1}]",_xlfn.XLOOKUP(LEFT(SUBSTITUTE(G119,"[{",""),FIND(",",SUBSTITUTE(G119,"[{",""))-1),Sheet2!B:B,Sheet2!C:C)&amp;"+"&amp;1,_xlfn.XLOOKUP(LEFT(SUBSTITUTE(G119,"[{",""),FIND(",",SUBSTITUTE(G119,"[{",""))-1),Sheet2!B:B,Sheet2!C:C)&amp;"+"&amp;SUBSTITUTE(RIGHT(G119,LEN(G119)-FIND(",",G119)),"}]","")/100&amp;"%")</f>
        <v>上阵两个战士职业增伤+29.3%</v>
      </c>
      <c r="L119" s="83" t="str">
        <f ca="1">IF(MOD(COUNTIF($Q$11:Q118,Q118),5)=0,OFFSET(装备属性!$G$1083,1+INT(COUNTA($Q$11:Q118)/5),0),L118)</f>
        <v>猛男小队Ⅱ</v>
      </c>
      <c r="M119" s="89" t="str">
        <f ca="1">IF(MOD(COUNTIF($Q$11:Q118,Q118),5)=0,OFFSET(装备属性!$H$1083,1+INT(COUNTA($Q$11:Q118)/5),0),M118)</f>
        <v>warrior_class_dmg_rate</v>
      </c>
      <c r="N119" s="76">
        <f ca="1">IF(MOD(COUNTIF($Q$11:Q118,Q118),5)=0,OFFSET(装备属性!$K$1083,1+INT(COUNTA($Q$11:Q118)/5),0),N118)</f>
        <v>0.075</v>
      </c>
      <c r="O119" s="76">
        <f ca="1">IF(MOD(COUNTIF($Q$11:Q118,Q118),5)=0,OFFSET(装备属性!$L$1083,1+INT(COUNTA($Q$11:Q118)/5),0),O118)</f>
        <v>0.09</v>
      </c>
      <c r="Q119" s="89" t="str">
        <f ca="1">IF(MOD(COUNTIF($Q$11:Q118,Q118),5)=0,OFFSET(装备属性!$M$1083,1+INT(COUNTA($Q$11:Q118)/5),0),Q118)</f>
        <v>通用属性</v>
      </c>
      <c r="R119" s="83" t="e">
        <f ca="1">IF(MOD(COUNTIF($Q$11:Q118,Q118),5)=0,10000*SUBSTITUTE(SUBSTITUTE(OFFSET(装备属性!$F$1083,1+INT(COUNTA($Q$11:Q118)/5),0),"[",""),"]","")+_xlfn.XLOOKUP(C119,$M$3:$M$7,$N$3:$N$7)*100,R118)</f>
        <v>#N/A</v>
      </c>
    </row>
    <row r="120" customHeight="1" spans="1:18">
      <c r="A120" s="78" t="str">
        <f ca="1" t="shared" si="3"/>
        <v/>
      </c>
      <c r="B120" s="82" t="str">
        <f ca="1">IFERROR(R120+COUNTIFS($R$11:$R120,R120),"")</f>
        <v/>
      </c>
      <c r="C120" s="83">
        <f ca="1">IF(MOD(COUNTIF($Q$11:Q119,Q119),5)=0,OFFSET(装备属性!$D$1083,1+INT(COUNTA($Q$11:Q119)/5),0),C119)</f>
        <v>0</v>
      </c>
      <c r="D120" s="82">
        <f t="shared" si="5"/>
        <v>1000</v>
      </c>
      <c r="F120" s="82" t="str">
        <f ca="1" t="shared" si="4"/>
        <v/>
      </c>
      <c r="G120" s="78" t="str">
        <f ca="1">IF(AND(LEFT("[{"&amp;M120&amp;","&amp;CEILING(N120*10000+(O120-N120)/4*(COUNTIF($F$11:F120,F120)-1)*10000,10)&amp;"}]",7)="[{equip",MID("[{"&amp;M120&amp;","&amp;CEILING(N120*10000+(O120-N120)/4*(COUNTIF($F$11:F120,F120)-1)*10000,10)&amp;"}]",8,1)&lt;&gt;"_"),"[{"&amp;M120&amp;","&amp;1&amp;"}]","[{"&amp;M120&amp;","&amp;CEILING(N120*10000+(O120-N120)/4*(COUNTIF($F$11:F120,F120)-1)*10000,10)&amp;"}]")</f>
        <v>[{warrior_class_dmg_rate,2970}]</v>
      </c>
      <c r="H120" s="82" t="s">
        <v>563</v>
      </c>
      <c r="J120" s="78">
        <f ca="1">IF(MOD(COUNTIF($Q$11:Q119,Q119),5)=0,OFFSET(装备属性!$P$1083,1+INT(COUNTA($Q$11:Q119)/5),0),J119)</f>
        <v>3</v>
      </c>
      <c r="K120" s="83" t="str">
        <f ca="1">IF(RIGHT(G120,13)="rune_slot,1}]",_xlfn.XLOOKUP(LEFT(SUBSTITUTE(G120,"[{",""),FIND(",",SUBSTITUTE(G120,"[{",""))-1),Sheet2!B:B,Sheet2!C:C)&amp;"+"&amp;1,_xlfn.XLOOKUP(LEFT(SUBSTITUTE(G120,"[{",""),FIND(",",SUBSTITUTE(G120,"[{",""))-1),Sheet2!B:B,Sheet2!C:C)&amp;"+"&amp;SUBSTITUTE(RIGHT(G120,LEN(G120)-FIND(",",G120)),"}]","")/100&amp;"%")</f>
        <v>上阵两个战士职业增伤+29.7%</v>
      </c>
      <c r="L120" s="83" t="str">
        <f ca="1">IF(MOD(COUNTIF($Q$11:Q119,Q119),5)=0,OFFSET(装备属性!$G$1083,1+INT(COUNTA($Q$11:Q119)/5),0),L119)</f>
        <v>猛男小队Ⅱ</v>
      </c>
      <c r="M120" s="89" t="str">
        <f ca="1">IF(MOD(COUNTIF($Q$11:Q119,Q119),5)=0,OFFSET(装备属性!$H$1083,1+INT(COUNTA($Q$11:Q119)/5),0),M119)</f>
        <v>warrior_class_dmg_rate</v>
      </c>
      <c r="N120" s="76">
        <f ca="1">IF(MOD(COUNTIF($Q$11:Q119,Q119),5)=0,OFFSET(装备属性!$K$1083,1+INT(COUNTA($Q$11:Q119)/5),0),N119)</f>
        <v>0.075</v>
      </c>
      <c r="O120" s="76">
        <f ca="1">IF(MOD(COUNTIF($Q$11:Q119,Q119),5)=0,OFFSET(装备属性!$L$1083,1+INT(COUNTA($Q$11:Q119)/5),0),O119)</f>
        <v>0.09</v>
      </c>
      <c r="Q120" s="89" t="str">
        <f ca="1">IF(MOD(COUNTIF($Q$11:Q119,Q119),5)=0,OFFSET(装备属性!$M$1083,1+INT(COUNTA($Q$11:Q119)/5),0),Q119)</f>
        <v>通用属性</v>
      </c>
      <c r="R120" s="83" t="e">
        <f ca="1">IF(MOD(COUNTIF($Q$11:Q119,Q119),5)=0,10000*SUBSTITUTE(SUBSTITUTE(OFFSET(装备属性!$F$1083,1+INT(COUNTA($Q$11:Q119)/5),0),"[",""),"]","")+_xlfn.XLOOKUP(C120,$M$3:$M$7,$N$3:$N$7)*100,R119)</f>
        <v>#N/A</v>
      </c>
    </row>
    <row r="121" customHeight="1" spans="1:18">
      <c r="A121" s="78">
        <f ca="1" t="shared" si="3"/>
        <v>10501</v>
      </c>
      <c r="B121" s="82">
        <f ca="1">IFERROR(R121+COUNTIFS($R$11:$R121,R121),"")</f>
        <v>10521</v>
      </c>
      <c r="C121" s="83" t="str">
        <f ca="1">IF(MOD(COUNTIF($Q$11:Q120,Q120),5)=0,OFFSET(装备属性!$D$1083,1+INT(COUNTA($Q$11:Q120)/5),0),C120)</f>
        <v>橙</v>
      </c>
      <c r="D121" s="82">
        <f t="shared" si="5"/>
        <v>3000</v>
      </c>
      <c r="F121" s="82">
        <f ca="1" t="shared" si="4"/>
        <v>10504</v>
      </c>
      <c r="G121" s="78" t="str">
        <f ca="1">IF(AND(LEFT("[{"&amp;M121&amp;","&amp;CEILING(N121*10000+(O121-N121)/4*(COUNTIF($F$11:F121,F121)-1)*10000,10)&amp;"}]",7)="[{equip",MID("[{"&amp;M121&amp;","&amp;CEILING(N121*10000+(O121-N121)/4*(COUNTIF($F$11:F121,F121)-1)*10000,10)&amp;"}]",8,1)&lt;&gt;"_"),"[{"&amp;M121&amp;","&amp;1&amp;"}]","[{"&amp;M121&amp;","&amp;CEILING(N121*10000+(O121-N121)/4*(COUNTIF($F$11:F121,F121)-1)*10000,10)&amp;"}]")</f>
        <v>[{warrior_crit_dmg,2400}]</v>
      </c>
      <c r="H121" s="82" t="s">
        <v>563</v>
      </c>
      <c r="J121" s="78">
        <f ca="1">IF(MOD(COUNTIF($Q$11:Q120,Q120),5)=0,OFFSET(装备属性!$P$1083,1+INT(COUNTA($Q$11:Q120)/5),0),J120)</f>
        <v>4</v>
      </c>
      <c r="K121" s="83" t="str">
        <f ca="1">IF(RIGHT(G121,13)="rune_slot,1}]",_xlfn.XLOOKUP(LEFT(SUBSTITUTE(G121,"[{",""),FIND(",",SUBSTITUTE(G121,"[{",""))-1),Sheet2!B:B,Sheet2!C:C)&amp;"+"&amp;1,_xlfn.XLOOKUP(LEFT(SUBSTITUTE(G121,"[{",""),FIND(",",SUBSTITUTE(G121,"[{",""))-1),Sheet2!B:B,Sheet2!C:C)&amp;"+"&amp;SUBSTITUTE(RIGHT(G121,LEN(G121)-FIND(",",G121)),"}]","")/100&amp;"%")</f>
        <v>战士暴击伤害+24%</v>
      </c>
      <c r="L121" s="83" t="str">
        <f ca="1">IF(MOD(COUNTIF($Q$11:Q120,Q120),5)=0,OFFSET(装备属性!$G$1083,1+INT(COUNTA($Q$11:Q120)/5),0),L120)</f>
        <v>暴走猛男Ⅱ</v>
      </c>
      <c r="M121" s="89" t="str">
        <f ca="1">IF(MOD(COUNTIF($Q$11:Q120,Q120),5)=0,OFFSET(装备属性!$H$1083,1+INT(COUNTA($Q$11:Q120)/5),0),M120)</f>
        <v>warrior_crit_dmg</v>
      </c>
      <c r="N121" s="76">
        <f ca="1">IF(MOD(COUNTIF($Q$11:Q120,Q120),5)=0,OFFSET(装备属性!$K$1083,1+INT(COUNTA($Q$11:Q120)/5),0),N120)</f>
        <v>0.24</v>
      </c>
      <c r="O121" s="76">
        <f ca="1">IF(MOD(COUNTIF($Q$11:Q120,Q120),5)=0,OFFSET(装备属性!$L$1083,1+INT(COUNTA($Q$11:Q120)/5),0),O120)</f>
        <v>0.27</v>
      </c>
      <c r="Q121" s="89" t="str">
        <f ca="1">IF(MOD(COUNTIF($Q$11:Q120,Q120),5)=0,OFFSET(装备属性!$M$1083,1+INT(COUNTA($Q$11:Q120)/5),0),Q120)</f>
        <v>通用属性</v>
      </c>
      <c r="R121" s="83">
        <f ca="1">IF(MOD(COUNTIF($Q$11:Q120,Q120),5)=0,10000*SUBSTITUTE(SUBSTITUTE(OFFSET(装备属性!$F$1083,1+INT(COUNTA($Q$11:Q120)/5),0),"[",""),"]","")+_xlfn.XLOOKUP(C121,$M$3:$M$7,$N$3:$N$7)*100,R120)</f>
        <v>10500</v>
      </c>
    </row>
    <row r="122" customHeight="1" spans="1:18">
      <c r="A122" s="78">
        <f ca="1" t="shared" si="3"/>
        <v>10501</v>
      </c>
      <c r="B122" s="82">
        <f ca="1">IFERROR(R122+COUNTIFS($R$11:$R122,R122),"")</f>
        <v>10522</v>
      </c>
      <c r="C122" s="83" t="str">
        <f ca="1">IF(MOD(COUNTIF($Q$11:Q121,Q121),5)=0,OFFSET(装备属性!$D$1083,1+INT(COUNTA($Q$11:Q121)/5),0),C121)</f>
        <v>橙</v>
      </c>
      <c r="D122" s="82">
        <f t="shared" si="5"/>
        <v>2500</v>
      </c>
      <c r="F122" s="82">
        <f ca="1" t="shared" si="4"/>
        <v>10504</v>
      </c>
      <c r="G122" s="78" t="str">
        <f ca="1">IF(AND(LEFT("[{"&amp;M122&amp;","&amp;CEILING(N122*10000+(O122-N122)/4*(COUNTIF($F$11:F122,F122)-1)*10000,10)&amp;"}]",7)="[{equip",MID("[{"&amp;M122&amp;","&amp;CEILING(N122*10000+(O122-N122)/4*(COUNTIF($F$11:F122,F122)-1)*10000,10)&amp;"}]",8,1)&lt;&gt;"_"),"[{"&amp;M122&amp;","&amp;1&amp;"}]","[{"&amp;M122&amp;","&amp;CEILING(N122*10000+(O122-N122)/4*(COUNTIF($F$11:F122,F122)-1)*10000,10)&amp;"}]")</f>
        <v>[{warrior_crit_dmg,2480}]</v>
      </c>
      <c r="H122" s="82" t="s">
        <v>563</v>
      </c>
      <c r="J122" s="78">
        <f ca="1">IF(MOD(COUNTIF($Q$11:Q121,Q121),5)=0,OFFSET(装备属性!$P$1083,1+INT(COUNTA($Q$11:Q121)/5),0),J121)</f>
        <v>4</v>
      </c>
      <c r="K122" s="83" t="str">
        <f ca="1">IF(RIGHT(G122,13)="rune_slot,1}]",_xlfn.XLOOKUP(LEFT(SUBSTITUTE(G122,"[{",""),FIND(",",SUBSTITUTE(G122,"[{",""))-1),Sheet2!B:B,Sheet2!C:C)&amp;"+"&amp;1,_xlfn.XLOOKUP(LEFT(SUBSTITUTE(G122,"[{",""),FIND(",",SUBSTITUTE(G122,"[{",""))-1),Sheet2!B:B,Sheet2!C:C)&amp;"+"&amp;SUBSTITUTE(RIGHT(G122,LEN(G122)-FIND(",",G122)),"}]","")/100&amp;"%")</f>
        <v>战士暴击伤害+24.8%</v>
      </c>
      <c r="L122" s="83" t="str">
        <f ca="1">IF(MOD(COUNTIF($Q$11:Q121,Q121),5)=0,OFFSET(装备属性!$G$1083,1+INT(COUNTA($Q$11:Q121)/5),0),L121)</f>
        <v>暴走猛男Ⅱ</v>
      </c>
      <c r="M122" s="89" t="str">
        <f ca="1">IF(MOD(COUNTIF($Q$11:Q121,Q121),5)=0,OFFSET(装备属性!$H$1083,1+INT(COUNTA($Q$11:Q121)/5),0),M121)</f>
        <v>warrior_crit_dmg</v>
      </c>
      <c r="N122" s="76">
        <f ca="1">IF(MOD(COUNTIF($Q$11:Q121,Q121),5)=0,OFFSET(装备属性!$K$1083,1+INT(COUNTA($Q$11:Q121)/5),0),N121)</f>
        <v>0.24</v>
      </c>
      <c r="O122" s="76">
        <f ca="1">IF(MOD(COUNTIF($Q$11:Q121,Q121),5)=0,OFFSET(装备属性!$L$1083,1+INT(COUNTA($Q$11:Q121)/5),0),O121)</f>
        <v>0.27</v>
      </c>
      <c r="Q122" s="89" t="str">
        <f ca="1">IF(MOD(COUNTIF($Q$11:Q121,Q121),5)=0,OFFSET(装备属性!$M$1083,1+INT(COUNTA($Q$11:Q121)/5),0),Q121)</f>
        <v>通用属性</v>
      </c>
      <c r="R122" s="83">
        <f ca="1">IF(MOD(COUNTIF($Q$11:Q121,Q121),5)=0,10000*SUBSTITUTE(SUBSTITUTE(OFFSET(装备属性!$F$1083,1+INT(COUNTA($Q$11:Q121)/5),0),"[",""),"]","")+_xlfn.XLOOKUP(C122,$M$3:$M$7,$N$3:$N$7)*100,R121)</f>
        <v>10500</v>
      </c>
    </row>
    <row r="123" customHeight="1" spans="1:18">
      <c r="A123" s="78">
        <f ca="1" t="shared" si="3"/>
        <v>10501</v>
      </c>
      <c r="B123" s="82">
        <f ca="1">IFERROR(R123+COUNTIFS($R$11:$R123,R123),"")</f>
        <v>10523</v>
      </c>
      <c r="C123" s="83" t="str">
        <f ca="1">IF(MOD(COUNTIF($Q$11:Q122,Q122),5)=0,OFFSET(装备属性!$D$1083,1+INT(COUNTA($Q$11:Q122)/5),0),C122)</f>
        <v>橙</v>
      </c>
      <c r="D123" s="82">
        <f t="shared" si="5"/>
        <v>2000</v>
      </c>
      <c r="F123" s="82">
        <f ca="1" t="shared" si="4"/>
        <v>10504</v>
      </c>
      <c r="G123" s="78" t="str">
        <f ca="1">IF(AND(LEFT("[{"&amp;M123&amp;","&amp;CEILING(N123*10000+(O123-N123)/4*(COUNTIF($F$11:F123,F123)-1)*10000,10)&amp;"}]",7)="[{equip",MID("[{"&amp;M123&amp;","&amp;CEILING(N123*10000+(O123-N123)/4*(COUNTIF($F$11:F123,F123)-1)*10000,10)&amp;"}]",8,1)&lt;&gt;"_"),"[{"&amp;M123&amp;","&amp;1&amp;"}]","[{"&amp;M123&amp;","&amp;CEILING(N123*10000+(O123-N123)/4*(COUNTIF($F$11:F123,F123)-1)*10000,10)&amp;"}]")</f>
        <v>[{warrior_crit_dmg,2550}]</v>
      </c>
      <c r="H123" s="82" t="s">
        <v>563</v>
      </c>
      <c r="J123" s="78">
        <f ca="1">IF(MOD(COUNTIF($Q$11:Q122,Q122),5)=0,OFFSET(装备属性!$P$1083,1+INT(COUNTA($Q$11:Q122)/5),0),J122)</f>
        <v>4</v>
      </c>
      <c r="K123" s="83" t="str">
        <f ca="1">IF(RIGHT(G123,13)="rune_slot,1}]",_xlfn.XLOOKUP(LEFT(SUBSTITUTE(G123,"[{",""),FIND(",",SUBSTITUTE(G123,"[{",""))-1),Sheet2!B:B,Sheet2!C:C)&amp;"+"&amp;1,_xlfn.XLOOKUP(LEFT(SUBSTITUTE(G123,"[{",""),FIND(",",SUBSTITUTE(G123,"[{",""))-1),Sheet2!B:B,Sheet2!C:C)&amp;"+"&amp;SUBSTITUTE(RIGHT(G123,LEN(G123)-FIND(",",G123)),"}]","")/100&amp;"%")</f>
        <v>战士暴击伤害+25.5%</v>
      </c>
      <c r="L123" s="83" t="str">
        <f ca="1">IF(MOD(COUNTIF($Q$11:Q122,Q122),5)=0,OFFSET(装备属性!$G$1083,1+INT(COUNTA($Q$11:Q122)/5),0),L122)</f>
        <v>暴走猛男Ⅱ</v>
      </c>
      <c r="M123" s="89" t="str">
        <f ca="1">IF(MOD(COUNTIF($Q$11:Q122,Q122),5)=0,OFFSET(装备属性!$H$1083,1+INT(COUNTA($Q$11:Q122)/5),0),M122)</f>
        <v>warrior_crit_dmg</v>
      </c>
      <c r="N123" s="76">
        <f ca="1">IF(MOD(COUNTIF($Q$11:Q122,Q122),5)=0,OFFSET(装备属性!$K$1083,1+INT(COUNTA($Q$11:Q122)/5),0),N122)</f>
        <v>0.24</v>
      </c>
      <c r="O123" s="76">
        <f ca="1">IF(MOD(COUNTIF($Q$11:Q122,Q122),5)=0,OFFSET(装备属性!$L$1083,1+INT(COUNTA($Q$11:Q122)/5),0),O122)</f>
        <v>0.27</v>
      </c>
      <c r="Q123" s="89" t="str">
        <f ca="1">IF(MOD(COUNTIF($Q$11:Q122,Q122),5)=0,OFFSET(装备属性!$M$1083,1+INT(COUNTA($Q$11:Q122)/5),0),Q122)</f>
        <v>通用属性</v>
      </c>
      <c r="R123" s="83">
        <f ca="1">IF(MOD(COUNTIF($Q$11:Q122,Q122),5)=0,10000*SUBSTITUTE(SUBSTITUTE(OFFSET(装备属性!$F$1083,1+INT(COUNTA($Q$11:Q122)/5),0),"[",""),"]","")+_xlfn.XLOOKUP(C123,$M$3:$M$7,$N$3:$N$7)*100,R122)</f>
        <v>10500</v>
      </c>
    </row>
    <row r="124" customHeight="1" spans="1:18">
      <c r="A124" s="78">
        <f ca="1" t="shared" si="3"/>
        <v>10501</v>
      </c>
      <c r="B124" s="82">
        <f ca="1">IFERROR(R124+COUNTIFS($R$11:$R124,R124),"")</f>
        <v>10524</v>
      </c>
      <c r="C124" s="83" t="str">
        <f ca="1">IF(MOD(COUNTIF($Q$11:Q123,Q123),5)=0,OFFSET(装备属性!$D$1083,1+INT(COUNTA($Q$11:Q123)/5),0),C123)</f>
        <v>橙</v>
      </c>
      <c r="D124" s="82">
        <f t="shared" si="5"/>
        <v>1500</v>
      </c>
      <c r="F124" s="82">
        <f ca="1" t="shared" si="4"/>
        <v>10504</v>
      </c>
      <c r="G124" s="78" t="str">
        <f ca="1">IF(AND(LEFT("[{"&amp;M124&amp;","&amp;CEILING(N124*10000+(O124-N124)/4*(COUNTIF($F$11:F124,F124)-1)*10000,10)&amp;"}]",7)="[{equip",MID("[{"&amp;M124&amp;","&amp;CEILING(N124*10000+(O124-N124)/4*(COUNTIF($F$11:F124,F124)-1)*10000,10)&amp;"}]",8,1)&lt;&gt;"_"),"[{"&amp;M124&amp;","&amp;1&amp;"}]","[{"&amp;M124&amp;","&amp;CEILING(N124*10000+(O124-N124)/4*(COUNTIF($F$11:F124,F124)-1)*10000,10)&amp;"}]")</f>
        <v>[{warrior_crit_dmg,2630}]</v>
      </c>
      <c r="H124" s="82" t="s">
        <v>563</v>
      </c>
      <c r="J124" s="78">
        <f ca="1">IF(MOD(COUNTIF($Q$11:Q123,Q123),5)=0,OFFSET(装备属性!$P$1083,1+INT(COUNTA($Q$11:Q123)/5),0),J123)</f>
        <v>4</v>
      </c>
      <c r="K124" s="83" t="str">
        <f ca="1">IF(RIGHT(G124,13)="rune_slot,1}]",_xlfn.XLOOKUP(LEFT(SUBSTITUTE(G124,"[{",""),FIND(",",SUBSTITUTE(G124,"[{",""))-1),Sheet2!B:B,Sheet2!C:C)&amp;"+"&amp;1,_xlfn.XLOOKUP(LEFT(SUBSTITUTE(G124,"[{",""),FIND(",",SUBSTITUTE(G124,"[{",""))-1),Sheet2!B:B,Sheet2!C:C)&amp;"+"&amp;SUBSTITUTE(RIGHT(G124,LEN(G124)-FIND(",",G124)),"}]","")/100&amp;"%")</f>
        <v>战士暴击伤害+26.3%</v>
      </c>
      <c r="L124" s="83" t="str">
        <f ca="1">IF(MOD(COUNTIF($Q$11:Q123,Q123),5)=0,OFFSET(装备属性!$G$1083,1+INT(COUNTA($Q$11:Q123)/5),0),L123)</f>
        <v>暴走猛男Ⅱ</v>
      </c>
      <c r="M124" s="89" t="str">
        <f ca="1">IF(MOD(COUNTIF($Q$11:Q123,Q123),5)=0,OFFSET(装备属性!$H$1083,1+INT(COUNTA($Q$11:Q123)/5),0),M123)</f>
        <v>warrior_crit_dmg</v>
      </c>
      <c r="N124" s="76">
        <f ca="1">IF(MOD(COUNTIF($Q$11:Q123,Q123),5)=0,OFFSET(装备属性!$K$1083,1+INT(COUNTA($Q$11:Q123)/5),0),N123)</f>
        <v>0.24</v>
      </c>
      <c r="O124" s="76">
        <f ca="1">IF(MOD(COUNTIF($Q$11:Q123,Q123),5)=0,OFFSET(装备属性!$L$1083,1+INT(COUNTA($Q$11:Q123)/5),0),O123)</f>
        <v>0.27</v>
      </c>
      <c r="Q124" s="89" t="str">
        <f ca="1">IF(MOD(COUNTIF($Q$11:Q123,Q123),5)=0,OFFSET(装备属性!$M$1083,1+INT(COUNTA($Q$11:Q123)/5),0),Q123)</f>
        <v>通用属性</v>
      </c>
      <c r="R124" s="83">
        <f ca="1">IF(MOD(COUNTIF($Q$11:Q123,Q123),5)=0,10000*SUBSTITUTE(SUBSTITUTE(OFFSET(装备属性!$F$1083,1+INT(COUNTA($Q$11:Q123)/5),0),"[",""),"]","")+_xlfn.XLOOKUP(C124,$M$3:$M$7,$N$3:$N$7)*100,R123)</f>
        <v>10500</v>
      </c>
    </row>
    <row r="125" customHeight="1" spans="1:18">
      <c r="A125" s="78">
        <f ca="1" t="shared" si="3"/>
        <v>10501</v>
      </c>
      <c r="B125" s="82">
        <f ca="1">IFERROR(R125+COUNTIFS($R$11:$R125,R125),"")</f>
        <v>10525</v>
      </c>
      <c r="C125" s="83" t="str">
        <f ca="1">IF(MOD(COUNTIF($Q$11:Q124,Q124),5)=0,OFFSET(装备属性!$D$1083,1+INT(COUNTA($Q$11:Q124)/5),0),C124)</f>
        <v>橙</v>
      </c>
      <c r="D125" s="82">
        <f t="shared" si="5"/>
        <v>1000</v>
      </c>
      <c r="F125" s="82">
        <f ca="1" t="shared" si="4"/>
        <v>10504</v>
      </c>
      <c r="G125" s="78" t="str">
        <f ca="1">IF(AND(LEFT("[{"&amp;M125&amp;","&amp;CEILING(N125*10000+(O125-N125)/4*(COUNTIF($F$11:F125,F125)-1)*10000,10)&amp;"}]",7)="[{equip",MID("[{"&amp;M125&amp;","&amp;CEILING(N125*10000+(O125-N125)/4*(COUNTIF($F$11:F125,F125)-1)*10000,10)&amp;"}]",8,1)&lt;&gt;"_"),"[{"&amp;M125&amp;","&amp;1&amp;"}]","[{"&amp;M125&amp;","&amp;CEILING(N125*10000+(O125-N125)/4*(COUNTIF($F$11:F125,F125)-1)*10000,10)&amp;"}]")</f>
        <v>[{warrior_crit_dmg,2700}]</v>
      </c>
      <c r="H125" s="82" t="s">
        <v>563</v>
      </c>
      <c r="J125" s="78">
        <f ca="1">IF(MOD(COUNTIF($Q$11:Q124,Q124),5)=0,OFFSET(装备属性!$P$1083,1+INT(COUNTA($Q$11:Q124)/5),0),J124)</f>
        <v>4</v>
      </c>
      <c r="K125" s="83" t="str">
        <f ca="1">IF(RIGHT(G125,13)="rune_slot,1}]",_xlfn.XLOOKUP(LEFT(SUBSTITUTE(G125,"[{",""),FIND(",",SUBSTITUTE(G125,"[{",""))-1),Sheet2!B:B,Sheet2!C:C)&amp;"+"&amp;1,_xlfn.XLOOKUP(LEFT(SUBSTITUTE(G125,"[{",""),FIND(",",SUBSTITUTE(G125,"[{",""))-1),Sheet2!B:B,Sheet2!C:C)&amp;"+"&amp;SUBSTITUTE(RIGHT(G125,LEN(G125)-FIND(",",G125)),"}]","")/100&amp;"%")</f>
        <v>战士暴击伤害+27%</v>
      </c>
      <c r="L125" s="83" t="str">
        <f ca="1">IF(MOD(COUNTIF($Q$11:Q124,Q124),5)=0,OFFSET(装备属性!$G$1083,1+INT(COUNTA($Q$11:Q124)/5),0),L124)</f>
        <v>暴走猛男Ⅱ</v>
      </c>
      <c r="M125" s="89" t="str">
        <f ca="1">IF(MOD(COUNTIF($Q$11:Q124,Q124),5)=0,OFFSET(装备属性!$H$1083,1+INT(COUNTA($Q$11:Q124)/5),0),M124)</f>
        <v>warrior_crit_dmg</v>
      </c>
      <c r="N125" s="76">
        <f ca="1">IF(MOD(COUNTIF($Q$11:Q124,Q124),5)=0,OFFSET(装备属性!$K$1083,1+INT(COUNTA($Q$11:Q124)/5),0),N124)</f>
        <v>0.24</v>
      </c>
      <c r="O125" s="76">
        <f ca="1">IF(MOD(COUNTIF($Q$11:Q124,Q124),5)=0,OFFSET(装备属性!$L$1083,1+INT(COUNTA($Q$11:Q124)/5),0),O124)</f>
        <v>0.27</v>
      </c>
      <c r="Q125" s="89" t="str">
        <f ca="1">IF(MOD(COUNTIF($Q$11:Q124,Q124),5)=0,OFFSET(装备属性!$M$1083,1+INT(COUNTA($Q$11:Q124)/5),0),Q124)</f>
        <v>通用属性</v>
      </c>
      <c r="R125" s="83">
        <f ca="1">IF(MOD(COUNTIF($Q$11:Q124,Q124),5)=0,10000*SUBSTITUTE(SUBSTITUTE(OFFSET(装备属性!$F$1083,1+INT(COUNTA($Q$11:Q124)/5),0),"[",""),"]","")+_xlfn.XLOOKUP(C125,$M$3:$M$7,$N$3:$N$7)*100,R124)</f>
        <v>10500</v>
      </c>
    </row>
    <row r="126" customHeight="1" spans="1:18">
      <c r="A126" s="78" t="str">
        <f ca="1" t="shared" si="3"/>
        <v/>
      </c>
      <c r="B126" s="82" t="str">
        <f ca="1">IFERROR(R126+COUNTIFS($R$11:$R126,R126),"")</f>
        <v/>
      </c>
      <c r="C126" s="83">
        <f ca="1">IF(MOD(COUNTIF($Q$11:Q125,Q125),5)=0,OFFSET(装备属性!$D$1083,1+INT(COUNTA($Q$11:Q125)/5),0),C125)</f>
        <v>0</v>
      </c>
      <c r="D126" s="82">
        <f t="shared" si="5"/>
        <v>3000</v>
      </c>
      <c r="F126" s="82" t="str">
        <f ca="1" t="shared" si="4"/>
        <v/>
      </c>
      <c r="G126" s="78" t="str">
        <f ca="1">IF(AND(LEFT("[{"&amp;M126&amp;","&amp;CEILING(N126*10000+(O126-N126)/4*(COUNTIF($F$11:F126,F126)-1)*10000,10)&amp;"}]",7)="[{equip",MID("[{"&amp;M126&amp;","&amp;CEILING(N126*10000+(O126-N126)/4*(COUNTIF($F$11:F126,F126)-1)*10000,10)&amp;"}]",8,1)&lt;&gt;"_"),"[{"&amp;M126&amp;","&amp;1&amp;"}]","[{"&amp;M126&amp;","&amp;CEILING(N126*10000+(O126-N126)/4*(COUNTIF($F$11:F126,F126)-1)*10000,10)&amp;"}]")</f>
        <v>[{equip6_rune_slot,1}]</v>
      </c>
      <c r="H126" s="82" t="s">
        <v>563</v>
      </c>
      <c r="J126" s="78">
        <f ca="1">IF(MOD(COUNTIF($Q$11:Q125,Q125),5)=0,OFFSET(装备属性!$P$1083,1+INT(COUNTA($Q$11:Q125)/5),0),J125)</f>
        <v>10</v>
      </c>
      <c r="K126" s="83" t="str">
        <f ca="1">IF(RIGHT(G126,13)="rune_slot,1}]",_xlfn.XLOOKUP(LEFT(SUBSTITUTE(G126,"[{",""),FIND(",",SUBSTITUTE(G126,"[{",""))-1),Sheet2!B:B,Sheet2!C:C)&amp;"+"&amp;1,_xlfn.XLOOKUP(LEFT(SUBSTITUTE(G126,"[{",""),FIND(",",SUBSTITUTE(G126,"[{",""))-1),Sheet2!B:B,Sheet2!C:C)&amp;"+"&amp;SUBSTITUTE(RIGHT(G126,LEN(G126)-FIND(",",G126)),"}]","")/100&amp;"%")</f>
        <v>头盔符文孔位+1</v>
      </c>
      <c r="L126" s="83" t="str">
        <f ca="1">IF(MOD(COUNTIF($Q$11:Q125,Q125),5)=0,OFFSET(装备属性!$G$1083,1+INT(COUNTA($Q$11:Q125)/5),0),L125)</f>
        <v>扩符槽</v>
      </c>
      <c r="M126" s="89" t="str">
        <f ca="1">IF(MOD(COUNTIF($Q$11:Q125,Q125),5)=0,OFFSET(装备属性!$H$1083,1+INT(COUNTA($Q$11:Q125)/5),0),M125)</f>
        <v>equip6_rune_slot</v>
      </c>
      <c r="N126" s="76">
        <f ca="1">IF(MOD(COUNTIF($Q$11:Q125,Q125),5)=0,OFFSET(装备属性!$K$1083,1+INT(COUNTA($Q$11:Q125)/5),0),N125)</f>
        <v>1</v>
      </c>
      <c r="O126" s="76">
        <f ca="1">IF(MOD(COUNTIF($Q$11:Q125,Q125),5)=0,OFFSET(装备属性!$L$1083,1+INT(COUNTA($Q$11:Q125)/5),0),O125)</f>
        <v>1</v>
      </c>
      <c r="Q126" s="89" t="str">
        <f ca="1">IF(MOD(COUNTIF($Q$11:Q125,Q125),5)=0,OFFSET(装备属性!$M$1083,1+INT(COUNTA($Q$11:Q125)/5),0),Q125)</f>
        <v>稀有词条</v>
      </c>
      <c r="R126" s="83" t="e">
        <f ca="1">IF(MOD(COUNTIF($Q$11:Q125,Q125),5)=0,10000*SUBSTITUTE(SUBSTITUTE(OFFSET(装备属性!$F$1083,1+INT(COUNTA($Q$11:Q125)/5),0),"[",""),"]","")+_xlfn.XLOOKUP(C126,$M$3:$M$7,$N$3:$N$7)*100,R125)</f>
        <v>#N/A</v>
      </c>
    </row>
    <row r="127" customHeight="1" spans="1:18">
      <c r="A127" s="78" t="str">
        <f ca="1" t="shared" si="3"/>
        <v/>
      </c>
      <c r="B127" s="82" t="str">
        <f ca="1">IFERROR(R127+COUNTIFS($R$11:$R127,R127),"")</f>
        <v/>
      </c>
      <c r="C127" s="83">
        <f ca="1">IF(MOD(COUNTIF($Q$11:Q126,Q126),5)=0,OFFSET(装备属性!$D$1083,1+INT(COUNTA($Q$11:Q126)/5),0),C126)</f>
        <v>0</v>
      </c>
      <c r="D127" s="82">
        <f t="shared" si="5"/>
        <v>2500</v>
      </c>
      <c r="F127" s="82" t="str">
        <f ca="1" t="shared" si="4"/>
        <v/>
      </c>
      <c r="G127" s="78" t="str">
        <f ca="1">IF(AND(LEFT("[{"&amp;M127&amp;","&amp;CEILING(N127*10000+(O127-N127)/4*(COUNTIF($F$11:F127,F127)-1)*10000,10)&amp;"}]",7)="[{equip",MID("[{"&amp;M127&amp;","&amp;CEILING(N127*10000+(O127-N127)/4*(COUNTIF($F$11:F127,F127)-1)*10000,10)&amp;"}]",8,1)&lt;&gt;"_"),"[{"&amp;M127&amp;","&amp;1&amp;"}]","[{"&amp;M127&amp;","&amp;CEILING(N127*10000+(O127-N127)/4*(COUNTIF($F$11:F127,F127)-1)*10000,10)&amp;"}]")</f>
        <v>[{equip6_rune_slot,1}]</v>
      </c>
      <c r="H127" s="82" t="s">
        <v>563</v>
      </c>
      <c r="J127" s="78">
        <f ca="1">IF(MOD(COUNTIF($Q$11:Q126,Q126),5)=0,OFFSET(装备属性!$P$1083,1+INT(COUNTA($Q$11:Q126)/5),0),J126)</f>
        <v>10</v>
      </c>
      <c r="K127" s="83" t="str">
        <f ca="1">IF(RIGHT(G127,13)="rune_slot,1}]",_xlfn.XLOOKUP(LEFT(SUBSTITUTE(G127,"[{",""),FIND(",",SUBSTITUTE(G127,"[{",""))-1),Sheet2!B:B,Sheet2!C:C)&amp;"+"&amp;1,_xlfn.XLOOKUP(LEFT(SUBSTITUTE(G127,"[{",""),FIND(",",SUBSTITUTE(G127,"[{",""))-1),Sheet2!B:B,Sheet2!C:C)&amp;"+"&amp;SUBSTITUTE(RIGHT(G127,LEN(G127)-FIND(",",G127)),"}]","")/100&amp;"%")</f>
        <v>头盔符文孔位+1</v>
      </c>
      <c r="L127" s="83" t="str">
        <f ca="1">IF(MOD(COUNTIF($Q$11:Q126,Q126),5)=0,OFFSET(装备属性!$G$1083,1+INT(COUNTA($Q$11:Q126)/5),0),L126)</f>
        <v>扩符槽</v>
      </c>
      <c r="M127" s="89" t="str">
        <f ca="1">IF(MOD(COUNTIF($Q$11:Q126,Q126),5)=0,OFFSET(装备属性!$H$1083,1+INT(COUNTA($Q$11:Q126)/5),0),M126)</f>
        <v>equip6_rune_slot</v>
      </c>
      <c r="N127" s="76">
        <f ca="1">IF(MOD(COUNTIF($Q$11:Q126,Q126),5)=0,OFFSET(装备属性!$K$1083,1+INT(COUNTA($Q$11:Q126)/5),0),N126)</f>
        <v>1</v>
      </c>
      <c r="O127" s="76">
        <f ca="1">IF(MOD(COUNTIF($Q$11:Q126,Q126),5)=0,OFFSET(装备属性!$L$1083,1+INT(COUNTA($Q$11:Q126)/5),0),O126)</f>
        <v>1</v>
      </c>
      <c r="Q127" s="89" t="str">
        <f ca="1">IF(MOD(COUNTIF($Q$11:Q126,Q126),5)=0,OFFSET(装备属性!$M$1083,1+INT(COUNTA($Q$11:Q126)/5),0),Q126)</f>
        <v>稀有词条</v>
      </c>
      <c r="R127" s="83" t="e">
        <f ca="1">IF(MOD(COUNTIF($Q$11:Q126,Q126),5)=0,10000*SUBSTITUTE(SUBSTITUTE(OFFSET(装备属性!$F$1083,1+INT(COUNTA($Q$11:Q126)/5),0),"[",""),"]","")+_xlfn.XLOOKUP(C127,$M$3:$M$7,$N$3:$N$7)*100,R126)</f>
        <v>#N/A</v>
      </c>
    </row>
    <row r="128" customHeight="1" spans="1:18">
      <c r="A128" s="78" t="str">
        <f ca="1" t="shared" si="3"/>
        <v/>
      </c>
      <c r="B128" s="82" t="str">
        <f ca="1">IFERROR(R128+COUNTIFS($R$11:$R128,R128),"")</f>
        <v/>
      </c>
      <c r="C128" s="83">
        <f ca="1">IF(MOD(COUNTIF($Q$11:Q127,Q127),5)=0,OFFSET(装备属性!$D$1083,1+INT(COUNTA($Q$11:Q127)/5),0),C127)</f>
        <v>0</v>
      </c>
      <c r="D128" s="82">
        <f t="shared" si="5"/>
        <v>2000</v>
      </c>
      <c r="F128" s="82" t="str">
        <f ca="1" t="shared" si="4"/>
        <v/>
      </c>
      <c r="G128" s="78" t="str">
        <f ca="1">IF(AND(LEFT("[{"&amp;M128&amp;","&amp;CEILING(N128*10000+(O128-N128)/4*(COUNTIF($F$11:F128,F128)-1)*10000,10)&amp;"}]",7)="[{equip",MID("[{"&amp;M128&amp;","&amp;CEILING(N128*10000+(O128-N128)/4*(COUNTIF($F$11:F128,F128)-1)*10000,10)&amp;"}]",8,1)&lt;&gt;"_"),"[{"&amp;M128&amp;","&amp;1&amp;"}]","[{"&amp;M128&amp;","&amp;CEILING(N128*10000+(O128-N128)/4*(COUNTIF($F$11:F128,F128)-1)*10000,10)&amp;"}]")</f>
        <v>[{equip6_rune_slot,1}]</v>
      </c>
      <c r="H128" s="82" t="s">
        <v>563</v>
      </c>
      <c r="J128" s="78">
        <f ca="1">IF(MOD(COUNTIF($Q$11:Q127,Q127),5)=0,OFFSET(装备属性!$P$1083,1+INT(COUNTA($Q$11:Q127)/5),0),J127)</f>
        <v>10</v>
      </c>
      <c r="K128" s="83" t="str">
        <f ca="1">IF(RIGHT(G128,13)="rune_slot,1}]",_xlfn.XLOOKUP(LEFT(SUBSTITUTE(G128,"[{",""),FIND(",",SUBSTITUTE(G128,"[{",""))-1),Sheet2!B:B,Sheet2!C:C)&amp;"+"&amp;1,_xlfn.XLOOKUP(LEFT(SUBSTITUTE(G128,"[{",""),FIND(",",SUBSTITUTE(G128,"[{",""))-1),Sheet2!B:B,Sheet2!C:C)&amp;"+"&amp;SUBSTITUTE(RIGHT(G128,LEN(G128)-FIND(",",G128)),"}]","")/100&amp;"%")</f>
        <v>头盔符文孔位+1</v>
      </c>
      <c r="L128" s="83" t="str">
        <f ca="1">IF(MOD(COUNTIF($Q$11:Q127,Q127),5)=0,OFFSET(装备属性!$G$1083,1+INT(COUNTA($Q$11:Q127)/5),0),L127)</f>
        <v>扩符槽</v>
      </c>
      <c r="M128" s="89" t="str">
        <f ca="1">IF(MOD(COUNTIF($Q$11:Q127,Q127),5)=0,OFFSET(装备属性!$H$1083,1+INT(COUNTA($Q$11:Q127)/5),0),M127)</f>
        <v>equip6_rune_slot</v>
      </c>
      <c r="N128" s="76">
        <f ca="1">IF(MOD(COUNTIF($Q$11:Q127,Q127),5)=0,OFFSET(装备属性!$K$1083,1+INT(COUNTA($Q$11:Q127)/5),0),N127)</f>
        <v>1</v>
      </c>
      <c r="O128" s="76">
        <f ca="1">IF(MOD(COUNTIF($Q$11:Q127,Q127),5)=0,OFFSET(装备属性!$L$1083,1+INT(COUNTA($Q$11:Q127)/5),0),O127)</f>
        <v>1</v>
      </c>
      <c r="Q128" s="89" t="str">
        <f ca="1">IF(MOD(COUNTIF($Q$11:Q127,Q127),5)=0,OFFSET(装备属性!$M$1083,1+INT(COUNTA($Q$11:Q127)/5),0),Q127)</f>
        <v>稀有词条</v>
      </c>
      <c r="R128" s="83" t="e">
        <f ca="1">IF(MOD(COUNTIF($Q$11:Q127,Q127),5)=0,10000*SUBSTITUTE(SUBSTITUTE(OFFSET(装备属性!$F$1083,1+INT(COUNTA($Q$11:Q127)/5),0),"[",""),"]","")+_xlfn.XLOOKUP(C128,$M$3:$M$7,$N$3:$N$7)*100,R127)</f>
        <v>#N/A</v>
      </c>
    </row>
    <row r="129" customHeight="1" spans="1:18">
      <c r="A129" s="78" t="str">
        <f ca="1" t="shared" si="3"/>
        <v/>
      </c>
      <c r="B129" s="82" t="str">
        <f ca="1">IFERROR(R129+COUNTIFS($R$11:$R129,R129),"")</f>
        <v/>
      </c>
      <c r="C129" s="83">
        <f ca="1">IF(MOD(COUNTIF($Q$11:Q128,Q128),5)=0,OFFSET(装备属性!$D$1083,1+INT(COUNTA($Q$11:Q128)/5),0),C128)</f>
        <v>0</v>
      </c>
      <c r="D129" s="82">
        <f t="shared" si="5"/>
        <v>1500</v>
      </c>
      <c r="F129" s="82" t="str">
        <f ca="1" t="shared" si="4"/>
        <v/>
      </c>
      <c r="G129" s="78" t="str">
        <f ca="1">IF(AND(LEFT("[{"&amp;M129&amp;","&amp;CEILING(N129*10000+(O129-N129)/4*(COUNTIF($F$11:F129,F129)-1)*10000,10)&amp;"}]",7)="[{equip",MID("[{"&amp;M129&amp;","&amp;CEILING(N129*10000+(O129-N129)/4*(COUNTIF($F$11:F129,F129)-1)*10000,10)&amp;"}]",8,1)&lt;&gt;"_"),"[{"&amp;M129&amp;","&amp;1&amp;"}]","[{"&amp;M129&amp;","&amp;CEILING(N129*10000+(O129-N129)/4*(COUNTIF($F$11:F129,F129)-1)*10000,10)&amp;"}]")</f>
        <v>[{equip6_rune_slot,1}]</v>
      </c>
      <c r="H129" s="82" t="s">
        <v>563</v>
      </c>
      <c r="J129" s="78">
        <f ca="1">IF(MOD(COUNTIF($Q$11:Q128,Q128),5)=0,OFFSET(装备属性!$P$1083,1+INT(COUNTA($Q$11:Q128)/5),0),J128)</f>
        <v>10</v>
      </c>
      <c r="K129" s="83" t="str">
        <f ca="1">IF(RIGHT(G129,13)="rune_slot,1}]",_xlfn.XLOOKUP(LEFT(SUBSTITUTE(G129,"[{",""),FIND(",",SUBSTITUTE(G129,"[{",""))-1),Sheet2!B:B,Sheet2!C:C)&amp;"+"&amp;1,_xlfn.XLOOKUP(LEFT(SUBSTITUTE(G129,"[{",""),FIND(",",SUBSTITUTE(G129,"[{",""))-1),Sheet2!B:B,Sheet2!C:C)&amp;"+"&amp;SUBSTITUTE(RIGHT(G129,LEN(G129)-FIND(",",G129)),"}]","")/100&amp;"%")</f>
        <v>头盔符文孔位+1</v>
      </c>
      <c r="L129" s="83" t="str">
        <f ca="1">IF(MOD(COUNTIF($Q$11:Q128,Q128),5)=0,OFFSET(装备属性!$G$1083,1+INT(COUNTA($Q$11:Q128)/5),0),L128)</f>
        <v>扩符槽</v>
      </c>
      <c r="M129" s="89" t="str">
        <f ca="1">IF(MOD(COUNTIF($Q$11:Q128,Q128),5)=0,OFFSET(装备属性!$H$1083,1+INT(COUNTA($Q$11:Q128)/5),0),M128)</f>
        <v>equip6_rune_slot</v>
      </c>
      <c r="N129" s="76">
        <f ca="1">IF(MOD(COUNTIF($Q$11:Q128,Q128),5)=0,OFFSET(装备属性!$K$1083,1+INT(COUNTA($Q$11:Q128)/5),0),N128)</f>
        <v>1</v>
      </c>
      <c r="O129" s="76">
        <f ca="1">IF(MOD(COUNTIF($Q$11:Q128,Q128),5)=0,OFFSET(装备属性!$L$1083,1+INT(COUNTA($Q$11:Q128)/5),0),O128)</f>
        <v>1</v>
      </c>
      <c r="Q129" s="89" t="str">
        <f ca="1">IF(MOD(COUNTIF($Q$11:Q128,Q128),5)=0,OFFSET(装备属性!$M$1083,1+INT(COUNTA($Q$11:Q128)/5),0),Q128)</f>
        <v>稀有词条</v>
      </c>
      <c r="R129" s="83" t="e">
        <f ca="1">IF(MOD(COUNTIF($Q$11:Q128,Q128),5)=0,10000*SUBSTITUTE(SUBSTITUTE(OFFSET(装备属性!$F$1083,1+INT(COUNTA($Q$11:Q128)/5),0),"[",""),"]","")+_xlfn.XLOOKUP(C129,$M$3:$M$7,$N$3:$N$7)*100,R128)</f>
        <v>#N/A</v>
      </c>
    </row>
    <row r="130" customHeight="1" spans="1:18">
      <c r="A130" s="78" t="str">
        <f ca="1" t="shared" si="3"/>
        <v/>
      </c>
      <c r="B130" s="82" t="str">
        <f ca="1">IFERROR(R130+COUNTIFS($R$11:$R130,R130),"")</f>
        <v/>
      </c>
      <c r="C130" s="83">
        <f ca="1">IF(MOD(COUNTIF($Q$11:Q129,Q129),5)=0,OFFSET(装备属性!$D$1083,1+INT(COUNTA($Q$11:Q129)/5),0),C129)</f>
        <v>0</v>
      </c>
      <c r="D130" s="82">
        <f t="shared" si="5"/>
        <v>1000</v>
      </c>
      <c r="F130" s="82" t="str">
        <f ca="1" t="shared" si="4"/>
        <v/>
      </c>
      <c r="G130" s="78" t="str">
        <f ca="1">IF(AND(LEFT("[{"&amp;M130&amp;","&amp;CEILING(N130*10000+(O130-N130)/4*(COUNTIF($F$11:F130,F130)-1)*10000,10)&amp;"}]",7)="[{equip",MID("[{"&amp;M130&amp;","&amp;CEILING(N130*10000+(O130-N130)/4*(COUNTIF($F$11:F130,F130)-1)*10000,10)&amp;"}]",8,1)&lt;&gt;"_"),"[{"&amp;M130&amp;","&amp;1&amp;"}]","[{"&amp;M130&amp;","&amp;CEILING(N130*10000+(O130-N130)/4*(COUNTIF($F$11:F130,F130)-1)*10000,10)&amp;"}]")</f>
        <v>[{equip6_rune_slot,1}]</v>
      </c>
      <c r="H130" s="82" t="s">
        <v>563</v>
      </c>
      <c r="J130" s="78">
        <f ca="1">IF(MOD(COUNTIF($Q$11:Q129,Q129),5)=0,OFFSET(装备属性!$P$1083,1+INT(COUNTA($Q$11:Q129)/5),0),J129)</f>
        <v>10</v>
      </c>
      <c r="K130" s="83" t="str">
        <f ca="1">IF(RIGHT(G130,13)="rune_slot,1}]",_xlfn.XLOOKUP(LEFT(SUBSTITUTE(G130,"[{",""),FIND(",",SUBSTITUTE(G130,"[{",""))-1),Sheet2!B:B,Sheet2!C:C)&amp;"+"&amp;1,_xlfn.XLOOKUP(LEFT(SUBSTITUTE(G130,"[{",""),FIND(",",SUBSTITUTE(G130,"[{",""))-1),Sheet2!B:B,Sheet2!C:C)&amp;"+"&amp;SUBSTITUTE(RIGHT(G130,LEN(G130)-FIND(",",G130)),"}]","")/100&amp;"%")</f>
        <v>头盔符文孔位+1</v>
      </c>
      <c r="L130" s="83" t="str">
        <f ca="1">IF(MOD(COUNTIF($Q$11:Q129,Q129),5)=0,OFFSET(装备属性!$G$1083,1+INT(COUNTA($Q$11:Q129)/5),0),L129)</f>
        <v>扩符槽</v>
      </c>
      <c r="M130" s="89" t="str">
        <f ca="1">IF(MOD(COUNTIF($Q$11:Q129,Q129),5)=0,OFFSET(装备属性!$H$1083,1+INT(COUNTA($Q$11:Q129)/5),0),M129)</f>
        <v>equip6_rune_slot</v>
      </c>
      <c r="N130" s="76">
        <f ca="1">IF(MOD(COUNTIF($Q$11:Q129,Q129),5)=0,OFFSET(装备属性!$K$1083,1+INT(COUNTA($Q$11:Q129)/5),0),N129)</f>
        <v>1</v>
      </c>
      <c r="O130" s="76">
        <f ca="1">IF(MOD(COUNTIF($Q$11:Q129,Q129),5)=0,OFFSET(装备属性!$L$1083,1+INT(COUNTA($Q$11:Q129)/5),0),O129)</f>
        <v>1</v>
      </c>
      <c r="Q130" s="89" t="str">
        <f ca="1">IF(MOD(COUNTIF($Q$11:Q129,Q129),5)=0,OFFSET(装备属性!$M$1083,1+INT(COUNTA($Q$11:Q129)/5),0),Q129)</f>
        <v>稀有词条</v>
      </c>
      <c r="R130" s="83" t="e">
        <f ca="1">IF(MOD(COUNTIF($Q$11:Q129,Q129),5)=0,10000*SUBSTITUTE(SUBSTITUTE(OFFSET(装备属性!$F$1083,1+INT(COUNTA($Q$11:Q129)/5),0),"[",""),"]","")+_xlfn.XLOOKUP(C130,$M$3:$M$7,$N$3:$N$7)*100,R129)</f>
        <v>#N/A</v>
      </c>
    </row>
    <row r="131" customHeight="1" spans="1:18">
      <c r="A131" s="78" t="str">
        <f ca="1" t="shared" si="3"/>
        <v/>
      </c>
      <c r="B131" s="82" t="str">
        <f ca="1">IFERROR(R131+COUNTIFS($R$11:$R131,R131),"")</f>
        <v/>
      </c>
      <c r="C131" s="83">
        <f ca="1">IF(MOD(COUNTIF($Q$11:Q130,Q130),5)=0,OFFSET(装备属性!$D$1083,1+INT(COUNTA($Q$11:Q130)/5),0),C130)</f>
        <v>0</v>
      </c>
      <c r="D131" s="82">
        <f t="shared" si="5"/>
        <v>3000</v>
      </c>
      <c r="F131" s="82" t="str">
        <f ca="1" t="shared" si="4"/>
        <v/>
      </c>
      <c r="G131" s="78" t="str">
        <f ca="1">IF(AND(LEFT("[{"&amp;M131&amp;","&amp;CEILING(N131*10000+(O131-N131)/4*(COUNTIF($F$11:F131,F131)-1)*10000,10)&amp;"}]",7)="[{equip",MID("[{"&amp;M131&amp;","&amp;CEILING(N131*10000+(O131-N131)/4*(COUNTIF($F$11:F131,F131)-1)*10000,10)&amp;"}]",8,1)&lt;&gt;"_"),"[{"&amp;M131&amp;","&amp;1&amp;"}]","[{"&amp;M131&amp;","&amp;CEILING(N131*10000+(O131-N131)/4*(COUNTIF($F$11:F131,F131)-1)*10000,10)&amp;"}]")</f>
        <v>[{global_dmg_rate,1500}]</v>
      </c>
      <c r="H131" s="82" t="s">
        <v>563</v>
      </c>
      <c r="J131" s="78">
        <f ca="1">IF(MOD(COUNTIF($Q$11:Q130,Q130),5)=0,OFFSET(装备属性!$P$1083,1+INT(COUNTA($Q$11:Q130)/5),0),J130)</f>
        <v>2</v>
      </c>
      <c r="K131" s="83" t="str">
        <f ca="1">IF(RIGHT(G131,13)="rune_slot,1}]",_xlfn.XLOOKUP(LEFT(SUBSTITUTE(G131,"[{",""),FIND(",",SUBSTITUTE(G131,"[{",""))-1),Sheet2!B:B,Sheet2!C:C)&amp;"+"&amp;1,_xlfn.XLOOKUP(LEFT(SUBSTITUTE(G131,"[{",""),FIND(",",SUBSTITUTE(G131,"[{",""))-1),Sheet2!B:B,Sheet2!C:C)&amp;"+"&amp;SUBSTITUTE(RIGHT(G131,LEN(G131)-FIND(",",G131)),"}]","")/100&amp;"%")</f>
        <v>伤害加成+15%</v>
      </c>
      <c r="L131" s="83" t="str">
        <f ca="1">IF(MOD(COUNTIF($Q$11:Q130,Q130),5)=0,OFFSET(装备属性!$G$1083,1+INT(COUNTA($Q$11:Q130)/5),0),L130)</f>
        <v>全职小队Ⅲ</v>
      </c>
      <c r="M131" s="89" t="str">
        <f ca="1">IF(MOD(COUNTIF($Q$11:Q130,Q130),5)=0,OFFSET(装备属性!$H$1083,1+INT(COUNTA($Q$11:Q130)/5),0),M130)</f>
        <v>global_dmg_rate</v>
      </c>
      <c r="N131" s="76">
        <f ca="1">IF(MOD(COUNTIF($Q$11:Q130,Q130),5)=0,OFFSET(装备属性!$K$1083,1+INT(COUNTA($Q$11:Q130)/5),0),N130)</f>
        <v>0.052</v>
      </c>
      <c r="O131" s="76">
        <f ca="1">IF(MOD(COUNTIF($Q$11:Q130,Q130),5)=0,OFFSET(装备属性!$L$1083,1+INT(COUNTA($Q$11:Q130)/5),0),O130)</f>
        <v>0.058</v>
      </c>
      <c r="Q131" s="89" t="str">
        <f ca="1">IF(MOD(COUNTIF($Q$11:Q130,Q130),5)=0,OFFSET(装备属性!$M$1083,1+INT(COUNTA($Q$11:Q130)/5),0),Q130)</f>
        <v>通用属性</v>
      </c>
      <c r="R131" s="83" t="e">
        <f ca="1">IF(MOD(COUNTIF($Q$11:Q130,Q130),5)=0,10000*SUBSTITUTE(SUBSTITUTE(OFFSET(装备属性!$F$1083,1+INT(COUNTA($Q$11:Q130)/5),0),"[",""),"]","")+_xlfn.XLOOKUP(C131,$M$3:$M$7,$N$3:$N$7)*100,R130)</f>
        <v>#N/A</v>
      </c>
    </row>
    <row r="132" customHeight="1" spans="1:18">
      <c r="A132" s="78" t="str">
        <f ca="1" t="shared" si="3"/>
        <v/>
      </c>
      <c r="B132" s="82" t="str">
        <f ca="1">IFERROR(R132+COUNTIFS($R$11:$R132,R132),"")</f>
        <v/>
      </c>
      <c r="C132" s="83">
        <f ca="1">IF(MOD(COUNTIF($Q$11:Q131,Q131),5)=0,OFFSET(装备属性!$D$1083,1+INT(COUNTA($Q$11:Q131)/5),0),C131)</f>
        <v>0</v>
      </c>
      <c r="D132" s="82">
        <f t="shared" si="5"/>
        <v>2500</v>
      </c>
      <c r="F132" s="82" t="str">
        <f ca="1" t="shared" si="4"/>
        <v/>
      </c>
      <c r="G132" s="78" t="str">
        <f ca="1">IF(AND(LEFT("[{"&amp;M132&amp;","&amp;CEILING(N132*10000+(O132-N132)/4*(COUNTIF($F$11:F132,F132)-1)*10000,10)&amp;"}]",7)="[{equip",MID("[{"&amp;M132&amp;","&amp;CEILING(N132*10000+(O132-N132)/4*(COUNTIF($F$11:F132,F132)-1)*10000,10)&amp;"}]",8,1)&lt;&gt;"_"),"[{"&amp;M132&amp;","&amp;1&amp;"}]","[{"&amp;M132&amp;","&amp;CEILING(N132*10000+(O132-N132)/4*(COUNTIF($F$11:F132,F132)-1)*10000,10)&amp;"}]")</f>
        <v>[{global_dmg_rate,1510}]</v>
      </c>
      <c r="H132" s="82" t="s">
        <v>563</v>
      </c>
      <c r="J132" s="78">
        <f ca="1">IF(MOD(COUNTIF($Q$11:Q131,Q131),5)=0,OFFSET(装备属性!$P$1083,1+INT(COUNTA($Q$11:Q131)/5),0),J131)</f>
        <v>2</v>
      </c>
      <c r="K132" s="83" t="str">
        <f ca="1">IF(RIGHT(G132,13)="rune_slot,1}]",_xlfn.XLOOKUP(LEFT(SUBSTITUTE(G132,"[{",""),FIND(",",SUBSTITUTE(G132,"[{",""))-1),Sheet2!B:B,Sheet2!C:C)&amp;"+"&amp;1,_xlfn.XLOOKUP(LEFT(SUBSTITUTE(G132,"[{",""),FIND(",",SUBSTITUTE(G132,"[{",""))-1),Sheet2!B:B,Sheet2!C:C)&amp;"+"&amp;SUBSTITUTE(RIGHT(G132,LEN(G132)-FIND(",",G132)),"}]","")/100&amp;"%")</f>
        <v>伤害加成+15.1%</v>
      </c>
      <c r="L132" s="83" t="str">
        <f ca="1">IF(MOD(COUNTIF($Q$11:Q131,Q131),5)=0,OFFSET(装备属性!$G$1083,1+INT(COUNTA($Q$11:Q131)/5),0),L131)</f>
        <v>全职小队Ⅲ</v>
      </c>
      <c r="M132" s="89" t="str">
        <f ca="1">IF(MOD(COUNTIF($Q$11:Q131,Q131),5)=0,OFFSET(装备属性!$H$1083,1+INT(COUNTA($Q$11:Q131)/5),0),M131)</f>
        <v>global_dmg_rate</v>
      </c>
      <c r="N132" s="76">
        <f ca="1">IF(MOD(COUNTIF($Q$11:Q131,Q131),5)=0,OFFSET(装备属性!$K$1083,1+INT(COUNTA($Q$11:Q131)/5),0),N131)</f>
        <v>0.052</v>
      </c>
      <c r="O132" s="76">
        <f ca="1">IF(MOD(COUNTIF($Q$11:Q131,Q131),5)=0,OFFSET(装备属性!$L$1083,1+INT(COUNTA($Q$11:Q131)/5),0),O131)</f>
        <v>0.058</v>
      </c>
      <c r="Q132" s="89" t="str">
        <f ca="1">IF(MOD(COUNTIF($Q$11:Q131,Q131),5)=0,OFFSET(装备属性!$M$1083,1+INT(COUNTA($Q$11:Q131)/5),0),Q131)</f>
        <v>通用属性</v>
      </c>
      <c r="R132" s="83" t="e">
        <f ca="1">IF(MOD(COUNTIF($Q$11:Q131,Q131),5)=0,10000*SUBSTITUTE(SUBSTITUTE(OFFSET(装备属性!$F$1083,1+INT(COUNTA($Q$11:Q131)/5),0),"[",""),"]","")+_xlfn.XLOOKUP(C132,$M$3:$M$7,$N$3:$N$7)*100,R131)</f>
        <v>#N/A</v>
      </c>
    </row>
    <row r="133" customHeight="1" spans="1:18">
      <c r="A133" s="78" t="str">
        <f ca="1" t="shared" si="3"/>
        <v/>
      </c>
      <c r="B133" s="82" t="str">
        <f ca="1">IFERROR(R133+COUNTIFS($R$11:$R133,R133),"")</f>
        <v/>
      </c>
      <c r="C133" s="83">
        <f ca="1">IF(MOD(COUNTIF($Q$11:Q132,Q132),5)=0,OFFSET(装备属性!$D$1083,1+INT(COUNTA($Q$11:Q132)/5),0),C132)</f>
        <v>0</v>
      </c>
      <c r="D133" s="82">
        <f t="shared" si="5"/>
        <v>2000</v>
      </c>
      <c r="F133" s="82" t="str">
        <f ca="1" t="shared" si="4"/>
        <v/>
      </c>
      <c r="G133" s="78" t="str">
        <f ca="1">IF(AND(LEFT("[{"&amp;M133&amp;","&amp;CEILING(N133*10000+(O133-N133)/4*(COUNTIF($F$11:F133,F133)-1)*10000,10)&amp;"}]",7)="[{equip",MID("[{"&amp;M133&amp;","&amp;CEILING(N133*10000+(O133-N133)/4*(COUNTIF($F$11:F133,F133)-1)*10000,10)&amp;"}]",8,1)&lt;&gt;"_"),"[{"&amp;M133&amp;","&amp;1&amp;"}]","[{"&amp;M133&amp;","&amp;CEILING(N133*10000+(O133-N133)/4*(COUNTIF($F$11:F133,F133)-1)*10000,10)&amp;"}]")</f>
        <v>[{global_dmg_rate,1530}]</v>
      </c>
      <c r="H133" s="82" t="s">
        <v>563</v>
      </c>
      <c r="J133" s="78">
        <f ca="1">IF(MOD(COUNTIF($Q$11:Q132,Q132),5)=0,OFFSET(装备属性!$P$1083,1+INT(COUNTA($Q$11:Q132)/5),0),J132)</f>
        <v>2</v>
      </c>
      <c r="K133" s="83" t="str">
        <f ca="1">IF(RIGHT(G133,13)="rune_slot,1}]",_xlfn.XLOOKUP(LEFT(SUBSTITUTE(G133,"[{",""),FIND(",",SUBSTITUTE(G133,"[{",""))-1),Sheet2!B:B,Sheet2!C:C)&amp;"+"&amp;1,_xlfn.XLOOKUP(LEFT(SUBSTITUTE(G133,"[{",""),FIND(",",SUBSTITUTE(G133,"[{",""))-1),Sheet2!B:B,Sheet2!C:C)&amp;"+"&amp;SUBSTITUTE(RIGHT(G133,LEN(G133)-FIND(",",G133)),"}]","")/100&amp;"%")</f>
        <v>伤害加成+15.3%</v>
      </c>
      <c r="L133" s="83" t="str">
        <f ca="1">IF(MOD(COUNTIF($Q$11:Q132,Q132),5)=0,OFFSET(装备属性!$G$1083,1+INT(COUNTA($Q$11:Q132)/5),0),L132)</f>
        <v>全职小队Ⅲ</v>
      </c>
      <c r="M133" s="89" t="str">
        <f ca="1">IF(MOD(COUNTIF($Q$11:Q132,Q132),5)=0,OFFSET(装备属性!$H$1083,1+INT(COUNTA($Q$11:Q132)/5),0),M132)</f>
        <v>global_dmg_rate</v>
      </c>
      <c r="N133" s="76">
        <f ca="1">IF(MOD(COUNTIF($Q$11:Q132,Q132),5)=0,OFFSET(装备属性!$K$1083,1+INT(COUNTA($Q$11:Q132)/5),0),N132)</f>
        <v>0.052</v>
      </c>
      <c r="O133" s="76">
        <f ca="1">IF(MOD(COUNTIF($Q$11:Q132,Q132),5)=0,OFFSET(装备属性!$L$1083,1+INT(COUNTA($Q$11:Q132)/5),0),O132)</f>
        <v>0.058</v>
      </c>
      <c r="Q133" s="89" t="str">
        <f ca="1">IF(MOD(COUNTIF($Q$11:Q132,Q132),5)=0,OFFSET(装备属性!$M$1083,1+INT(COUNTA($Q$11:Q132)/5),0),Q132)</f>
        <v>通用属性</v>
      </c>
      <c r="R133" s="83" t="e">
        <f ca="1">IF(MOD(COUNTIF($Q$11:Q132,Q132),5)=0,10000*SUBSTITUTE(SUBSTITUTE(OFFSET(装备属性!$F$1083,1+INT(COUNTA($Q$11:Q132)/5),0),"[",""),"]","")+_xlfn.XLOOKUP(C133,$M$3:$M$7,$N$3:$N$7)*100,R132)</f>
        <v>#N/A</v>
      </c>
    </row>
    <row r="134" customHeight="1" spans="1:18">
      <c r="A134" s="78" t="str">
        <f ca="1" t="shared" si="3"/>
        <v/>
      </c>
      <c r="B134" s="82" t="str">
        <f ca="1">IFERROR(R134+COUNTIFS($R$11:$R134,R134),"")</f>
        <v/>
      </c>
      <c r="C134" s="83">
        <f ca="1">IF(MOD(COUNTIF($Q$11:Q133,Q133),5)=0,OFFSET(装备属性!$D$1083,1+INT(COUNTA($Q$11:Q133)/5),0),C133)</f>
        <v>0</v>
      </c>
      <c r="D134" s="82">
        <f t="shared" si="5"/>
        <v>1500</v>
      </c>
      <c r="F134" s="82" t="str">
        <f ca="1" t="shared" si="4"/>
        <v/>
      </c>
      <c r="G134" s="78" t="str">
        <f ca="1">IF(AND(LEFT("[{"&amp;M134&amp;","&amp;CEILING(N134*10000+(O134-N134)/4*(COUNTIF($F$11:F134,F134)-1)*10000,10)&amp;"}]",7)="[{equip",MID("[{"&amp;M134&amp;","&amp;CEILING(N134*10000+(O134-N134)/4*(COUNTIF($F$11:F134,F134)-1)*10000,10)&amp;"}]",8,1)&lt;&gt;"_"),"[{"&amp;M134&amp;","&amp;1&amp;"}]","[{"&amp;M134&amp;","&amp;CEILING(N134*10000+(O134-N134)/4*(COUNTIF($F$11:F134,F134)-1)*10000,10)&amp;"}]")</f>
        <v>[{global_dmg_rate,1540}]</v>
      </c>
      <c r="H134" s="82" t="s">
        <v>563</v>
      </c>
      <c r="J134" s="78">
        <f ca="1">IF(MOD(COUNTIF($Q$11:Q133,Q133),5)=0,OFFSET(装备属性!$P$1083,1+INT(COUNTA($Q$11:Q133)/5),0),J133)</f>
        <v>2</v>
      </c>
      <c r="K134" s="83" t="str">
        <f ca="1">IF(RIGHT(G134,13)="rune_slot,1}]",_xlfn.XLOOKUP(LEFT(SUBSTITUTE(G134,"[{",""),FIND(",",SUBSTITUTE(G134,"[{",""))-1),Sheet2!B:B,Sheet2!C:C)&amp;"+"&amp;1,_xlfn.XLOOKUP(LEFT(SUBSTITUTE(G134,"[{",""),FIND(",",SUBSTITUTE(G134,"[{",""))-1),Sheet2!B:B,Sheet2!C:C)&amp;"+"&amp;SUBSTITUTE(RIGHT(G134,LEN(G134)-FIND(",",G134)),"}]","")/100&amp;"%")</f>
        <v>伤害加成+15.4%</v>
      </c>
      <c r="L134" s="83" t="str">
        <f ca="1">IF(MOD(COUNTIF($Q$11:Q133,Q133),5)=0,OFFSET(装备属性!$G$1083,1+INT(COUNTA($Q$11:Q133)/5),0),L133)</f>
        <v>全职小队Ⅲ</v>
      </c>
      <c r="M134" s="89" t="str">
        <f ca="1">IF(MOD(COUNTIF($Q$11:Q133,Q133),5)=0,OFFSET(装备属性!$H$1083,1+INT(COUNTA($Q$11:Q133)/5),0),M133)</f>
        <v>global_dmg_rate</v>
      </c>
      <c r="N134" s="76">
        <f ca="1">IF(MOD(COUNTIF($Q$11:Q133,Q133),5)=0,OFFSET(装备属性!$K$1083,1+INT(COUNTA($Q$11:Q133)/5),0),N133)</f>
        <v>0.052</v>
      </c>
      <c r="O134" s="76">
        <f ca="1">IF(MOD(COUNTIF($Q$11:Q133,Q133),5)=0,OFFSET(装备属性!$L$1083,1+INT(COUNTA($Q$11:Q133)/5),0),O133)</f>
        <v>0.058</v>
      </c>
      <c r="Q134" s="89" t="str">
        <f ca="1">IF(MOD(COUNTIF($Q$11:Q133,Q133),5)=0,OFFSET(装备属性!$M$1083,1+INT(COUNTA($Q$11:Q133)/5),0),Q133)</f>
        <v>通用属性</v>
      </c>
      <c r="R134" s="83" t="e">
        <f ca="1">IF(MOD(COUNTIF($Q$11:Q133,Q133),5)=0,10000*SUBSTITUTE(SUBSTITUTE(OFFSET(装备属性!$F$1083,1+INT(COUNTA($Q$11:Q133)/5),0),"[",""),"]","")+_xlfn.XLOOKUP(C134,$M$3:$M$7,$N$3:$N$7)*100,R133)</f>
        <v>#N/A</v>
      </c>
    </row>
    <row r="135" customHeight="1" spans="1:18">
      <c r="A135" s="78" t="str">
        <f ca="1" t="shared" si="3"/>
        <v/>
      </c>
      <c r="B135" s="82" t="str">
        <f ca="1">IFERROR(R135+COUNTIFS($R$11:$R135,R135),"")</f>
        <v/>
      </c>
      <c r="C135" s="83">
        <f ca="1">IF(MOD(COUNTIF($Q$11:Q134,Q134),5)=0,OFFSET(装备属性!$D$1083,1+INT(COUNTA($Q$11:Q134)/5),0),C134)</f>
        <v>0</v>
      </c>
      <c r="D135" s="82">
        <f t="shared" si="5"/>
        <v>1000</v>
      </c>
      <c r="F135" s="82" t="str">
        <f ca="1" t="shared" si="4"/>
        <v/>
      </c>
      <c r="G135" s="78" t="str">
        <f ca="1">IF(AND(LEFT("[{"&amp;M135&amp;","&amp;CEILING(N135*10000+(O135-N135)/4*(COUNTIF($F$11:F135,F135)-1)*10000,10)&amp;"}]",7)="[{equip",MID("[{"&amp;M135&amp;","&amp;CEILING(N135*10000+(O135-N135)/4*(COUNTIF($F$11:F135,F135)-1)*10000,10)&amp;"}]",8,1)&lt;&gt;"_"),"[{"&amp;M135&amp;","&amp;1&amp;"}]","[{"&amp;M135&amp;","&amp;CEILING(N135*10000+(O135-N135)/4*(COUNTIF($F$11:F135,F135)-1)*10000,10)&amp;"}]")</f>
        <v>[{global_dmg_rate,1560}]</v>
      </c>
      <c r="H135" s="82" t="s">
        <v>563</v>
      </c>
      <c r="J135" s="78">
        <f ca="1">IF(MOD(COUNTIF($Q$11:Q134,Q134),5)=0,OFFSET(装备属性!$P$1083,1+INT(COUNTA($Q$11:Q134)/5),0),J134)</f>
        <v>2</v>
      </c>
      <c r="K135" s="83" t="str">
        <f ca="1">IF(RIGHT(G135,13)="rune_slot,1}]",_xlfn.XLOOKUP(LEFT(SUBSTITUTE(G135,"[{",""),FIND(",",SUBSTITUTE(G135,"[{",""))-1),Sheet2!B:B,Sheet2!C:C)&amp;"+"&amp;1,_xlfn.XLOOKUP(LEFT(SUBSTITUTE(G135,"[{",""),FIND(",",SUBSTITUTE(G135,"[{",""))-1),Sheet2!B:B,Sheet2!C:C)&amp;"+"&amp;SUBSTITUTE(RIGHT(G135,LEN(G135)-FIND(",",G135)),"}]","")/100&amp;"%")</f>
        <v>伤害加成+15.6%</v>
      </c>
      <c r="L135" s="83" t="str">
        <f ca="1">IF(MOD(COUNTIF($Q$11:Q134,Q134),5)=0,OFFSET(装备属性!$G$1083,1+INT(COUNTA($Q$11:Q134)/5),0),L134)</f>
        <v>全职小队Ⅲ</v>
      </c>
      <c r="M135" s="89" t="str">
        <f ca="1">IF(MOD(COUNTIF($Q$11:Q134,Q134),5)=0,OFFSET(装备属性!$H$1083,1+INT(COUNTA($Q$11:Q134)/5),0),M134)</f>
        <v>global_dmg_rate</v>
      </c>
      <c r="N135" s="76">
        <f ca="1">IF(MOD(COUNTIF($Q$11:Q134,Q134),5)=0,OFFSET(装备属性!$K$1083,1+INT(COUNTA($Q$11:Q134)/5),0),N134)</f>
        <v>0.052</v>
      </c>
      <c r="O135" s="76">
        <f ca="1">IF(MOD(COUNTIF($Q$11:Q134,Q134),5)=0,OFFSET(装备属性!$L$1083,1+INT(COUNTA($Q$11:Q134)/5),0),O134)</f>
        <v>0.058</v>
      </c>
      <c r="Q135" s="89" t="str">
        <f ca="1">IF(MOD(COUNTIF($Q$11:Q134,Q134),5)=0,OFFSET(装备属性!$M$1083,1+INT(COUNTA($Q$11:Q134)/5),0),Q134)</f>
        <v>通用属性</v>
      </c>
      <c r="R135" s="83" t="e">
        <f ca="1">IF(MOD(COUNTIF($Q$11:Q134,Q134),5)=0,10000*SUBSTITUTE(SUBSTITUTE(OFFSET(装备属性!$F$1083,1+INT(COUNTA($Q$11:Q134)/5),0),"[",""),"]","")+_xlfn.XLOOKUP(C135,$M$3:$M$7,$N$3:$N$7)*100,R134)</f>
        <v>#N/A</v>
      </c>
    </row>
    <row r="136" customHeight="1" spans="1:18">
      <c r="A136" s="78">
        <f ca="1" t="shared" si="3"/>
        <v>10601</v>
      </c>
      <c r="B136" s="82">
        <f ca="1">IFERROR(R136+COUNTIFS($R$11:$R136,R136),"")</f>
        <v>10601</v>
      </c>
      <c r="C136" s="83" t="str">
        <f ca="1">IF(MOD(COUNTIF($Q$11:Q135,Q135),5)=0,OFFSET(装备属性!$D$1083,1+INT(COUNTA($Q$11:Q135)/5),0),C135)</f>
        <v>红</v>
      </c>
      <c r="D136" s="82">
        <f t="shared" si="5"/>
        <v>3000</v>
      </c>
      <c r="F136" s="82">
        <f ca="1" t="shared" si="4"/>
        <v>10600</v>
      </c>
      <c r="G136" s="78" t="str">
        <f ca="1">IF(AND(LEFT("[{"&amp;M136&amp;","&amp;CEILING(N136*10000+(O136-N136)/4*(COUNTIF($F$11:F136,F136)-1)*10000,10)&amp;"}]",7)="[{equip",MID("[{"&amp;M136&amp;","&amp;CEILING(N136*10000+(O136-N136)/4*(COUNTIF($F$11:F136,F136)-1)*10000,10)&amp;"}]",8,1)&lt;&gt;"_"),"[{"&amp;M136&amp;","&amp;1&amp;"}]","[{"&amp;M136&amp;","&amp;CEILING(N136*10000+(O136-N136)/4*(COUNTIF($F$11:F136,F136)-1)*10000,10)&amp;"}]")</f>
        <v>[{dmg_red_rate,200}]</v>
      </c>
      <c r="H136" s="82" t="s">
        <v>563</v>
      </c>
      <c r="J136" s="78">
        <f ca="1">IF(MOD(COUNTIF($Q$11:Q135,Q135),5)=0,OFFSET(装备属性!$P$1083,1+INT(COUNTA($Q$11:Q135)/5),0),J135)</f>
        <v>6</v>
      </c>
      <c r="K136" s="83" t="str">
        <f ca="1">IF(RIGHT(G136,13)="rune_slot,1}]",_xlfn.XLOOKUP(LEFT(SUBSTITUTE(G136,"[{",""),FIND(",",SUBSTITUTE(G136,"[{",""))-1),Sheet2!B:B,Sheet2!C:C)&amp;"+"&amp;1,_xlfn.XLOOKUP(LEFT(SUBSTITUTE(G136,"[{",""),FIND(",",SUBSTITUTE(G136,"[{",""))-1),Sheet2!B:B,Sheet2!C:C)&amp;"+"&amp;SUBSTITUTE(RIGHT(G136,LEN(G136)-FIND(",",G136)),"}]","")/100&amp;"%")</f>
        <v>伤害减免+2%</v>
      </c>
      <c r="L136" s="83" t="str">
        <f ca="1">IF(MOD(COUNTIF($Q$11:Q135,Q135),5)=0,OFFSET(装备属性!$G$1083,1+INT(COUNTA($Q$11:Q135)/5),0),L135)</f>
        <v>全员抗揍Ⅲ</v>
      </c>
      <c r="M136" s="89" t="str">
        <f ca="1">IF(MOD(COUNTIF($Q$11:Q135,Q135),5)=0,OFFSET(装备属性!$H$1083,1+INT(COUNTA($Q$11:Q135)/5),0),M135)</f>
        <v>dmg_red_rate</v>
      </c>
      <c r="N136" s="76">
        <f ca="1">IF(MOD(COUNTIF($Q$11:Q135,Q135),5)=0,OFFSET(装备属性!$K$1083,1+INT(COUNTA($Q$11:Q135)/5),0),N135)</f>
        <v>0.02</v>
      </c>
      <c r="O136" s="76">
        <f ca="1">IF(MOD(COUNTIF($Q$11:Q135,Q135),5)=0,OFFSET(装备属性!$L$1083,1+INT(COUNTA($Q$11:Q135)/5),0),O135)</f>
        <v>0.024</v>
      </c>
      <c r="Q136" s="89" t="str">
        <f ca="1">IF(MOD(COUNTIF($Q$11:Q135,Q135),5)=0,OFFSET(装备属性!$M$1083,1+INT(COUNTA($Q$11:Q135)/5),0),Q135)</f>
        <v>通用属性</v>
      </c>
      <c r="R136" s="83">
        <f ca="1">IF(MOD(COUNTIF($Q$11:Q135,Q135),5)=0,10000*SUBSTITUTE(SUBSTITUTE(OFFSET(装备属性!$F$1083,1+INT(COUNTA($Q$11:Q135)/5),0),"[",""),"]","")+_xlfn.XLOOKUP(C136,$M$3:$M$7,$N$3:$N$7)*100,R135)</f>
        <v>10600</v>
      </c>
    </row>
    <row r="137" customHeight="1" spans="1:18">
      <c r="A137" s="78">
        <f ca="1" t="shared" si="3"/>
        <v>10601</v>
      </c>
      <c r="B137" s="82">
        <f ca="1">IFERROR(R137+COUNTIFS($R$11:$R137,R137),"")</f>
        <v>10602</v>
      </c>
      <c r="C137" s="83" t="str">
        <f ca="1">IF(MOD(COUNTIF($Q$11:Q136,Q136),5)=0,OFFSET(装备属性!$D$1083,1+INT(COUNTA($Q$11:Q136)/5),0),C136)</f>
        <v>红</v>
      </c>
      <c r="D137" s="82">
        <f t="shared" si="5"/>
        <v>2500</v>
      </c>
      <c r="F137" s="82">
        <f ca="1" t="shared" si="4"/>
        <v>10600</v>
      </c>
      <c r="G137" s="78" t="str">
        <f ca="1">IF(AND(LEFT("[{"&amp;M137&amp;","&amp;CEILING(N137*10000+(O137-N137)/4*(COUNTIF($F$11:F137,F137)-1)*10000,10)&amp;"}]",7)="[{equip",MID("[{"&amp;M137&amp;","&amp;CEILING(N137*10000+(O137-N137)/4*(COUNTIF($F$11:F137,F137)-1)*10000,10)&amp;"}]",8,1)&lt;&gt;"_"),"[{"&amp;M137&amp;","&amp;1&amp;"}]","[{"&amp;M137&amp;","&amp;CEILING(N137*10000+(O137-N137)/4*(COUNTIF($F$11:F137,F137)-1)*10000,10)&amp;"}]")</f>
        <v>[{dmg_red_rate,210}]</v>
      </c>
      <c r="H137" s="82" t="s">
        <v>563</v>
      </c>
      <c r="J137" s="78">
        <f ca="1">IF(MOD(COUNTIF($Q$11:Q136,Q136),5)=0,OFFSET(装备属性!$P$1083,1+INT(COUNTA($Q$11:Q136)/5),0),J136)</f>
        <v>6</v>
      </c>
      <c r="K137" s="83" t="str">
        <f ca="1">IF(RIGHT(G137,13)="rune_slot,1}]",_xlfn.XLOOKUP(LEFT(SUBSTITUTE(G137,"[{",""),FIND(",",SUBSTITUTE(G137,"[{",""))-1),Sheet2!B:B,Sheet2!C:C)&amp;"+"&amp;1,_xlfn.XLOOKUP(LEFT(SUBSTITUTE(G137,"[{",""),FIND(",",SUBSTITUTE(G137,"[{",""))-1),Sheet2!B:B,Sheet2!C:C)&amp;"+"&amp;SUBSTITUTE(RIGHT(G137,LEN(G137)-FIND(",",G137)),"}]","")/100&amp;"%")</f>
        <v>伤害减免+2.1%</v>
      </c>
      <c r="L137" s="83" t="str">
        <f ca="1">IF(MOD(COUNTIF($Q$11:Q136,Q136),5)=0,OFFSET(装备属性!$G$1083,1+INT(COUNTA($Q$11:Q136)/5),0),L136)</f>
        <v>全员抗揍Ⅲ</v>
      </c>
      <c r="M137" s="89" t="str">
        <f ca="1">IF(MOD(COUNTIF($Q$11:Q136,Q136),5)=0,OFFSET(装备属性!$H$1083,1+INT(COUNTA($Q$11:Q136)/5),0),M136)</f>
        <v>dmg_red_rate</v>
      </c>
      <c r="N137" s="76">
        <f ca="1">IF(MOD(COUNTIF($Q$11:Q136,Q136),5)=0,OFFSET(装备属性!$K$1083,1+INT(COUNTA($Q$11:Q136)/5),0),N136)</f>
        <v>0.02</v>
      </c>
      <c r="O137" s="76">
        <f ca="1">IF(MOD(COUNTIF($Q$11:Q136,Q136),5)=0,OFFSET(装备属性!$L$1083,1+INT(COUNTA($Q$11:Q136)/5),0),O136)</f>
        <v>0.024</v>
      </c>
      <c r="Q137" s="89" t="str">
        <f ca="1">IF(MOD(COUNTIF($Q$11:Q136,Q136),5)=0,OFFSET(装备属性!$M$1083,1+INT(COUNTA($Q$11:Q136)/5),0),Q136)</f>
        <v>通用属性</v>
      </c>
      <c r="R137" s="83">
        <f ca="1">IF(MOD(COUNTIF($Q$11:Q136,Q136),5)=0,10000*SUBSTITUTE(SUBSTITUTE(OFFSET(装备属性!$F$1083,1+INT(COUNTA($Q$11:Q136)/5),0),"[",""),"]","")+_xlfn.XLOOKUP(C137,$M$3:$M$7,$N$3:$N$7)*100,R136)</f>
        <v>10600</v>
      </c>
    </row>
    <row r="138" customHeight="1" spans="1:18">
      <c r="A138" s="78">
        <f ca="1" t="shared" si="3"/>
        <v>10601</v>
      </c>
      <c r="B138" s="82">
        <f ca="1">IFERROR(R138+COUNTIFS($R$11:$R138,R138),"")</f>
        <v>10603</v>
      </c>
      <c r="C138" s="83" t="str">
        <f ca="1">IF(MOD(COUNTIF($Q$11:Q137,Q137),5)=0,OFFSET(装备属性!$D$1083,1+INT(COUNTA($Q$11:Q137)/5),0),C137)</f>
        <v>红</v>
      </c>
      <c r="D138" s="82">
        <f t="shared" si="5"/>
        <v>2000</v>
      </c>
      <c r="F138" s="82">
        <f ca="1" t="shared" si="4"/>
        <v>10600</v>
      </c>
      <c r="G138" s="78" t="str">
        <f ca="1">IF(AND(LEFT("[{"&amp;M138&amp;","&amp;CEILING(N138*10000+(O138-N138)/4*(COUNTIF($F$11:F138,F138)-1)*10000,10)&amp;"}]",7)="[{equip",MID("[{"&amp;M138&amp;","&amp;CEILING(N138*10000+(O138-N138)/4*(COUNTIF($F$11:F138,F138)-1)*10000,10)&amp;"}]",8,1)&lt;&gt;"_"),"[{"&amp;M138&amp;","&amp;1&amp;"}]","[{"&amp;M138&amp;","&amp;CEILING(N138*10000+(O138-N138)/4*(COUNTIF($F$11:F138,F138)-1)*10000,10)&amp;"}]")</f>
        <v>[{dmg_red_rate,220}]</v>
      </c>
      <c r="H138" s="82" t="s">
        <v>563</v>
      </c>
      <c r="J138" s="78">
        <f ca="1">IF(MOD(COUNTIF($Q$11:Q137,Q137),5)=0,OFFSET(装备属性!$P$1083,1+INT(COUNTA($Q$11:Q137)/5),0),J137)</f>
        <v>6</v>
      </c>
      <c r="K138" s="83" t="str">
        <f ca="1">IF(RIGHT(G138,13)="rune_slot,1}]",_xlfn.XLOOKUP(LEFT(SUBSTITUTE(G138,"[{",""),FIND(",",SUBSTITUTE(G138,"[{",""))-1),Sheet2!B:B,Sheet2!C:C)&amp;"+"&amp;1,_xlfn.XLOOKUP(LEFT(SUBSTITUTE(G138,"[{",""),FIND(",",SUBSTITUTE(G138,"[{",""))-1),Sheet2!B:B,Sheet2!C:C)&amp;"+"&amp;SUBSTITUTE(RIGHT(G138,LEN(G138)-FIND(",",G138)),"}]","")/100&amp;"%")</f>
        <v>伤害减免+2.2%</v>
      </c>
      <c r="L138" s="83" t="str">
        <f ca="1">IF(MOD(COUNTIF($Q$11:Q137,Q137),5)=0,OFFSET(装备属性!$G$1083,1+INT(COUNTA($Q$11:Q137)/5),0),L137)</f>
        <v>全员抗揍Ⅲ</v>
      </c>
      <c r="M138" s="89" t="str">
        <f ca="1">IF(MOD(COUNTIF($Q$11:Q137,Q137),5)=0,OFFSET(装备属性!$H$1083,1+INT(COUNTA($Q$11:Q137)/5),0),M137)</f>
        <v>dmg_red_rate</v>
      </c>
      <c r="N138" s="76">
        <f ca="1">IF(MOD(COUNTIF($Q$11:Q137,Q137),5)=0,OFFSET(装备属性!$K$1083,1+INT(COUNTA($Q$11:Q137)/5),0),N137)</f>
        <v>0.02</v>
      </c>
      <c r="O138" s="76">
        <f ca="1">IF(MOD(COUNTIF($Q$11:Q137,Q137),5)=0,OFFSET(装备属性!$L$1083,1+INT(COUNTA($Q$11:Q137)/5),0),O137)</f>
        <v>0.024</v>
      </c>
      <c r="Q138" s="89" t="str">
        <f ca="1">IF(MOD(COUNTIF($Q$11:Q137,Q137),5)=0,OFFSET(装备属性!$M$1083,1+INT(COUNTA($Q$11:Q137)/5),0),Q137)</f>
        <v>通用属性</v>
      </c>
      <c r="R138" s="83">
        <f ca="1">IF(MOD(COUNTIF($Q$11:Q137,Q137),5)=0,10000*SUBSTITUTE(SUBSTITUTE(OFFSET(装备属性!$F$1083,1+INT(COUNTA($Q$11:Q137)/5),0),"[",""),"]","")+_xlfn.XLOOKUP(C138,$M$3:$M$7,$N$3:$N$7)*100,R137)</f>
        <v>10600</v>
      </c>
    </row>
    <row r="139" customHeight="1" spans="1:18">
      <c r="A139" s="78">
        <f ca="1" t="shared" si="3"/>
        <v>10601</v>
      </c>
      <c r="B139" s="82">
        <f ca="1">IFERROR(R139+COUNTIFS($R$11:$R139,R139),"")</f>
        <v>10604</v>
      </c>
      <c r="C139" s="83" t="str">
        <f ca="1">IF(MOD(COUNTIF($Q$11:Q138,Q138),5)=0,OFFSET(装备属性!$D$1083,1+INT(COUNTA($Q$11:Q138)/5),0),C138)</f>
        <v>红</v>
      </c>
      <c r="D139" s="82">
        <f t="shared" si="5"/>
        <v>1500</v>
      </c>
      <c r="F139" s="82">
        <f ca="1" t="shared" si="4"/>
        <v>10600</v>
      </c>
      <c r="G139" s="78" t="str">
        <f ca="1">IF(AND(LEFT("[{"&amp;M139&amp;","&amp;CEILING(N139*10000+(O139-N139)/4*(COUNTIF($F$11:F139,F139)-1)*10000,10)&amp;"}]",7)="[{equip",MID("[{"&amp;M139&amp;","&amp;CEILING(N139*10000+(O139-N139)/4*(COUNTIF($F$11:F139,F139)-1)*10000,10)&amp;"}]",8,1)&lt;&gt;"_"),"[{"&amp;M139&amp;","&amp;1&amp;"}]","[{"&amp;M139&amp;","&amp;CEILING(N139*10000+(O139-N139)/4*(COUNTIF($F$11:F139,F139)-1)*10000,10)&amp;"}]")</f>
        <v>[{dmg_red_rate,230}]</v>
      </c>
      <c r="H139" s="82" t="s">
        <v>563</v>
      </c>
      <c r="J139" s="78">
        <f ca="1">IF(MOD(COUNTIF($Q$11:Q138,Q138),5)=0,OFFSET(装备属性!$P$1083,1+INT(COUNTA($Q$11:Q138)/5),0),J138)</f>
        <v>6</v>
      </c>
      <c r="K139" s="83" t="str">
        <f ca="1">IF(RIGHT(G139,13)="rune_slot,1}]",_xlfn.XLOOKUP(LEFT(SUBSTITUTE(G139,"[{",""),FIND(",",SUBSTITUTE(G139,"[{",""))-1),Sheet2!B:B,Sheet2!C:C)&amp;"+"&amp;1,_xlfn.XLOOKUP(LEFT(SUBSTITUTE(G139,"[{",""),FIND(",",SUBSTITUTE(G139,"[{",""))-1),Sheet2!B:B,Sheet2!C:C)&amp;"+"&amp;SUBSTITUTE(RIGHT(G139,LEN(G139)-FIND(",",G139)),"}]","")/100&amp;"%")</f>
        <v>伤害减免+2.3%</v>
      </c>
      <c r="L139" s="83" t="str">
        <f ca="1">IF(MOD(COUNTIF($Q$11:Q138,Q138),5)=0,OFFSET(装备属性!$G$1083,1+INT(COUNTA($Q$11:Q138)/5),0),L138)</f>
        <v>全员抗揍Ⅲ</v>
      </c>
      <c r="M139" s="89" t="str">
        <f ca="1">IF(MOD(COUNTIF($Q$11:Q138,Q138),5)=0,OFFSET(装备属性!$H$1083,1+INT(COUNTA($Q$11:Q138)/5),0),M138)</f>
        <v>dmg_red_rate</v>
      </c>
      <c r="N139" s="76">
        <f ca="1">IF(MOD(COUNTIF($Q$11:Q138,Q138),5)=0,OFFSET(装备属性!$K$1083,1+INT(COUNTA($Q$11:Q138)/5),0),N138)</f>
        <v>0.02</v>
      </c>
      <c r="O139" s="76">
        <f ca="1">IF(MOD(COUNTIF($Q$11:Q138,Q138),5)=0,OFFSET(装备属性!$L$1083,1+INT(COUNTA($Q$11:Q138)/5),0),O138)</f>
        <v>0.024</v>
      </c>
      <c r="Q139" s="89" t="str">
        <f ca="1">IF(MOD(COUNTIF($Q$11:Q138,Q138),5)=0,OFFSET(装备属性!$M$1083,1+INT(COUNTA($Q$11:Q138)/5),0),Q138)</f>
        <v>通用属性</v>
      </c>
      <c r="R139" s="83">
        <f ca="1">IF(MOD(COUNTIF($Q$11:Q138,Q138),5)=0,10000*SUBSTITUTE(SUBSTITUTE(OFFSET(装备属性!$F$1083,1+INT(COUNTA($Q$11:Q138)/5),0),"[",""),"]","")+_xlfn.XLOOKUP(C139,$M$3:$M$7,$N$3:$N$7)*100,R138)</f>
        <v>10600</v>
      </c>
    </row>
    <row r="140" customHeight="1" spans="1:18">
      <c r="A140" s="78">
        <f ca="1" t="shared" ref="A140:A203" si="6">IFERROR(R140+IF(Q140="通用属性",1,IF(Q140="玩法类",2,IF(Q140="稀有词条",3,0))),"")</f>
        <v>10601</v>
      </c>
      <c r="B140" s="82">
        <f ca="1">IFERROR(R140+COUNTIFS($R$11:$R140,R140),"")</f>
        <v>10605</v>
      </c>
      <c r="C140" s="83" t="str">
        <f ca="1">IF(MOD(COUNTIF($Q$11:Q139,Q139),5)=0,OFFSET(装备属性!$D$1083,1+INT(COUNTA($Q$11:Q139)/5),0),C139)</f>
        <v>红</v>
      </c>
      <c r="D140" s="82">
        <f t="shared" si="5"/>
        <v>1000</v>
      </c>
      <c r="F140" s="82">
        <f ca="1" t="shared" ref="F140:F203" si="7">IFERROR(R140+INT((B140-R140-1)/5),"")</f>
        <v>10600</v>
      </c>
      <c r="G140" s="78" t="str">
        <f ca="1">IF(AND(LEFT("[{"&amp;M140&amp;","&amp;CEILING(N140*10000+(O140-N140)/4*(COUNTIF($F$11:F140,F140)-1)*10000,10)&amp;"}]",7)="[{equip",MID("[{"&amp;M140&amp;","&amp;CEILING(N140*10000+(O140-N140)/4*(COUNTIF($F$11:F140,F140)-1)*10000,10)&amp;"}]",8,1)&lt;&gt;"_"),"[{"&amp;M140&amp;","&amp;1&amp;"}]","[{"&amp;M140&amp;","&amp;CEILING(N140*10000+(O140-N140)/4*(COUNTIF($F$11:F140,F140)-1)*10000,10)&amp;"}]")</f>
        <v>[{dmg_red_rate,240}]</v>
      </c>
      <c r="H140" s="82" t="s">
        <v>563</v>
      </c>
      <c r="J140" s="78">
        <f ca="1">IF(MOD(COUNTIF($Q$11:Q139,Q139),5)=0,OFFSET(装备属性!$P$1083,1+INT(COUNTA($Q$11:Q139)/5),0),J139)</f>
        <v>6</v>
      </c>
      <c r="K140" s="83" t="str">
        <f ca="1">IF(RIGHT(G140,13)="rune_slot,1}]",_xlfn.XLOOKUP(LEFT(SUBSTITUTE(G140,"[{",""),FIND(",",SUBSTITUTE(G140,"[{",""))-1),Sheet2!B:B,Sheet2!C:C)&amp;"+"&amp;1,_xlfn.XLOOKUP(LEFT(SUBSTITUTE(G140,"[{",""),FIND(",",SUBSTITUTE(G140,"[{",""))-1),Sheet2!B:B,Sheet2!C:C)&amp;"+"&amp;SUBSTITUTE(RIGHT(G140,LEN(G140)-FIND(",",G140)),"}]","")/100&amp;"%")</f>
        <v>伤害减免+2.4%</v>
      </c>
      <c r="L140" s="83" t="str">
        <f ca="1">IF(MOD(COUNTIF($Q$11:Q139,Q139),5)=0,OFFSET(装备属性!$G$1083,1+INT(COUNTA($Q$11:Q139)/5),0),L139)</f>
        <v>全员抗揍Ⅲ</v>
      </c>
      <c r="M140" s="89" t="str">
        <f ca="1">IF(MOD(COUNTIF($Q$11:Q139,Q139),5)=0,OFFSET(装备属性!$H$1083,1+INT(COUNTA($Q$11:Q139)/5),0),M139)</f>
        <v>dmg_red_rate</v>
      </c>
      <c r="N140" s="76">
        <f ca="1">IF(MOD(COUNTIF($Q$11:Q139,Q139),5)=0,OFFSET(装备属性!$K$1083,1+INT(COUNTA($Q$11:Q139)/5),0),N139)</f>
        <v>0.02</v>
      </c>
      <c r="O140" s="76">
        <f ca="1">IF(MOD(COUNTIF($Q$11:Q139,Q139),5)=0,OFFSET(装备属性!$L$1083,1+INT(COUNTA($Q$11:Q139)/5),0),O139)</f>
        <v>0.024</v>
      </c>
      <c r="Q140" s="89" t="str">
        <f ca="1">IF(MOD(COUNTIF($Q$11:Q139,Q139),5)=0,OFFSET(装备属性!$M$1083,1+INT(COUNTA($Q$11:Q139)/5),0),Q139)</f>
        <v>通用属性</v>
      </c>
      <c r="R140" s="83">
        <f ca="1">IF(MOD(COUNTIF($Q$11:Q139,Q139),5)=0,10000*SUBSTITUTE(SUBSTITUTE(OFFSET(装备属性!$F$1083,1+INT(COUNTA($Q$11:Q139)/5),0),"[",""),"]","")+_xlfn.XLOOKUP(C140,$M$3:$M$7,$N$3:$N$7)*100,R139)</f>
        <v>10600</v>
      </c>
    </row>
    <row r="141" customHeight="1" spans="1:18">
      <c r="A141" s="78">
        <f ca="1" t="shared" si="6"/>
        <v>10601</v>
      </c>
      <c r="B141" s="82">
        <f ca="1">IFERROR(R141+COUNTIFS($R$11:$R141,R141),"")</f>
        <v>10606</v>
      </c>
      <c r="C141" s="83" t="str">
        <f ca="1">IF(MOD(COUNTIF($Q$11:Q140,Q140),5)=0,OFFSET(装备属性!$D$1083,1+INT(COUNTA($Q$11:Q140)/5),0),C140)</f>
        <v>红</v>
      </c>
      <c r="D141" s="82">
        <f t="shared" si="5"/>
        <v>3000</v>
      </c>
      <c r="F141" s="82">
        <f ca="1" t="shared" si="7"/>
        <v>10601</v>
      </c>
      <c r="G141" s="78" t="str">
        <f ca="1">IF(AND(LEFT("[{"&amp;M141&amp;","&amp;CEILING(N141*10000+(O141-N141)/4*(COUNTIF($F$11:F141,F141)-1)*10000,10)&amp;"}]",7)="[{equip",MID("[{"&amp;M141&amp;","&amp;CEILING(N141*10000+(O141-N141)/4*(COUNTIF($F$11:F141,F141)-1)*10000,10)&amp;"}]",8,1)&lt;&gt;"_"),"[{"&amp;M141&amp;","&amp;1&amp;"}]","[{"&amp;M141&amp;","&amp;CEILING(N141*10000+(O141-N141)/4*(COUNTIF($F$11:F141,F141)-1)*10000,10)&amp;"}]")</f>
        <v>[{all_class_dmg,520}]</v>
      </c>
      <c r="H141" s="82" t="s">
        <v>563</v>
      </c>
      <c r="J141" s="78">
        <f ca="1">IF(MOD(COUNTIF($Q$11:Q140,Q140),5)=0,OFFSET(装备属性!$P$1083,1+INT(COUNTA($Q$11:Q140)/5),0),J140)</f>
        <v>2</v>
      </c>
      <c r="K141" s="83" t="str">
        <f ca="1">IF(RIGHT(G141,13)="rune_slot,1}]",_xlfn.XLOOKUP(LEFT(SUBSTITUTE(G141,"[{",""),FIND(",",SUBSTITUTE(G141,"[{",""))-1),Sheet2!B:B,Sheet2!C:C)&amp;"+"&amp;1,_xlfn.XLOOKUP(LEFT(SUBSTITUTE(G141,"[{",""),FIND(",",SUBSTITUTE(G141,"[{",""))-1),Sheet2!B:B,Sheet2!C:C)&amp;"+"&amp;SUBSTITUTE(RIGHT(G141,LEN(G141)-FIND(",",G141)),"}]","")/100&amp;"%")</f>
        <v>上阵五个不同职业增伤+5.2%</v>
      </c>
      <c r="L141" s="83" t="str">
        <f ca="1">IF(MOD(COUNTIF($Q$11:Q140,Q140),5)=0,OFFSET(装备属性!$G$1083,1+INT(COUNTA($Q$11:Q140)/5),0),L140)</f>
        <v>全员出力Ⅲ</v>
      </c>
      <c r="M141" s="89" t="str">
        <f ca="1">IF(MOD(COUNTIF($Q$11:Q140,Q140),5)=0,OFFSET(装备属性!$H$1083,1+INT(COUNTA($Q$11:Q140)/5),0),M140)</f>
        <v>all_class_dmg</v>
      </c>
      <c r="N141" s="76">
        <f ca="1">IF(MOD(COUNTIF($Q$11:Q140,Q140),5)=0,OFFSET(装备属性!$K$1083,1+INT(COUNTA($Q$11:Q140)/5),0),N140)</f>
        <v>0.052</v>
      </c>
      <c r="O141" s="76">
        <f ca="1">IF(MOD(COUNTIF($Q$11:Q140,Q140),5)=0,OFFSET(装备属性!$L$1083,1+INT(COUNTA($Q$11:Q140)/5),0),O140)</f>
        <v>0.058</v>
      </c>
      <c r="Q141" s="89" t="str">
        <f ca="1">IF(MOD(COUNTIF($Q$11:Q140,Q140),5)=0,OFFSET(装备属性!$M$1083,1+INT(COUNTA($Q$11:Q140)/5),0),Q140)</f>
        <v>通用属性</v>
      </c>
      <c r="R141" s="83">
        <f ca="1">IF(MOD(COUNTIF($Q$11:Q140,Q140),5)=0,10000*SUBSTITUTE(SUBSTITUTE(OFFSET(装备属性!$F$1083,1+INT(COUNTA($Q$11:Q140)/5),0),"[",""),"]","")+_xlfn.XLOOKUP(C141,$M$3:$M$7,$N$3:$N$7)*100,R140)</f>
        <v>10600</v>
      </c>
    </row>
    <row r="142" customHeight="1" spans="1:18">
      <c r="A142" s="78">
        <f ca="1" t="shared" si="6"/>
        <v>10601</v>
      </c>
      <c r="B142" s="82">
        <f ca="1">IFERROR(R142+COUNTIFS($R$11:$R142,R142),"")</f>
        <v>10607</v>
      </c>
      <c r="C142" s="83" t="str">
        <f ca="1">IF(MOD(COUNTIF($Q$11:Q141,Q141),5)=0,OFFSET(装备属性!$D$1083,1+INT(COUNTA($Q$11:Q141)/5),0),C141)</f>
        <v>红</v>
      </c>
      <c r="D142" s="82">
        <f t="shared" si="5"/>
        <v>2500</v>
      </c>
      <c r="F142" s="82">
        <f ca="1" t="shared" si="7"/>
        <v>10601</v>
      </c>
      <c r="G142" s="78" t="str">
        <f ca="1">IF(AND(LEFT("[{"&amp;M142&amp;","&amp;CEILING(N142*10000+(O142-N142)/4*(COUNTIF($F$11:F142,F142)-1)*10000,10)&amp;"}]",7)="[{equip",MID("[{"&amp;M142&amp;","&amp;CEILING(N142*10000+(O142-N142)/4*(COUNTIF($F$11:F142,F142)-1)*10000,10)&amp;"}]",8,1)&lt;&gt;"_"),"[{"&amp;M142&amp;","&amp;1&amp;"}]","[{"&amp;M142&amp;","&amp;CEILING(N142*10000+(O142-N142)/4*(COUNTIF($F$11:F142,F142)-1)*10000,10)&amp;"}]")</f>
        <v>[{all_class_dmg,540}]</v>
      </c>
      <c r="H142" s="82" t="s">
        <v>563</v>
      </c>
      <c r="J142" s="78">
        <f ca="1">IF(MOD(COUNTIF($Q$11:Q141,Q141),5)=0,OFFSET(装备属性!$P$1083,1+INT(COUNTA($Q$11:Q141)/5),0),J141)</f>
        <v>2</v>
      </c>
      <c r="K142" s="83" t="str">
        <f ca="1">IF(RIGHT(G142,13)="rune_slot,1}]",_xlfn.XLOOKUP(LEFT(SUBSTITUTE(G142,"[{",""),FIND(",",SUBSTITUTE(G142,"[{",""))-1),Sheet2!B:B,Sheet2!C:C)&amp;"+"&amp;1,_xlfn.XLOOKUP(LEFT(SUBSTITUTE(G142,"[{",""),FIND(",",SUBSTITUTE(G142,"[{",""))-1),Sheet2!B:B,Sheet2!C:C)&amp;"+"&amp;SUBSTITUTE(RIGHT(G142,LEN(G142)-FIND(",",G142)),"}]","")/100&amp;"%")</f>
        <v>上阵五个不同职业增伤+5.4%</v>
      </c>
      <c r="L142" s="83" t="str">
        <f ca="1">IF(MOD(COUNTIF($Q$11:Q141,Q141),5)=0,OFFSET(装备属性!$G$1083,1+INT(COUNTA($Q$11:Q141)/5),0),L141)</f>
        <v>全员出力Ⅲ</v>
      </c>
      <c r="M142" s="89" t="str">
        <f ca="1">IF(MOD(COUNTIF($Q$11:Q141,Q141),5)=0,OFFSET(装备属性!$H$1083,1+INT(COUNTA($Q$11:Q141)/5),0),M141)</f>
        <v>all_class_dmg</v>
      </c>
      <c r="N142" s="76">
        <f ca="1">IF(MOD(COUNTIF($Q$11:Q141,Q141),5)=0,OFFSET(装备属性!$K$1083,1+INT(COUNTA($Q$11:Q141)/5),0),N141)</f>
        <v>0.052</v>
      </c>
      <c r="O142" s="76">
        <f ca="1">IF(MOD(COUNTIF($Q$11:Q141,Q141),5)=0,OFFSET(装备属性!$L$1083,1+INT(COUNTA($Q$11:Q141)/5),0),O141)</f>
        <v>0.058</v>
      </c>
      <c r="Q142" s="89" t="str">
        <f ca="1">IF(MOD(COUNTIF($Q$11:Q141,Q141),5)=0,OFFSET(装备属性!$M$1083,1+INT(COUNTA($Q$11:Q141)/5),0),Q141)</f>
        <v>通用属性</v>
      </c>
      <c r="R142" s="83">
        <f ca="1">IF(MOD(COUNTIF($Q$11:Q141,Q141),5)=0,10000*SUBSTITUTE(SUBSTITUTE(OFFSET(装备属性!$F$1083,1+INT(COUNTA($Q$11:Q141)/5),0),"[",""),"]","")+_xlfn.XLOOKUP(C142,$M$3:$M$7,$N$3:$N$7)*100,R141)</f>
        <v>10600</v>
      </c>
    </row>
    <row r="143" customHeight="1" spans="1:18">
      <c r="A143" s="78">
        <f ca="1" t="shared" si="6"/>
        <v>10601</v>
      </c>
      <c r="B143" s="82">
        <f ca="1">IFERROR(R143+COUNTIFS($R$11:$R143,R143),"")</f>
        <v>10608</v>
      </c>
      <c r="C143" s="83" t="str">
        <f ca="1">IF(MOD(COUNTIF($Q$11:Q142,Q142),5)=0,OFFSET(装备属性!$D$1083,1+INT(COUNTA($Q$11:Q142)/5),0),C142)</f>
        <v>红</v>
      </c>
      <c r="D143" s="82">
        <f t="shared" si="5"/>
        <v>2000</v>
      </c>
      <c r="F143" s="82">
        <f ca="1" t="shared" si="7"/>
        <v>10601</v>
      </c>
      <c r="G143" s="78" t="str">
        <f ca="1">IF(AND(LEFT("[{"&amp;M143&amp;","&amp;CEILING(N143*10000+(O143-N143)/4*(COUNTIF($F$11:F143,F143)-1)*10000,10)&amp;"}]",7)="[{equip",MID("[{"&amp;M143&amp;","&amp;CEILING(N143*10000+(O143-N143)/4*(COUNTIF($F$11:F143,F143)-1)*10000,10)&amp;"}]",8,1)&lt;&gt;"_"),"[{"&amp;M143&amp;","&amp;1&amp;"}]","[{"&amp;M143&amp;","&amp;CEILING(N143*10000+(O143-N143)/4*(COUNTIF($F$11:F143,F143)-1)*10000,10)&amp;"}]")</f>
        <v>[{all_class_dmg,550}]</v>
      </c>
      <c r="H143" s="82" t="s">
        <v>563</v>
      </c>
      <c r="J143" s="78">
        <f ca="1">IF(MOD(COUNTIF($Q$11:Q142,Q142),5)=0,OFFSET(装备属性!$P$1083,1+INT(COUNTA($Q$11:Q142)/5),0),J142)</f>
        <v>2</v>
      </c>
      <c r="K143" s="83" t="str">
        <f ca="1">IF(RIGHT(G143,13)="rune_slot,1}]",_xlfn.XLOOKUP(LEFT(SUBSTITUTE(G143,"[{",""),FIND(",",SUBSTITUTE(G143,"[{",""))-1),Sheet2!B:B,Sheet2!C:C)&amp;"+"&amp;1,_xlfn.XLOOKUP(LEFT(SUBSTITUTE(G143,"[{",""),FIND(",",SUBSTITUTE(G143,"[{",""))-1),Sheet2!B:B,Sheet2!C:C)&amp;"+"&amp;SUBSTITUTE(RIGHT(G143,LEN(G143)-FIND(",",G143)),"}]","")/100&amp;"%")</f>
        <v>上阵五个不同职业增伤+5.5%</v>
      </c>
      <c r="L143" s="83" t="str">
        <f ca="1">IF(MOD(COUNTIF($Q$11:Q142,Q142),5)=0,OFFSET(装备属性!$G$1083,1+INT(COUNTA($Q$11:Q142)/5),0),L142)</f>
        <v>全员出力Ⅲ</v>
      </c>
      <c r="M143" s="89" t="str">
        <f ca="1">IF(MOD(COUNTIF($Q$11:Q142,Q142),5)=0,OFFSET(装备属性!$H$1083,1+INT(COUNTA($Q$11:Q142)/5),0),M142)</f>
        <v>all_class_dmg</v>
      </c>
      <c r="N143" s="76">
        <f ca="1">IF(MOD(COUNTIF($Q$11:Q142,Q142),5)=0,OFFSET(装备属性!$K$1083,1+INT(COUNTA($Q$11:Q142)/5),0),N142)</f>
        <v>0.052</v>
      </c>
      <c r="O143" s="76">
        <f ca="1">IF(MOD(COUNTIF($Q$11:Q142,Q142),5)=0,OFFSET(装备属性!$L$1083,1+INT(COUNTA($Q$11:Q142)/5),0),O142)</f>
        <v>0.058</v>
      </c>
      <c r="Q143" s="89" t="str">
        <f ca="1">IF(MOD(COUNTIF($Q$11:Q142,Q142),5)=0,OFFSET(装备属性!$M$1083,1+INT(COUNTA($Q$11:Q142)/5),0),Q142)</f>
        <v>通用属性</v>
      </c>
      <c r="R143" s="83">
        <f ca="1">IF(MOD(COUNTIF($Q$11:Q142,Q142),5)=0,10000*SUBSTITUTE(SUBSTITUTE(OFFSET(装备属性!$F$1083,1+INT(COUNTA($Q$11:Q142)/5),0),"[",""),"]","")+_xlfn.XLOOKUP(C143,$M$3:$M$7,$N$3:$N$7)*100,R142)</f>
        <v>10600</v>
      </c>
    </row>
    <row r="144" customHeight="1" spans="1:18">
      <c r="A144" s="78">
        <f ca="1" t="shared" si="6"/>
        <v>10601</v>
      </c>
      <c r="B144" s="82">
        <f ca="1">IFERROR(R144+COUNTIFS($R$11:$R144,R144),"")</f>
        <v>10609</v>
      </c>
      <c r="C144" s="83" t="str">
        <f ca="1">IF(MOD(COUNTIF($Q$11:Q143,Q143),5)=0,OFFSET(装备属性!$D$1083,1+INT(COUNTA($Q$11:Q143)/5),0),C143)</f>
        <v>红</v>
      </c>
      <c r="D144" s="82">
        <f t="shared" si="5"/>
        <v>1500</v>
      </c>
      <c r="F144" s="82">
        <f ca="1" t="shared" si="7"/>
        <v>10601</v>
      </c>
      <c r="G144" s="78" t="str">
        <f ca="1">IF(AND(LEFT("[{"&amp;M144&amp;","&amp;CEILING(N144*10000+(O144-N144)/4*(COUNTIF($F$11:F144,F144)-1)*10000,10)&amp;"}]",7)="[{equip",MID("[{"&amp;M144&amp;","&amp;CEILING(N144*10000+(O144-N144)/4*(COUNTIF($F$11:F144,F144)-1)*10000,10)&amp;"}]",8,1)&lt;&gt;"_"),"[{"&amp;M144&amp;","&amp;1&amp;"}]","[{"&amp;M144&amp;","&amp;CEILING(N144*10000+(O144-N144)/4*(COUNTIF($F$11:F144,F144)-1)*10000,10)&amp;"}]")</f>
        <v>[{all_class_dmg,570}]</v>
      </c>
      <c r="H144" s="82" t="s">
        <v>563</v>
      </c>
      <c r="J144" s="78">
        <f ca="1">IF(MOD(COUNTIF($Q$11:Q143,Q143),5)=0,OFFSET(装备属性!$P$1083,1+INT(COUNTA($Q$11:Q143)/5),0),J143)</f>
        <v>2</v>
      </c>
      <c r="K144" s="83" t="str">
        <f ca="1">IF(RIGHT(G144,13)="rune_slot,1}]",_xlfn.XLOOKUP(LEFT(SUBSTITUTE(G144,"[{",""),FIND(",",SUBSTITUTE(G144,"[{",""))-1),Sheet2!B:B,Sheet2!C:C)&amp;"+"&amp;1,_xlfn.XLOOKUP(LEFT(SUBSTITUTE(G144,"[{",""),FIND(",",SUBSTITUTE(G144,"[{",""))-1),Sheet2!B:B,Sheet2!C:C)&amp;"+"&amp;SUBSTITUTE(RIGHT(G144,LEN(G144)-FIND(",",G144)),"}]","")/100&amp;"%")</f>
        <v>上阵五个不同职业增伤+5.7%</v>
      </c>
      <c r="L144" s="83" t="str">
        <f ca="1">IF(MOD(COUNTIF($Q$11:Q143,Q143),5)=0,OFFSET(装备属性!$G$1083,1+INT(COUNTA($Q$11:Q143)/5),0),L143)</f>
        <v>全员出力Ⅲ</v>
      </c>
      <c r="M144" s="89" t="str">
        <f ca="1">IF(MOD(COUNTIF($Q$11:Q143,Q143),5)=0,OFFSET(装备属性!$H$1083,1+INT(COUNTA($Q$11:Q143)/5),0),M143)</f>
        <v>all_class_dmg</v>
      </c>
      <c r="N144" s="76">
        <f ca="1">IF(MOD(COUNTIF($Q$11:Q143,Q143),5)=0,OFFSET(装备属性!$K$1083,1+INT(COUNTA($Q$11:Q143)/5),0),N143)</f>
        <v>0.052</v>
      </c>
      <c r="O144" s="76">
        <f ca="1">IF(MOD(COUNTIF($Q$11:Q143,Q143),5)=0,OFFSET(装备属性!$L$1083,1+INT(COUNTA($Q$11:Q143)/5),0),O143)</f>
        <v>0.058</v>
      </c>
      <c r="Q144" s="89" t="str">
        <f ca="1">IF(MOD(COUNTIF($Q$11:Q143,Q143),5)=0,OFFSET(装备属性!$M$1083,1+INT(COUNTA($Q$11:Q143)/5),0),Q143)</f>
        <v>通用属性</v>
      </c>
      <c r="R144" s="83">
        <f ca="1">IF(MOD(COUNTIF($Q$11:Q143,Q143),5)=0,10000*SUBSTITUTE(SUBSTITUTE(OFFSET(装备属性!$F$1083,1+INT(COUNTA($Q$11:Q143)/5),0),"[",""),"]","")+_xlfn.XLOOKUP(C144,$M$3:$M$7,$N$3:$N$7)*100,R143)</f>
        <v>10600</v>
      </c>
    </row>
    <row r="145" customHeight="1" spans="1:18">
      <c r="A145" s="78">
        <f ca="1" t="shared" si="6"/>
        <v>10601</v>
      </c>
      <c r="B145" s="82">
        <f ca="1">IFERROR(R145+COUNTIFS($R$11:$R145,R145),"")</f>
        <v>10610</v>
      </c>
      <c r="C145" s="83" t="str">
        <f ca="1">IF(MOD(COUNTIF($Q$11:Q144,Q144),5)=0,OFFSET(装备属性!$D$1083,1+INT(COUNTA($Q$11:Q144)/5),0),C144)</f>
        <v>红</v>
      </c>
      <c r="D145" s="82">
        <f t="shared" ref="D145:D208" si="8">D140</f>
        <v>1000</v>
      </c>
      <c r="F145" s="82">
        <f ca="1" t="shared" si="7"/>
        <v>10601</v>
      </c>
      <c r="G145" s="78" t="str">
        <f ca="1">IF(AND(LEFT("[{"&amp;M145&amp;","&amp;CEILING(N145*10000+(O145-N145)/4*(COUNTIF($F$11:F145,F145)-1)*10000,10)&amp;"}]",7)="[{equip",MID("[{"&amp;M145&amp;","&amp;CEILING(N145*10000+(O145-N145)/4*(COUNTIF($F$11:F145,F145)-1)*10000,10)&amp;"}]",8,1)&lt;&gt;"_"),"[{"&amp;M145&amp;","&amp;1&amp;"}]","[{"&amp;M145&amp;","&amp;CEILING(N145*10000+(O145-N145)/4*(COUNTIF($F$11:F145,F145)-1)*10000,10)&amp;"}]")</f>
        <v>[{all_class_dmg,580}]</v>
      </c>
      <c r="H145" s="82" t="s">
        <v>563</v>
      </c>
      <c r="J145" s="78">
        <f ca="1">IF(MOD(COUNTIF($Q$11:Q144,Q144),5)=0,OFFSET(装备属性!$P$1083,1+INT(COUNTA($Q$11:Q144)/5),0),J144)</f>
        <v>2</v>
      </c>
      <c r="K145" s="83" t="str">
        <f ca="1">IF(RIGHT(G145,13)="rune_slot,1}]",_xlfn.XLOOKUP(LEFT(SUBSTITUTE(G145,"[{",""),FIND(",",SUBSTITUTE(G145,"[{",""))-1),Sheet2!B:B,Sheet2!C:C)&amp;"+"&amp;1,_xlfn.XLOOKUP(LEFT(SUBSTITUTE(G145,"[{",""),FIND(",",SUBSTITUTE(G145,"[{",""))-1),Sheet2!B:B,Sheet2!C:C)&amp;"+"&amp;SUBSTITUTE(RIGHT(G145,LEN(G145)-FIND(",",G145)),"}]","")/100&amp;"%")</f>
        <v>上阵五个不同职业增伤+5.8%</v>
      </c>
      <c r="L145" s="83" t="str">
        <f ca="1">IF(MOD(COUNTIF($Q$11:Q144,Q144),5)=0,OFFSET(装备属性!$G$1083,1+INT(COUNTA($Q$11:Q144)/5),0),L144)</f>
        <v>全员出力Ⅲ</v>
      </c>
      <c r="M145" s="89" t="str">
        <f ca="1">IF(MOD(COUNTIF($Q$11:Q144,Q144),5)=0,OFFSET(装备属性!$H$1083,1+INT(COUNTA($Q$11:Q144)/5),0),M144)</f>
        <v>all_class_dmg</v>
      </c>
      <c r="N145" s="76">
        <f ca="1">IF(MOD(COUNTIF($Q$11:Q144,Q144),5)=0,OFFSET(装备属性!$K$1083,1+INT(COUNTA($Q$11:Q144)/5),0),N144)</f>
        <v>0.052</v>
      </c>
      <c r="O145" s="76">
        <f ca="1">IF(MOD(COUNTIF($Q$11:Q144,Q144),5)=0,OFFSET(装备属性!$L$1083,1+INT(COUNTA($Q$11:Q144)/5),0),O144)</f>
        <v>0.058</v>
      </c>
      <c r="Q145" s="89" t="str">
        <f ca="1">IF(MOD(COUNTIF($Q$11:Q144,Q144),5)=0,OFFSET(装备属性!$M$1083,1+INT(COUNTA($Q$11:Q144)/5),0),Q144)</f>
        <v>通用属性</v>
      </c>
      <c r="R145" s="83">
        <f ca="1">IF(MOD(COUNTIF($Q$11:Q144,Q144),5)=0,10000*SUBSTITUTE(SUBSTITUTE(OFFSET(装备属性!$F$1083,1+INT(COUNTA($Q$11:Q144)/5),0),"[",""),"]","")+_xlfn.XLOOKUP(C145,$M$3:$M$7,$N$3:$N$7)*100,R144)</f>
        <v>10600</v>
      </c>
    </row>
    <row r="146" customHeight="1" spans="1:18">
      <c r="A146" s="78" t="str">
        <f ca="1" t="shared" si="6"/>
        <v/>
      </c>
      <c r="B146" s="82" t="str">
        <f ca="1">IFERROR(R146+COUNTIFS($R$11:$R146,R146),"")</f>
        <v/>
      </c>
      <c r="C146" s="83">
        <f ca="1">IF(MOD(COUNTIF($Q$11:Q145,Q145),5)=0,OFFSET(装备属性!$D$1083,1+INT(COUNTA($Q$11:Q145)/5),0),C145)</f>
        <v>0</v>
      </c>
      <c r="D146" s="82">
        <f t="shared" si="8"/>
        <v>3000</v>
      </c>
      <c r="F146" s="82" t="str">
        <f ca="1" t="shared" si="7"/>
        <v/>
      </c>
      <c r="G146" s="78" t="str">
        <f ca="1">IF(AND(LEFT("[{"&amp;M146&amp;","&amp;CEILING(N146*10000+(O146-N146)/4*(COUNTIF($F$11:F146,F146)-1)*10000,10)&amp;"}]",7)="[{equip",MID("[{"&amp;M146&amp;","&amp;CEILING(N146*10000+(O146-N146)/4*(COUNTIF($F$11:F146,F146)-1)*10000,10)&amp;"}]",8,1)&lt;&gt;"_"),"[{"&amp;M146&amp;","&amp;1&amp;"}]","[{"&amp;M146&amp;","&amp;CEILING(N146*10000+(O146-N146)/4*(COUNTIF($F$11:F146,F146)-1)*10000,10)&amp;"}]")</f>
        <v>[{exp_boost,2000}]</v>
      </c>
      <c r="H146" s="82" t="s">
        <v>563</v>
      </c>
      <c r="J146" s="78">
        <f ca="1">IF(MOD(COUNTIF($Q$11:Q145,Q145),5)=0,OFFSET(装备属性!$P$1083,1+INT(COUNTA($Q$11:Q145)/5),0),J145)</f>
        <v>9</v>
      </c>
      <c r="K146" s="83" t="str">
        <f ca="1">IF(RIGHT(G146,13)="rune_slot,1}]",_xlfn.XLOOKUP(LEFT(SUBSTITUTE(G146,"[{",""),FIND(",",SUBSTITUTE(G146,"[{",""))-1),Sheet2!B:B,Sheet2!C:C)&amp;"+"&amp;1,_xlfn.XLOOKUP(LEFT(SUBSTITUTE(G146,"[{",""),FIND(",",SUBSTITUTE(G146,"[{",""))-1),Sheet2!B:B,Sheet2!C:C)&amp;"+"&amp;SUBSTITUTE(RIGHT(G146,LEN(G146)-FIND(",",G146)),"}]","")/100&amp;"%")</f>
        <v>经验加成+20%</v>
      </c>
      <c r="L146" s="83" t="str">
        <f ca="1">IF(MOD(COUNTIF($Q$11:Q145,Q145),5)=0,OFFSET(装备属性!$G$1083,1+INT(COUNTA($Q$11:Q145)/5),0),L145)</f>
        <v>涨见识</v>
      </c>
      <c r="M146" s="89" t="str">
        <f ca="1">IF(MOD(COUNTIF($Q$11:Q145,Q145),5)=0,OFFSET(装备属性!$H$1083,1+INT(COUNTA($Q$11:Q145)/5),0),M145)</f>
        <v>exp_boost</v>
      </c>
      <c r="N146" s="76">
        <f ca="1">IF(MOD(COUNTIF($Q$11:Q145,Q145),5)=0,OFFSET(装备属性!$K$1083,1+INT(COUNTA($Q$11:Q145)/5),0),N145)</f>
        <v>0.2</v>
      </c>
      <c r="O146" s="76">
        <f ca="1">IF(MOD(COUNTIF($Q$11:Q145,Q145),5)=0,OFFSET(装备属性!$L$1083,1+INT(COUNTA($Q$11:Q145)/5),0),O145)</f>
        <v>0.2</v>
      </c>
      <c r="Q146" s="89" t="str">
        <f ca="1">IF(MOD(COUNTIF($Q$11:Q145,Q145),5)=0,OFFSET(装备属性!$M$1083,1+INT(COUNTA($Q$11:Q145)/5),0),Q145)</f>
        <v>稀有词条</v>
      </c>
      <c r="R146" s="83" t="e">
        <f ca="1">IF(MOD(COUNTIF($Q$11:Q145,Q145),5)=0,10000*SUBSTITUTE(SUBSTITUTE(OFFSET(装备属性!$F$1083,1+INT(COUNTA($Q$11:Q145)/5),0),"[",""),"]","")+_xlfn.XLOOKUP(C146,$M$3:$M$7,$N$3:$N$7)*100,R145)</f>
        <v>#N/A</v>
      </c>
    </row>
    <row r="147" customHeight="1" spans="1:18">
      <c r="A147" s="78" t="str">
        <f ca="1" t="shared" si="6"/>
        <v/>
      </c>
      <c r="B147" s="82" t="str">
        <f ca="1">IFERROR(R147+COUNTIFS($R$11:$R147,R147),"")</f>
        <v/>
      </c>
      <c r="C147" s="83">
        <f ca="1">IF(MOD(COUNTIF($Q$11:Q146,Q146),5)=0,OFFSET(装备属性!$D$1083,1+INT(COUNTA($Q$11:Q146)/5),0),C146)</f>
        <v>0</v>
      </c>
      <c r="D147" s="82">
        <f t="shared" si="8"/>
        <v>2500</v>
      </c>
      <c r="F147" s="82" t="str">
        <f ca="1" t="shared" si="7"/>
        <v/>
      </c>
      <c r="G147" s="78" t="str">
        <f ca="1">IF(AND(LEFT("[{"&amp;M147&amp;","&amp;CEILING(N147*10000+(O147-N147)/4*(COUNTIF($F$11:F147,F147)-1)*10000,10)&amp;"}]",7)="[{equip",MID("[{"&amp;M147&amp;","&amp;CEILING(N147*10000+(O147-N147)/4*(COUNTIF($F$11:F147,F147)-1)*10000,10)&amp;"}]",8,1)&lt;&gt;"_"),"[{"&amp;M147&amp;","&amp;1&amp;"}]","[{"&amp;M147&amp;","&amp;CEILING(N147*10000+(O147-N147)/4*(COUNTIF($F$11:F147,F147)-1)*10000,10)&amp;"}]")</f>
        <v>[{exp_boost,2000}]</v>
      </c>
      <c r="H147" s="82" t="s">
        <v>563</v>
      </c>
      <c r="J147" s="78">
        <f ca="1">IF(MOD(COUNTIF($Q$11:Q146,Q146),5)=0,OFFSET(装备属性!$P$1083,1+INT(COUNTA($Q$11:Q146)/5),0),J146)</f>
        <v>9</v>
      </c>
      <c r="K147" s="83" t="str">
        <f ca="1">IF(RIGHT(G147,13)="rune_slot,1}]",_xlfn.XLOOKUP(LEFT(SUBSTITUTE(G147,"[{",""),FIND(",",SUBSTITUTE(G147,"[{",""))-1),Sheet2!B:B,Sheet2!C:C)&amp;"+"&amp;1,_xlfn.XLOOKUP(LEFT(SUBSTITUTE(G147,"[{",""),FIND(",",SUBSTITUTE(G147,"[{",""))-1),Sheet2!B:B,Sheet2!C:C)&amp;"+"&amp;SUBSTITUTE(RIGHT(G147,LEN(G147)-FIND(",",G147)),"}]","")/100&amp;"%")</f>
        <v>经验加成+20%</v>
      </c>
      <c r="L147" s="83" t="str">
        <f ca="1">IF(MOD(COUNTIF($Q$11:Q146,Q146),5)=0,OFFSET(装备属性!$G$1083,1+INT(COUNTA($Q$11:Q146)/5),0),L146)</f>
        <v>涨见识</v>
      </c>
      <c r="M147" s="89" t="str">
        <f ca="1">IF(MOD(COUNTIF($Q$11:Q146,Q146),5)=0,OFFSET(装备属性!$H$1083,1+INT(COUNTA($Q$11:Q146)/5),0),M146)</f>
        <v>exp_boost</v>
      </c>
      <c r="N147" s="76">
        <f ca="1">IF(MOD(COUNTIF($Q$11:Q146,Q146),5)=0,OFFSET(装备属性!$K$1083,1+INT(COUNTA($Q$11:Q146)/5),0),N146)</f>
        <v>0.2</v>
      </c>
      <c r="O147" s="76">
        <f ca="1">IF(MOD(COUNTIF($Q$11:Q146,Q146),5)=0,OFFSET(装备属性!$L$1083,1+INT(COUNTA($Q$11:Q146)/5),0),O146)</f>
        <v>0.2</v>
      </c>
      <c r="Q147" s="89" t="str">
        <f ca="1">IF(MOD(COUNTIF($Q$11:Q146,Q146),5)=0,OFFSET(装备属性!$M$1083,1+INT(COUNTA($Q$11:Q146)/5),0),Q146)</f>
        <v>稀有词条</v>
      </c>
      <c r="R147" s="83" t="e">
        <f ca="1">IF(MOD(COUNTIF($Q$11:Q146,Q146),5)=0,10000*SUBSTITUTE(SUBSTITUTE(OFFSET(装备属性!$F$1083,1+INT(COUNTA($Q$11:Q146)/5),0),"[",""),"]","")+_xlfn.XLOOKUP(C147,$M$3:$M$7,$N$3:$N$7)*100,R146)</f>
        <v>#N/A</v>
      </c>
    </row>
    <row r="148" customHeight="1" spans="1:18">
      <c r="A148" s="78" t="str">
        <f ca="1" t="shared" si="6"/>
        <v/>
      </c>
      <c r="B148" s="82" t="str">
        <f ca="1">IFERROR(R148+COUNTIFS($R$11:$R148,R148),"")</f>
        <v/>
      </c>
      <c r="C148" s="83">
        <f ca="1">IF(MOD(COUNTIF($Q$11:Q147,Q147),5)=0,OFFSET(装备属性!$D$1083,1+INT(COUNTA($Q$11:Q147)/5),0),C147)</f>
        <v>0</v>
      </c>
      <c r="D148" s="82">
        <f t="shared" si="8"/>
        <v>2000</v>
      </c>
      <c r="F148" s="82" t="str">
        <f ca="1" t="shared" si="7"/>
        <v/>
      </c>
      <c r="G148" s="78" t="str">
        <f ca="1">IF(AND(LEFT("[{"&amp;M148&amp;","&amp;CEILING(N148*10000+(O148-N148)/4*(COUNTIF($F$11:F148,F148)-1)*10000,10)&amp;"}]",7)="[{equip",MID("[{"&amp;M148&amp;","&amp;CEILING(N148*10000+(O148-N148)/4*(COUNTIF($F$11:F148,F148)-1)*10000,10)&amp;"}]",8,1)&lt;&gt;"_"),"[{"&amp;M148&amp;","&amp;1&amp;"}]","[{"&amp;M148&amp;","&amp;CEILING(N148*10000+(O148-N148)/4*(COUNTIF($F$11:F148,F148)-1)*10000,10)&amp;"}]")</f>
        <v>[{exp_boost,2000}]</v>
      </c>
      <c r="H148" s="82" t="s">
        <v>563</v>
      </c>
      <c r="J148" s="78">
        <f ca="1">IF(MOD(COUNTIF($Q$11:Q147,Q147),5)=0,OFFSET(装备属性!$P$1083,1+INT(COUNTA($Q$11:Q147)/5),0),J147)</f>
        <v>9</v>
      </c>
      <c r="K148" s="83" t="str">
        <f ca="1">IF(RIGHT(G148,13)="rune_slot,1}]",_xlfn.XLOOKUP(LEFT(SUBSTITUTE(G148,"[{",""),FIND(",",SUBSTITUTE(G148,"[{",""))-1),Sheet2!B:B,Sheet2!C:C)&amp;"+"&amp;1,_xlfn.XLOOKUP(LEFT(SUBSTITUTE(G148,"[{",""),FIND(",",SUBSTITUTE(G148,"[{",""))-1),Sheet2!B:B,Sheet2!C:C)&amp;"+"&amp;SUBSTITUTE(RIGHT(G148,LEN(G148)-FIND(",",G148)),"}]","")/100&amp;"%")</f>
        <v>经验加成+20%</v>
      </c>
      <c r="L148" s="83" t="str">
        <f ca="1">IF(MOD(COUNTIF($Q$11:Q147,Q147),5)=0,OFFSET(装备属性!$G$1083,1+INT(COUNTA($Q$11:Q147)/5),0),L147)</f>
        <v>涨见识</v>
      </c>
      <c r="M148" s="89" t="str">
        <f ca="1">IF(MOD(COUNTIF($Q$11:Q147,Q147),5)=0,OFFSET(装备属性!$H$1083,1+INT(COUNTA($Q$11:Q147)/5),0),M147)</f>
        <v>exp_boost</v>
      </c>
      <c r="N148" s="76">
        <f ca="1">IF(MOD(COUNTIF($Q$11:Q147,Q147),5)=0,OFFSET(装备属性!$K$1083,1+INT(COUNTA($Q$11:Q147)/5),0),N147)</f>
        <v>0.2</v>
      </c>
      <c r="O148" s="76">
        <f ca="1">IF(MOD(COUNTIF($Q$11:Q147,Q147),5)=0,OFFSET(装备属性!$L$1083,1+INT(COUNTA($Q$11:Q147)/5),0),O147)</f>
        <v>0.2</v>
      </c>
      <c r="Q148" s="89" t="str">
        <f ca="1">IF(MOD(COUNTIF($Q$11:Q147,Q147),5)=0,OFFSET(装备属性!$M$1083,1+INT(COUNTA($Q$11:Q147)/5),0),Q147)</f>
        <v>稀有词条</v>
      </c>
      <c r="R148" s="83" t="e">
        <f ca="1">IF(MOD(COUNTIF($Q$11:Q147,Q147),5)=0,10000*SUBSTITUTE(SUBSTITUTE(OFFSET(装备属性!$F$1083,1+INT(COUNTA($Q$11:Q147)/5),0),"[",""),"]","")+_xlfn.XLOOKUP(C148,$M$3:$M$7,$N$3:$N$7)*100,R147)</f>
        <v>#N/A</v>
      </c>
    </row>
    <row r="149" customHeight="1" spans="1:18">
      <c r="A149" s="78" t="str">
        <f ca="1" t="shared" si="6"/>
        <v/>
      </c>
      <c r="B149" s="82" t="str">
        <f ca="1">IFERROR(R149+COUNTIFS($R$11:$R149,R149),"")</f>
        <v/>
      </c>
      <c r="C149" s="83">
        <f ca="1">IF(MOD(COUNTIF($Q$11:Q148,Q148),5)=0,OFFSET(装备属性!$D$1083,1+INT(COUNTA($Q$11:Q148)/5),0),C148)</f>
        <v>0</v>
      </c>
      <c r="D149" s="82">
        <f t="shared" si="8"/>
        <v>1500</v>
      </c>
      <c r="F149" s="82" t="str">
        <f ca="1" t="shared" si="7"/>
        <v/>
      </c>
      <c r="G149" s="78" t="str">
        <f ca="1">IF(AND(LEFT("[{"&amp;M149&amp;","&amp;CEILING(N149*10000+(O149-N149)/4*(COUNTIF($F$11:F149,F149)-1)*10000,10)&amp;"}]",7)="[{equip",MID("[{"&amp;M149&amp;","&amp;CEILING(N149*10000+(O149-N149)/4*(COUNTIF($F$11:F149,F149)-1)*10000,10)&amp;"}]",8,1)&lt;&gt;"_"),"[{"&amp;M149&amp;","&amp;1&amp;"}]","[{"&amp;M149&amp;","&amp;CEILING(N149*10000+(O149-N149)/4*(COUNTIF($F$11:F149,F149)-1)*10000,10)&amp;"}]")</f>
        <v>[{exp_boost,2000}]</v>
      </c>
      <c r="H149" s="82" t="s">
        <v>563</v>
      </c>
      <c r="J149" s="78">
        <f ca="1">IF(MOD(COUNTIF($Q$11:Q148,Q148),5)=0,OFFSET(装备属性!$P$1083,1+INT(COUNTA($Q$11:Q148)/5),0),J148)</f>
        <v>9</v>
      </c>
      <c r="K149" s="83" t="str">
        <f ca="1">IF(RIGHT(G149,13)="rune_slot,1}]",_xlfn.XLOOKUP(LEFT(SUBSTITUTE(G149,"[{",""),FIND(",",SUBSTITUTE(G149,"[{",""))-1),Sheet2!B:B,Sheet2!C:C)&amp;"+"&amp;1,_xlfn.XLOOKUP(LEFT(SUBSTITUTE(G149,"[{",""),FIND(",",SUBSTITUTE(G149,"[{",""))-1),Sheet2!B:B,Sheet2!C:C)&amp;"+"&amp;SUBSTITUTE(RIGHT(G149,LEN(G149)-FIND(",",G149)),"}]","")/100&amp;"%")</f>
        <v>经验加成+20%</v>
      </c>
      <c r="L149" s="83" t="str">
        <f ca="1">IF(MOD(COUNTIF($Q$11:Q148,Q148),5)=0,OFFSET(装备属性!$G$1083,1+INT(COUNTA($Q$11:Q148)/5),0),L148)</f>
        <v>涨见识</v>
      </c>
      <c r="M149" s="89" t="str">
        <f ca="1">IF(MOD(COUNTIF($Q$11:Q148,Q148),5)=0,OFFSET(装备属性!$H$1083,1+INT(COUNTA($Q$11:Q148)/5),0),M148)</f>
        <v>exp_boost</v>
      </c>
      <c r="N149" s="76">
        <f ca="1">IF(MOD(COUNTIF($Q$11:Q148,Q148),5)=0,OFFSET(装备属性!$K$1083,1+INT(COUNTA($Q$11:Q148)/5),0),N148)</f>
        <v>0.2</v>
      </c>
      <c r="O149" s="76">
        <f ca="1">IF(MOD(COUNTIF($Q$11:Q148,Q148),5)=0,OFFSET(装备属性!$L$1083,1+INT(COUNTA($Q$11:Q148)/5),0),O148)</f>
        <v>0.2</v>
      </c>
      <c r="Q149" s="89" t="str">
        <f ca="1">IF(MOD(COUNTIF($Q$11:Q148,Q148),5)=0,OFFSET(装备属性!$M$1083,1+INT(COUNTA($Q$11:Q148)/5),0),Q148)</f>
        <v>稀有词条</v>
      </c>
      <c r="R149" s="83" t="e">
        <f ca="1">IF(MOD(COUNTIF($Q$11:Q148,Q148),5)=0,10000*SUBSTITUTE(SUBSTITUTE(OFFSET(装备属性!$F$1083,1+INT(COUNTA($Q$11:Q148)/5),0),"[",""),"]","")+_xlfn.XLOOKUP(C149,$M$3:$M$7,$N$3:$N$7)*100,R148)</f>
        <v>#N/A</v>
      </c>
    </row>
    <row r="150" customHeight="1" spans="1:18">
      <c r="A150" s="78" t="str">
        <f ca="1" t="shared" si="6"/>
        <v/>
      </c>
      <c r="B150" s="82" t="str">
        <f ca="1">IFERROR(R150+COUNTIFS($R$11:$R150,R150),"")</f>
        <v/>
      </c>
      <c r="C150" s="83">
        <f ca="1">IF(MOD(COUNTIF($Q$11:Q149,Q149),5)=0,OFFSET(装备属性!$D$1083,1+INT(COUNTA($Q$11:Q149)/5),0),C149)</f>
        <v>0</v>
      </c>
      <c r="D150" s="82">
        <f t="shared" si="8"/>
        <v>1000</v>
      </c>
      <c r="F150" s="82" t="str">
        <f ca="1" t="shared" si="7"/>
        <v/>
      </c>
      <c r="G150" s="78" t="str">
        <f ca="1">IF(AND(LEFT("[{"&amp;M150&amp;","&amp;CEILING(N150*10000+(O150-N150)/4*(COUNTIF($F$11:F150,F150)-1)*10000,10)&amp;"}]",7)="[{equip",MID("[{"&amp;M150&amp;","&amp;CEILING(N150*10000+(O150-N150)/4*(COUNTIF($F$11:F150,F150)-1)*10000,10)&amp;"}]",8,1)&lt;&gt;"_"),"[{"&amp;M150&amp;","&amp;1&amp;"}]","[{"&amp;M150&amp;","&amp;CEILING(N150*10000+(O150-N150)/4*(COUNTIF($F$11:F150,F150)-1)*10000,10)&amp;"}]")</f>
        <v>[{exp_boost,2000}]</v>
      </c>
      <c r="H150" s="82" t="s">
        <v>563</v>
      </c>
      <c r="J150" s="78">
        <f ca="1">IF(MOD(COUNTIF($Q$11:Q149,Q149),5)=0,OFFSET(装备属性!$P$1083,1+INT(COUNTA($Q$11:Q149)/5),0),J149)</f>
        <v>9</v>
      </c>
      <c r="K150" s="83" t="str">
        <f ca="1">IF(RIGHT(G150,13)="rune_slot,1}]",_xlfn.XLOOKUP(LEFT(SUBSTITUTE(G150,"[{",""),FIND(",",SUBSTITUTE(G150,"[{",""))-1),Sheet2!B:B,Sheet2!C:C)&amp;"+"&amp;1,_xlfn.XLOOKUP(LEFT(SUBSTITUTE(G150,"[{",""),FIND(",",SUBSTITUTE(G150,"[{",""))-1),Sheet2!B:B,Sheet2!C:C)&amp;"+"&amp;SUBSTITUTE(RIGHT(G150,LEN(G150)-FIND(",",G150)),"}]","")/100&amp;"%")</f>
        <v>经验加成+20%</v>
      </c>
      <c r="L150" s="83" t="str">
        <f ca="1">IF(MOD(COUNTIF($Q$11:Q149,Q149),5)=0,OFFSET(装备属性!$G$1083,1+INT(COUNTA($Q$11:Q149)/5),0),L149)</f>
        <v>涨见识</v>
      </c>
      <c r="M150" s="89" t="str">
        <f ca="1">IF(MOD(COUNTIF($Q$11:Q149,Q149),5)=0,OFFSET(装备属性!$H$1083,1+INT(COUNTA($Q$11:Q149)/5),0),M149)</f>
        <v>exp_boost</v>
      </c>
      <c r="N150" s="76">
        <f ca="1">IF(MOD(COUNTIF($Q$11:Q149,Q149),5)=0,OFFSET(装备属性!$K$1083,1+INT(COUNTA($Q$11:Q149)/5),0),N149)</f>
        <v>0.2</v>
      </c>
      <c r="O150" s="76">
        <f ca="1">IF(MOD(COUNTIF($Q$11:Q149,Q149),5)=0,OFFSET(装备属性!$L$1083,1+INT(COUNTA($Q$11:Q149)/5),0),O149)</f>
        <v>0.2</v>
      </c>
      <c r="Q150" s="89" t="str">
        <f ca="1">IF(MOD(COUNTIF($Q$11:Q149,Q149),5)=0,OFFSET(装备属性!$M$1083,1+INT(COUNTA($Q$11:Q149)/5),0),Q149)</f>
        <v>稀有词条</v>
      </c>
      <c r="R150" s="83" t="e">
        <f ca="1">IF(MOD(COUNTIF($Q$11:Q149,Q149),5)=0,10000*SUBSTITUTE(SUBSTITUTE(OFFSET(装备属性!$F$1083,1+INT(COUNTA($Q$11:Q149)/5),0),"[",""),"]","")+_xlfn.XLOOKUP(C150,$M$3:$M$7,$N$3:$N$7)*100,R149)</f>
        <v>#N/A</v>
      </c>
    </row>
    <row r="151" customHeight="1" spans="1:18">
      <c r="A151" s="78" t="str">
        <f ca="1" t="shared" si="6"/>
        <v/>
      </c>
      <c r="B151" s="82" t="str">
        <f ca="1">IFERROR(R151+COUNTIFS($R$11:$R151,R151),"")</f>
        <v/>
      </c>
      <c r="C151" s="83">
        <f ca="1">IF(MOD(COUNTIF($Q$11:Q150,Q150),5)=0,OFFSET(装备属性!$D$1083,1+INT(COUNTA($Q$11:Q150)/5),0),C150)</f>
        <v>0</v>
      </c>
      <c r="D151" s="82">
        <f t="shared" si="8"/>
        <v>3000</v>
      </c>
      <c r="F151" s="82" t="str">
        <f ca="1" t="shared" si="7"/>
        <v/>
      </c>
      <c r="G151" s="78" t="str">
        <f ca="1">IF(AND(LEFT("[{"&amp;M151&amp;","&amp;CEILING(N151*10000+(O151-N151)/4*(COUNTIF($F$11:F151,F151)-1)*10000,10)&amp;"}]",7)="[{equip",MID("[{"&amp;M151&amp;","&amp;CEILING(N151*10000+(O151-N151)/4*(COUNTIF($F$11:F151,F151)-1)*10000,10)&amp;"}]",8,1)&lt;&gt;"_"),"[{"&amp;M151&amp;","&amp;1&amp;"}]","[{"&amp;M151&amp;","&amp;CEILING(N151*10000+(O151-N151)/4*(COUNTIF($F$11:F151,F151)-1)*10000,10)&amp;"}]")</f>
        <v>[{equip_base_attr,2500}]</v>
      </c>
      <c r="H151" s="82" t="s">
        <v>563</v>
      </c>
      <c r="J151" s="78">
        <f ca="1">IF(MOD(COUNTIF($Q$11:Q150,Q150),5)=0,OFFSET(装备属性!$P$1083,1+INT(COUNTA($Q$11:Q150)/5),0),J150)</f>
        <v>7</v>
      </c>
      <c r="K151" s="83" t="str">
        <f ca="1">IF(RIGHT(G151,13)="rune_slot,1}]",_xlfn.XLOOKUP(LEFT(SUBSTITUTE(G151,"[{",""),FIND(",",SUBSTITUTE(G151,"[{",""))-1),Sheet2!B:B,Sheet2!C:C)&amp;"+"&amp;1,_xlfn.XLOOKUP(LEFT(SUBSTITUTE(G151,"[{",""),FIND(",",SUBSTITUTE(G151,"[{",""))-1),Sheet2!B:B,Sheet2!C:C)&amp;"+"&amp;SUBSTITUTE(RIGHT(G151,LEN(G151)-FIND(",",G151)),"}]","")/100&amp;"%")</f>
        <v>装备基础属性加成+25%</v>
      </c>
      <c r="L151" s="83" t="str">
        <f ca="1">IF(MOD(COUNTIF($Q$11:Q150,Q150),5)=0,OFFSET(装备属性!$G$1083,1+INT(COUNTA($Q$11:Q150)/5),0),L150)</f>
        <v>厚底子</v>
      </c>
      <c r="M151" s="89" t="str">
        <f ca="1">IF(MOD(COUNTIF($Q$11:Q150,Q150),5)=0,OFFSET(装备属性!$H$1083,1+INT(COUNTA($Q$11:Q150)/5),0),M150)</f>
        <v>equip_base_attr</v>
      </c>
      <c r="N151" s="76">
        <f ca="1">IF(MOD(COUNTIF($Q$11:Q150,Q150),5)=0,OFFSET(装备属性!$K$1083,1+INT(COUNTA($Q$11:Q150)/5),0),N150)</f>
        <v>0.25</v>
      </c>
      <c r="O151" s="76">
        <f ca="1">IF(MOD(COUNTIF($Q$11:Q150,Q150),5)=0,OFFSET(装备属性!$L$1083,1+INT(COUNTA($Q$11:Q150)/5),0),O150)</f>
        <v>0.25</v>
      </c>
      <c r="Q151" s="89" t="str">
        <f ca="1">IF(MOD(COUNTIF($Q$11:Q150,Q150),5)=0,OFFSET(装备属性!$M$1083,1+INT(COUNTA($Q$11:Q150)/5),0),Q150)</f>
        <v>稀有词条</v>
      </c>
      <c r="R151" s="83" t="e">
        <f ca="1">IF(MOD(COUNTIF($Q$11:Q150,Q150),5)=0,10000*SUBSTITUTE(SUBSTITUTE(OFFSET(装备属性!$F$1083,1+INT(COUNTA($Q$11:Q150)/5),0),"[",""),"]","")+_xlfn.XLOOKUP(C151,$M$3:$M$7,$N$3:$N$7)*100,R150)</f>
        <v>#N/A</v>
      </c>
    </row>
    <row r="152" customHeight="1" spans="1:18">
      <c r="A152" s="78" t="str">
        <f ca="1" t="shared" si="6"/>
        <v/>
      </c>
      <c r="B152" s="82" t="str">
        <f ca="1">IFERROR(R152+COUNTIFS($R$11:$R152,R152),"")</f>
        <v/>
      </c>
      <c r="C152" s="83">
        <f ca="1">IF(MOD(COUNTIF($Q$11:Q151,Q151),5)=0,OFFSET(装备属性!$D$1083,1+INT(COUNTA($Q$11:Q151)/5),0),C151)</f>
        <v>0</v>
      </c>
      <c r="D152" s="82">
        <f t="shared" si="8"/>
        <v>2500</v>
      </c>
      <c r="F152" s="82" t="str">
        <f ca="1" t="shared" si="7"/>
        <v/>
      </c>
      <c r="G152" s="78" t="str">
        <f ca="1">IF(AND(LEFT("[{"&amp;M152&amp;","&amp;CEILING(N152*10000+(O152-N152)/4*(COUNTIF($F$11:F152,F152)-1)*10000,10)&amp;"}]",7)="[{equip",MID("[{"&amp;M152&amp;","&amp;CEILING(N152*10000+(O152-N152)/4*(COUNTIF($F$11:F152,F152)-1)*10000,10)&amp;"}]",8,1)&lt;&gt;"_"),"[{"&amp;M152&amp;","&amp;1&amp;"}]","[{"&amp;M152&amp;","&amp;CEILING(N152*10000+(O152-N152)/4*(COUNTIF($F$11:F152,F152)-1)*10000,10)&amp;"}]")</f>
        <v>[{equip_base_attr,2500}]</v>
      </c>
      <c r="H152" s="82" t="s">
        <v>563</v>
      </c>
      <c r="J152" s="78">
        <f ca="1">IF(MOD(COUNTIF($Q$11:Q151,Q151),5)=0,OFFSET(装备属性!$P$1083,1+INT(COUNTA($Q$11:Q151)/5),0),J151)</f>
        <v>7</v>
      </c>
      <c r="K152" s="83" t="str">
        <f ca="1">IF(RIGHT(G152,13)="rune_slot,1}]",_xlfn.XLOOKUP(LEFT(SUBSTITUTE(G152,"[{",""),FIND(",",SUBSTITUTE(G152,"[{",""))-1),Sheet2!B:B,Sheet2!C:C)&amp;"+"&amp;1,_xlfn.XLOOKUP(LEFT(SUBSTITUTE(G152,"[{",""),FIND(",",SUBSTITUTE(G152,"[{",""))-1),Sheet2!B:B,Sheet2!C:C)&amp;"+"&amp;SUBSTITUTE(RIGHT(G152,LEN(G152)-FIND(",",G152)),"}]","")/100&amp;"%")</f>
        <v>装备基础属性加成+25%</v>
      </c>
      <c r="L152" s="83" t="str">
        <f ca="1">IF(MOD(COUNTIF($Q$11:Q151,Q151),5)=0,OFFSET(装备属性!$G$1083,1+INT(COUNTA($Q$11:Q151)/5),0),L151)</f>
        <v>厚底子</v>
      </c>
      <c r="M152" s="89" t="str">
        <f ca="1">IF(MOD(COUNTIF($Q$11:Q151,Q151),5)=0,OFFSET(装备属性!$H$1083,1+INT(COUNTA($Q$11:Q151)/5),0),M151)</f>
        <v>equip_base_attr</v>
      </c>
      <c r="N152" s="76">
        <f ca="1">IF(MOD(COUNTIF($Q$11:Q151,Q151),5)=0,OFFSET(装备属性!$K$1083,1+INT(COUNTA($Q$11:Q151)/5),0),N151)</f>
        <v>0.25</v>
      </c>
      <c r="O152" s="76">
        <f ca="1">IF(MOD(COUNTIF($Q$11:Q151,Q151),5)=0,OFFSET(装备属性!$L$1083,1+INT(COUNTA($Q$11:Q151)/5),0),O151)</f>
        <v>0.25</v>
      </c>
      <c r="Q152" s="89" t="str">
        <f ca="1">IF(MOD(COUNTIF($Q$11:Q151,Q151),5)=0,OFFSET(装备属性!$M$1083,1+INT(COUNTA($Q$11:Q151)/5),0),Q151)</f>
        <v>稀有词条</v>
      </c>
      <c r="R152" s="83" t="e">
        <f ca="1">IF(MOD(COUNTIF($Q$11:Q151,Q151),5)=0,10000*SUBSTITUTE(SUBSTITUTE(OFFSET(装备属性!$F$1083,1+INT(COUNTA($Q$11:Q151)/5),0),"[",""),"]","")+_xlfn.XLOOKUP(C152,$M$3:$M$7,$N$3:$N$7)*100,R151)</f>
        <v>#N/A</v>
      </c>
    </row>
    <row r="153" customHeight="1" spans="1:18">
      <c r="A153" s="78" t="str">
        <f ca="1" t="shared" si="6"/>
        <v/>
      </c>
      <c r="B153" s="82" t="str">
        <f ca="1">IFERROR(R153+COUNTIFS($R$11:$R153,R153),"")</f>
        <v/>
      </c>
      <c r="C153" s="83">
        <f ca="1">IF(MOD(COUNTIF($Q$11:Q152,Q152),5)=0,OFFSET(装备属性!$D$1083,1+INT(COUNTA($Q$11:Q152)/5),0),C152)</f>
        <v>0</v>
      </c>
      <c r="D153" s="82">
        <f t="shared" si="8"/>
        <v>2000</v>
      </c>
      <c r="F153" s="82" t="str">
        <f ca="1" t="shared" si="7"/>
        <v/>
      </c>
      <c r="G153" s="78" t="str">
        <f ca="1">IF(AND(LEFT("[{"&amp;M153&amp;","&amp;CEILING(N153*10000+(O153-N153)/4*(COUNTIF($F$11:F153,F153)-1)*10000,10)&amp;"}]",7)="[{equip",MID("[{"&amp;M153&amp;","&amp;CEILING(N153*10000+(O153-N153)/4*(COUNTIF($F$11:F153,F153)-1)*10000,10)&amp;"}]",8,1)&lt;&gt;"_"),"[{"&amp;M153&amp;","&amp;1&amp;"}]","[{"&amp;M153&amp;","&amp;CEILING(N153*10000+(O153-N153)/4*(COUNTIF($F$11:F153,F153)-1)*10000,10)&amp;"}]")</f>
        <v>[{equip_base_attr,2500}]</v>
      </c>
      <c r="H153" s="82" t="s">
        <v>563</v>
      </c>
      <c r="J153" s="78">
        <f ca="1">IF(MOD(COUNTIF($Q$11:Q152,Q152),5)=0,OFFSET(装备属性!$P$1083,1+INT(COUNTA($Q$11:Q152)/5),0),J152)</f>
        <v>7</v>
      </c>
      <c r="K153" s="83" t="str">
        <f ca="1">IF(RIGHT(G153,13)="rune_slot,1}]",_xlfn.XLOOKUP(LEFT(SUBSTITUTE(G153,"[{",""),FIND(",",SUBSTITUTE(G153,"[{",""))-1),Sheet2!B:B,Sheet2!C:C)&amp;"+"&amp;1,_xlfn.XLOOKUP(LEFT(SUBSTITUTE(G153,"[{",""),FIND(",",SUBSTITUTE(G153,"[{",""))-1),Sheet2!B:B,Sheet2!C:C)&amp;"+"&amp;SUBSTITUTE(RIGHT(G153,LEN(G153)-FIND(",",G153)),"}]","")/100&amp;"%")</f>
        <v>装备基础属性加成+25%</v>
      </c>
      <c r="L153" s="83" t="str">
        <f ca="1">IF(MOD(COUNTIF($Q$11:Q152,Q152),5)=0,OFFSET(装备属性!$G$1083,1+INT(COUNTA($Q$11:Q152)/5),0),L152)</f>
        <v>厚底子</v>
      </c>
      <c r="M153" s="89" t="str">
        <f ca="1">IF(MOD(COUNTIF($Q$11:Q152,Q152),5)=0,OFFSET(装备属性!$H$1083,1+INT(COUNTA($Q$11:Q152)/5),0),M152)</f>
        <v>equip_base_attr</v>
      </c>
      <c r="N153" s="76">
        <f ca="1">IF(MOD(COUNTIF($Q$11:Q152,Q152),5)=0,OFFSET(装备属性!$K$1083,1+INT(COUNTA($Q$11:Q152)/5),0),N152)</f>
        <v>0.25</v>
      </c>
      <c r="O153" s="76">
        <f ca="1">IF(MOD(COUNTIF($Q$11:Q152,Q152),5)=0,OFFSET(装备属性!$L$1083,1+INT(COUNTA($Q$11:Q152)/5),0),O152)</f>
        <v>0.25</v>
      </c>
      <c r="Q153" s="89" t="str">
        <f ca="1">IF(MOD(COUNTIF($Q$11:Q152,Q152),5)=0,OFFSET(装备属性!$M$1083,1+INT(COUNTA($Q$11:Q152)/5),0),Q152)</f>
        <v>稀有词条</v>
      </c>
      <c r="R153" s="83" t="e">
        <f ca="1">IF(MOD(COUNTIF($Q$11:Q152,Q152),5)=0,10000*SUBSTITUTE(SUBSTITUTE(OFFSET(装备属性!$F$1083,1+INT(COUNTA($Q$11:Q152)/5),0),"[",""),"]","")+_xlfn.XLOOKUP(C153,$M$3:$M$7,$N$3:$N$7)*100,R152)</f>
        <v>#N/A</v>
      </c>
    </row>
    <row r="154" customHeight="1" spans="1:18">
      <c r="A154" s="78" t="str">
        <f ca="1" t="shared" si="6"/>
        <v/>
      </c>
      <c r="B154" s="82" t="str">
        <f ca="1">IFERROR(R154+COUNTIFS($R$11:$R154,R154),"")</f>
        <v/>
      </c>
      <c r="C154" s="83">
        <f ca="1">IF(MOD(COUNTIF($Q$11:Q153,Q153),5)=0,OFFSET(装备属性!$D$1083,1+INT(COUNTA($Q$11:Q153)/5),0),C153)</f>
        <v>0</v>
      </c>
      <c r="D154" s="82">
        <f t="shared" si="8"/>
        <v>1500</v>
      </c>
      <c r="F154" s="82" t="str">
        <f ca="1" t="shared" si="7"/>
        <v/>
      </c>
      <c r="G154" s="78" t="str">
        <f ca="1">IF(AND(LEFT("[{"&amp;M154&amp;","&amp;CEILING(N154*10000+(O154-N154)/4*(COUNTIF($F$11:F154,F154)-1)*10000,10)&amp;"}]",7)="[{equip",MID("[{"&amp;M154&amp;","&amp;CEILING(N154*10000+(O154-N154)/4*(COUNTIF($F$11:F154,F154)-1)*10000,10)&amp;"}]",8,1)&lt;&gt;"_"),"[{"&amp;M154&amp;","&amp;1&amp;"}]","[{"&amp;M154&amp;","&amp;CEILING(N154*10000+(O154-N154)/4*(COUNTIF($F$11:F154,F154)-1)*10000,10)&amp;"}]")</f>
        <v>[{equip_base_attr,2500}]</v>
      </c>
      <c r="H154" s="82" t="s">
        <v>563</v>
      </c>
      <c r="J154" s="78">
        <f ca="1">IF(MOD(COUNTIF($Q$11:Q153,Q153),5)=0,OFFSET(装备属性!$P$1083,1+INT(COUNTA($Q$11:Q153)/5),0),J153)</f>
        <v>7</v>
      </c>
      <c r="K154" s="83" t="str">
        <f ca="1">IF(RIGHT(G154,13)="rune_slot,1}]",_xlfn.XLOOKUP(LEFT(SUBSTITUTE(G154,"[{",""),FIND(",",SUBSTITUTE(G154,"[{",""))-1),Sheet2!B:B,Sheet2!C:C)&amp;"+"&amp;1,_xlfn.XLOOKUP(LEFT(SUBSTITUTE(G154,"[{",""),FIND(",",SUBSTITUTE(G154,"[{",""))-1),Sheet2!B:B,Sheet2!C:C)&amp;"+"&amp;SUBSTITUTE(RIGHT(G154,LEN(G154)-FIND(",",G154)),"}]","")/100&amp;"%")</f>
        <v>装备基础属性加成+25%</v>
      </c>
      <c r="L154" s="83" t="str">
        <f ca="1">IF(MOD(COUNTIF($Q$11:Q153,Q153),5)=0,OFFSET(装备属性!$G$1083,1+INT(COUNTA($Q$11:Q153)/5),0),L153)</f>
        <v>厚底子</v>
      </c>
      <c r="M154" s="89" t="str">
        <f ca="1">IF(MOD(COUNTIF($Q$11:Q153,Q153),5)=0,OFFSET(装备属性!$H$1083,1+INT(COUNTA($Q$11:Q153)/5),0),M153)</f>
        <v>equip_base_attr</v>
      </c>
      <c r="N154" s="76">
        <f ca="1">IF(MOD(COUNTIF($Q$11:Q153,Q153),5)=0,OFFSET(装备属性!$K$1083,1+INT(COUNTA($Q$11:Q153)/5),0),N153)</f>
        <v>0.25</v>
      </c>
      <c r="O154" s="76">
        <f ca="1">IF(MOD(COUNTIF($Q$11:Q153,Q153),5)=0,OFFSET(装备属性!$L$1083,1+INT(COUNTA($Q$11:Q153)/5),0),O153)</f>
        <v>0.25</v>
      </c>
      <c r="Q154" s="89" t="str">
        <f ca="1">IF(MOD(COUNTIF($Q$11:Q153,Q153),5)=0,OFFSET(装备属性!$M$1083,1+INT(COUNTA($Q$11:Q153)/5),0),Q153)</f>
        <v>稀有词条</v>
      </c>
      <c r="R154" s="83" t="e">
        <f ca="1">IF(MOD(COUNTIF($Q$11:Q153,Q153),5)=0,10000*SUBSTITUTE(SUBSTITUTE(OFFSET(装备属性!$F$1083,1+INT(COUNTA($Q$11:Q153)/5),0),"[",""),"]","")+_xlfn.XLOOKUP(C154,$M$3:$M$7,$N$3:$N$7)*100,R153)</f>
        <v>#N/A</v>
      </c>
    </row>
    <row r="155" customHeight="1" spans="1:18">
      <c r="A155" s="78" t="str">
        <f ca="1" t="shared" si="6"/>
        <v/>
      </c>
      <c r="B155" s="82" t="str">
        <f ca="1">IFERROR(R155+COUNTIFS($R$11:$R155,R155),"")</f>
        <v/>
      </c>
      <c r="C155" s="83">
        <f ca="1">IF(MOD(COUNTIF($Q$11:Q154,Q154),5)=0,OFFSET(装备属性!$D$1083,1+INT(COUNTA($Q$11:Q154)/5),0),C154)</f>
        <v>0</v>
      </c>
      <c r="D155" s="82">
        <f t="shared" si="8"/>
        <v>1000</v>
      </c>
      <c r="F155" s="82" t="str">
        <f ca="1" t="shared" si="7"/>
        <v/>
      </c>
      <c r="G155" s="78" t="str">
        <f ca="1">IF(AND(LEFT("[{"&amp;M155&amp;","&amp;CEILING(N155*10000+(O155-N155)/4*(COUNTIF($F$11:F155,F155)-1)*10000,10)&amp;"}]",7)="[{equip",MID("[{"&amp;M155&amp;","&amp;CEILING(N155*10000+(O155-N155)/4*(COUNTIF($F$11:F155,F155)-1)*10000,10)&amp;"}]",8,1)&lt;&gt;"_"),"[{"&amp;M155&amp;","&amp;1&amp;"}]","[{"&amp;M155&amp;","&amp;CEILING(N155*10000+(O155-N155)/4*(COUNTIF($F$11:F155,F155)-1)*10000,10)&amp;"}]")</f>
        <v>[{equip_base_attr,2500}]</v>
      </c>
      <c r="H155" s="82" t="s">
        <v>563</v>
      </c>
      <c r="J155" s="78">
        <f ca="1">IF(MOD(COUNTIF($Q$11:Q154,Q154),5)=0,OFFSET(装备属性!$P$1083,1+INT(COUNTA($Q$11:Q154)/5),0),J154)</f>
        <v>7</v>
      </c>
      <c r="K155" s="83" t="str">
        <f ca="1">IF(RIGHT(G155,13)="rune_slot,1}]",_xlfn.XLOOKUP(LEFT(SUBSTITUTE(G155,"[{",""),FIND(",",SUBSTITUTE(G155,"[{",""))-1),Sheet2!B:B,Sheet2!C:C)&amp;"+"&amp;1,_xlfn.XLOOKUP(LEFT(SUBSTITUTE(G155,"[{",""),FIND(",",SUBSTITUTE(G155,"[{",""))-1),Sheet2!B:B,Sheet2!C:C)&amp;"+"&amp;SUBSTITUTE(RIGHT(G155,LEN(G155)-FIND(",",G155)),"}]","")/100&amp;"%")</f>
        <v>装备基础属性加成+25%</v>
      </c>
      <c r="L155" s="83" t="str">
        <f ca="1">IF(MOD(COUNTIF($Q$11:Q154,Q154),5)=0,OFFSET(装备属性!$G$1083,1+INT(COUNTA($Q$11:Q154)/5),0),L154)</f>
        <v>厚底子</v>
      </c>
      <c r="M155" s="89" t="str">
        <f ca="1">IF(MOD(COUNTIF($Q$11:Q154,Q154),5)=0,OFFSET(装备属性!$H$1083,1+INT(COUNTA($Q$11:Q154)/5),0),M154)</f>
        <v>equip_base_attr</v>
      </c>
      <c r="N155" s="76">
        <f ca="1">IF(MOD(COUNTIF($Q$11:Q154,Q154),5)=0,OFFSET(装备属性!$K$1083,1+INT(COUNTA($Q$11:Q154)/5),0),N154)</f>
        <v>0.25</v>
      </c>
      <c r="O155" s="76">
        <f ca="1">IF(MOD(COUNTIF($Q$11:Q154,Q154),5)=0,OFFSET(装备属性!$L$1083,1+INT(COUNTA($Q$11:Q154)/5),0),O154)</f>
        <v>0.25</v>
      </c>
      <c r="Q155" s="89" t="str">
        <f ca="1">IF(MOD(COUNTIF($Q$11:Q154,Q154),5)=0,OFFSET(装备属性!$M$1083,1+INT(COUNTA($Q$11:Q154)/5),0),Q154)</f>
        <v>稀有词条</v>
      </c>
      <c r="R155" s="83" t="e">
        <f ca="1">IF(MOD(COUNTIF($Q$11:Q154,Q154),5)=0,10000*SUBSTITUTE(SUBSTITUTE(OFFSET(装备属性!$F$1083,1+INT(COUNTA($Q$11:Q154)/5),0),"[",""),"]","")+_xlfn.XLOOKUP(C155,$M$3:$M$7,$N$3:$N$7)*100,R154)</f>
        <v>#N/A</v>
      </c>
    </row>
    <row r="156" customHeight="1" spans="1:18">
      <c r="A156" s="78" t="str">
        <f ca="1" t="shared" si="6"/>
        <v/>
      </c>
      <c r="B156" s="82" t="str">
        <f ca="1">IFERROR(R156+COUNTIFS($R$11:$R156,R156),"")</f>
        <v/>
      </c>
      <c r="C156" s="83">
        <f ca="1">IF(MOD(COUNTIF($Q$11:Q155,Q155),5)=0,OFFSET(装备属性!$D$1083,1+INT(COUNTA($Q$11:Q155)/5),0),C155)</f>
        <v>0</v>
      </c>
      <c r="D156" s="82">
        <f t="shared" si="8"/>
        <v>3000</v>
      </c>
      <c r="F156" s="82" t="str">
        <f ca="1" t="shared" si="7"/>
        <v/>
      </c>
      <c r="G156" s="78" t="str">
        <f ca="1">IF(AND(LEFT("[{"&amp;M156&amp;","&amp;CEILING(N156*10000+(O156-N156)/4*(COUNTIF($F$11:F156,F156)-1)*10000,10)&amp;"}]",7)="[{equip",MID("[{"&amp;M156&amp;","&amp;CEILING(N156*10000+(O156-N156)/4*(COUNTIF($F$11:F156,F156)-1)*10000,10)&amp;"}]",8,1)&lt;&gt;"_"),"[{"&amp;M156&amp;","&amp;1&amp;"}]","[{"&amp;M156&amp;","&amp;CEILING(N156*10000+(O156-N156)/4*(COUNTIF($F$11:F156,F156)-1)*10000,10)&amp;"}]")</f>
        <v>[{equip_extra_attr,5000}]</v>
      </c>
      <c r="H156" s="82" t="s">
        <v>563</v>
      </c>
      <c r="J156" s="78">
        <f ca="1">IF(MOD(COUNTIF($Q$11:Q155,Q155),5)=0,OFFSET(装备属性!$P$1083,1+INT(COUNTA($Q$11:Q155)/5),0),J155)</f>
        <v>8</v>
      </c>
      <c r="K156" s="83" t="str">
        <f ca="1">IF(RIGHT(G156,13)="rune_slot,1}]",_xlfn.XLOOKUP(LEFT(SUBSTITUTE(G156,"[{",""),FIND(",",SUBSTITUTE(G156,"[{",""))-1),Sheet2!B:B,Sheet2!C:C)&amp;"+"&amp;1,_xlfn.XLOOKUP(LEFT(SUBSTITUTE(G156,"[{",""),FIND(",",SUBSTITUTE(G156,"[{",""))-1),Sheet2!B:B,Sheet2!C:C)&amp;"+"&amp;SUBSTITUTE(RIGHT(G156,LEN(G156)-FIND(",",G156)),"}]","")/100&amp;"%")</f>
        <v>装备附加属性加成+50%</v>
      </c>
      <c r="L156" s="83" t="str">
        <f ca="1">IF(MOD(COUNTIF($Q$11:Q155,Q155),5)=0,OFFSET(装备属性!$G$1083,1+INT(COUNTA($Q$11:Q155)/5),0),L155)</f>
        <v>提成色</v>
      </c>
      <c r="M156" s="89" t="str">
        <f ca="1">IF(MOD(COUNTIF($Q$11:Q155,Q155),5)=0,OFFSET(装备属性!$H$1083,1+INT(COUNTA($Q$11:Q155)/5),0),M155)</f>
        <v>equip_extra_attr</v>
      </c>
      <c r="N156" s="76">
        <f ca="1">IF(MOD(COUNTIF($Q$11:Q155,Q155),5)=0,OFFSET(装备属性!$K$1083,1+INT(COUNTA($Q$11:Q155)/5),0),N155)</f>
        <v>0.5</v>
      </c>
      <c r="O156" s="76">
        <f ca="1">IF(MOD(COUNTIF($Q$11:Q155,Q155),5)=0,OFFSET(装备属性!$L$1083,1+INT(COUNTA($Q$11:Q155)/5),0),O155)</f>
        <v>0.5</v>
      </c>
      <c r="Q156" s="89" t="str">
        <f ca="1">IF(MOD(COUNTIF($Q$11:Q155,Q155),5)=0,OFFSET(装备属性!$M$1083,1+INT(COUNTA($Q$11:Q155)/5),0),Q155)</f>
        <v>稀有词条</v>
      </c>
      <c r="R156" s="83" t="e">
        <f ca="1">IF(MOD(COUNTIF($Q$11:Q155,Q155),5)=0,10000*SUBSTITUTE(SUBSTITUTE(OFFSET(装备属性!$F$1083,1+INT(COUNTA($Q$11:Q155)/5),0),"[",""),"]","")+_xlfn.XLOOKUP(C156,$M$3:$M$7,$N$3:$N$7)*100,R155)</f>
        <v>#N/A</v>
      </c>
    </row>
    <row r="157" customHeight="1" spans="1:18">
      <c r="A157" s="78" t="str">
        <f ca="1" t="shared" si="6"/>
        <v/>
      </c>
      <c r="B157" s="82" t="str">
        <f ca="1">IFERROR(R157+COUNTIFS($R$11:$R157,R157),"")</f>
        <v/>
      </c>
      <c r="C157" s="83">
        <f ca="1">IF(MOD(COUNTIF($Q$11:Q156,Q156),5)=0,OFFSET(装备属性!$D$1083,1+INT(COUNTA($Q$11:Q156)/5),0),C156)</f>
        <v>0</v>
      </c>
      <c r="D157" s="82">
        <f t="shared" si="8"/>
        <v>2500</v>
      </c>
      <c r="F157" s="82" t="str">
        <f ca="1" t="shared" si="7"/>
        <v/>
      </c>
      <c r="G157" s="78" t="str">
        <f ca="1">IF(AND(LEFT("[{"&amp;M157&amp;","&amp;CEILING(N157*10000+(O157-N157)/4*(COUNTIF($F$11:F157,F157)-1)*10000,10)&amp;"}]",7)="[{equip",MID("[{"&amp;M157&amp;","&amp;CEILING(N157*10000+(O157-N157)/4*(COUNTIF($F$11:F157,F157)-1)*10000,10)&amp;"}]",8,1)&lt;&gt;"_"),"[{"&amp;M157&amp;","&amp;1&amp;"}]","[{"&amp;M157&amp;","&amp;CEILING(N157*10000+(O157-N157)/4*(COUNTIF($F$11:F157,F157)-1)*10000,10)&amp;"}]")</f>
        <v>[{equip_extra_attr,5000}]</v>
      </c>
      <c r="H157" s="82" t="s">
        <v>563</v>
      </c>
      <c r="J157" s="78">
        <f ca="1">IF(MOD(COUNTIF($Q$11:Q156,Q156),5)=0,OFFSET(装备属性!$P$1083,1+INT(COUNTA($Q$11:Q156)/5),0),J156)</f>
        <v>8</v>
      </c>
      <c r="K157" s="83" t="str">
        <f ca="1">IF(RIGHT(G157,13)="rune_slot,1}]",_xlfn.XLOOKUP(LEFT(SUBSTITUTE(G157,"[{",""),FIND(",",SUBSTITUTE(G157,"[{",""))-1),Sheet2!B:B,Sheet2!C:C)&amp;"+"&amp;1,_xlfn.XLOOKUP(LEFT(SUBSTITUTE(G157,"[{",""),FIND(",",SUBSTITUTE(G157,"[{",""))-1),Sheet2!B:B,Sheet2!C:C)&amp;"+"&amp;SUBSTITUTE(RIGHT(G157,LEN(G157)-FIND(",",G157)),"}]","")/100&amp;"%")</f>
        <v>装备附加属性加成+50%</v>
      </c>
      <c r="L157" s="83" t="str">
        <f ca="1">IF(MOD(COUNTIF($Q$11:Q156,Q156),5)=0,OFFSET(装备属性!$G$1083,1+INT(COUNTA($Q$11:Q156)/5),0),L156)</f>
        <v>提成色</v>
      </c>
      <c r="M157" s="89" t="str">
        <f ca="1">IF(MOD(COUNTIF($Q$11:Q156,Q156),5)=0,OFFSET(装备属性!$H$1083,1+INT(COUNTA($Q$11:Q156)/5),0),M156)</f>
        <v>equip_extra_attr</v>
      </c>
      <c r="N157" s="76">
        <f ca="1">IF(MOD(COUNTIF($Q$11:Q156,Q156),5)=0,OFFSET(装备属性!$K$1083,1+INT(COUNTA($Q$11:Q156)/5),0),N156)</f>
        <v>0.5</v>
      </c>
      <c r="O157" s="76">
        <f ca="1">IF(MOD(COUNTIF($Q$11:Q156,Q156),5)=0,OFFSET(装备属性!$L$1083,1+INT(COUNTA($Q$11:Q156)/5),0),O156)</f>
        <v>0.5</v>
      </c>
      <c r="Q157" s="89" t="str">
        <f ca="1">IF(MOD(COUNTIF($Q$11:Q156,Q156),5)=0,OFFSET(装备属性!$M$1083,1+INT(COUNTA($Q$11:Q156)/5),0),Q156)</f>
        <v>稀有词条</v>
      </c>
      <c r="R157" s="83" t="e">
        <f ca="1">IF(MOD(COUNTIF($Q$11:Q156,Q156),5)=0,10000*SUBSTITUTE(SUBSTITUTE(OFFSET(装备属性!$F$1083,1+INT(COUNTA($Q$11:Q156)/5),0),"[",""),"]","")+_xlfn.XLOOKUP(C157,$M$3:$M$7,$N$3:$N$7)*100,R156)</f>
        <v>#N/A</v>
      </c>
    </row>
    <row r="158" customHeight="1" spans="1:18">
      <c r="A158" s="78" t="str">
        <f ca="1" t="shared" si="6"/>
        <v/>
      </c>
      <c r="B158" s="82" t="str">
        <f ca="1">IFERROR(R158+COUNTIFS($R$11:$R158,R158),"")</f>
        <v/>
      </c>
      <c r="C158" s="83">
        <f ca="1">IF(MOD(COUNTIF($Q$11:Q157,Q157),5)=0,OFFSET(装备属性!$D$1083,1+INT(COUNTA($Q$11:Q157)/5),0),C157)</f>
        <v>0</v>
      </c>
      <c r="D158" s="82">
        <f t="shared" si="8"/>
        <v>2000</v>
      </c>
      <c r="F158" s="82" t="str">
        <f ca="1" t="shared" si="7"/>
        <v/>
      </c>
      <c r="G158" s="78" t="str">
        <f ca="1">IF(AND(LEFT("[{"&amp;M158&amp;","&amp;CEILING(N158*10000+(O158-N158)/4*(COUNTIF($F$11:F158,F158)-1)*10000,10)&amp;"}]",7)="[{equip",MID("[{"&amp;M158&amp;","&amp;CEILING(N158*10000+(O158-N158)/4*(COUNTIF($F$11:F158,F158)-1)*10000,10)&amp;"}]",8,1)&lt;&gt;"_"),"[{"&amp;M158&amp;","&amp;1&amp;"}]","[{"&amp;M158&amp;","&amp;CEILING(N158*10000+(O158-N158)/4*(COUNTIF($F$11:F158,F158)-1)*10000,10)&amp;"}]")</f>
        <v>[{equip_extra_attr,5000}]</v>
      </c>
      <c r="H158" s="82" t="s">
        <v>563</v>
      </c>
      <c r="J158" s="78">
        <f ca="1">IF(MOD(COUNTIF($Q$11:Q157,Q157),5)=0,OFFSET(装备属性!$P$1083,1+INT(COUNTA($Q$11:Q157)/5),0),J157)</f>
        <v>8</v>
      </c>
      <c r="K158" s="83" t="str">
        <f ca="1">IF(RIGHT(G158,13)="rune_slot,1}]",_xlfn.XLOOKUP(LEFT(SUBSTITUTE(G158,"[{",""),FIND(",",SUBSTITUTE(G158,"[{",""))-1),Sheet2!B:B,Sheet2!C:C)&amp;"+"&amp;1,_xlfn.XLOOKUP(LEFT(SUBSTITUTE(G158,"[{",""),FIND(",",SUBSTITUTE(G158,"[{",""))-1),Sheet2!B:B,Sheet2!C:C)&amp;"+"&amp;SUBSTITUTE(RIGHT(G158,LEN(G158)-FIND(",",G158)),"}]","")/100&amp;"%")</f>
        <v>装备附加属性加成+50%</v>
      </c>
      <c r="L158" s="83" t="str">
        <f ca="1">IF(MOD(COUNTIF($Q$11:Q157,Q157),5)=0,OFFSET(装备属性!$G$1083,1+INT(COUNTA($Q$11:Q157)/5),0),L157)</f>
        <v>提成色</v>
      </c>
      <c r="M158" s="89" t="str">
        <f ca="1">IF(MOD(COUNTIF($Q$11:Q157,Q157),5)=0,OFFSET(装备属性!$H$1083,1+INT(COUNTA($Q$11:Q157)/5),0),M157)</f>
        <v>equip_extra_attr</v>
      </c>
      <c r="N158" s="76">
        <f ca="1">IF(MOD(COUNTIF($Q$11:Q157,Q157),5)=0,OFFSET(装备属性!$K$1083,1+INT(COUNTA($Q$11:Q157)/5),0),N157)</f>
        <v>0.5</v>
      </c>
      <c r="O158" s="76">
        <f ca="1">IF(MOD(COUNTIF($Q$11:Q157,Q157),5)=0,OFFSET(装备属性!$L$1083,1+INT(COUNTA($Q$11:Q157)/5),0),O157)</f>
        <v>0.5</v>
      </c>
      <c r="Q158" s="89" t="str">
        <f ca="1">IF(MOD(COUNTIF($Q$11:Q157,Q157),5)=0,OFFSET(装备属性!$M$1083,1+INT(COUNTA($Q$11:Q157)/5),0),Q157)</f>
        <v>稀有词条</v>
      </c>
      <c r="R158" s="83" t="e">
        <f ca="1">IF(MOD(COUNTIF($Q$11:Q157,Q157),5)=0,10000*SUBSTITUTE(SUBSTITUTE(OFFSET(装备属性!$F$1083,1+INT(COUNTA($Q$11:Q157)/5),0),"[",""),"]","")+_xlfn.XLOOKUP(C158,$M$3:$M$7,$N$3:$N$7)*100,R157)</f>
        <v>#N/A</v>
      </c>
    </row>
    <row r="159" customHeight="1" spans="1:18">
      <c r="A159" s="78" t="str">
        <f ca="1" t="shared" si="6"/>
        <v/>
      </c>
      <c r="B159" s="82" t="str">
        <f ca="1">IFERROR(R159+COUNTIFS($R$11:$R159,R159),"")</f>
        <v/>
      </c>
      <c r="C159" s="83">
        <f ca="1">IF(MOD(COUNTIF($Q$11:Q158,Q158),5)=0,OFFSET(装备属性!$D$1083,1+INT(COUNTA($Q$11:Q158)/5),0),C158)</f>
        <v>0</v>
      </c>
      <c r="D159" s="82">
        <f t="shared" si="8"/>
        <v>1500</v>
      </c>
      <c r="F159" s="82" t="str">
        <f ca="1" t="shared" si="7"/>
        <v/>
      </c>
      <c r="G159" s="78" t="str">
        <f ca="1">IF(AND(LEFT("[{"&amp;M159&amp;","&amp;CEILING(N159*10000+(O159-N159)/4*(COUNTIF($F$11:F159,F159)-1)*10000,10)&amp;"}]",7)="[{equip",MID("[{"&amp;M159&amp;","&amp;CEILING(N159*10000+(O159-N159)/4*(COUNTIF($F$11:F159,F159)-1)*10000,10)&amp;"}]",8,1)&lt;&gt;"_"),"[{"&amp;M159&amp;","&amp;1&amp;"}]","[{"&amp;M159&amp;","&amp;CEILING(N159*10000+(O159-N159)/4*(COUNTIF($F$11:F159,F159)-1)*10000,10)&amp;"}]")</f>
        <v>[{equip_extra_attr,5000}]</v>
      </c>
      <c r="H159" s="82" t="s">
        <v>563</v>
      </c>
      <c r="J159" s="78">
        <f ca="1">IF(MOD(COUNTIF($Q$11:Q158,Q158),5)=0,OFFSET(装备属性!$P$1083,1+INT(COUNTA($Q$11:Q158)/5),0),J158)</f>
        <v>8</v>
      </c>
      <c r="K159" s="83" t="str">
        <f ca="1">IF(RIGHT(G159,13)="rune_slot,1}]",_xlfn.XLOOKUP(LEFT(SUBSTITUTE(G159,"[{",""),FIND(",",SUBSTITUTE(G159,"[{",""))-1),Sheet2!B:B,Sheet2!C:C)&amp;"+"&amp;1,_xlfn.XLOOKUP(LEFT(SUBSTITUTE(G159,"[{",""),FIND(",",SUBSTITUTE(G159,"[{",""))-1),Sheet2!B:B,Sheet2!C:C)&amp;"+"&amp;SUBSTITUTE(RIGHT(G159,LEN(G159)-FIND(",",G159)),"}]","")/100&amp;"%")</f>
        <v>装备附加属性加成+50%</v>
      </c>
      <c r="L159" s="83" t="str">
        <f ca="1">IF(MOD(COUNTIF($Q$11:Q158,Q158),5)=0,OFFSET(装备属性!$G$1083,1+INT(COUNTA($Q$11:Q158)/5),0),L158)</f>
        <v>提成色</v>
      </c>
      <c r="M159" s="89" t="str">
        <f ca="1">IF(MOD(COUNTIF($Q$11:Q158,Q158),5)=0,OFFSET(装备属性!$H$1083,1+INT(COUNTA($Q$11:Q158)/5),0),M158)</f>
        <v>equip_extra_attr</v>
      </c>
      <c r="N159" s="76">
        <f ca="1">IF(MOD(COUNTIF($Q$11:Q158,Q158),5)=0,OFFSET(装备属性!$K$1083,1+INT(COUNTA($Q$11:Q158)/5),0),N158)</f>
        <v>0.5</v>
      </c>
      <c r="O159" s="76">
        <f ca="1">IF(MOD(COUNTIF($Q$11:Q158,Q158),5)=0,OFFSET(装备属性!$L$1083,1+INT(COUNTA($Q$11:Q158)/5),0),O158)</f>
        <v>0.5</v>
      </c>
      <c r="Q159" s="89" t="str">
        <f ca="1">IF(MOD(COUNTIF($Q$11:Q158,Q158),5)=0,OFFSET(装备属性!$M$1083,1+INT(COUNTA($Q$11:Q158)/5),0),Q158)</f>
        <v>稀有词条</v>
      </c>
      <c r="R159" s="83" t="e">
        <f ca="1">IF(MOD(COUNTIF($Q$11:Q158,Q158),5)=0,10000*SUBSTITUTE(SUBSTITUTE(OFFSET(装备属性!$F$1083,1+INT(COUNTA($Q$11:Q158)/5),0),"[",""),"]","")+_xlfn.XLOOKUP(C159,$M$3:$M$7,$N$3:$N$7)*100,R158)</f>
        <v>#N/A</v>
      </c>
    </row>
    <row r="160" customHeight="1" spans="1:18">
      <c r="A160" s="78" t="str">
        <f ca="1" t="shared" si="6"/>
        <v/>
      </c>
      <c r="B160" s="82" t="str">
        <f ca="1">IFERROR(R160+COUNTIFS($R$11:$R160,R160),"")</f>
        <v/>
      </c>
      <c r="C160" s="83">
        <f ca="1">IF(MOD(COUNTIF($Q$11:Q159,Q159),5)=0,OFFSET(装备属性!$D$1083,1+INT(COUNTA($Q$11:Q159)/5),0),C159)</f>
        <v>0</v>
      </c>
      <c r="D160" s="82">
        <f t="shared" si="8"/>
        <v>1000</v>
      </c>
      <c r="F160" s="82" t="str">
        <f ca="1" t="shared" si="7"/>
        <v/>
      </c>
      <c r="G160" s="78" t="str">
        <f ca="1">IF(AND(LEFT("[{"&amp;M160&amp;","&amp;CEILING(N160*10000+(O160-N160)/4*(COUNTIF($F$11:F160,F160)-1)*10000,10)&amp;"}]",7)="[{equip",MID("[{"&amp;M160&amp;","&amp;CEILING(N160*10000+(O160-N160)/4*(COUNTIF($F$11:F160,F160)-1)*10000,10)&amp;"}]",8,1)&lt;&gt;"_"),"[{"&amp;M160&amp;","&amp;1&amp;"}]","[{"&amp;M160&amp;","&amp;CEILING(N160*10000+(O160-N160)/4*(COUNTIF($F$11:F160,F160)-1)*10000,10)&amp;"}]")</f>
        <v>[{equip_extra_attr,5000}]</v>
      </c>
      <c r="H160" s="82" t="s">
        <v>563</v>
      </c>
      <c r="J160" s="78">
        <f ca="1">IF(MOD(COUNTIF($Q$11:Q159,Q159),5)=0,OFFSET(装备属性!$P$1083,1+INT(COUNTA($Q$11:Q159)/5),0),J159)</f>
        <v>8</v>
      </c>
      <c r="K160" s="83" t="str">
        <f ca="1">IF(RIGHT(G160,13)="rune_slot,1}]",_xlfn.XLOOKUP(LEFT(SUBSTITUTE(G160,"[{",""),FIND(",",SUBSTITUTE(G160,"[{",""))-1),Sheet2!B:B,Sheet2!C:C)&amp;"+"&amp;1,_xlfn.XLOOKUP(LEFT(SUBSTITUTE(G160,"[{",""),FIND(",",SUBSTITUTE(G160,"[{",""))-1),Sheet2!B:B,Sheet2!C:C)&amp;"+"&amp;SUBSTITUTE(RIGHT(G160,LEN(G160)-FIND(",",G160)),"}]","")/100&amp;"%")</f>
        <v>装备附加属性加成+50%</v>
      </c>
      <c r="L160" s="83" t="str">
        <f ca="1">IF(MOD(COUNTIF($Q$11:Q159,Q159),5)=0,OFFSET(装备属性!$G$1083,1+INT(COUNTA($Q$11:Q159)/5),0),L159)</f>
        <v>提成色</v>
      </c>
      <c r="M160" s="89" t="str">
        <f ca="1">IF(MOD(COUNTIF($Q$11:Q159,Q159),5)=0,OFFSET(装备属性!$H$1083,1+INT(COUNTA($Q$11:Q159)/5),0),M159)</f>
        <v>equip_extra_attr</v>
      </c>
      <c r="N160" s="76">
        <f ca="1">IF(MOD(COUNTIF($Q$11:Q159,Q159),5)=0,OFFSET(装备属性!$K$1083,1+INT(COUNTA($Q$11:Q159)/5),0),N159)</f>
        <v>0.5</v>
      </c>
      <c r="O160" s="76">
        <f ca="1">IF(MOD(COUNTIF($Q$11:Q159,Q159),5)=0,OFFSET(装备属性!$L$1083,1+INT(COUNTA($Q$11:Q159)/5),0),O159)</f>
        <v>0.5</v>
      </c>
      <c r="Q160" s="89" t="str">
        <f ca="1">IF(MOD(COUNTIF($Q$11:Q159,Q159),5)=0,OFFSET(装备属性!$M$1083,1+INT(COUNTA($Q$11:Q159)/5),0),Q159)</f>
        <v>稀有词条</v>
      </c>
      <c r="R160" s="83" t="e">
        <f ca="1">IF(MOD(COUNTIF($Q$11:Q159,Q159),5)=0,10000*SUBSTITUTE(SUBSTITUTE(OFFSET(装备属性!$F$1083,1+INT(COUNTA($Q$11:Q159)/5),0),"[",""),"]","")+_xlfn.XLOOKUP(C160,$M$3:$M$7,$N$3:$N$7)*100,R159)</f>
        <v>#N/A</v>
      </c>
    </row>
    <row r="161" customHeight="1" spans="1:18">
      <c r="A161" s="78">
        <f ca="1" t="shared" si="6"/>
        <v>10602</v>
      </c>
      <c r="B161" s="82">
        <f ca="1">IFERROR(R161+COUNTIFS($R$11:$R161,R161),"")</f>
        <v>10611</v>
      </c>
      <c r="C161" s="83" t="str">
        <f ca="1">IF(MOD(COUNTIF($Q$11:Q160,Q160),5)=0,OFFSET(装备属性!$D$1083,1+INT(COUNTA($Q$11:Q160)/5),0),C160)</f>
        <v>红</v>
      </c>
      <c r="D161" s="82">
        <f t="shared" si="8"/>
        <v>3000</v>
      </c>
      <c r="F161" s="82">
        <f ca="1" t="shared" si="7"/>
        <v>10602</v>
      </c>
      <c r="G161" s="78" t="str">
        <f ca="1">IF(AND(LEFT("[{"&amp;M161&amp;","&amp;CEILING(N161*10000+(O161-N161)/4*(COUNTIF($F$11:F161,F161)-1)*10000,10)&amp;"}]",7)="[{equip",MID("[{"&amp;M161&amp;","&amp;CEILING(N161*10000+(O161-N161)/4*(COUNTIF($F$11:F161,F161)-1)*10000,10)&amp;"}]",8,1)&lt;&gt;"_"),"[{"&amp;M161&amp;","&amp;1&amp;"}]","[{"&amp;M161&amp;","&amp;CEILING(N161*10000+(O161-N161)/4*(COUNTIF($F$11:F161,F161)-1)*10000,10)&amp;"}]")</f>
        <v>[{arena_pve_hit_rare,720}]</v>
      </c>
      <c r="H161" s="82" t="s">
        <v>563</v>
      </c>
      <c r="J161" s="78">
        <f ca="1">IF(MOD(COUNTIF($Q$11:Q160,Q160),5)=0,OFFSET(装备属性!$P$1083,1+INT(COUNTA($Q$11:Q160)/5),0),J160)</f>
        <v>1</v>
      </c>
      <c r="K161" s="83" t="str">
        <f ca="1">IF(RIGHT(G161,13)="rune_slot,1}]",_xlfn.XLOOKUP(LEFT(SUBSTITUTE(G161,"[{",""),FIND(",",SUBSTITUTE(G161,"[{",""))-1),Sheet2!B:B,Sheet2!C:C)&amp;"+"&amp;1,_xlfn.XLOOKUP(LEFT(SUBSTITUTE(G161,"[{",""),FIND(",",SUBSTITUTE(G161,"[{",""))-1),Sheet2!B:B,Sheet2!C:C)&amp;"+"&amp;SUBSTITUTE(RIGHT(G161,LEN(G161)-FIND(",",G161)),"}]","")/100&amp;"%")</f>
        <v>荧幕争锋增伤+7.2%</v>
      </c>
      <c r="L161" s="83" t="str">
        <f ca="1">IF(MOD(COUNTIF($Q$11:Q160,Q160),5)=0,OFFSET(装备属性!$G$1083,1+INT(COUNTA($Q$11:Q160)/5),0),L160)</f>
        <v>关键开团Ⅲ</v>
      </c>
      <c r="M161" s="89" t="str">
        <f ca="1">IF(MOD(COUNTIF($Q$11:Q160,Q160),5)=0,OFFSET(装备属性!$H$1083,1+INT(COUNTA($Q$11:Q160)/5),0),M160)</f>
        <v>arena_pve_hit_rare</v>
      </c>
      <c r="N161" s="76">
        <f ca="1">IF(MOD(COUNTIF($Q$11:Q160,Q160),5)=0,OFFSET(装备属性!$K$1083,1+INT(COUNTA($Q$11:Q160)/5),0),N160)</f>
        <v>0.072</v>
      </c>
      <c r="O161" s="76">
        <f ca="1">IF(MOD(COUNTIF($Q$11:Q160,Q160),5)=0,OFFSET(装备属性!$L$1083,1+INT(COUNTA($Q$11:Q160)/5),0),O160)</f>
        <v>0.086</v>
      </c>
      <c r="Q161" s="89" t="str">
        <f ca="1">IF(MOD(COUNTIF($Q$11:Q160,Q160),5)=0,OFFSET(装备属性!$M$1083,1+INT(COUNTA($Q$11:Q160)/5),0),Q160)</f>
        <v>玩法类</v>
      </c>
      <c r="R161" s="83">
        <f ca="1">IF(MOD(COUNTIF($Q$11:Q160,Q160),5)=0,10000*SUBSTITUTE(SUBSTITUTE(OFFSET(装备属性!$F$1083,1+INT(COUNTA($Q$11:Q160)/5),0),"[",""),"]","")+_xlfn.XLOOKUP(C161,$M$3:$M$7,$N$3:$N$7)*100,R160)</f>
        <v>10600</v>
      </c>
    </row>
    <row r="162" customHeight="1" spans="1:18">
      <c r="A162" s="78">
        <f ca="1" t="shared" si="6"/>
        <v>10602</v>
      </c>
      <c r="B162" s="82">
        <f ca="1">IFERROR(R162+COUNTIFS($R$11:$R162,R162),"")</f>
        <v>10612</v>
      </c>
      <c r="C162" s="83" t="str">
        <f ca="1">IF(MOD(COUNTIF($Q$11:Q161,Q161),5)=0,OFFSET(装备属性!$D$1083,1+INT(COUNTA($Q$11:Q161)/5),0),C161)</f>
        <v>红</v>
      </c>
      <c r="D162" s="82">
        <f t="shared" si="8"/>
        <v>2500</v>
      </c>
      <c r="F162" s="82">
        <f ca="1" t="shared" si="7"/>
        <v>10602</v>
      </c>
      <c r="G162" s="78" t="str">
        <f ca="1">IF(AND(LEFT("[{"&amp;M162&amp;","&amp;CEILING(N162*10000+(O162-N162)/4*(COUNTIF($F$11:F162,F162)-1)*10000,10)&amp;"}]",7)="[{equip",MID("[{"&amp;M162&amp;","&amp;CEILING(N162*10000+(O162-N162)/4*(COUNTIF($F$11:F162,F162)-1)*10000,10)&amp;"}]",8,1)&lt;&gt;"_"),"[{"&amp;M162&amp;","&amp;1&amp;"}]","[{"&amp;M162&amp;","&amp;CEILING(N162*10000+(O162-N162)/4*(COUNTIF($F$11:F162,F162)-1)*10000,10)&amp;"}]")</f>
        <v>[{arena_pve_hit_rare,760}]</v>
      </c>
      <c r="H162" s="82" t="s">
        <v>563</v>
      </c>
      <c r="J162" s="78">
        <f ca="1">IF(MOD(COUNTIF($Q$11:Q161,Q161),5)=0,OFFSET(装备属性!$P$1083,1+INT(COUNTA($Q$11:Q161)/5),0),J161)</f>
        <v>1</v>
      </c>
      <c r="K162" s="83" t="str">
        <f ca="1">IF(RIGHT(G162,13)="rune_slot,1}]",_xlfn.XLOOKUP(LEFT(SUBSTITUTE(G162,"[{",""),FIND(",",SUBSTITUTE(G162,"[{",""))-1),Sheet2!B:B,Sheet2!C:C)&amp;"+"&amp;1,_xlfn.XLOOKUP(LEFT(SUBSTITUTE(G162,"[{",""),FIND(",",SUBSTITUTE(G162,"[{",""))-1),Sheet2!B:B,Sheet2!C:C)&amp;"+"&amp;SUBSTITUTE(RIGHT(G162,LEN(G162)-FIND(",",G162)),"}]","")/100&amp;"%")</f>
        <v>荧幕争锋增伤+7.6%</v>
      </c>
      <c r="L162" s="83" t="str">
        <f ca="1">IF(MOD(COUNTIF($Q$11:Q161,Q161),5)=0,OFFSET(装备属性!$G$1083,1+INT(COUNTA($Q$11:Q161)/5),0),L161)</f>
        <v>关键开团Ⅲ</v>
      </c>
      <c r="M162" s="89" t="str">
        <f ca="1">IF(MOD(COUNTIF($Q$11:Q161,Q161),5)=0,OFFSET(装备属性!$H$1083,1+INT(COUNTA($Q$11:Q161)/5),0),M161)</f>
        <v>arena_pve_hit_rare</v>
      </c>
      <c r="N162" s="76">
        <f ca="1">IF(MOD(COUNTIF($Q$11:Q161,Q161),5)=0,OFFSET(装备属性!$K$1083,1+INT(COUNTA($Q$11:Q161)/5),0),N161)</f>
        <v>0.072</v>
      </c>
      <c r="O162" s="76">
        <f ca="1">IF(MOD(COUNTIF($Q$11:Q161,Q161),5)=0,OFFSET(装备属性!$L$1083,1+INT(COUNTA($Q$11:Q161)/5),0),O161)</f>
        <v>0.086</v>
      </c>
      <c r="Q162" s="89" t="str">
        <f ca="1">IF(MOD(COUNTIF($Q$11:Q161,Q161),5)=0,OFFSET(装备属性!$M$1083,1+INT(COUNTA($Q$11:Q161)/5),0),Q161)</f>
        <v>玩法类</v>
      </c>
      <c r="R162" s="83">
        <f ca="1">IF(MOD(COUNTIF($Q$11:Q161,Q161),5)=0,10000*SUBSTITUTE(SUBSTITUTE(OFFSET(装备属性!$F$1083,1+INT(COUNTA($Q$11:Q161)/5),0),"[",""),"]","")+_xlfn.XLOOKUP(C162,$M$3:$M$7,$N$3:$N$7)*100,R161)</f>
        <v>10600</v>
      </c>
    </row>
    <row r="163" customHeight="1" spans="1:18">
      <c r="A163" s="78">
        <f ca="1" t="shared" si="6"/>
        <v>10602</v>
      </c>
      <c r="B163" s="82">
        <f ca="1">IFERROR(R163+COUNTIFS($R$11:$R163,R163),"")</f>
        <v>10613</v>
      </c>
      <c r="C163" s="83" t="str">
        <f ca="1">IF(MOD(COUNTIF($Q$11:Q162,Q162),5)=0,OFFSET(装备属性!$D$1083,1+INT(COUNTA($Q$11:Q162)/5),0),C162)</f>
        <v>红</v>
      </c>
      <c r="D163" s="82">
        <f t="shared" si="8"/>
        <v>2000</v>
      </c>
      <c r="F163" s="82">
        <f ca="1" t="shared" si="7"/>
        <v>10602</v>
      </c>
      <c r="G163" s="78" t="str">
        <f ca="1">IF(AND(LEFT("[{"&amp;M163&amp;","&amp;CEILING(N163*10000+(O163-N163)/4*(COUNTIF($F$11:F163,F163)-1)*10000,10)&amp;"}]",7)="[{equip",MID("[{"&amp;M163&amp;","&amp;CEILING(N163*10000+(O163-N163)/4*(COUNTIF($F$11:F163,F163)-1)*10000,10)&amp;"}]",8,1)&lt;&gt;"_"),"[{"&amp;M163&amp;","&amp;1&amp;"}]","[{"&amp;M163&amp;","&amp;CEILING(N163*10000+(O163-N163)/4*(COUNTIF($F$11:F163,F163)-1)*10000,10)&amp;"}]")</f>
        <v>[{arena_pve_hit_rare,790}]</v>
      </c>
      <c r="H163" s="82" t="s">
        <v>563</v>
      </c>
      <c r="J163" s="78">
        <f ca="1">IF(MOD(COUNTIF($Q$11:Q162,Q162),5)=0,OFFSET(装备属性!$P$1083,1+INT(COUNTA($Q$11:Q162)/5),0),J162)</f>
        <v>1</v>
      </c>
      <c r="K163" s="83" t="str">
        <f ca="1">IF(RIGHT(G163,13)="rune_slot,1}]",_xlfn.XLOOKUP(LEFT(SUBSTITUTE(G163,"[{",""),FIND(",",SUBSTITUTE(G163,"[{",""))-1),Sheet2!B:B,Sheet2!C:C)&amp;"+"&amp;1,_xlfn.XLOOKUP(LEFT(SUBSTITUTE(G163,"[{",""),FIND(",",SUBSTITUTE(G163,"[{",""))-1),Sheet2!B:B,Sheet2!C:C)&amp;"+"&amp;SUBSTITUTE(RIGHT(G163,LEN(G163)-FIND(",",G163)),"}]","")/100&amp;"%")</f>
        <v>荧幕争锋增伤+7.9%</v>
      </c>
      <c r="L163" s="83" t="str">
        <f ca="1">IF(MOD(COUNTIF($Q$11:Q162,Q162),5)=0,OFFSET(装备属性!$G$1083,1+INT(COUNTA($Q$11:Q162)/5),0),L162)</f>
        <v>关键开团Ⅲ</v>
      </c>
      <c r="M163" s="89" t="str">
        <f ca="1">IF(MOD(COUNTIF($Q$11:Q162,Q162),5)=0,OFFSET(装备属性!$H$1083,1+INT(COUNTA($Q$11:Q162)/5),0),M162)</f>
        <v>arena_pve_hit_rare</v>
      </c>
      <c r="N163" s="76">
        <f ca="1">IF(MOD(COUNTIF($Q$11:Q162,Q162),5)=0,OFFSET(装备属性!$K$1083,1+INT(COUNTA($Q$11:Q162)/5),0),N162)</f>
        <v>0.072</v>
      </c>
      <c r="O163" s="76">
        <f ca="1">IF(MOD(COUNTIF($Q$11:Q162,Q162),5)=0,OFFSET(装备属性!$L$1083,1+INT(COUNTA($Q$11:Q162)/5),0),O162)</f>
        <v>0.086</v>
      </c>
      <c r="Q163" s="89" t="str">
        <f ca="1">IF(MOD(COUNTIF($Q$11:Q162,Q162),5)=0,OFFSET(装备属性!$M$1083,1+INT(COUNTA($Q$11:Q162)/5),0),Q162)</f>
        <v>玩法类</v>
      </c>
      <c r="R163" s="83">
        <f ca="1">IF(MOD(COUNTIF($Q$11:Q162,Q162),5)=0,10000*SUBSTITUTE(SUBSTITUTE(OFFSET(装备属性!$F$1083,1+INT(COUNTA($Q$11:Q162)/5),0),"[",""),"]","")+_xlfn.XLOOKUP(C163,$M$3:$M$7,$N$3:$N$7)*100,R162)</f>
        <v>10600</v>
      </c>
    </row>
    <row r="164" customHeight="1" spans="1:18">
      <c r="A164" s="78">
        <f ca="1" t="shared" si="6"/>
        <v>10602</v>
      </c>
      <c r="B164" s="82">
        <f ca="1">IFERROR(R164+COUNTIFS($R$11:$R164,R164),"")</f>
        <v>10614</v>
      </c>
      <c r="C164" s="83" t="str">
        <f ca="1">IF(MOD(COUNTIF($Q$11:Q163,Q163),5)=0,OFFSET(装备属性!$D$1083,1+INT(COUNTA($Q$11:Q163)/5),0),C163)</f>
        <v>红</v>
      </c>
      <c r="D164" s="82">
        <f t="shared" si="8"/>
        <v>1500</v>
      </c>
      <c r="F164" s="82">
        <f ca="1" t="shared" si="7"/>
        <v>10602</v>
      </c>
      <c r="G164" s="78" t="str">
        <f ca="1">IF(AND(LEFT("[{"&amp;M164&amp;","&amp;CEILING(N164*10000+(O164-N164)/4*(COUNTIF($F$11:F164,F164)-1)*10000,10)&amp;"}]",7)="[{equip",MID("[{"&amp;M164&amp;","&amp;CEILING(N164*10000+(O164-N164)/4*(COUNTIF($F$11:F164,F164)-1)*10000,10)&amp;"}]",8,1)&lt;&gt;"_"),"[{"&amp;M164&amp;","&amp;1&amp;"}]","[{"&amp;M164&amp;","&amp;CEILING(N164*10000+(O164-N164)/4*(COUNTIF($F$11:F164,F164)-1)*10000,10)&amp;"}]")</f>
        <v>[{arena_pve_hit_rare,830}]</v>
      </c>
      <c r="H164" s="82" t="s">
        <v>563</v>
      </c>
      <c r="J164" s="78">
        <f ca="1">IF(MOD(COUNTIF($Q$11:Q163,Q163),5)=0,OFFSET(装备属性!$P$1083,1+INT(COUNTA($Q$11:Q163)/5),0),J163)</f>
        <v>1</v>
      </c>
      <c r="K164" s="83" t="str">
        <f ca="1">IF(RIGHT(G164,13)="rune_slot,1}]",_xlfn.XLOOKUP(LEFT(SUBSTITUTE(G164,"[{",""),FIND(",",SUBSTITUTE(G164,"[{",""))-1),Sheet2!B:B,Sheet2!C:C)&amp;"+"&amp;1,_xlfn.XLOOKUP(LEFT(SUBSTITUTE(G164,"[{",""),FIND(",",SUBSTITUTE(G164,"[{",""))-1),Sheet2!B:B,Sheet2!C:C)&amp;"+"&amp;SUBSTITUTE(RIGHT(G164,LEN(G164)-FIND(",",G164)),"}]","")/100&amp;"%")</f>
        <v>荧幕争锋增伤+8.3%</v>
      </c>
      <c r="L164" s="83" t="str">
        <f ca="1">IF(MOD(COUNTIF($Q$11:Q163,Q163),5)=0,OFFSET(装备属性!$G$1083,1+INT(COUNTA($Q$11:Q163)/5),0),L163)</f>
        <v>关键开团Ⅲ</v>
      </c>
      <c r="M164" s="89" t="str">
        <f ca="1">IF(MOD(COUNTIF($Q$11:Q163,Q163),5)=0,OFFSET(装备属性!$H$1083,1+INT(COUNTA($Q$11:Q163)/5),0),M163)</f>
        <v>arena_pve_hit_rare</v>
      </c>
      <c r="N164" s="76">
        <f ca="1">IF(MOD(COUNTIF($Q$11:Q163,Q163),5)=0,OFFSET(装备属性!$K$1083,1+INT(COUNTA($Q$11:Q163)/5),0),N163)</f>
        <v>0.072</v>
      </c>
      <c r="O164" s="76">
        <f ca="1">IF(MOD(COUNTIF($Q$11:Q163,Q163),5)=0,OFFSET(装备属性!$L$1083,1+INT(COUNTA($Q$11:Q163)/5),0),O163)</f>
        <v>0.086</v>
      </c>
      <c r="Q164" s="89" t="str">
        <f ca="1">IF(MOD(COUNTIF($Q$11:Q163,Q163),5)=0,OFFSET(装备属性!$M$1083,1+INT(COUNTA($Q$11:Q163)/5),0),Q163)</f>
        <v>玩法类</v>
      </c>
      <c r="R164" s="83">
        <f ca="1">IF(MOD(COUNTIF($Q$11:Q163,Q163),5)=0,10000*SUBSTITUTE(SUBSTITUTE(OFFSET(装备属性!$F$1083,1+INT(COUNTA($Q$11:Q163)/5),0),"[",""),"]","")+_xlfn.XLOOKUP(C164,$M$3:$M$7,$N$3:$N$7)*100,R163)</f>
        <v>10600</v>
      </c>
    </row>
    <row r="165" customHeight="1" spans="1:18">
      <c r="A165" s="78">
        <f ca="1" t="shared" si="6"/>
        <v>10602</v>
      </c>
      <c r="B165" s="82">
        <f ca="1">IFERROR(R165+COUNTIFS($R$11:$R165,R165),"")</f>
        <v>10615</v>
      </c>
      <c r="C165" s="83" t="str">
        <f ca="1">IF(MOD(COUNTIF($Q$11:Q164,Q164),5)=0,OFFSET(装备属性!$D$1083,1+INT(COUNTA($Q$11:Q164)/5),0),C164)</f>
        <v>红</v>
      </c>
      <c r="D165" s="82">
        <f t="shared" si="8"/>
        <v>1000</v>
      </c>
      <c r="F165" s="82">
        <f ca="1" t="shared" si="7"/>
        <v>10602</v>
      </c>
      <c r="G165" s="78" t="str">
        <f ca="1">IF(AND(LEFT("[{"&amp;M165&amp;","&amp;CEILING(N165*10000+(O165-N165)/4*(COUNTIF($F$11:F165,F165)-1)*10000,10)&amp;"}]",7)="[{equip",MID("[{"&amp;M165&amp;","&amp;CEILING(N165*10000+(O165-N165)/4*(COUNTIF($F$11:F165,F165)-1)*10000,10)&amp;"}]",8,1)&lt;&gt;"_"),"[{"&amp;M165&amp;","&amp;1&amp;"}]","[{"&amp;M165&amp;","&amp;CEILING(N165*10000+(O165-N165)/4*(COUNTIF($F$11:F165,F165)-1)*10000,10)&amp;"}]")</f>
        <v>[{arena_pve_hit_rare,860}]</v>
      </c>
      <c r="H165" s="82" t="s">
        <v>563</v>
      </c>
      <c r="J165" s="78">
        <f ca="1">IF(MOD(COUNTIF($Q$11:Q164,Q164),5)=0,OFFSET(装备属性!$P$1083,1+INT(COUNTA($Q$11:Q164)/5),0),J164)</f>
        <v>1</v>
      </c>
      <c r="K165" s="83" t="str">
        <f ca="1">IF(RIGHT(G165,13)="rune_slot,1}]",_xlfn.XLOOKUP(LEFT(SUBSTITUTE(G165,"[{",""),FIND(",",SUBSTITUTE(G165,"[{",""))-1),Sheet2!B:B,Sheet2!C:C)&amp;"+"&amp;1,_xlfn.XLOOKUP(LEFT(SUBSTITUTE(G165,"[{",""),FIND(",",SUBSTITUTE(G165,"[{",""))-1),Sheet2!B:B,Sheet2!C:C)&amp;"+"&amp;SUBSTITUTE(RIGHT(G165,LEN(G165)-FIND(",",G165)),"}]","")/100&amp;"%")</f>
        <v>荧幕争锋增伤+8.6%</v>
      </c>
      <c r="L165" s="83" t="str">
        <f ca="1">IF(MOD(COUNTIF($Q$11:Q164,Q164),5)=0,OFFSET(装备属性!$G$1083,1+INT(COUNTA($Q$11:Q164)/5),0),L164)</f>
        <v>关键开团Ⅲ</v>
      </c>
      <c r="M165" s="89" t="str">
        <f ca="1">IF(MOD(COUNTIF($Q$11:Q164,Q164),5)=0,OFFSET(装备属性!$H$1083,1+INT(COUNTA($Q$11:Q164)/5),0),M164)</f>
        <v>arena_pve_hit_rare</v>
      </c>
      <c r="N165" s="76">
        <f ca="1">IF(MOD(COUNTIF($Q$11:Q164,Q164),5)=0,OFFSET(装备属性!$K$1083,1+INT(COUNTA($Q$11:Q164)/5),0),N164)</f>
        <v>0.072</v>
      </c>
      <c r="O165" s="76">
        <f ca="1">IF(MOD(COUNTIF($Q$11:Q164,Q164),5)=0,OFFSET(装备属性!$L$1083,1+INT(COUNTA($Q$11:Q164)/5),0),O164)</f>
        <v>0.086</v>
      </c>
      <c r="Q165" s="89" t="str">
        <f ca="1">IF(MOD(COUNTIF($Q$11:Q164,Q164),5)=0,OFFSET(装备属性!$M$1083,1+INT(COUNTA($Q$11:Q164)/5),0),Q164)</f>
        <v>玩法类</v>
      </c>
      <c r="R165" s="83">
        <f ca="1">IF(MOD(COUNTIF($Q$11:Q164,Q164),5)=0,10000*SUBSTITUTE(SUBSTITUTE(OFFSET(装备属性!$F$1083,1+INT(COUNTA($Q$11:Q164)/5),0),"[",""),"]","")+_xlfn.XLOOKUP(C165,$M$3:$M$7,$N$3:$N$7)*100,R164)</f>
        <v>10600</v>
      </c>
    </row>
    <row r="166" customHeight="1" spans="1:18">
      <c r="A166" s="78">
        <f ca="1" t="shared" si="6"/>
        <v>10601</v>
      </c>
      <c r="B166" s="82">
        <f ca="1">IFERROR(R166+COUNTIFS($R$11:$R166,R166),"")</f>
        <v>10616</v>
      </c>
      <c r="C166" s="83" t="str">
        <f ca="1">IF(MOD(COUNTIF($Q$11:Q165,Q165),5)=0,OFFSET(装备属性!$D$1083,1+INT(COUNTA($Q$11:Q165)/5),0),C165)</f>
        <v>红</v>
      </c>
      <c r="D166" s="82">
        <f t="shared" si="8"/>
        <v>3000</v>
      </c>
      <c r="F166" s="82">
        <f ca="1" t="shared" si="7"/>
        <v>10603</v>
      </c>
      <c r="G166" s="78" t="str">
        <f ca="1">IF(AND(LEFT("[{"&amp;M166&amp;","&amp;CEILING(N166*10000+(O166-N166)/4*(COUNTIF($F$11:F166,F166)-1)*10000,10)&amp;"}]",7)="[{equip",MID("[{"&amp;M166&amp;","&amp;CEILING(N166*10000+(O166-N166)/4*(COUNTIF($F$11:F166,F166)-1)*10000,10)&amp;"}]",8,1)&lt;&gt;"_"),"[{"&amp;M166&amp;","&amp;1&amp;"}]","[{"&amp;M166&amp;","&amp;CEILING(N166*10000+(O166-N166)/4*(COUNTIF($F$11:F166,F166)-1)*10000,10)&amp;"}]")</f>
        <v>[{warrior_dmg_red_rate,250}]</v>
      </c>
      <c r="H166" s="82" t="s">
        <v>563</v>
      </c>
      <c r="J166" s="78">
        <f ca="1">IF(MOD(COUNTIF($Q$11:Q165,Q165),5)=0,OFFSET(装备属性!$P$1083,1+INT(COUNTA($Q$11:Q165)/5),0),J165)</f>
        <v>6</v>
      </c>
      <c r="K166" s="83" t="str">
        <f ca="1">IF(RIGHT(G166,13)="rune_slot,1}]",_xlfn.XLOOKUP(LEFT(SUBSTITUTE(G166,"[{",""),FIND(",",SUBSTITUTE(G166,"[{",""))-1),Sheet2!B:B,Sheet2!C:C)&amp;"+"&amp;1,_xlfn.XLOOKUP(LEFT(SUBSTITUTE(G166,"[{",""),FIND(",",SUBSTITUTE(G166,"[{",""))-1),Sheet2!B:B,Sheet2!C:C)&amp;"+"&amp;SUBSTITUTE(RIGHT(G166,LEN(G166)-FIND(",",G166)),"}]","")/100&amp;"%")</f>
        <v>战士伤害减免+2.5%</v>
      </c>
      <c r="L166" s="83" t="str">
        <f ca="1">IF(MOD(COUNTIF($Q$11:Q165,Q165),5)=0,OFFSET(装备属性!$G$1083,1+INT(COUNTA($Q$11:Q165)/5),0),L165)</f>
        <v>猛男耐打Ⅲ</v>
      </c>
      <c r="M166" s="89" t="str">
        <f ca="1">IF(MOD(COUNTIF($Q$11:Q165,Q165),5)=0,OFFSET(装备属性!$H$1083,1+INT(COUNTA($Q$11:Q165)/5),0),M165)</f>
        <v>warrior_dmg_red_rate</v>
      </c>
      <c r="N166" s="76">
        <f ca="1">IF(MOD(COUNTIF($Q$11:Q165,Q165),5)=0,OFFSET(装备属性!$K$1083,1+INT(COUNTA($Q$11:Q165)/5),0),N165)</f>
        <v>0.025</v>
      </c>
      <c r="O166" s="76">
        <f ca="1">IF(MOD(COUNTIF($Q$11:Q165,Q165),5)=0,OFFSET(装备属性!$L$1083,1+INT(COUNTA($Q$11:Q165)/5),0),O165)</f>
        <v>0.029</v>
      </c>
      <c r="Q166" s="89" t="str">
        <f ca="1">IF(MOD(COUNTIF($Q$11:Q165,Q165),5)=0,OFFSET(装备属性!$M$1083,1+INT(COUNTA($Q$11:Q165)/5),0),Q165)</f>
        <v>通用属性</v>
      </c>
      <c r="R166" s="83">
        <f ca="1">IF(MOD(COUNTIF($Q$11:Q165,Q165),5)=0,10000*SUBSTITUTE(SUBSTITUTE(OFFSET(装备属性!$F$1083,1+INT(COUNTA($Q$11:Q165)/5),0),"[",""),"]","")+_xlfn.XLOOKUP(C166,$M$3:$M$7,$N$3:$N$7)*100,R165)</f>
        <v>10600</v>
      </c>
    </row>
    <row r="167" customHeight="1" spans="1:18">
      <c r="A167" s="78">
        <f ca="1" t="shared" si="6"/>
        <v>10601</v>
      </c>
      <c r="B167" s="82">
        <f ca="1">IFERROR(R167+COUNTIFS($R$11:$R167,R167),"")</f>
        <v>10617</v>
      </c>
      <c r="C167" s="83" t="str">
        <f ca="1">IF(MOD(COUNTIF($Q$11:Q166,Q166),5)=0,OFFSET(装备属性!$D$1083,1+INT(COUNTA($Q$11:Q166)/5),0),C166)</f>
        <v>红</v>
      </c>
      <c r="D167" s="82">
        <f t="shared" si="8"/>
        <v>2500</v>
      </c>
      <c r="F167" s="82">
        <f ca="1" t="shared" si="7"/>
        <v>10603</v>
      </c>
      <c r="G167" s="78" t="str">
        <f ca="1">IF(AND(LEFT("[{"&amp;M167&amp;","&amp;CEILING(N167*10000+(O167-N167)/4*(COUNTIF($F$11:F167,F167)-1)*10000,10)&amp;"}]",7)="[{equip",MID("[{"&amp;M167&amp;","&amp;CEILING(N167*10000+(O167-N167)/4*(COUNTIF($F$11:F167,F167)-1)*10000,10)&amp;"}]",8,1)&lt;&gt;"_"),"[{"&amp;M167&amp;","&amp;1&amp;"}]","[{"&amp;M167&amp;","&amp;CEILING(N167*10000+(O167-N167)/4*(COUNTIF($F$11:F167,F167)-1)*10000,10)&amp;"}]")</f>
        <v>[{warrior_dmg_red_rate,260}]</v>
      </c>
      <c r="H167" s="82" t="s">
        <v>563</v>
      </c>
      <c r="J167" s="78">
        <f ca="1">IF(MOD(COUNTIF($Q$11:Q166,Q166),5)=0,OFFSET(装备属性!$P$1083,1+INT(COUNTA($Q$11:Q166)/5),0),J166)</f>
        <v>6</v>
      </c>
      <c r="K167" s="83" t="str">
        <f ca="1">IF(RIGHT(G167,13)="rune_slot,1}]",_xlfn.XLOOKUP(LEFT(SUBSTITUTE(G167,"[{",""),FIND(",",SUBSTITUTE(G167,"[{",""))-1),Sheet2!B:B,Sheet2!C:C)&amp;"+"&amp;1,_xlfn.XLOOKUP(LEFT(SUBSTITUTE(G167,"[{",""),FIND(",",SUBSTITUTE(G167,"[{",""))-1),Sheet2!B:B,Sheet2!C:C)&amp;"+"&amp;SUBSTITUTE(RIGHT(G167,LEN(G167)-FIND(",",G167)),"}]","")/100&amp;"%")</f>
        <v>战士伤害减免+2.6%</v>
      </c>
      <c r="L167" s="83" t="str">
        <f ca="1">IF(MOD(COUNTIF($Q$11:Q166,Q166),5)=0,OFFSET(装备属性!$G$1083,1+INT(COUNTA($Q$11:Q166)/5),0),L166)</f>
        <v>猛男耐打Ⅲ</v>
      </c>
      <c r="M167" s="89" t="str">
        <f ca="1">IF(MOD(COUNTIF($Q$11:Q166,Q166),5)=0,OFFSET(装备属性!$H$1083,1+INT(COUNTA($Q$11:Q166)/5),0),M166)</f>
        <v>warrior_dmg_red_rate</v>
      </c>
      <c r="N167" s="76">
        <f ca="1">IF(MOD(COUNTIF($Q$11:Q166,Q166),5)=0,OFFSET(装备属性!$K$1083,1+INT(COUNTA($Q$11:Q166)/5),0),N166)</f>
        <v>0.025</v>
      </c>
      <c r="O167" s="76">
        <f ca="1">IF(MOD(COUNTIF($Q$11:Q166,Q166),5)=0,OFFSET(装备属性!$L$1083,1+INT(COUNTA($Q$11:Q166)/5),0),O166)</f>
        <v>0.029</v>
      </c>
      <c r="Q167" s="89" t="str">
        <f ca="1">IF(MOD(COUNTIF($Q$11:Q166,Q166),5)=0,OFFSET(装备属性!$M$1083,1+INT(COUNTA($Q$11:Q166)/5),0),Q166)</f>
        <v>通用属性</v>
      </c>
      <c r="R167" s="83">
        <f ca="1">IF(MOD(COUNTIF($Q$11:Q166,Q166),5)=0,10000*SUBSTITUTE(SUBSTITUTE(OFFSET(装备属性!$F$1083,1+INT(COUNTA($Q$11:Q166)/5),0),"[",""),"]","")+_xlfn.XLOOKUP(C167,$M$3:$M$7,$N$3:$N$7)*100,R166)</f>
        <v>10600</v>
      </c>
    </row>
    <row r="168" customHeight="1" spans="1:18">
      <c r="A168" s="78">
        <f ca="1" t="shared" si="6"/>
        <v>10601</v>
      </c>
      <c r="B168" s="82">
        <f ca="1">IFERROR(R168+COUNTIFS($R$11:$R168,R168),"")</f>
        <v>10618</v>
      </c>
      <c r="C168" s="83" t="str">
        <f ca="1">IF(MOD(COUNTIF($Q$11:Q167,Q167),5)=0,OFFSET(装备属性!$D$1083,1+INT(COUNTA($Q$11:Q167)/5),0),C167)</f>
        <v>红</v>
      </c>
      <c r="D168" s="82">
        <f t="shared" si="8"/>
        <v>2000</v>
      </c>
      <c r="F168" s="82">
        <f ca="1" t="shared" si="7"/>
        <v>10603</v>
      </c>
      <c r="G168" s="78" t="str">
        <f ca="1">IF(AND(LEFT("[{"&amp;M168&amp;","&amp;CEILING(N168*10000+(O168-N168)/4*(COUNTIF($F$11:F168,F168)-1)*10000,10)&amp;"}]",7)="[{equip",MID("[{"&amp;M168&amp;","&amp;CEILING(N168*10000+(O168-N168)/4*(COUNTIF($F$11:F168,F168)-1)*10000,10)&amp;"}]",8,1)&lt;&gt;"_"),"[{"&amp;M168&amp;","&amp;1&amp;"}]","[{"&amp;M168&amp;","&amp;CEILING(N168*10000+(O168-N168)/4*(COUNTIF($F$11:F168,F168)-1)*10000,10)&amp;"}]")</f>
        <v>[{warrior_dmg_red_rate,270}]</v>
      </c>
      <c r="H168" s="82" t="s">
        <v>563</v>
      </c>
      <c r="J168" s="78">
        <f ca="1">IF(MOD(COUNTIF($Q$11:Q167,Q167),5)=0,OFFSET(装备属性!$P$1083,1+INT(COUNTA($Q$11:Q167)/5),0),J167)</f>
        <v>6</v>
      </c>
      <c r="K168" s="83" t="str">
        <f ca="1">IF(RIGHT(G168,13)="rune_slot,1}]",_xlfn.XLOOKUP(LEFT(SUBSTITUTE(G168,"[{",""),FIND(",",SUBSTITUTE(G168,"[{",""))-1),Sheet2!B:B,Sheet2!C:C)&amp;"+"&amp;1,_xlfn.XLOOKUP(LEFT(SUBSTITUTE(G168,"[{",""),FIND(",",SUBSTITUTE(G168,"[{",""))-1),Sheet2!B:B,Sheet2!C:C)&amp;"+"&amp;SUBSTITUTE(RIGHT(G168,LEN(G168)-FIND(",",G168)),"}]","")/100&amp;"%")</f>
        <v>战士伤害减免+2.7%</v>
      </c>
      <c r="L168" s="83" t="str">
        <f ca="1">IF(MOD(COUNTIF($Q$11:Q167,Q167),5)=0,OFFSET(装备属性!$G$1083,1+INT(COUNTA($Q$11:Q167)/5),0),L167)</f>
        <v>猛男耐打Ⅲ</v>
      </c>
      <c r="M168" s="89" t="str">
        <f ca="1">IF(MOD(COUNTIF($Q$11:Q167,Q167),5)=0,OFFSET(装备属性!$H$1083,1+INT(COUNTA($Q$11:Q167)/5),0),M167)</f>
        <v>warrior_dmg_red_rate</v>
      </c>
      <c r="N168" s="76">
        <f ca="1">IF(MOD(COUNTIF($Q$11:Q167,Q167),5)=0,OFFSET(装备属性!$K$1083,1+INT(COUNTA($Q$11:Q167)/5),0),N167)</f>
        <v>0.025</v>
      </c>
      <c r="O168" s="76">
        <f ca="1">IF(MOD(COUNTIF($Q$11:Q167,Q167),5)=0,OFFSET(装备属性!$L$1083,1+INT(COUNTA($Q$11:Q167)/5),0),O167)</f>
        <v>0.029</v>
      </c>
      <c r="Q168" s="89" t="str">
        <f ca="1">IF(MOD(COUNTIF($Q$11:Q167,Q167),5)=0,OFFSET(装备属性!$M$1083,1+INT(COUNTA($Q$11:Q167)/5),0),Q167)</f>
        <v>通用属性</v>
      </c>
      <c r="R168" s="83">
        <f ca="1">IF(MOD(COUNTIF($Q$11:Q167,Q167),5)=0,10000*SUBSTITUTE(SUBSTITUTE(OFFSET(装备属性!$F$1083,1+INT(COUNTA($Q$11:Q167)/5),0),"[",""),"]","")+_xlfn.XLOOKUP(C168,$M$3:$M$7,$N$3:$N$7)*100,R167)</f>
        <v>10600</v>
      </c>
    </row>
    <row r="169" customHeight="1" spans="1:18">
      <c r="A169" s="78">
        <f ca="1" t="shared" si="6"/>
        <v>10601</v>
      </c>
      <c r="B169" s="82">
        <f ca="1">IFERROR(R169+COUNTIFS($R$11:$R169,R169),"")</f>
        <v>10619</v>
      </c>
      <c r="C169" s="83" t="str">
        <f ca="1">IF(MOD(COUNTIF($Q$11:Q168,Q168),5)=0,OFFSET(装备属性!$D$1083,1+INT(COUNTA($Q$11:Q168)/5),0),C168)</f>
        <v>红</v>
      </c>
      <c r="D169" s="82">
        <f t="shared" si="8"/>
        <v>1500</v>
      </c>
      <c r="F169" s="82">
        <f ca="1" t="shared" si="7"/>
        <v>10603</v>
      </c>
      <c r="G169" s="78" t="str">
        <f ca="1">IF(AND(LEFT("[{"&amp;M169&amp;","&amp;CEILING(N169*10000+(O169-N169)/4*(COUNTIF($F$11:F169,F169)-1)*10000,10)&amp;"}]",7)="[{equip",MID("[{"&amp;M169&amp;","&amp;CEILING(N169*10000+(O169-N169)/4*(COUNTIF($F$11:F169,F169)-1)*10000,10)&amp;"}]",8,1)&lt;&gt;"_"),"[{"&amp;M169&amp;","&amp;1&amp;"}]","[{"&amp;M169&amp;","&amp;CEILING(N169*10000+(O169-N169)/4*(COUNTIF($F$11:F169,F169)-1)*10000,10)&amp;"}]")</f>
        <v>[{warrior_dmg_red_rate,280}]</v>
      </c>
      <c r="H169" s="82" t="s">
        <v>563</v>
      </c>
      <c r="J169" s="78">
        <f ca="1">IF(MOD(COUNTIF($Q$11:Q168,Q168),5)=0,OFFSET(装备属性!$P$1083,1+INT(COUNTA($Q$11:Q168)/5),0),J168)</f>
        <v>6</v>
      </c>
      <c r="K169" s="83" t="str">
        <f ca="1">IF(RIGHT(G169,13)="rune_slot,1}]",_xlfn.XLOOKUP(LEFT(SUBSTITUTE(G169,"[{",""),FIND(",",SUBSTITUTE(G169,"[{",""))-1),Sheet2!B:B,Sheet2!C:C)&amp;"+"&amp;1,_xlfn.XLOOKUP(LEFT(SUBSTITUTE(G169,"[{",""),FIND(",",SUBSTITUTE(G169,"[{",""))-1),Sheet2!B:B,Sheet2!C:C)&amp;"+"&amp;SUBSTITUTE(RIGHT(G169,LEN(G169)-FIND(",",G169)),"}]","")/100&amp;"%")</f>
        <v>战士伤害减免+2.8%</v>
      </c>
      <c r="L169" s="83" t="str">
        <f ca="1">IF(MOD(COUNTIF($Q$11:Q168,Q168),5)=0,OFFSET(装备属性!$G$1083,1+INT(COUNTA($Q$11:Q168)/5),0),L168)</f>
        <v>猛男耐打Ⅲ</v>
      </c>
      <c r="M169" s="89" t="str">
        <f ca="1">IF(MOD(COUNTIF($Q$11:Q168,Q168),5)=0,OFFSET(装备属性!$H$1083,1+INT(COUNTA($Q$11:Q168)/5),0),M168)</f>
        <v>warrior_dmg_red_rate</v>
      </c>
      <c r="N169" s="76">
        <f ca="1">IF(MOD(COUNTIF($Q$11:Q168,Q168),5)=0,OFFSET(装备属性!$K$1083,1+INT(COUNTA($Q$11:Q168)/5),0),N168)</f>
        <v>0.025</v>
      </c>
      <c r="O169" s="76">
        <f ca="1">IF(MOD(COUNTIF($Q$11:Q168,Q168),5)=0,OFFSET(装备属性!$L$1083,1+INT(COUNTA($Q$11:Q168)/5),0),O168)</f>
        <v>0.029</v>
      </c>
      <c r="Q169" s="89" t="str">
        <f ca="1">IF(MOD(COUNTIF($Q$11:Q168,Q168),5)=0,OFFSET(装备属性!$M$1083,1+INT(COUNTA($Q$11:Q168)/5),0),Q168)</f>
        <v>通用属性</v>
      </c>
      <c r="R169" s="83">
        <f ca="1">IF(MOD(COUNTIF($Q$11:Q168,Q168),5)=0,10000*SUBSTITUTE(SUBSTITUTE(OFFSET(装备属性!$F$1083,1+INT(COUNTA($Q$11:Q168)/5),0),"[",""),"]","")+_xlfn.XLOOKUP(C169,$M$3:$M$7,$N$3:$N$7)*100,R168)</f>
        <v>10600</v>
      </c>
    </row>
    <row r="170" customHeight="1" spans="1:18">
      <c r="A170" s="78">
        <f ca="1" t="shared" si="6"/>
        <v>10601</v>
      </c>
      <c r="B170" s="82">
        <f ca="1">IFERROR(R170+COUNTIFS($R$11:$R170,R170),"")</f>
        <v>10620</v>
      </c>
      <c r="C170" s="83" t="str">
        <f ca="1">IF(MOD(COUNTIF($Q$11:Q169,Q169),5)=0,OFFSET(装备属性!$D$1083,1+INT(COUNTA($Q$11:Q169)/5),0),C169)</f>
        <v>红</v>
      </c>
      <c r="D170" s="82">
        <f t="shared" si="8"/>
        <v>1000</v>
      </c>
      <c r="F170" s="82">
        <f ca="1" t="shared" si="7"/>
        <v>10603</v>
      </c>
      <c r="G170" s="78" t="str">
        <f ca="1">IF(AND(LEFT("[{"&amp;M170&amp;","&amp;CEILING(N170*10000+(O170-N170)/4*(COUNTIF($F$11:F170,F170)-1)*10000,10)&amp;"}]",7)="[{equip",MID("[{"&amp;M170&amp;","&amp;CEILING(N170*10000+(O170-N170)/4*(COUNTIF($F$11:F170,F170)-1)*10000,10)&amp;"}]",8,1)&lt;&gt;"_"),"[{"&amp;M170&amp;","&amp;1&amp;"}]","[{"&amp;M170&amp;","&amp;CEILING(N170*10000+(O170-N170)/4*(COUNTIF($F$11:F170,F170)-1)*10000,10)&amp;"}]")</f>
        <v>[{warrior_dmg_red_rate,290}]</v>
      </c>
      <c r="H170" s="82" t="s">
        <v>563</v>
      </c>
      <c r="J170" s="78">
        <f ca="1">IF(MOD(COUNTIF($Q$11:Q169,Q169),5)=0,OFFSET(装备属性!$P$1083,1+INT(COUNTA($Q$11:Q169)/5),0),J169)</f>
        <v>6</v>
      </c>
      <c r="K170" s="83" t="str">
        <f ca="1">IF(RIGHT(G170,13)="rune_slot,1}]",_xlfn.XLOOKUP(LEFT(SUBSTITUTE(G170,"[{",""),FIND(",",SUBSTITUTE(G170,"[{",""))-1),Sheet2!B:B,Sheet2!C:C)&amp;"+"&amp;1,_xlfn.XLOOKUP(LEFT(SUBSTITUTE(G170,"[{",""),FIND(",",SUBSTITUTE(G170,"[{",""))-1),Sheet2!B:B,Sheet2!C:C)&amp;"+"&amp;SUBSTITUTE(RIGHT(G170,LEN(G170)-FIND(",",G170)),"}]","")/100&amp;"%")</f>
        <v>战士伤害减免+2.9%</v>
      </c>
      <c r="L170" s="83" t="str">
        <f ca="1">IF(MOD(COUNTIF($Q$11:Q169,Q169),5)=0,OFFSET(装备属性!$G$1083,1+INT(COUNTA($Q$11:Q169)/5),0),L169)</f>
        <v>猛男耐打Ⅲ</v>
      </c>
      <c r="M170" s="89" t="str">
        <f ca="1">IF(MOD(COUNTIF($Q$11:Q169,Q169),5)=0,OFFSET(装备属性!$H$1083,1+INT(COUNTA($Q$11:Q169)/5),0),M169)</f>
        <v>warrior_dmg_red_rate</v>
      </c>
      <c r="N170" s="76">
        <f ca="1">IF(MOD(COUNTIF($Q$11:Q169,Q169),5)=0,OFFSET(装备属性!$K$1083,1+INT(COUNTA($Q$11:Q169)/5),0),N169)</f>
        <v>0.025</v>
      </c>
      <c r="O170" s="76">
        <f ca="1">IF(MOD(COUNTIF($Q$11:Q169,Q169),5)=0,OFFSET(装备属性!$L$1083,1+INT(COUNTA($Q$11:Q169)/5),0),O169)</f>
        <v>0.029</v>
      </c>
      <c r="Q170" s="89" t="str">
        <f ca="1">IF(MOD(COUNTIF($Q$11:Q169,Q169),5)=0,OFFSET(装备属性!$M$1083,1+INT(COUNTA($Q$11:Q169)/5),0),Q169)</f>
        <v>通用属性</v>
      </c>
      <c r="R170" s="83">
        <f ca="1">IF(MOD(COUNTIF($Q$11:Q169,Q169),5)=0,10000*SUBSTITUTE(SUBSTITUTE(OFFSET(装备属性!$F$1083,1+INT(COUNTA($Q$11:Q169)/5),0),"[",""),"]","")+_xlfn.XLOOKUP(C170,$M$3:$M$7,$N$3:$N$7)*100,R169)</f>
        <v>10600</v>
      </c>
    </row>
    <row r="171" customHeight="1" spans="1:18">
      <c r="A171" s="78">
        <f ca="1" t="shared" si="6"/>
        <v>10601</v>
      </c>
      <c r="B171" s="82">
        <f ca="1">IFERROR(R171+COUNTIFS($R$11:$R171,R171),"")</f>
        <v>10621</v>
      </c>
      <c r="C171" s="83" t="str">
        <f ca="1">IF(MOD(COUNTIF($Q$11:Q170,Q170),5)=0,OFFSET(装备属性!$D$1083,1+INT(COUNTA($Q$11:Q170)/5),0),C170)</f>
        <v>红</v>
      </c>
      <c r="D171" s="82">
        <f t="shared" si="8"/>
        <v>3000</v>
      </c>
      <c r="F171" s="82">
        <f ca="1" t="shared" si="7"/>
        <v>10604</v>
      </c>
      <c r="G171" s="78" t="str">
        <f ca="1">IF(AND(LEFT("[{"&amp;M171&amp;","&amp;CEILING(N171*10000+(O171-N171)/4*(COUNTIF($F$11:F171,F171)-1)*10000,10)&amp;"}]",7)="[{equip",MID("[{"&amp;M171&amp;","&amp;CEILING(N171*10000+(O171-N171)/4*(COUNTIF($F$11:F171,F171)-1)*10000,10)&amp;"}]",8,1)&lt;&gt;"_"),"[{"&amp;M171&amp;","&amp;1&amp;"}]","[{"&amp;M171&amp;","&amp;CEILING(N171*10000+(O171-N171)/4*(COUNTIF($F$11:F171,F171)-1)*10000,10)&amp;"}]")</f>
        <v>[{warrior_dmg_rate,720}]</v>
      </c>
      <c r="H171" s="82" t="s">
        <v>563</v>
      </c>
      <c r="J171" s="78">
        <f ca="1">IF(MOD(COUNTIF($Q$11:Q170,Q170),5)=0,OFFSET(装备属性!$P$1083,1+INT(COUNTA($Q$11:Q170)/5),0),J170)</f>
        <v>5</v>
      </c>
      <c r="K171" s="83" t="str">
        <f ca="1">IF(RIGHT(G171,13)="rune_slot,1}]",_xlfn.XLOOKUP(LEFT(SUBSTITUTE(G171,"[{",""),FIND(",",SUBSTITUTE(G171,"[{",""))-1),Sheet2!B:B,Sheet2!C:C)&amp;"+"&amp;1,_xlfn.XLOOKUP(LEFT(SUBSTITUTE(G171,"[{",""),FIND(",",SUBSTITUTE(G171,"[{",""))-1),Sheet2!B:B,Sheet2!C:C)&amp;"+"&amp;SUBSTITUTE(RIGHT(G171,LEN(G171)-FIND(",",G171)),"}]","")/100&amp;"%")</f>
        <v>战士伤害+7.2%</v>
      </c>
      <c r="L171" s="83" t="str">
        <f ca="1">IF(MOD(COUNTIF($Q$11:Q170,Q170),5)=0,OFFSET(装备属性!$G$1083,1+INT(COUNTA($Q$11:Q170)/5),0),L170)</f>
        <v>猛男加劲Ⅲ</v>
      </c>
      <c r="M171" s="89" t="str">
        <f ca="1">IF(MOD(COUNTIF($Q$11:Q170,Q170),5)=0,OFFSET(装备属性!$H$1083,1+INT(COUNTA($Q$11:Q170)/5),0),M170)</f>
        <v>warrior_dmg_rate</v>
      </c>
      <c r="N171" s="76">
        <f ca="1">IF(MOD(COUNTIF($Q$11:Q170,Q170),5)=0,OFFSET(装备属性!$K$1083,1+INT(COUNTA($Q$11:Q170)/5),0),N170)</f>
        <v>0.072</v>
      </c>
      <c r="O171" s="76">
        <f ca="1">IF(MOD(COUNTIF($Q$11:Q170,Q170),5)=0,OFFSET(装备属性!$L$1083,1+INT(COUNTA($Q$11:Q170)/5),0),O170)</f>
        <v>0.086</v>
      </c>
      <c r="Q171" s="89" t="str">
        <f ca="1">IF(MOD(COUNTIF($Q$11:Q170,Q170),5)=0,OFFSET(装备属性!$M$1083,1+INT(COUNTA($Q$11:Q170)/5),0),Q170)</f>
        <v>通用属性</v>
      </c>
      <c r="R171" s="83">
        <f ca="1">IF(MOD(COUNTIF($Q$11:Q170,Q170),5)=0,10000*SUBSTITUTE(SUBSTITUTE(OFFSET(装备属性!$F$1083,1+INT(COUNTA($Q$11:Q170)/5),0),"[",""),"]","")+_xlfn.XLOOKUP(C171,$M$3:$M$7,$N$3:$N$7)*100,R170)</f>
        <v>10600</v>
      </c>
    </row>
    <row r="172" customHeight="1" spans="1:18">
      <c r="A172" s="78">
        <f ca="1" t="shared" si="6"/>
        <v>10601</v>
      </c>
      <c r="B172" s="82">
        <f ca="1">IFERROR(R172+COUNTIFS($R$11:$R172,R172),"")</f>
        <v>10622</v>
      </c>
      <c r="C172" s="83" t="str">
        <f ca="1">IF(MOD(COUNTIF($Q$11:Q171,Q171),5)=0,OFFSET(装备属性!$D$1083,1+INT(COUNTA($Q$11:Q171)/5),0),C171)</f>
        <v>红</v>
      </c>
      <c r="D172" s="82">
        <f t="shared" si="8"/>
        <v>2500</v>
      </c>
      <c r="F172" s="82">
        <f ca="1" t="shared" si="7"/>
        <v>10604</v>
      </c>
      <c r="G172" s="78" t="str">
        <f ca="1">IF(AND(LEFT("[{"&amp;M172&amp;","&amp;CEILING(N172*10000+(O172-N172)/4*(COUNTIF($F$11:F172,F172)-1)*10000,10)&amp;"}]",7)="[{equip",MID("[{"&amp;M172&amp;","&amp;CEILING(N172*10000+(O172-N172)/4*(COUNTIF($F$11:F172,F172)-1)*10000,10)&amp;"}]",8,1)&lt;&gt;"_"),"[{"&amp;M172&amp;","&amp;1&amp;"}]","[{"&amp;M172&amp;","&amp;CEILING(N172*10000+(O172-N172)/4*(COUNTIF($F$11:F172,F172)-1)*10000,10)&amp;"}]")</f>
        <v>[{warrior_dmg_rate,760}]</v>
      </c>
      <c r="H172" s="82" t="s">
        <v>563</v>
      </c>
      <c r="J172" s="78">
        <f ca="1">IF(MOD(COUNTIF($Q$11:Q171,Q171),5)=0,OFFSET(装备属性!$P$1083,1+INT(COUNTA($Q$11:Q171)/5),0),J171)</f>
        <v>5</v>
      </c>
      <c r="K172" s="83" t="str">
        <f ca="1">IF(RIGHT(G172,13)="rune_slot,1}]",_xlfn.XLOOKUP(LEFT(SUBSTITUTE(G172,"[{",""),FIND(",",SUBSTITUTE(G172,"[{",""))-1),Sheet2!B:B,Sheet2!C:C)&amp;"+"&amp;1,_xlfn.XLOOKUP(LEFT(SUBSTITUTE(G172,"[{",""),FIND(",",SUBSTITUTE(G172,"[{",""))-1),Sheet2!B:B,Sheet2!C:C)&amp;"+"&amp;SUBSTITUTE(RIGHT(G172,LEN(G172)-FIND(",",G172)),"}]","")/100&amp;"%")</f>
        <v>战士伤害+7.6%</v>
      </c>
      <c r="L172" s="83" t="str">
        <f ca="1">IF(MOD(COUNTIF($Q$11:Q171,Q171),5)=0,OFFSET(装备属性!$G$1083,1+INT(COUNTA($Q$11:Q171)/5),0),L171)</f>
        <v>猛男加劲Ⅲ</v>
      </c>
      <c r="M172" s="89" t="str">
        <f ca="1">IF(MOD(COUNTIF($Q$11:Q171,Q171),5)=0,OFFSET(装备属性!$H$1083,1+INT(COUNTA($Q$11:Q171)/5),0),M171)</f>
        <v>warrior_dmg_rate</v>
      </c>
      <c r="N172" s="76">
        <f ca="1">IF(MOD(COUNTIF($Q$11:Q171,Q171),5)=0,OFFSET(装备属性!$K$1083,1+INT(COUNTA($Q$11:Q171)/5),0),N171)</f>
        <v>0.072</v>
      </c>
      <c r="O172" s="76">
        <f ca="1">IF(MOD(COUNTIF($Q$11:Q171,Q171),5)=0,OFFSET(装备属性!$L$1083,1+INT(COUNTA($Q$11:Q171)/5),0),O171)</f>
        <v>0.086</v>
      </c>
      <c r="Q172" s="89" t="str">
        <f ca="1">IF(MOD(COUNTIF($Q$11:Q171,Q171),5)=0,OFFSET(装备属性!$M$1083,1+INT(COUNTA($Q$11:Q171)/5),0),Q171)</f>
        <v>通用属性</v>
      </c>
      <c r="R172" s="83">
        <f ca="1">IF(MOD(COUNTIF($Q$11:Q171,Q171),5)=0,10000*SUBSTITUTE(SUBSTITUTE(OFFSET(装备属性!$F$1083,1+INT(COUNTA($Q$11:Q171)/5),0),"[",""),"]","")+_xlfn.XLOOKUP(C172,$M$3:$M$7,$N$3:$N$7)*100,R171)</f>
        <v>10600</v>
      </c>
    </row>
    <row r="173" customHeight="1" spans="1:18">
      <c r="A173" s="78">
        <f ca="1" t="shared" si="6"/>
        <v>10601</v>
      </c>
      <c r="B173" s="82">
        <f ca="1">IFERROR(R173+COUNTIFS($R$11:$R173,R173),"")</f>
        <v>10623</v>
      </c>
      <c r="C173" s="83" t="str">
        <f ca="1">IF(MOD(COUNTIF($Q$11:Q172,Q172),5)=0,OFFSET(装备属性!$D$1083,1+INT(COUNTA($Q$11:Q172)/5),0),C172)</f>
        <v>红</v>
      </c>
      <c r="D173" s="82">
        <f t="shared" si="8"/>
        <v>2000</v>
      </c>
      <c r="F173" s="82">
        <f ca="1" t="shared" si="7"/>
        <v>10604</v>
      </c>
      <c r="G173" s="78" t="str">
        <f ca="1">IF(AND(LEFT("[{"&amp;M173&amp;","&amp;CEILING(N173*10000+(O173-N173)/4*(COUNTIF($F$11:F173,F173)-1)*10000,10)&amp;"}]",7)="[{equip",MID("[{"&amp;M173&amp;","&amp;CEILING(N173*10000+(O173-N173)/4*(COUNTIF($F$11:F173,F173)-1)*10000,10)&amp;"}]",8,1)&lt;&gt;"_"),"[{"&amp;M173&amp;","&amp;1&amp;"}]","[{"&amp;M173&amp;","&amp;CEILING(N173*10000+(O173-N173)/4*(COUNTIF($F$11:F173,F173)-1)*10000,10)&amp;"}]")</f>
        <v>[{warrior_dmg_rate,790}]</v>
      </c>
      <c r="H173" s="82" t="s">
        <v>563</v>
      </c>
      <c r="J173" s="78">
        <f ca="1">IF(MOD(COUNTIF($Q$11:Q172,Q172),5)=0,OFFSET(装备属性!$P$1083,1+INT(COUNTA($Q$11:Q172)/5),0),J172)</f>
        <v>5</v>
      </c>
      <c r="K173" s="83" t="str">
        <f ca="1">IF(RIGHT(G173,13)="rune_slot,1}]",_xlfn.XLOOKUP(LEFT(SUBSTITUTE(G173,"[{",""),FIND(",",SUBSTITUTE(G173,"[{",""))-1),Sheet2!B:B,Sheet2!C:C)&amp;"+"&amp;1,_xlfn.XLOOKUP(LEFT(SUBSTITUTE(G173,"[{",""),FIND(",",SUBSTITUTE(G173,"[{",""))-1),Sheet2!B:B,Sheet2!C:C)&amp;"+"&amp;SUBSTITUTE(RIGHT(G173,LEN(G173)-FIND(",",G173)),"}]","")/100&amp;"%")</f>
        <v>战士伤害+7.9%</v>
      </c>
      <c r="L173" s="83" t="str">
        <f ca="1">IF(MOD(COUNTIF($Q$11:Q172,Q172),5)=0,OFFSET(装备属性!$G$1083,1+INT(COUNTA($Q$11:Q172)/5),0),L172)</f>
        <v>猛男加劲Ⅲ</v>
      </c>
      <c r="M173" s="89" t="str">
        <f ca="1">IF(MOD(COUNTIF($Q$11:Q172,Q172),5)=0,OFFSET(装备属性!$H$1083,1+INT(COUNTA($Q$11:Q172)/5),0),M172)</f>
        <v>warrior_dmg_rate</v>
      </c>
      <c r="N173" s="76">
        <f ca="1">IF(MOD(COUNTIF($Q$11:Q172,Q172),5)=0,OFFSET(装备属性!$K$1083,1+INT(COUNTA($Q$11:Q172)/5),0),N172)</f>
        <v>0.072</v>
      </c>
      <c r="O173" s="76">
        <f ca="1">IF(MOD(COUNTIF($Q$11:Q172,Q172),5)=0,OFFSET(装备属性!$L$1083,1+INT(COUNTA($Q$11:Q172)/5),0),O172)</f>
        <v>0.086</v>
      </c>
      <c r="Q173" s="89" t="str">
        <f ca="1">IF(MOD(COUNTIF($Q$11:Q172,Q172),5)=0,OFFSET(装备属性!$M$1083,1+INT(COUNTA($Q$11:Q172)/5),0),Q172)</f>
        <v>通用属性</v>
      </c>
      <c r="R173" s="83">
        <f ca="1">IF(MOD(COUNTIF($Q$11:Q172,Q172),5)=0,10000*SUBSTITUTE(SUBSTITUTE(OFFSET(装备属性!$F$1083,1+INT(COUNTA($Q$11:Q172)/5),0),"[",""),"]","")+_xlfn.XLOOKUP(C173,$M$3:$M$7,$N$3:$N$7)*100,R172)</f>
        <v>10600</v>
      </c>
    </row>
    <row r="174" customHeight="1" spans="1:18">
      <c r="A174" s="78">
        <f ca="1" t="shared" si="6"/>
        <v>10601</v>
      </c>
      <c r="B174" s="82">
        <f ca="1">IFERROR(R174+COUNTIFS($R$11:$R174,R174),"")</f>
        <v>10624</v>
      </c>
      <c r="C174" s="83" t="str">
        <f ca="1">IF(MOD(COUNTIF($Q$11:Q173,Q173),5)=0,OFFSET(装备属性!$D$1083,1+INT(COUNTA($Q$11:Q173)/5),0),C173)</f>
        <v>红</v>
      </c>
      <c r="D174" s="82">
        <f t="shared" si="8"/>
        <v>1500</v>
      </c>
      <c r="F174" s="82">
        <f ca="1" t="shared" si="7"/>
        <v>10604</v>
      </c>
      <c r="G174" s="78" t="str">
        <f ca="1">IF(AND(LEFT("[{"&amp;M174&amp;","&amp;CEILING(N174*10000+(O174-N174)/4*(COUNTIF($F$11:F174,F174)-1)*10000,10)&amp;"}]",7)="[{equip",MID("[{"&amp;M174&amp;","&amp;CEILING(N174*10000+(O174-N174)/4*(COUNTIF($F$11:F174,F174)-1)*10000,10)&amp;"}]",8,1)&lt;&gt;"_"),"[{"&amp;M174&amp;","&amp;1&amp;"}]","[{"&amp;M174&amp;","&amp;CEILING(N174*10000+(O174-N174)/4*(COUNTIF($F$11:F174,F174)-1)*10000,10)&amp;"}]")</f>
        <v>[{warrior_dmg_rate,830}]</v>
      </c>
      <c r="H174" s="82" t="s">
        <v>563</v>
      </c>
      <c r="J174" s="78">
        <f ca="1">IF(MOD(COUNTIF($Q$11:Q173,Q173),5)=0,OFFSET(装备属性!$P$1083,1+INT(COUNTA($Q$11:Q173)/5),0),J173)</f>
        <v>5</v>
      </c>
      <c r="K174" s="83" t="str">
        <f ca="1">IF(RIGHT(G174,13)="rune_slot,1}]",_xlfn.XLOOKUP(LEFT(SUBSTITUTE(G174,"[{",""),FIND(",",SUBSTITUTE(G174,"[{",""))-1),Sheet2!B:B,Sheet2!C:C)&amp;"+"&amp;1,_xlfn.XLOOKUP(LEFT(SUBSTITUTE(G174,"[{",""),FIND(",",SUBSTITUTE(G174,"[{",""))-1),Sheet2!B:B,Sheet2!C:C)&amp;"+"&amp;SUBSTITUTE(RIGHT(G174,LEN(G174)-FIND(",",G174)),"}]","")/100&amp;"%")</f>
        <v>战士伤害+8.3%</v>
      </c>
      <c r="L174" s="83" t="str">
        <f ca="1">IF(MOD(COUNTIF($Q$11:Q173,Q173),5)=0,OFFSET(装备属性!$G$1083,1+INT(COUNTA($Q$11:Q173)/5),0),L173)</f>
        <v>猛男加劲Ⅲ</v>
      </c>
      <c r="M174" s="89" t="str">
        <f ca="1">IF(MOD(COUNTIF($Q$11:Q173,Q173),5)=0,OFFSET(装备属性!$H$1083,1+INT(COUNTA($Q$11:Q173)/5),0),M173)</f>
        <v>warrior_dmg_rate</v>
      </c>
      <c r="N174" s="76">
        <f ca="1">IF(MOD(COUNTIF($Q$11:Q173,Q173),5)=0,OFFSET(装备属性!$K$1083,1+INT(COUNTA($Q$11:Q173)/5),0),N173)</f>
        <v>0.072</v>
      </c>
      <c r="O174" s="76">
        <f ca="1">IF(MOD(COUNTIF($Q$11:Q173,Q173),5)=0,OFFSET(装备属性!$L$1083,1+INT(COUNTA($Q$11:Q173)/5),0),O173)</f>
        <v>0.086</v>
      </c>
      <c r="Q174" s="89" t="str">
        <f ca="1">IF(MOD(COUNTIF($Q$11:Q173,Q173),5)=0,OFFSET(装备属性!$M$1083,1+INT(COUNTA($Q$11:Q173)/5),0),Q173)</f>
        <v>通用属性</v>
      </c>
      <c r="R174" s="83">
        <f ca="1">IF(MOD(COUNTIF($Q$11:Q173,Q173),5)=0,10000*SUBSTITUTE(SUBSTITUTE(OFFSET(装备属性!$F$1083,1+INT(COUNTA($Q$11:Q173)/5),0),"[",""),"]","")+_xlfn.XLOOKUP(C174,$M$3:$M$7,$N$3:$N$7)*100,R173)</f>
        <v>10600</v>
      </c>
    </row>
    <row r="175" customHeight="1" spans="1:18">
      <c r="A175" s="78">
        <f ca="1" t="shared" si="6"/>
        <v>10601</v>
      </c>
      <c r="B175" s="82">
        <f ca="1">IFERROR(R175+COUNTIFS($R$11:$R175,R175),"")</f>
        <v>10625</v>
      </c>
      <c r="C175" s="83" t="str">
        <f ca="1">IF(MOD(COUNTIF($Q$11:Q174,Q174),5)=0,OFFSET(装备属性!$D$1083,1+INT(COUNTA($Q$11:Q174)/5),0),C174)</f>
        <v>红</v>
      </c>
      <c r="D175" s="82">
        <f t="shared" si="8"/>
        <v>1000</v>
      </c>
      <c r="F175" s="82">
        <f ca="1" t="shared" si="7"/>
        <v>10604</v>
      </c>
      <c r="G175" s="78" t="str">
        <f ca="1">IF(AND(LEFT("[{"&amp;M175&amp;","&amp;CEILING(N175*10000+(O175-N175)/4*(COUNTIF($F$11:F175,F175)-1)*10000,10)&amp;"}]",7)="[{equip",MID("[{"&amp;M175&amp;","&amp;CEILING(N175*10000+(O175-N175)/4*(COUNTIF($F$11:F175,F175)-1)*10000,10)&amp;"}]",8,1)&lt;&gt;"_"),"[{"&amp;M175&amp;","&amp;1&amp;"}]","[{"&amp;M175&amp;","&amp;CEILING(N175*10000+(O175-N175)/4*(COUNTIF($F$11:F175,F175)-1)*10000,10)&amp;"}]")</f>
        <v>[{warrior_dmg_rate,860}]</v>
      </c>
      <c r="H175" s="82" t="s">
        <v>563</v>
      </c>
      <c r="J175" s="78">
        <f ca="1">IF(MOD(COUNTIF($Q$11:Q174,Q174),5)=0,OFFSET(装备属性!$P$1083,1+INT(COUNTA($Q$11:Q174)/5),0),J174)</f>
        <v>5</v>
      </c>
      <c r="K175" s="83" t="str">
        <f ca="1">IF(RIGHT(G175,13)="rune_slot,1}]",_xlfn.XLOOKUP(LEFT(SUBSTITUTE(G175,"[{",""),FIND(",",SUBSTITUTE(G175,"[{",""))-1),Sheet2!B:B,Sheet2!C:C)&amp;"+"&amp;1,_xlfn.XLOOKUP(LEFT(SUBSTITUTE(G175,"[{",""),FIND(",",SUBSTITUTE(G175,"[{",""))-1),Sheet2!B:B,Sheet2!C:C)&amp;"+"&amp;SUBSTITUTE(RIGHT(G175,LEN(G175)-FIND(",",G175)),"}]","")/100&amp;"%")</f>
        <v>战士伤害+8.6%</v>
      </c>
      <c r="L175" s="83" t="str">
        <f ca="1">IF(MOD(COUNTIF($Q$11:Q174,Q174),5)=0,OFFSET(装备属性!$G$1083,1+INT(COUNTA($Q$11:Q174)/5),0),L174)</f>
        <v>猛男加劲Ⅲ</v>
      </c>
      <c r="M175" s="89" t="str">
        <f ca="1">IF(MOD(COUNTIF($Q$11:Q174,Q174),5)=0,OFFSET(装备属性!$H$1083,1+INT(COUNTA($Q$11:Q174)/5),0),M174)</f>
        <v>warrior_dmg_rate</v>
      </c>
      <c r="N175" s="76">
        <f ca="1">IF(MOD(COUNTIF($Q$11:Q174,Q174),5)=0,OFFSET(装备属性!$K$1083,1+INT(COUNTA($Q$11:Q174)/5),0),N174)</f>
        <v>0.072</v>
      </c>
      <c r="O175" s="76">
        <f ca="1">IF(MOD(COUNTIF($Q$11:Q174,Q174),5)=0,OFFSET(装备属性!$L$1083,1+INT(COUNTA($Q$11:Q174)/5),0),O174)</f>
        <v>0.086</v>
      </c>
      <c r="Q175" s="89" t="str">
        <f ca="1">IF(MOD(COUNTIF($Q$11:Q174,Q174),5)=0,OFFSET(装备属性!$M$1083,1+INT(COUNTA($Q$11:Q174)/5),0),Q174)</f>
        <v>通用属性</v>
      </c>
      <c r="R175" s="83">
        <f ca="1">IF(MOD(COUNTIF($Q$11:Q174,Q174),5)=0,10000*SUBSTITUTE(SUBSTITUTE(OFFSET(装备属性!$F$1083,1+INT(COUNTA($Q$11:Q174)/5),0),"[",""),"]","")+_xlfn.XLOOKUP(C175,$M$3:$M$7,$N$3:$N$7)*100,R174)</f>
        <v>10600</v>
      </c>
    </row>
    <row r="176" customHeight="1" spans="1:18">
      <c r="A176" s="78">
        <f ca="1" t="shared" si="6"/>
        <v>10601</v>
      </c>
      <c r="B176" s="82">
        <f ca="1">IFERROR(R176+COUNTIFS($R$11:$R176,R176),"")</f>
        <v>10626</v>
      </c>
      <c r="C176" s="83" t="str">
        <f ca="1">IF(MOD(COUNTIF($Q$11:Q175,Q175),5)=0,OFFSET(装备属性!$D$1083,1+INT(COUNTA($Q$11:Q175)/5),0),C175)</f>
        <v>红</v>
      </c>
      <c r="D176" s="82">
        <f t="shared" si="8"/>
        <v>3000</v>
      </c>
      <c r="F176" s="82">
        <f ca="1" t="shared" si="7"/>
        <v>10605</v>
      </c>
      <c r="G176" s="78" t="str">
        <f ca="1">IF(AND(LEFT("[{"&amp;M176&amp;","&amp;CEILING(N176*10000+(O176-N176)/4*(COUNTIF($F$11:F176,F176)-1)*10000,10)&amp;"}]",7)="[{equip",MID("[{"&amp;M176&amp;","&amp;CEILING(N176*10000+(O176-N176)/4*(COUNTIF($F$11:F176,F176)-1)*10000,10)&amp;"}]",8,1)&lt;&gt;"_"),"[{"&amp;M176&amp;","&amp;1&amp;"}]","[{"&amp;M176&amp;","&amp;CEILING(N176*10000+(O176-N176)/4*(COUNTIF($F$11:F176,F176)-1)*10000,10)&amp;"}]")</f>
        <v>[{warrior_class_dmg_rate,900}]</v>
      </c>
      <c r="H176" s="82" t="s">
        <v>563</v>
      </c>
      <c r="J176" s="78">
        <f ca="1">IF(MOD(COUNTIF($Q$11:Q175,Q175),5)=0,OFFSET(装备属性!$P$1083,1+INT(COUNTA($Q$11:Q175)/5),0),J175)</f>
        <v>3</v>
      </c>
      <c r="K176" s="83" t="str">
        <f ca="1">IF(RIGHT(G176,13)="rune_slot,1}]",_xlfn.XLOOKUP(LEFT(SUBSTITUTE(G176,"[{",""),FIND(",",SUBSTITUTE(G176,"[{",""))-1),Sheet2!B:B,Sheet2!C:C)&amp;"+"&amp;1,_xlfn.XLOOKUP(LEFT(SUBSTITUTE(G176,"[{",""),FIND(",",SUBSTITUTE(G176,"[{",""))-1),Sheet2!B:B,Sheet2!C:C)&amp;"+"&amp;SUBSTITUTE(RIGHT(G176,LEN(G176)-FIND(",",G176)),"}]","")/100&amp;"%")</f>
        <v>上阵两个战士职业增伤+9%</v>
      </c>
      <c r="L176" s="83" t="str">
        <f ca="1">IF(MOD(COUNTIF($Q$11:Q175,Q175),5)=0,OFFSET(装备属性!$G$1083,1+INT(COUNTA($Q$11:Q175)/5),0),L175)</f>
        <v>猛男小队Ⅲ</v>
      </c>
      <c r="M176" s="89" t="str">
        <f ca="1">IF(MOD(COUNTIF($Q$11:Q175,Q175),5)=0,OFFSET(装备属性!$H$1083,1+INT(COUNTA($Q$11:Q175)/5),0),M175)</f>
        <v>warrior_class_dmg_rate</v>
      </c>
      <c r="N176" s="76">
        <f ca="1">IF(MOD(COUNTIF($Q$11:Q175,Q175),5)=0,OFFSET(装备属性!$K$1083,1+INT(COUNTA($Q$11:Q175)/5),0),N175)</f>
        <v>0.09</v>
      </c>
      <c r="O176" s="76">
        <f ca="1">IF(MOD(COUNTIF($Q$11:Q175,Q175),5)=0,OFFSET(装备属性!$L$1083,1+INT(COUNTA($Q$11:Q175)/5),0),O175)</f>
        <v>0.11</v>
      </c>
      <c r="Q176" s="89" t="str">
        <f ca="1">IF(MOD(COUNTIF($Q$11:Q175,Q175),5)=0,OFFSET(装备属性!$M$1083,1+INT(COUNTA($Q$11:Q175)/5),0),Q175)</f>
        <v>通用属性</v>
      </c>
      <c r="R176" s="83">
        <f ca="1">IF(MOD(COUNTIF($Q$11:Q175,Q175),5)=0,10000*SUBSTITUTE(SUBSTITUTE(OFFSET(装备属性!$F$1083,1+INT(COUNTA($Q$11:Q175)/5),0),"[",""),"]","")+_xlfn.XLOOKUP(C176,$M$3:$M$7,$N$3:$N$7)*100,R175)</f>
        <v>10600</v>
      </c>
    </row>
    <row r="177" customHeight="1" spans="1:18">
      <c r="A177" s="78">
        <f ca="1" t="shared" si="6"/>
        <v>10601</v>
      </c>
      <c r="B177" s="82">
        <f ca="1">IFERROR(R177+COUNTIFS($R$11:$R177,R177),"")</f>
        <v>10627</v>
      </c>
      <c r="C177" s="83" t="str">
        <f ca="1">IF(MOD(COUNTIF($Q$11:Q176,Q176),5)=0,OFFSET(装备属性!$D$1083,1+INT(COUNTA($Q$11:Q176)/5),0),C176)</f>
        <v>红</v>
      </c>
      <c r="D177" s="82">
        <f t="shared" si="8"/>
        <v>2500</v>
      </c>
      <c r="F177" s="82">
        <f ca="1" t="shared" si="7"/>
        <v>10605</v>
      </c>
      <c r="G177" s="78" t="str">
        <f ca="1">IF(AND(LEFT("[{"&amp;M177&amp;","&amp;CEILING(N177*10000+(O177-N177)/4*(COUNTIF($F$11:F177,F177)-1)*10000,10)&amp;"}]",7)="[{equip",MID("[{"&amp;M177&amp;","&amp;CEILING(N177*10000+(O177-N177)/4*(COUNTIF($F$11:F177,F177)-1)*10000,10)&amp;"}]",8,1)&lt;&gt;"_"),"[{"&amp;M177&amp;","&amp;1&amp;"}]","[{"&amp;M177&amp;","&amp;CEILING(N177*10000+(O177-N177)/4*(COUNTIF($F$11:F177,F177)-1)*10000,10)&amp;"}]")</f>
        <v>[{warrior_class_dmg_rate,950}]</v>
      </c>
      <c r="H177" s="82" t="s">
        <v>563</v>
      </c>
      <c r="J177" s="78">
        <f ca="1">IF(MOD(COUNTIF($Q$11:Q176,Q176),5)=0,OFFSET(装备属性!$P$1083,1+INT(COUNTA($Q$11:Q176)/5),0),J176)</f>
        <v>3</v>
      </c>
      <c r="K177" s="83" t="str">
        <f ca="1">IF(RIGHT(G177,13)="rune_slot,1}]",_xlfn.XLOOKUP(LEFT(SUBSTITUTE(G177,"[{",""),FIND(",",SUBSTITUTE(G177,"[{",""))-1),Sheet2!B:B,Sheet2!C:C)&amp;"+"&amp;1,_xlfn.XLOOKUP(LEFT(SUBSTITUTE(G177,"[{",""),FIND(",",SUBSTITUTE(G177,"[{",""))-1),Sheet2!B:B,Sheet2!C:C)&amp;"+"&amp;SUBSTITUTE(RIGHT(G177,LEN(G177)-FIND(",",G177)),"}]","")/100&amp;"%")</f>
        <v>上阵两个战士职业增伤+9.5%</v>
      </c>
      <c r="L177" s="83" t="str">
        <f ca="1">IF(MOD(COUNTIF($Q$11:Q176,Q176),5)=0,OFFSET(装备属性!$G$1083,1+INT(COUNTA($Q$11:Q176)/5),0),L176)</f>
        <v>猛男小队Ⅲ</v>
      </c>
      <c r="M177" s="89" t="str">
        <f ca="1">IF(MOD(COUNTIF($Q$11:Q176,Q176),5)=0,OFFSET(装备属性!$H$1083,1+INT(COUNTA($Q$11:Q176)/5),0),M176)</f>
        <v>warrior_class_dmg_rate</v>
      </c>
      <c r="N177" s="76">
        <f ca="1">IF(MOD(COUNTIF($Q$11:Q176,Q176),5)=0,OFFSET(装备属性!$K$1083,1+INT(COUNTA($Q$11:Q176)/5),0),N176)</f>
        <v>0.09</v>
      </c>
      <c r="O177" s="76">
        <f ca="1">IF(MOD(COUNTIF($Q$11:Q176,Q176),5)=0,OFFSET(装备属性!$L$1083,1+INT(COUNTA($Q$11:Q176)/5),0),O176)</f>
        <v>0.11</v>
      </c>
      <c r="Q177" s="89" t="str">
        <f ca="1">IF(MOD(COUNTIF($Q$11:Q176,Q176),5)=0,OFFSET(装备属性!$M$1083,1+INT(COUNTA($Q$11:Q176)/5),0),Q176)</f>
        <v>通用属性</v>
      </c>
      <c r="R177" s="83">
        <f ca="1">IF(MOD(COUNTIF($Q$11:Q176,Q176),5)=0,10000*SUBSTITUTE(SUBSTITUTE(OFFSET(装备属性!$F$1083,1+INT(COUNTA($Q$11:Q176)/5),0),"[",""),"]","")+_xlfn.XLOOKUP(C177,$M$3:$M$7,$N$3:$N$7)*100,R176)</f>
        <v>10600</v>
      </c>
    </row>
    <row r="178" customHeight="1" spans="1:18">
      <c r="A178" s="78">
        <f ca="1" t="shared" si="6"/>
        <v>10601</v>
      </c>
      <c r="B178" s="82">
        <f ca="1">IFERROR(R178+COUNTIFS($R$11:$R178,R178),"")</f>
        <v>10628</v>
      </c>
      <c r="C178" s="83" t="str">
        <f ca="1">IF(MOD(COUNTIF($Q$11:Q177,Q177),5)=0,OFFSET(装备属性!$D$1083,1+INT(COUNTA($Q$11:Q177)/5),0),C177)</f>
        <v>红</v>
      </c>
      <c r="D178" s="82">
        <f t="shared" si="8"/>
        <v>2000</v>
      </c>
      <c r="F178" s="82">
        <f ca="1" t="shared" si="7"/>
        <v>10605</v>
      </c>
      <c r="G178" s="78" t="str">
        <f ca="1">IF(AND(LEFT("[{"&amp;M178&amp;","&amp;CEILING(N178*10000+(O178-N178)/4*(COUNTIF($F$11:F178,F178)-1)*10000,10)&amp;"}]",7)="[{equip",MID("[{"&amp;M178&amp;","&amp;CEILING(N178*10000+(O178-N178)/4*(COUNTIF($F$11:F178,F178)-1)*10000,10)&amp;"}]",8,1)&lt;&gt;"_"),"[{"&amp;M178&amp;","&amp;1&amp;"}]","[{"&amp;M178&amp;","&amp;CEILING(N178*10000+(O178-N178)/4*(COUNTIF($F$11:F178,F178)-1)*10000,10)&amp;"}]")</f>
        <v>[{warrior_class_dmg_rate,1000}]</v>
      </c>
      <c r="H178" s="82" t="s">
        <v>563</v>
      </c>
      <c r="J178" s="78">
        <f ca="1">IF(MOD(COUNTIF($Q$11:Q177,Q177),5)=0,OFFSET(装备属性!$P$1083,1+INT(COUNTA($Q$11:Q177)/5),0),J177)</f>
        <v>3</v>
      </c>
      <c r="K178" s="83" t="str">
        <f ca="1">IF(RIGHT(G178,13)="rune_slot,1}]",_xlfn.XLOOKUP(LEFT(SUBSTITUTE(G178,"[{",""),FIND(",",SUBSTITUTE(G178,"[{",""))-1),Sheet2!B:B,Sheet2!C:C)&amp;"+"&amp;1,_xlfn.XLOOKUP(LEFT(SUBSTITUTE(G178,"[{",""),FIND(",",SUBSTITUTE(G178,"[{",""))-1),Sheet2!B:B,Sheet2!C:C)&amp;"+"&amp;SUBSTITUTE(RIGHT(G178,LEN(G178)-FIND(",",G178)),"}]","")/100&amp;"%")</f>
        <v>上阵两个战士职业增伤+10%</v>
      </c>
      <c r="L178" s="83" t="str">
        <f ca="1">IF(MOD(COUNTIF($Q$11:Q177,Q177),5)=0,OFFSET(装备属性!$G$1083,1+INT(COUNTA($Q$11:Q177)/5),0),L177)</f>
        <v>猛男小队Ⅲ</v>
      </c>
      <c r="M178" s="89" t="str">
        <f ca="1">IF(MOD(COUNTIF($Q$11:Q177,Q177),5)=0,OFFSET(装备属性!$H$1083,1+INT(COUNTA($Q$11:Q177)/5),0),M177)</f>
        <v>warrior_class_dmg_rate</v>
      </c>
      <c r="N178" s="76">
        <f ca="1">IF(MOD(COUNTIF($Q$11:Q177,Q177),5)=0,OFFSET(装备属性!$K$1083,1+INT(COUNTA($Q$11:Q177)/5),0),N177)</f>
        <v>0.09</v>
      </c>
      <c r="O178" s="76">
        <f ca="1">IF(MOD(COUNTIF($Q$11:Q177,Q177),5)=0,OFFSET(装备属性!$L$1083,1+INT(COUNTA($Q$11:Q177)/5),0),O177)</f>
        <v>0.11</v>
      </c>
      <c r="Q178" s="89" t="str">
        <f ca="1">IF(MOD(COUNTIF($Q$11:Q177,Q177),5)=0,OFFSET(装备属性!$M$1083,1+INT(COUNTA($Q$11:Q177)/5),0),Q177)</f>
        <v>通用属性</v>
      </c>
      <c r="R178" s="83">
        <f ca="1">IF(MOD(COUNTIF($Q$11:Q177,Q177),5)=0,10000*SUBSTITUTE(SUBSTITUTE(OFFSET(装备属性!$F$1083,1+INT(COUNTA($Q$11:Q177)/5),0),"[",""),"]","")+_xlfn.XLOOKUP(C178,$M$3:$M$7,$N$3:$N$7)*100,R177)</f>
        <v>10600</v>
      </c>
    </row>
    <row r="179" customHeight="1" spans="1:18">
      <c r="A179" s="78">
        <f ca="1" t="shared" si="6"/>
        <v>10601</v>
      </c>
      <c r="B179" s="82">
        <f ca="1">IFERROR(R179+COUNTIFS($R$11:$R179,R179),"")</f>
        <v>10629</v>
      </c>
      <c r="C179" s="83" t="str">
        <f ca="1">IF(MOD(COUNTIF($Q$11:Q178,Q178),5)=0,OFFSET(装备属性!$D$1083,1+INT(COUNTA($Q$11:Q178)/5),0),C178)</f>
        <v>红</v>
      </c>
      <c r="D179" s="82">
        <f t="shared" si="8"/>
        <v>1500</v>
      </c>
      <c r="F179" s="82">
        <f ca="1" t="shared" si="7"/>
        <v>10605</v>
      </c>
      <c r="G179" s="78" t="str">
        <f ca="1">IF(AND(LEFT("[{"&amp;M179&amp;","&amp;CEILING(N179*10000+(O179-N179)/4*(COUNTIF($F$11:F179,F179)-1)*10000,10)&amp;"}]",7)="[{equip",MID("[{"&amp;M179&amp;","&amp;CEILING(N179*10000+(O179-N179)/4*(COUNTIF($F$11:F179,F179)-1)*10000,10)&amp;"}]",8,1)&lt;&gt;"_"),"[{"&amp;M179&amp;","&amp;1&amp;"}]","[{"&amp;M179&amp;","&amp;CEILING(N179*10000+(O179-N179)/4*(COUNTIF($F$11:F179,F179)-1)*10000,10)&amp;"}]")</f>
        <v>[{warrior_class_dmg_rate,1050}]</v>
      </c>
      <c r="H179" s="82" t="s">
        <v>563</v>
      </c>
      <c r="J179" s="78">
        <f ca="1">IF(MOD(COUNTIF($Q$11:Q178,Q178),5)=0,OFFSET(装备属性!$P$1083,1+INT(COUNTA($Q$11:Q178)/5),0),J178)</f>
        <v>3</v>
      </c>
      <c r="K179" s="83" t="str">
        <f ca="1">IF(RIGHT(G179,13)="rune_slot,1}]",_xlfn.XLOOKUP(LEFT(SUBSTITUTE(G179,"[{",""),FIND(",",SUBSTITUTE(G179,"[{",""))-1),Sheet2!B:B,Sheet2!C:C)&amp;"+"&amp;1,_xlfn.XLOOKUP(LEFT(SUBSTITUTE(G179,"[{",""),FIND(",",SUBSTITUTE(G179,"[{",""))-1),Sheet2!B:B,Sheet2!C:C)&amp;"+"&amp;SUBSTITUTE(RIGHT(G179,LEN(G179)-FIND(",",G179)),"}]","")/100&amp;"%")</f>
        <v>上阵两个战士职业增伤+10.5%</v>
      </c>
      <c r="L179" s="83" t="str">
        <f ca="1">IF(MOD(COUNTIF($Q$11:Q178,Q178),5)=0,OFFSET(装备属性!$G$1083,1+INT(COUNTA($Q$11:Q178)/5),0),L178)</f>
        <v>猛男小队Ⅲ</v>
      </c>
      <c r="M179" s="89" t="str">
        <f ca="1">IF(MOD(COUNTIF($Q$11:Q178,Q178),5)=0,OFFSET(装备属性!$H$1083,1+INT(COUNTA($Q$11:Q178)/5),0),M178)</f>
        <v>warrior_class_dmg_rate</v>
      </c>
      <c r="N179" s="76">
        <f ca="1">IF(MOD(COUNTIF($Q$11:Q178,Q178),5)=0,OFFSET(装备属性!$K$1083,1+INT(COUNTA($Q$11:Q178)/5),0),N178)</f>
        <v>0.09</v>
      </c>
      <c r="O179" s="76">
        <f ca="1">IF(MOD(COUNTIF($Q$11:Q178,Q178),5)=0,OFFSET(装备属性!$L$1083,1+INT(COUNTA($Q$11:Q178)/5),0),O178)</f>
        <v>0.11</v>
      </c>
      <c r="Q179" s="89" t="str">
        <f ca="1">IF(MOD(COUNTIF($Q$11:Q178,Q178),5)=0,OFFSET(装备属性!$M$1083,1+INT(COUNTA($Q$11:Q178)/5),0),Q178)</f>
        <v>通用属性</v>
      </c>
      <c r="R179" s="83">
        <f ca="1">IF(MOD(COUNTIF($Q$11:Q178,Q178),5)=0,10000*SUBSTITUTE(SUBSTITUTE(OFFSET(装备属性!$F$1083,1+INT(COUNTA($Q$11:Q178)/5),0),"[",""),"]","")+_xlfn.XLOOKUP(C179,$M$3:$M$7,$N$3:$N$7)*100,R178)</f>
        <v>10600</v>
      </c>
    </row>
    <row r="180" customHeight="1" spans="1:18">
      <c r="A180" s="78">
        <f ca="1" t="shared" si="6"/>
        <v>10601</v>
      </c>
      <c r="B180" s="82">
        <f ca="1">IFERROR(R180+COUNTIFS($R$11:$R180,R180),"")</f>
        <v>10630</v>
      </c>
      <c r="C180" s="83" t="str">
        <f ca="1">IF(MOD(COUNTIF($Q$11:Q179,Q179),5)=0,OFFSET(装备属性!$D$1083,1+INT(COUNTA($Q$11:Q179)/5),0),C179)</f>
        <v>红</v>
      </c>
      <c r="D180" s="82">
        <f t="shared" si="8"/>
        <v>1000</v>
      </c>
      <c r="F180" s="82">
        <f ca="1" t="shared" si="7"/>
        <v>10605</v>
      </c>
      <c r="G180" s="78" t="str">
        <f ca="1">IF(AND(LEFT("[{"&amp;M180&amp;","&amp;CEILING(N180*10000+(O180-N180)/4*(COUNTIF($F$11:F180,F180)-1)*10000,10)&amp;"}]",7)="[{equip",MID("[{"&amp;M180&amp;","&amp;CEILING(N180*10000+(O180-N180)/4*(COUNTIF($F$11:F180,F180)-1)*10000,10)&amp;"}]",8,1)&lt;&gt;"_"),"[{"&amp;M180&amp;","&amp;1&amp;"}]","[{"&amp;M180&amp;","&amp;CEILING(N180*10000+(O180-N180)/4*(COUNTIF($F$11:F180,F180)-1)*10000,10)&amp;"}]")</f>
        <v>[{warrior_class_dmg_rate,1100}]</v>
      </c>
      <c r="H180" s="82" t="s">
        <v>563</v>
      </c>
      <c r="J180" s="78">
        <f ca="1">IF(MOD(COUNTIF($Q$11:Q179,Q179),5)=0,OFFSET(装备属性!$P$1083,1+INT(COUNTA($Q$11:Q179)/5),0),J179)</f>
        <v>3</v>
      </c>
      <c r="K180" s="83" t="str">
        <f ca="1">IF(RIGHT(G180,13)="rune_slot,1}]",_xlfn.XLOOKUP(LEFT(SUBSTITUTE(G180,"[{",""),FIND(",",SUBSTITUTE(G180,"[{",""))-1),Sheet2!B:B,Sheet2!C:C)&amp;"+"&amp;1,_xlfn.XLOOKUP(LEFT(SUBSTITUTE(G180,"[{",""),FIND(",",SUBSTITUTE(G180,"[{",""))-1),Sheet2!B:B,Sheet2!C:C)&amp;"+"&amp;SUBSTITUTE(RIGHT(G180,LEN(G180)-FIND(",",G180)),"}]","")/100&amp;"%")</f>
        <v>上阵两个战士职业增伤+11%</v>
      </c>
      <c r="L180" s="83" t="str">
        <f ca="1">IF(MOD(COUNTIF($Q$11:Q179,Q179),5)=0,OFFSET(装备属性!$G$1083,1+INT(COUNTA($Q$11:Q179)/5),0),L179)</f>
        <v>猛男小队Ⅲ</v>
      </c>
      <c r="M180" s="89" t="str">
        <f ca="1">IF(MOD(COUNTIF($Q$11:Q179,Q179),5)=0,OFFSET(装备属性!$H$1083,1+INT(COUNTA($Q$11:Q179)/5),0),M179)</f>
        <v>warrior_class_dmg_rate</v>
      </c>
      <c r="N180" s="76">
        <f ca="1">IF(MOD(COUNTIF($Q$11:Q179,Q179),5)=0,OFFSET(装备属性!$K$1083,1+INT(COUNTA($Q$11:Q179)/5),0),N179)</f>
        <v>0.09</v>
      </c>
      <c r="O180" s="76">
        <f ca="1">IF(MOD(COUNTIF($Q$11:Q179,Q179),5)=0,OFFSET(装备属性!$L$1083,1+INT(COUNTA($Q$11:Q179)/5),0),O179)</f>
        <v>0.11</v>
      </c>
      <c r="Q180" s="89" t="str">
        <f ca="1">IF(MOD(COUNTIF($Q$11:Q179,Q179),5)=0,OFFSET(装备属性!$M$1083,1+INT(COUNTA($Q$11:Q179)/5),0),Q179)</f>
        <v>通用属性</v>
      </c>
      <c r="R180" s="83">
        <f ca="1">IF(MOD(COUNTIF($Q$11:Q179,Q179),5)=0,10000*SUBSTITUTE(SUBSTITUTE(OFFSET(装备属性!$F$1083,1+INT(COUNTA($Q$11:Q179)/5),0),"[",""),"]","")+_xlfn.XLOOKUP(C180,$M$3:$M$7,$N$3:$N$7)*100,R179)</f>
        <v>10600</v>
      </c>
    </row>
    <row r="181" customHeight="1" spans="1:18">
      <c r="A181" s="78">
        <f ca="1" t="shared" si="6"/>
        <v>10601</v>
      </c>
      <c r="B181" s="82">
        <f ca="1">IFERROR(R181+COUNTIFS($R$11:$R181,R181),"")</f>
        <v>10631</v>
      </c>
      <c r="C181" s="83" t="str">
        <f ca="1">IF(MOD(COUNTIF($Q$11:Q180,Q180),5)=0,OFFSET(装备属性!$D$1083,1+INT(COUNTA($Q$11:Q180)/5),0),C180)</f>
        <v>红</v>
      </c>
      <c r="D181" s="82">
        <f t="shared" si="8"/>
        <v>3000</v>
      </c>
      <c r="F181" s="82">
        <f ca="1" t="shared" si="7"/>
        <v>10606</v>
      </c>
      <c r="G181" s="78" t="str">
        <f ca="1">IF(AND(LEFT("[{"&amp;M181&amp;","&amp;CEILING(N181*10000+(O181-N181)/4*(COUNTIF($F$11:F181,F181)-1)*10000,10)&amp;"}]",7)="[{equip",MID("[{"&amp;M181&amp;","&amp;CEILING(N181*10000+(O181-N181)/4*(COUNTIF($F$11:F181,F181)-1)*10000,10)&amp;"}]",8,1)&lt;&gt;"_"),"[{"&amp;M181&amp;","&amp;1&amp;"}]","[{"&amp;M181&amp;","&amp;CEILING(N181*10000+(O181-N181)/4*(COUNTIF($F$11:F181,F181)-1)*10000,10)&amp;"}]")</f>
        <v>[{warrior_crit_dmg,2700}]</v>
      </c>
      <c r="H181" s="82" t="s">
        <v>563</v>
      </c>
      <c r="J181" s="78">
        <f ca="1">IF(MOD(COUNTIF($Q$11:Q180,Q180),5)=0,OFFSET(装备属性!$P$1083,1+INT(COUNTA($Q$11:Q180)/5),0),J180)</f>
        <v>4</v>
      </c>
      <c r="K181" s="83" t="str">
        <f ca="1">IF(RIGHT(G181,13)="rune_slot,1}]",_xlfn.XLOOKUP(LEFT(SUBSTITUTE(G181,"[{",""),FIND(",",SUBSTITUTE(G181,"[{",""))-1),Sheet2!B:B,Sheet2!C:C)&amp;"+"&amp;1,_xlfn.XLOOKUP(LEFT(SUBSTITUTE(G181,"[{",""),FIND(",",SUBSTITUTE(G181,"[{",""))-1),Sheet2!B:B,Sheet2!C:C)&amp;"+"&amp;SUBSTITUTE(RIGHT(G181,LEN(G181)-FIND(",",G181)),"}]","")/100&amp;"%")</f>
        <v>战士暴击伤害+27%</v>
      </c>
      <c r="L181" s="83" t="str">
        <f ca="1">IF(MOD(COUNTIF($Q$11:Q180,Q180),5)=0,OFFSET(装备属性!$G$1083,1+INT(COUNTA($Q$11:Q180)/5),0),L180)</f>
        <v>暴走猛男Ⅲ</v>
      </c>
      <c r="M181" s="89" t="str">
        <f ca="1">IF(MOD(COUNTIF($Q$11:Q180,Q180),5)=0,OFFSET(装备属性!$H$1083,1+INT(COUNTA($Q$11:Q180)/5),0),M180)</f>
        <v>warrior_crit_dmg</v>
      </c>
      <c r="N181" s="76">
        <f ca="1">IF(MOD(COUNTIF($Q$11:Q180,Q180),5)=0,OFFSET(装备属性!$K$1083,1+INT(COUNTA($Q$11:Q180)/5),0),N180)</f>
        <v>0.27</v>
      </c>
      <c r="O181" s="76">
        <f ca="1">IF(MOD(COUNTIF($Q$11:Q180,Q180),5)=0,OFFSET(装备属性!$L$1083,1+INT(COUNTA($Q$11:Q180)/5),0),O180)</f>
        <v>0.33</v>
      </c>
      <c r="Q181" s="89" t="str">
        <f ca="1">IF(MOD(COUNTIF($Q$11:Q180,Q180),5)=0,OFFSET(装备属性!$M$1083,1+INT(COUNTA($Q$11:Q180)/5),0),Q180)</f>
        <v>通用属性</v>
      </c>
      <c r="R181" s="83">
        <f ca="1">IF(MOD(COUNTIF($Q$11:Q180,Q180),5)=0,10000*SUBSTITUTE(SUBSTITUTE(OFFSET(装备属性!$F$1083,1+INT(COUNTA($Q$11:Q180)/5),0),"[",""),"]","")+_xlfn.XLOOKUP(C181,$M$3:$M$7,$N$3:$N$7)*100,R180)</f>
        <v>10600</v>
      </c>
    </row>
    <row r="182" customHeight="1" spans="1:18">
      <c r="A182" s="78">
        <f ca="1" t="shared" si="6"/>
        <v>10601</v>
      </c>
      <c r="B182" s="82">
        <f ca="1">IFERROR(R182+COUNTIFS($R$11:$R182,R182),"")</f>
        <v>10632</v>
      </c>
      <c r="C182" s="83" t="str">
        <f ca="1">IF(MOD(COUNTIF($Q$11:Q181,Q181),5)=0,OFFSET(装备属性!$D$1083,1+INT(COUNTA($Q$11:Q181)/5),0),C181)</f>
        <v>红</v>
      </c>
      <c r="D182" s="82">
        <f t="shared" si="8"/>
        <v>2500</v>
      </c>
      <c r="F182" s="82">
        <f ca="1" t="shared" si="7"/>
        <v>10606</v>
      </c>
      <c r="G182" s="78" t="str">
        <f ca="1">IF(AND(LEFT("[{"&amp;M182&amp;","&amp;CEILING(N182*10000+(O182-N182)/4*(COUNTIF($F$11:F182,F182)-1)*10000,10)&amp;"}]",7)="[{equip",MID("[{"&amp;M182&amp;","&amp;CEILING(N182*10000+(O182-N182)/4*(COUNTIF($F$11:F182,F182)-1)*10000,10)&amp;"}]",8,1)&lt;&gt;"_"),"[{"&amp;M182&amp;","&amp;1&amp;"}]","[{"&amp;M182&amp;","&amp;CEILING(N182*10000+(O182-N182)/4*(COUNTIF($F$11:F182,F182)-1)*10000,10)&amp;"}]")</f>
        <v>[{warrior_crit_dmg,2850}]</v>
      </c>
      <c r="H182" s="82" t="s">
        <v>563</v>
      </c>
      <c r="J182" s="78">
        <f ca="1">IF(MOD(COUNTIF($Q$11:Q181,Q181),5)=0,OFFSET(装备属性!$P$1083,1+INT(COUNTA($Q$11:Q181)/5),0),J181)</f>
        <v>4</v>
      </c>
      <c r="K182" s="83" t="str">
        <f ca="1">IF(RIGHT(G182,13)="rune_slot,1}]",_xlfn.XLOOKUP(LEFT(SUBSTITUTE(G182,"[{",""),FIND(",",SUBSTITUTE(G182,"[{",""))-1),Sheet2!B:B,Sheet2!C:C)&amp;"+"&amp;1,_xlfn.XLOOKUP(LEFT(SUBSTITUTE(G182,"[{",""),FIND(",",SUBSTITUTE(G182,"[{",""))-1),Sheet2!B:B,Sheet2!C:C)&amp;"+"&amp;SUBSTITUTE(RIGHT(G182,LEN(G182)-FIND(",",G182)),"}]","")/100&amp;"%")</f>
        <v>战士暴击伤害+28.5%</v>
      </c>
      <c r="L182" s="83" t="str">
        <f ca="1">IF(MOD(COUNTIF($Q$11:Q181,Q181),5)=0,OFFSET(装备属性!$G$1083,1+INT(COUNTA($Q$11:Q181)/5),0),L181)</f>
        <v>暴走猛男Ⅲ</v>
      </c>
      <c r="M182" s="89" t="str">
        <f ca="1">IF(MOD(COUNTIF($Q$11:Q181,Q181),5)=0,OFFSET(装备属性!$H$1083,1+INT(COUNTA($Q$11:Q181)/5),0),M181)</f>
        <v>warrior_crit_dmg</v>
      </c>
      <c r="N182" s="76">
        <f ca="1">IF(MOD(COUNTIF($Q$11:Q181,Q181),5)=0,OFFSET(装备属性!$K$1083,1+INT(COUNTA($Q$11:Q181)/5),0),N181)</f>
        <v>0.27</v>
      </c>
      <c r="O182" s="76">
        <f ca="1">IF(MOD(COUNTIF($Q$11:Q181,Q181),5)=0,OFFSET(装备属性!$L$1083,1+INT(COUNTA($Q$11:Q181)/5),0),O181)</f>
        <v>0.33</v>
      </c>
      <c r="Q182" s="89" t="str">
        <f ca="1">IF(MOD(COUNTIF($Q$11:Q181,Q181),5)=0,OFFSET(装备属性!$M$1083,1+INT(COUNTA($Q$11:Q181)/5),0),Q181)</f>
        <v>通用属性</v>
      </c>
      <c r="R182" s="83">
        <f ca="1">IF(MOD(COUNTIF($Q$11:Q181,Q181),5)=0,10000*SUBSTITUTE(SUBSTITUTE(OFFSET(装备属性!$F$1083,1+INT(COUNTA($Q$11:Q181)/5),0),"[",""),"]","")+_xlfn.XLOOKUP(C182,$M$3:$M$7,$N$3:$N$7)*100,R181)</f>
        <v>10600</v>
      </c>
    </row>
    <row r="183" customHeight="1" spans="1:18">
      <c r="A183" s="78">
        <f ca="1" t="shared" si="6"/>
        <v>10601</v>
      </c>
      <c r="B183" s="82">
        <f ca="1">IFERROR(R183+COUNTIFS($R$11:$R183,R183),"")</f>
        <v>10633</v>
      </c>
      <c r="C183" s="83" t="str">
        <f ca="1">IF(MOD(COUNTIF($Q$11:Q182,Q182),5)=0,OFFSET(装备属性!$D$1083,1+INT(COUNTA($Q$11:Q182)/5),0),C182)</f>
        <v>红</v>
      </c>
      <c r="D183" s="82">
        <f t="shared" si="8"/>
        <v>2000</v>
      </c>
      <c r="F183" s="82">
        <f ca="1" t="shared" si="7"/>
        <v>10606</v>
      </c>
      <c r="G183" s="78" t="str">
        <f ca="1">IF(AND(LEFT("[{"&amp;M183&amp;","&amp;CEILING(N183*10000+(O183-N183)/4*(COUNTIF($F$11:F183,F183)-1)*10000,10)&amp;"}]",7)="[{equip",MID("[{"&amp;M183&amp;","&amp;CEILING(N183*10000+(O183-N183)/4*(COUNTIF($F$11:F183,F183)-1)*10000,10)&amp;"}]",8,1)&lt;&gt;"_"),"[{"&amp;M183&amp;","&amp;1&amp;"}]","[{"&amp;M183&amp;","&amp;CEILING(N183*10000+(O183-N183)/4*(COUNTIF($F$11:F183,F183)-1)*10000,10)&amp;"}]")</f>
        <v>[{warrior_crit_dmg,3000}]</v>
      </c>
      <c r="H183" s="82" t="s">
        <v>563</v>
      </c>
      <c r="J183" s="78">
        <f ca="1">IF(MOD(COUNTIF($Q$11:Q182,Q182),5)=0,OFFSET(装备属性!$P$1083,1+INT(COUNTA($Q$11:Q182)/5),0),J182)</f>
        <v>4</v>
      </c>
      <c r="K183" s="83" t="str">
        <f ca="1">IF(RIGHT(G183,13)="rune_slot,1}]",_xlfn.XLOOKUP(LEFT(SUBSTITUTE(G183,"[{",""),FIND(",",SUBSTITUTE(G183,"[{",""))-1),Sheet2!B:B,Sheet2!C:C)&amp;"+"&amp;1,_xlfn.XLOOKUP(LEFT(SUBSTITUTE(G183,"[{",""),FIND(",",SUBSTITUTE(G183,"[{",""))-1),Sheet2!B:B,Sheet2!C:C)&amp;"+"&amp;SUBSTITUTE(RIGHT(G183,LEN(G183)-FIND(",",G183)),"}]","")/100&amp;"%")</f>
        <v>战士暴击伤害+30%</v>
      </c>
      <c r="L183" s="83" t="str">
        <f ca="1">IF(MOD(COUNTIF($Q$11:Q182,Q182),5)=0,OFFSET(装备属性!$G$1083,1+INT(COUNTA($Q$11:Q182)/5),0),L182)</f>
        <v>暴走猛男Ⅲ</v>
      </c>
      <c r="M183" s="89" t="str">
        <f ca="1">IF(MOD(COUNTIF($Q$11:Q182,Q182),5)=0,OFFSET(装备属性!$H$1083,1+INT(COUNTA($Q$11:Q182)/5),0),M182)</f>
        <v>warrior_crit_dmg</v>
      </c>
      <c r="N183" s="76">
        <f ca="1">IF(MOD(COUNTIF($Q$11:Q182,Q182),5)=0,OFFSET(装备属性!$K$1083,1+INT(COUNTA($Q$11:Q182)/5),0),N182)</f>
        <v>0.27</v>
      </c>
      <c r="O183" s="76">
        <f ca="1">IF(MOD(COUNTIF($Q$11:Q182,Q182),5)=0,OFFSET(装备属性!$L$1083,1+INT(COUNTA($Q$11:Q182)/5),0),O182)</f>
        <v>0.33</v>
      </c>
      <c r="Q183" s="89" t="str">
        <f ca="1">IF(MOD(COUNTIF($Q$11:Q182,Q182),5)=0,OFFSET(装备属性!$M$1083,1+INT(COUNTA($Q$11:Q182)/5),0),Q182)</f>
        <v>通用属性</v>
      </c>
      <c r="R183" s="83">
        <f ca="1">IF(MOD(COUNTIF($Q$11:Q182,Q182),5)=0,10000*SUBSTITUTE(SUBSTITUTE(OFFSET(装备属性!$F$1083,1+INT(COUNTA($Q$11:Q182)/5),0),"[",""),"]","")+_xlfn.XLOOKUP(C183,$M$3:$M$7,$N$3:$N$7)*100,R182)</f>
        <v>10600</v>
      </c>
    </row>
    <row r="184" customHeight="1" spans="1:18">
      <c r="A184" s="78">
        <f ca="1" t="shared" si="6"/>
        <v>10601</v>
      </c>
      <c r="B184" s="82">
        <f ca="1">IFERROR(R184+COUNTIFS($R$11:$R184,R184),"")</f>
        <v>10634</v>
      </c>
      <c r="C184" s="83" t="str">
        <f ca="1">IF(MOD(COUNTIF($Q$11:Q183,Q183),5)=0,OFFSET(装备属性!$D$1083,1+INT(COUNTA($Q$11:Q183)/5),0),C183)</f>
        <v>红</v>
      </c>
      <c r="D184" s="82">
        <f t="shared" si="8"/>
        <v>1500</v>
      </c>
      <c r="F184" s="82">
        <f ca="1" t="shared" si="7"/>
        <v>10606</v>
      </c>
      <c r="G184" s="78" t="str">
        <f ca="1">IF(AND(LEFT("[{"&amp;M184&amp;","&amp;CEILING(N184*10000+(O184-N184)/4*(COUNTIF($F$11:F184,F184)-1)*10000,10)&amp;"}]",7)="[{equip",MID("[{"&amp;M184&amp;","&amp;CEILING(N184*10000+(O184-N184)/4*(COUNTIF($F$11:F184,F184)-1)*10000,10)&amp;"}]",8,1)&lt;&gt;"_"),"[{"&amp;M184&amp;","&amp;1&amp;"}]","[{"&amp;M184&amp;","&amp;CEILING(N184*10000+(O184-N184)/4*(COUNTIF($F$11:F184,F184)-1)*10000,10)&amp;"}]")</f>
        <v>[{warrior_crit_dmg,3150}]</v>
      </c>
      <c r="H184" s="82" t="s">
        <v>563</v>
      </c>
      <c r="J184" s="78">
        <f ca="1">IF(MOD(COUNTIF($Q$11:Q183,Q183),5)=0,OFFSET(装备属性!$P$1083,1+INT(COUNTA($Q$11:Q183)/5),0),J183)</f>
        <v>4</v>
      </c>
      <c r="K184" s="83" t="str">
        <f ca="1">IF(RIGHT(G184,13)="rune_slot,1}]",_xlfn.XLOOKUP(LEFT(SUBSTITUTE(G184,"[{",""),FIND(",",SUBSTITUTE(G184,"[{",""))-1),Sheet2!B:B,Sheet2!C:C)&amp;"+"&amp;1,_xlfn.XLOOKUP(LEFT(SUBSTITUTE(G184,"[{",""),FIND(",",SUBSTITUTE(G184,"[{",""))-1),Sheet2!B:B,Sheet2!C:C)&amp;"+"&amp;SUBSTITUTE(RIGHT(G184,LEN(G184)-FIND(",",G184)),"}]","")/100&amp;"%")</f>
        <v>战士暴击伤害+31.5%</v>
      </c>
      <c r="L184" s="83" t="str">
        <f ca="1">IF(MOD(COUNTIF($Q$11:Q183,Q183),5)=0,OFFSET(装备属性!$G$1083,1+INT(COUNTA($Q$11:Q183)/5),0),L183)</f>
        <v>暴走猛男Ⅲ</v>
      </c>
      <c r="M184" s="89" t="str">
        <f ca="1">IF(MOD(COUNTIF($Q$11:Q183,Q183),5)=0,OFFSET(装备属性!$H$1083,1+INT(COUNTA($Q$11:Q183)/5),0),M183)</f>
        <v>warrior_crit_dmg</v>
      </c>
      <c r="N184" s="76">
        <f ca="1">IF(MOD(COUNTIF($Q$11:Q183,Q183),5)=0,OFFSET(装备属性!$K$1083,1+INT(COUNTA($Q$11:Q183)/5),0),N183)</f>
        <v>0.27</v>
      </c>
      <c r="O184" s="76">
        <f ca="1">IF(MOD(COUNTIF($Q$11:Q183,Q183),5)=0,OFFSET(装备属性!$L$1083,1+INT(COUNTA($Q$11:Q183)/5),0),O183)</f>
        <v>0.33</v>
      </c>
      <c r="Q184" s="89" t="str">
        <f ca="1">IF(MOD(COUNTIF($Q$11:Q183,Q183),5)=0,OFFSET(装备属性!$M$1083,1+INT(COUNTA($Q$11:Q183)/5),0),Q183)</f>
        <v>通用属性</v>
      </c>
      <c r="R184" s="83">
        <f ca="1">IF(MOD(COUNTIF($Q$11:Q183,Q183),5)=0,10000*SUBSTITUTE(SUBSTITUTE(OFFSET(装备属性!$F$1083,1+INT(COUNTA($Q$11:Q183)/5),0),"[",""),"]","")+_xlfn.XLOOKUP(C184,$M$3:$M$7,$N$3:$N$7)*100,R183)</f>
        <v>10600</v>
      </c>
    </row>
    <row r="185" customHeight="1" spans="1:18">
      <c r="A185" s="78">
        <f ca="1" t="shared" si="6"/>
        <v>10601</v>
      </c>
      <c r="B185" s="82">
        <f ca="1">IFERROR(R185+COUNTIFS($R$11:$R185,R185),"")</f>
        <v>10635</v>
      </c>
      <c r="C185" s="83" t="str">
        <f ca="1">IF(MOD(COUNTIF($Q$11:Q184,Q184),5)=0,OFFSET(装备属性!$D$1083,1+INT(COUNTA($Q$11:Q184)/5),0),C184)</f>
        <v>红</v>
      </c>
      <c r="D185" s="82">
        <f t="shared" si="8"/>
        <v>1000</v>
      </c>
      <c r="F185" s="82">
        <f ca="1" t="shared" si="7"/>
        <v>10606</v>
      </c>
      <c r="G185" s="78" t="str">
        <f ca="1">IF(AND(LEFT("[{"&amp;M185&amp;","&amp;CEILING(N185*10000+(O185-N185)/4*(COUNTIF($F$11:F185,F185)-1)*10000,10)&amp;"}]",7)="[{equip",MID("[{"&amp;M185&amp;","&amp;CEILING(N185*10000+(O185-N185)/4*(COUNTIF($F$11:F185,F185)-1)*10000,10)&amp;"}]",8,1)&lt;&gt;"_"),"[{"&amp;M185&amp;","&amp;1&amp;"}]","[{"&amp;M185&amp;","&amp;CEILING(N185*10000+(O185-N185)/4*(COUNTIF($F$11:F185,F185)-1)*10000,10)&amp;"}]")</f>
        <v>[{warrior_crit_dmg,3300}]</v>
      </c>
      <c r="H185" s="82" t="s">
        <v>563</v>
      </c>
      <c r="J185" s="78">
        <f ca="1">IF(MOD(COUNTIF($Q$11:Q184,Q184),5)=0,OFFSET(装备属性!$P$1083,1+INT(COUNTA($Q$11:Q184)/5),0),J184)</f>
        <v>4</v>
      </c>
      <c r="K185" s="83" t="str">
        <f ca="1">IF(RIGHT(G185,13)="rune_slot,1}]",_xlfn.XLOOKUP(LEFT(SUBSTITUTE(G185,"[{",""),FIND(",",SUBSTITUTE(G185,"[{",""))-1),Sheet2!B:B,Sheet2!C:C)&amp;"+"&amp;1,_xlfn.XLOOKUP(LEFT(SUBSTITUTE(G185,"[{",""),FIND(",",SUBSTITUTE(G185,"[{",""))-1),Sheet2!B:B,Sheet2!C:C)&amp;"+"&amp;SUBSTITUTE(RIGHT(G185,LEN(G185)-FIND(",",G185)),"}]","")/100&amp;"%")</f>
        <v>战士暴击伤害+33%</v>
      </c>
      <c r="L185" s="83" t="str">
        <f ca="1">IF(MOD(COUNTIF($Q$11:Q184,Q184),5)=0,OFFSET(装备属性!$G$1083,1+INT(COUNTA($Q$11:Q184)/5),0),L184)</f>
        <v>暴走猛男Ⅲ</v>
      </c>
      <c r="M185" s="89" t="str">
        <f ca="1">IF(MOD(COUNTIF($Q$11:Q184,Q184),5)=0,OFFSET(装备属性!$H$1083,1+INT(COUNTA($Q$11:Q184)/5),0),M184)</f>
        <v>warrior_crit_dmg</v>
      </c>
      <c r="N185" s="76">
        <f ca="1">IF(MOD(COUNTIF($Q$11:Q184,Q184),5)=0,OFFSET(装备属性!$K$1083,1+INT(COUNTA($Q$11:Q184)/5),0),N184)</f>
        <v>0.27</v>
      </c>
      <c r="O185" s="76">
        <f ca="1">IF(MOD(COUNTIF($Q$11:Q184,Q184),5)=0,OFFSET(装备属性!$L$1083,1+INT(COUNTA($Q$11:Q184)/5),0),O184)</f>
        <v>0.33</v>
      </c>
      <c r="Q185" s="89" t="str">
        <f ca="1">IF(MOD(COUNTIF($Q$11:Q184,Q184),5)=0,OFFSET(装备属性!$M$1083,1+INT(COUNTA($Q$11:Q184)/5),0),Q184)</f>
        <v>通用属性</v>
      </c>
      <c r="R185" s="83">
        <f ca="1">IF(MOD(COUNTIF($Q$11:Q184,Q184),5)=0,10000*SUBSTITUTE(SUBSTITUTE(OFFSET(装备属性!$F$1083,1+INT(COUNTA($Q$11:Q184)/5),0),"[",""),"]","")+_xlfn.XLOOKUP(C185,$M$3:$M$7,$N$3:$N$7)*100,R184)</f>
        <v>10600</v>
      </c>
    </row>
    <row r="186" customHeight="1" spans="1:18">
      <c r="A186" s="78" t="str">
        <f ca="1" t="shared" si="6"/>
        <v/>
      </c>
      <c r="B186" s="82" t="str">
        <f ca="1">IFERROR(R186+COUNTIFS($R$11:$R186,R186),"")</f>
        <v/>
      </c>
      <c r="C186" s="83">
        <f ca="1">IF(MOD(COUNTIF($Q$11:Q185,Q185),5)=0,OFFSET(装备属性!$D$1083,1+INT(COUNTA($Q$11:Q185)/5),0),C185)</f>
        <v>0</v>
      </c>
      <c r="D186" s="82">
        <f t="shared" si="8"/>
        <v>3000</v>
      </c>
      <c r="F186" s="82" t="str">
        <f ca="1" t="shared" si="7"/>
        <v/>
      </c>
      <c r="G186" s="78" t="str">
        <f ca="1">IF(AND(LEFT("[{"&amp;M186&amp;","&amp;CEILING(N186*10000+(O186-N186)/4*(COUNTIF($F$11:F186,F186)-1)*10000,10)&amp;"}]",7)="[{equip",MID("[{"&amp;M186&amp;","&amp;CEILING(N186*10000+(O186-N186)/4*(COUNTIF($F$11:F186,F186)-1)*10000,10)&amp;"}]",8,1)&lt;&gt;"_"),"[{"&amp;M186&amp;","&amp;1&amp;"}]","[{"&amp;M186&amp;","&amp;CEILING(N186*10000+(O186-N186)/4*(COUNTIF($F$11:F186,F186)-1)*10000,10)&amp;"}]")</f>
        <v>[{equip6_rune_slot,1}]</v>
      </c>
      <c r="H186" s="82" t="s">
        <v>563</v>
      </c>
      <c r="J186" s="78">
        <f ca="1">IF(MOD(COUNTIF($Q$11:Q185,Q185),5)=0,OFFSET(装备属性!$P$1083,1+INT(COUNTA($Q$11:Q185)/5),0),J185)</f>
        <v>10</v>
      </c>
      <c r="K186" s="83" t="str">
        <f ca="1">IF(RIGHT(G186,13)="rune_slot,1}]",_xlfn.XLOOKUP(LEFT(SUBSTITUTE(G186,"[{",""),FIND(",",SUBSTITUTE(G186,"[{",""))-1),Sheet2!B:B,Sheet2!C:C)&amp;"+"&amp;1,_xlfn.XLOOKUP(LEFT(SUBSTITUTE(G186,"[{",""),FIND(",",SUBSTITUTE(G186,"[{",""))-1),Sheet2!B:B,Sheet2!C:C)&amp;"+"&amp;SUBSTITUTE(RIGHT(G186,LEN(G186)-FIND(",",G186)),"}]","")/100&amp;"%")</f>
        <v>头盔符文孔位+1</v>
      </c>
      <c r="L186" s="83" t="str">
        <f ca="1">IF(MOD(COUNTIF($Q$11:Q185,Q185),5)=0,OFFSET(装备属性!$G$1083,1+INT(COUNTA($Q$11:Q185)/5),0),L185)</f>
        <v>扩符槽</v>
      </c>
      <c r="M186" s="89" t="str">
        <f ca="1">IF(MOD(COUNTIF($Q$11:Q185,Q185),5)=0,OFFSET(装备属性!$H$1083,1+INT(COUNTA($Q$11:Q185)/5),0),M185)</f>
        <v>equip6_rune_slot</v>
      </c>
      <c r="N186" s="76">
        <f ca="1">IF(MOD(COUNTIF($Q$11:Q185,Q185),5)=0,OFFSET(装备属性!$K$1083,1+INT(COUNTA($Q$11:Q185)/5),0),N185)</f>
        <v>1</v>
      </c>
      <c r="O186" s="76">
        <f ca="1">IF(MOD(COUNTIF($Q$11:Q185,Q185),5)=0,OFFSET(装备属性!$L$1083,1+INT(COUNTA($Q$11:Q185)/5),0),O185)</f>
        <v>1</v>
      </c>
      <c r="Q186" s="89" t="str">
        <f ca="1">IF(MOD(COUNTIF($Q$11:Q185,Q185),5)=0,OFFSET(装备属性!$M$1083,1+INT(COUNTA($Q$11:Q185)/5),0),Q185)</f>
        <v>稀有词条</v>
      </c>
      <c r="R186" s="83" t="e">
        <f ca="1">IF(MOD(COUNTIF($Q$11:Q185,Q185),5)=0,10000*SUBSTITUTE(SUBSTITUTE(OFFSET(装备属性!$F$1083,1+INT(COUNTA($Q$11:Q185)/5),0),"[",""),"]","")+_xlfn.XLOOKUP(C186,$M$3:$M$7,$N$3:$N$7)*100,R185)</f>
        <v>#N/A</v>
      </c>
    </row>
    <row r="187" customHeight="1" spans="1:18">
      <c r="A187" s="78" t="str">
        <f ca="1" t="shared" si="6"/>
        <v/>
      </c>
      <c r="B187" s="82" t="str">
        <f ca="1">IFERROR(R187+COUNTIFS($R$11:$R187,R187),"")</f>
        <v/>
      </c>
      <c r="C187" s="83">
        <f ca="1">IF(MOD(COUNTIF($Q$11:Q186,Q186),5)=0,OFFSET(装备属性!$D$1083,1+INT(COUNTA($Q$11:Q186)/5),0),C186)</f>
        <v>0</v>
      </c>
      <c r="D187" s="82">
        <f t="shared" si="8"/>
        <v>2500</v>
      </c>
      <c r="F187" s="82" t="str">
        <f ca="1" t="shared" si="7"/>
        <v/>
      </c>
      <c r="G187" s="78" t="str">
        <f ca="1">IF(AND(LEFT("[{"&amp;M187&amp;","&amp;CEILING(N187*10000+(O187-N187)/4*(COUNTIF($F$11:F187,F187)-1)*10000,10)&amp;"}]",7)="[{equip",MID("[{"&amp;M187&amp;","&amp;CEILING(N187*10000+(O187-N187)/4*(COUNTIF($F$11:F187,F187)-1)*10000,10)&amp;"}]",8,1)&lt;&gt;"_"),"[{"&amp;M187&amp;","&amp;1&amp;"}]","[{"&amp;M187&amp;","&amp;CEILING(N187*10000+(O187-N187)/4*(COUNTIF($F$11:F187,F187)-1)*10000,10)&amp;"}]")</f>
        <v>[{equip6_rune_slot,1}]</v>
      </c>
      <c r="H187" s="82" t="s">
        <v>563</v>
      </c>
      <c r="J187" s="78">
        <f ca="1">IF(MOD(COUNTIF($Q$11:Q186,Q186),5)=0,OFFSET(装备属性!$P$1083,1+INT(COUNTA($Q$11:Q186)/5),0),J186)</f>
        <v>10</v>
      </c>
      <c r="K187" s="83" t="str">
        <f ca="1">IF(RIGHT(G187,13)="rune_slot,1}]",_xlfn.XLOOKUP(LEFT(SUBSTITUTE(G187,"[{",""),FIND(",",SUBSTITUTE(G187,"[{",""))-1),Sheet2!B:B,Sheet2!C:C)&amp;"+"&amp;1,_xlfn.XLOOKUP(LEFT(SUBSTITUTE(G187,"[{",""),FIND(",",SUBSTITUTE(G187,"[{",""))-1),Sheet2!B:B,Sheet2!C:C)&amp;"+"&amp;SUBSTITUTE(RIGHT(G187,LEN(G187)-FIND(",",G187)),"}]","")/100&amp;"%")</f>
        <v>头盔符文孔位+1</v>
      </c>
      <c r="L187" s="83" t="str">
        <f ca="1">IF(MOD(COUNTIF($Q$11:Q186,Q186),5)=0,OFFSET(装备属性!$G$1083,1+INT(COUNTA($Q$11:Q186)/5),0),L186)</f>
        <v>扩符槽</v>
      </c>
      <c r="M187" s="89" t="str">
        <f ca="1">IF(MOD(COUNTIF($Q$11:Q186,Q186),5)=0,OFFSET(装备属性!$H$1083,1+INT(COUNTA($Q$11:Q186)/5),0),M186)</f>
        <v>equip6_rune_slot</v>
      </c>
      <c r="N187" s="76">
        <f ca="1">IF(MOD(COUNTIF($Q$11:Q186,Q186),5)=0,OFFSET(装备属性!$K$1083,1+INT(COUNTA($Q$11:Q186)/5),0),N186)</f>
        <v>1</v>
      </c>
      <c r="O187" s="76">
        <f ca="1">IF(MOD(COUNTIF($Q$11:Q186,Q186),5)=0,OFFSET(装备属性!$L$1083,1+INT(COUNTA($Q$11:Q186)/5),0),O186)</f>
        <v>1</v>
      </c>
      <c r="Q187" s="89" t="str">
        <f ca="1">IF(MOD(COUNTIF($Q$11:Q186,Q186),5)=0,OFFSET(装备属性!$M$1083,1+INT(COUNTA($Q$11:Q186)/5),0),Q186)</f>
        <v>稀有词条</v>
      </c>
      <c r="R187" s="83" t="e">
        <f ca="1">IF(MOD(COUNTIF($Q$11:Q186,Q186),5)=0,10000*SUBSTITUTE(SUBSTITUTE(OFFSET(装备属性!$F$1083,1+INT(COUNTA($Q$11:Q186)/5),0),"[",""),"]","")+_xlfn.XLOOKUP(C187,$M$3:$M$7,$N$3:$N$7)*100,R186)</f>
        <v>#N/A</v>
      </c>
    </row>
    <row r="188" customHeight="1" spans="1:18">
      <c r="A188" s="78" t="str">
        <f ca="1" t="shared" si="6"/>
        <v/>
      </c>
      <c r="B188" s="82" t="str">
        <f ca="1">IFERROR(R188+COUNTIFS($R$11:$R188,R188),"")</f>
        <v/>
      </c>
      <c r="C188" s="83">
        <f ca="1">IF(MOD(COUNTIF($Q$11:Q187,Q187),5)=0,OFFSET(装备属性!$D$1083,1+INT(COUNTA($Q$11:Q187)/5),0),C187)</f>
        <v>0</v>
      </c>
      <c r="D188" s="82">
        <f t="shared" si="8"/>
        <v>2000</v>
      </c>
      <c r="F188" s="82" t="str">
        <f ca="1" t="shared" si="7"/>
        <v/>
      </c>
      <c r="G188" s="78" t="str">
        <f ca="1">IF(AND(LEFT("[{"&amp;M188&amp;","&amp;CEILING(N188*10000+(O188-N188)/4*(COUNTIF($F$11:F188,F188)-1)*10000,10)&amp;"}]",7)="[{equip",MID("[{"&amp;M188&amp;","&amp;CEILING(N188*10000+(O188-N188)/4*(COUNTIF($F$11:F188,F188)-1)*10000,10)&amp;"}]",8,1)&lt;&gt;"_"),"[{"&amp;M188&amp;","&amp;1&amp;"}]","[{"&amp;M188&amp;","&amp;CEILING(N188*10000+(O188-N188)/4*(COUNTIF($F$11:F188,F188)-1)*10000,10)&amp;"}]")</f>
        <v>[{equip6_rune_slot,1}]</v>
      </c>
      <c r="H188" s="82" t="s">
        <v>563</v>
      </c>
      <c r="J188" s="78">
        <f ca="1">IF(MOD(COUNTIF($Q$11:Q187,Q187),5)=0,OFFSET(装备属性!$P$1083,1+INT(COUNTA($Q$11:Q187)/5),0),J187)</f>
        <v>10</v>
      </c>
      <c r="K188" s="83" t="str">
        <f ca="1">IF(RIGHT(G188,13)="rune_slot,1}]",_xlfn.XLOOKUP(LEFT(SUBSTITUTE(G188,"[{",""),FIND(",",SUBSTITUTE(G188,"[{",""))-1),Sheet2!B:B,Sheet2!C:C)&amp;"+"&amp;1,_xlfn.XLOOKUP(LEFT(SUBSTITUTE(G188,"[{",""),FIND(",",SUBSTITUTE(G188,"[{",""))-1),Sheet2!B:B,Sheet2!C:C)&amp;"+"&amp;SUBSTITUTE(RIGHT(G188,LEN(G188)-FIND(",",G188)),"}]","")/100&amp;"%")</f>
        <v>头盔符文孔位+1</v>
      </c>
      <c r="L188" s="83" t="str">
        <f ca="1">IF(MOD(COUNTIF($Q$11:Q187,Q187),5)=0,OFFSET(装备属性!$G$1083,1+INT(COUNTA($Q$11:Q187)/5),0),L187)</f>
        <v>扩符槽</v>
      </c>
      <c r="M188" s="89" t="str">
        <f ca="1">IF(MOD(COUNTIF($Q$11:Q187,Q187),5)=0,OFFSET(装备属性!$H$1083,1+INT(COUNTA($Q$11:Q187)/5),0),M187)</f>
        <v>equip6_rune_slot</v>
      </c>
      <c r="N188" s="76">
        <f ca="1">IF(MOD(COUNTIF($Q$11:Q187,Q187),5)=0,OFFSET(装备属性!$K$1083,1+INT(COUNTA($Q$11:Q187)/5),0),N187)</f>
        <v>1</v>
      </c>
      <c r="O188" s="76">
        <f ca="1">IF(MOD(COUNTIF($Q$11:Q187,Q187),5)=0,OFFSET(装备属性!$L$1083,1+INT(COUNTA($Q$11:Q187)/5),0),O187)</f>
        <v>1</v>
      </c>
      <c r="Q188" s="89" t="str">
        <f ca="1">IF(MOD(COUNTIF($Q$11:Q187,Q187),5)=0,OFFSET(装备属性!$M$1083,1+INT(COUNTA($Q$11:Q187)/5),0),Q187)</f>
        <v>稀有词条</v>
      </c>
      <c r="R188" s="83" t="e">
        <f ca="1">IF(MOD(COUNTIF($Q$11:Q187,Q187),5)=0,10000*SUBSTITUTE(SUBSTITUTE(OFFSET(装备属性!$F$1083,1+INT(COUNTA($Q$11:Q187)/5),0),"[",""),"]","")+_xlfn.XLOOKUP(C188,$M$3:$M$7,$N$3:$N$7)*100,R187)</f>
        <v>#N/A</v>
      </c>
    </row>
    <row r="189" customHeight="1" spans="1:18">
      <c r="A189" s="78" t="str">
        <f ca="1" t="shared" si="6"/>
        <v/>
      </c>
      <c r="B189" s="82" t="str">
        <f ca="1">IFERROR(R189+COUNTIFS($R$11:$R189,R189),"")</f>
        <v/>
      </c>
      <c r="C189" s="83">
        <f ca="1">IF(MOD(COUNTIF($Q$11:Q188,Q188),5)=0,OFFSET(装备属性!$D$1083,1+INT(COUNTA($Q$11:Q188)/5),0),C188)</f>
        <v>0</v>
      </c>
      <c r="D189" s="82">
        <f t="shared" si="8"/>
        <v>1500</v>
      </c>
      <c r="F189" s="82" t="str">
        <f ca="1" t="shared" si="7"/>
        <v/>
      </c>
      <c r="G189" s="78" t="str">
        <f ca="1">IF(AND(LEFT("[{"&amp;M189&amp;","&amp;CEILING(N189*10000+(O189-N189)/4*(COUNTIF($F$11:F189,F189)-1)*10000,10)&amp;"}]",7)="[{equip",MID("[{"&amp;M189&amp;","&amp;CEILING(N189*10000+(O189-N189)/4*(COUNTIF($F$11:F189,F189)-1)*10000,10)&amp;"}]",8,1)&lt;&gt;"_"),"[{"&amp;M189&amp;","&amp;1&amp;"}]","[{"&amp;M189&amp;","&amp;CEILING(N189*10000+(O189-N189)/4*(COUNTIF($F$11:F189,F189)-1)*10000,10)&amp;"}]")</f>
        <v>[{equip6_rune_slot,1}]</v>
      </c>
      <c r="H189" s="82" t="s">
        <v>563</v>
      </c>
      <c r="J189" s="78">
        <f ca="1">IF(MOD(COUNTIF($Q$11:Q188,Q188),5)=0,OFFSET(装备属性!$P$1083,1+INT(COUNTA($Q$11:Q188)/5),0),J188)</f>
        <v>10</v>
      </c>
      <c r="K189" s="83" t="str">
        <f ca="1">IF(RIGHT(G189,13)="rune_slot,1}]",_xlfn.XLOOKUP(LEFT(SUBSTITUTE(G189,"[{",""),FIND(",",SUBSTITUTE(G189,"[{",""))-1),Sheet2!B:B,Sheet2!C:C)&amp;"+"&amp;1,_xlfn.XLOOKUP(LEFT(SUBSTITUTE(G189,"[{",""),FIND(",",SUBSTITUTE(G189,"[{",""))-1),Sheet2!B:B,Sheet2!C:C)&amp;"+"&amp;SUBSTITUTE(RIGHT(G189,LEN(G189)-FIND(",",G189)),"}]","")/100&amp;"%")</f>
        <v>头盔符文孔位+1</v>
      </c>
      <c r="L189" s="83" t="str">
        <f ca="1">IF(MOD(COUNTIF($Q$11:Q188,Q188),5)=0,OFFSET(装备属性!$G$1083,1+INT(COUNTA($Q$11:Q188)/5),0),L188)</f>
        <v>扩符槽</v>
      </c>
      <c r="M189" s="89" t="str">
        <f ca="1">IF(MOD(COUNTIF($Q$11:Q188,Q188),5)=0,OFFSET(装备属性!$H$1083,1+INT(COUNTA($Q$11:Q188)/5),0),M188)</f>
        <v>equip6_rune_slot</v>
      </c>
      <c r="N189" s="76">
        <f ca="1">IF(MOD(COUNTIF($Q$11:Q188,Q188),5)=0,OFFSET(装备属性!$K$1083,1+INT(COUNTA($Q$11:Q188)/5),0),N188)</f>
        <v>1</v>
      </c>
      <c r="O189" s="76">
        <f ca="1">IF(MOD(COUNTIF($Q$11:Q188,Q188),5)=0,OFFSET(装备属性!$L$1083,1+INT(COUNTA($Q$11:Q188)/5),0),O188)</f>
        <v>1</v>
      </c>
      <c r="Q189" s="89" t="str">
        <f ca="1">IF(MOD(COUNTIF($Q$11:Q188,Q188),5)=0,OFFSET(装备属性!$M$1083,1+INT(COUNTA($Q$11:Q188)/5),0),Q188)</f>
        <v>稀有词条</v>
      </c>
      <c r="R189" s="83" t="e">
        <f ca="1">IF(MOD(COUNTIF($Q$11:Q188,Q188),5)=0,10000*SUBSTITUTE(SUBSTITUTE(OFFSET(装备属性!$F$1083,1+INT(COUNTA($Q$11:Q188)/5),0),"[",""),"]","")+_xlfn.XLOOKUP(C189,$M$3:$M$7,$N$3:$N$7)*100,R188)</f>
        <v>#N/A</v>
      </c>
    </row>
    <row r="190" customHeight="1" spans="1:18">
      <c r="A190" s="78" t="str">
        <f ca="1" t="shared" si="6"/>
        <v/>
      </c>
      <c r="B190" s="82" t="str">
        <f ca="1">IFERROR(R190+COUNTIFS($R$11:$R190,R190),"")</f>
        <v/>
      </c>
      <c r="C190" s="83">
        <f ca="1">IF(MOD(COUNTIF($Q$11:Q189,Q189),5)=0,OFFSET(装备属性!$D$1083,1+INT(COUNTA($Q$11:Q189)/5),0),C189)</f>
        <v>0</v>
      </c>
      <c r="D190" s="82">
        <f t="shared" si="8"/>
        <v>1000</v>
      </c>
      <c r="F190" s="82" t="str">
        <f ca="1" t="shared" si="7"/>
        <v/>
      </c>
      <c r="G190" s="78" t="str">
        <f ca="1">IF(AND(LEFT("[{"&amp;M190&amp;","&amp;CEILING(N190*10000+(O190-N190)/4*(COUNTIF($F$11:F190,F190)-1)*10000,10)&amp;"}]",7)="[{equip",MID("[{"&amp;M190&amp;","&amp;CEILING(N190*10000+(O190-N190)/4*(COUNTIF($F$11:F190,F190)-1)*10000,10)&amp;"}]",8,1)&lt;&gt;"_"),"[{"&amp;M190&amp;","&amp;1&amp;"}]","[{"&amp;M190&amp;","&amp;CEILING(N190*10000+(O190-N190)/4*(COUNTIF($F$11:F190,F190)-1)*10000,10)&amp;"}]")</f>
        <v>[{equip6_rune_slot,1}]</v>
      </c>
      <c r="H190" s="82" t="s">
        <v>563</v>
      </c>
      <c r="J190" s="78">
        <f ca="1">IF(MOD(COUNTIF($Q$11:Q189,Q189),5)=0,OFFSET(装备属性!$P$1083,1+INT(COUNTA($Q$11:Q189)/5),0),J189)</f>
        <v>10</v>
      </c>
      <c r="K190" s="83" t="str">
        <f ca="1">IF(RIGHT(G190,13)="rune_slot,1}]",_xlfn.XLOOKUP(LEFT(SUBSTITUTE(G190,"[{",""),FIND(",",SUBSTITUTE(G190,"[{",""))-1),Sheet2!B:B,Sheet2!C:C)&amp;"+"&amp;1,_xlfn.XLOOKUP(LEFT(SUBSTITUTE(G190,"[{",""),FIND(",",SUBSTITUTE(G190,"[{",""))-1),Sheet2!B:B,Sheet2!C:C)&amp;"+"&amp;SUBSTITUTE(RIGHT(G190,LEN(G190)-FIND(",",G190)),"}]","")/100&amp;"%")</f>
        <v>头盔符文孔位+1</v>
      </c>
      <c r="L190" s="83" t="str">
        <f ca="1">IF(MOD(COUNTIF($Q$11:Q189,Q189),5)=0,OFFSET(装备属性!$G$1083,1+INT(COUNTA($Q$11:Q189)/5),0),L189)</f>
        <v>扩符槽</v>
      </c>
      <c r="M190" s="89" t="str">
        <f ca="1">IF(MOD(COUNTIF($Q$11:Q189,Q189),5)=0,OFFSET(装备属性!$H$1083,1+INT(COUNTA($Q$11:Q189)/5),0),M189)</f>
        <v>equip6_rune_slot</v>
      </c>
      <c r="N190" s="76">
        <f ca="1">IF(MOD(COUNTIF($Q$11:Q189,Q189),5)=0,OFFSET(装备属性!$K$1083,1+INT(COUNTA($Q$11:Q189)/5),0),N189)</f>
        <v>1</v>
      </c>
      <c r="O190" s="76">
        <f ca="1">IF(MOD(COUNTIF($Q$11:Q189,Q189),5)=0,OFFSET(装备属性!$L$1083,1+INT(COUNTA($Q$11:Q189)/5),0),O189)</f>
        <v>1</v>
      </c>
      <c r="Q190" s="89" t="str">
        <f ca="1">IF(MOD(COUNTIF($Q$11:Q189,Q189),5)=0,OFFSET(装备属性!$M$1083,1+INT(COUNTA($Q$11:Q189)/5),0),Q189)</f>
        <v>稀有词条</v>
      </c>
      <c r="R190" s="83" t="e">
        <f ca="1">IF(MOD(COUNTIF($Q$11:Q189,Q189),5)=0,10000*SUBSTITUTE(SUBSTITUTE(OFFSET(装备属性!$F$1083,1+INT(COUNTA($Q$11:Q189)/5),0),"[",""),"]","")+_xlfn.XLOOKUP(C190,$M$3:$M$7,$N$3:$N$7)*100,R189)</f>
        <v>#N/A</v>
      </c>
    </row>
    <row r="191" customHeight="1" spans="1:18">
      <c r="A191" s="78" t="str">
        <f ca="1" t="shared" si="6"/>
        <v/>
      </c>
      <c r="B191" s="82" t="str">
        <f ca="1">IFERROR(R191+COUNTIFS($R$11:$R191,R191),"")</f>
        <v/>
      </c>
      <c r="C191" s="83">
        <f ca="1">IF(MOD(COUNTIF($Q$11:Q190,Q190),5)=0,OFFSET(装备属性!$D$1083,1+INT(COUNTA($Q$11:Q190)/5),0),C190)</f>
        <v>0</v>
      </c>
      <c r="D191" s="82">
        <f t="shared" si="8"/>
        <v>3000</v>
      </c>
      <c r="F191" s="82" t="str">
        <f ca="1" t="shared" si="7"/>
        <v/>
      </c>
      <c r="G191" s="78" t="str">
        <f ca="1">IF(AND(LEFT("[{"&amp;M191&amp;","&amp;CEILING(N191*10000+(O191-N191)/4*(COUNTIF($F$11:F191,F191)-1)*10000,10)&amp;"}]",7)="[{equip",MID("[{"&amp;M191&amp;","&amp;CEILING(N191*10000+(O191-N191)/4*(COUNTIF($F$11:F191,F191)-1)*10000,10)&amp;"}]",8,1)&lt;&gt;"_"),"[{"&amp;M191&amp;","&amp;1&amp;"}]","[{"&amp;M191&amp;","&amp;CEILING(N191*10000+(O191-N191)/4*(COUNTIF($F$11:F191,F191)-1)*10000,10)&amp;"}]")</f>
        <v>[{global_dmg_rate,3730}]</v>
      </c>
      <c r="H191" s="82" t="s">
        <v>563</v>
      </c>
      <c r="J191" s="78">
        <f ca="1">IF(MOD(COUNTIF($Q$11:Q190,Q190),5)=0,OFFSET(装备属性!$P$1083,1+INT(COUNTA($Q$11:Q190)/5),0),J190)</f>
        <v>2</v>
      </c>
      <c r="K191" s="83" t="str">
        <f ca="1">IF(RIGHT(G191,13)="rune_slot,1}]",_xlfn.XLOOKUP(LEFT(SUBSTITUTE(G191,"[{",""),FIND(",",SUBSTITUTE(G191,"[{",""))-1),Sheet2!B:B,Sheet2!C:C)&amp;"+"&amp;1,_xlfn.XLOOKUP(LEFT(SUBSTITUTE(G191,"[{",""),FIND(",",SUBSTITUTE(G191,"[{",""))-1),Sheet2!B:B,Sheet2!C:C)&amp;"+"&amp;SUBSTITUTE(RIGHT(G191,LEN(G191)-FIND(",",G191)),"}]","")/100&amp;"%")</f>
        <v>伤害加成+37.3%</v>
      </c>
      <c r="L191" s="83" t="str">
        <f ca="1">IF(MOD(COUNTIF($Q$11:Q190,Q190),5)=0,OFFSET(装备属性!$G$1083,1+INT(COUNTA($Q$11:Q190)/5),0),L190)</f>
        <v>全职小队Ⅳ</v>
      </c>
      <c r="M191" s="89" t="str">
        <f ca="1">IF(MOD(COUNTIF($Q$11:Q190,Q190),5)=0,OFFSET(装备属性!$H$1083,1+INT(COUNTA($Q$11:Q190)/5),0),M190)</f>
        <v>global_dmg_rate</v>
      </c>
      <c r="N191" s="76">
        <f ca="1">IF(MOD(COUNTIF($Q$11:Q190,Q190),5)=0,OFFSET(装备属性!$K$1083,1+INT(COUNTA($Q$11:Q190)/5),0),N190)</f>
        <v>0.058</v>
      </c>
      <c r="O191" s="76">
        <f ca="1">IF(MOD(COUNTIF($Q$11:Q190,Q190),5)=0,OFFSET(装备属性!$L$1083,1+INT(COUNTA($Q$11:Q190)/5),0),O190)</f>
        <v>0.072</v>
      </c>
      <c r="Q191" s="89" t="str">
        <f ca="1">IF(MOD(COUNTIF($Q$11:Q190,Q190),5)=0,OFFSET(装备属性!$M$1083,1+INT(COUNTA($Q$11:Q190)/5),0),Q190)</f>
        <v>通用属性</v>
      </c>
      <c r="R191" s="83" t="e">
        <f ca="1">IF(MOD(COUNTIF($Q$11:Q190,Q190),5)=0,10000*SUBSTITUTE(SUBSTITUTE(OFFSET(装备属性!$F$1083,1+INT(COUNTA($Q$11:Q190)/5),0),"[",""),"]","")+_xlfn.XLOOKUP(C191,$M$3:$M$7,$N$3:$N$7)*100,R190)</f>
        <v>#N/A</v>
      </c>
    </row>
    <row r="192" customHeight="1" spans="1:18">
      <c r="A192" s="78" t="str">
        <f ca="1" t="shared" si="6"/>
        <v/>
      </c>
      <c r="B192" s="82" t="str">
        <f ca="1">IFERROR(R192+COUNTIFS($R$11:$R192,R192),"")</f>
        <v/>
      </c>
      <c r="C192" s="83">
        <f ca="1">IF(MOD(COUNTIF($Q$11:Q191,Q191),5)=0,OFFSET(装备属性!$D$1083,1+INT(COUNTA($Q$11:Q191)/5),0),C191)</f>
        <v>0</v>
      </c>
      <c r="D192" s="82">
        <f t="shared" si="8"/>
        <v>2500</v>
      </c>
      <c r="F192" s="82" t="str">
        <f ca="1" t="shared" si="7"/>
        <v/>
      </c>
      <c r="G192" s="78" t="str">
        <f ca="1">IF(AND(LEFT("[{"&amp;M192&amp;","&amp;CEILING(N192*10000+(O192-N192)/4*(COUNTIF($F$11:F192,F192)-1)*10000,10)&amp;"}]",7)="[{equip",MID("[{"&amp;M192&amp;","&amp;CEILING(N192*10000+(O192-N192)/4*(COUNTIF($F$11:F192,F192)-1)*10000,10)&amp;"}]",8,1)&lt;&gt;"_"),"[{"&amp;M192&amp;","&amp;1&amp;"}]","[{"&amp;M192&amp;","&amp;CEILING(N192*10000+(O192-N192)/4*(COUNTIF($F$11:F192,F192)-1)*10000,10)&amp;"}]")</f>
        <v>[{global_dmg_rate,3770}]</v>
      </c>
      <c r="H192" s="82" t="s">
        <v>563</v>
      </c>
      <c r="J192" s="78">
        <f ca="1">IF(MOD(COUNTIF($Q$11:Q191,Q191),5)=0,OFFSET(装备属性!$P$1083,1+INT(COUNTA($Q$11:Q191)/5),0),J191)</f>
        <v>2</v>
      </c>
      <c r="K192" s="83" t="str">
        <f ca="1">IF(RIGHT(G192,13)="rune_slot,1}]",_xlfn.XLOOKUP(LEFT(SUBSTITUTE(G192,"[{",""),FIND(",",SUBSTITUTE(G192,"[{",""))-1),Sheet2!B:B,Sheet2!C:C)&amp;"+"&amp;1,_xlfn.XLOOKUP(LEFT(SUBSTITUTE(G192,"[{",""),FIND(",",SUBSTITUTE(G192,"[{",""))-1),Sheet2!B:B,Sheet2!C:C)&amp;"+"&amp;SUBSTITUTE(RIGHT(G192,LEN(G192)-FIND(",",G192)),"}]","")/100&amp;"%")</f>
        <v>伤害加成+37.7%</v>
      </c>
      <c r="L192" s="83" t="str">
        <f ca="1">IF(MOD(COUNTIF($Q$11:Q191,Q191),5)=0,OFFSET(装备属性!$G$1083,1+INT(COUNTA($Q$11:Q191)/5),0),L191)</f>
        <v>全职小队Ⅳ</v>
      </c>
      <c r="M192" s="89" t="str">
        <f ca="1">IF(MOD(COUNTIF($Q$11:Q191,Q191),5)=0,OFFSET(装备属性!$H$1083,1+INT(COUNTA($Q$11:Q191)/5),0),M191)</f>
        <v>global_dmg_rate</v>
      </c>
      <c r="N192" s="76">
        <f ca="1">IF(MOD(COUNTIF($Q$11:Q191,Q191),5)=0,OFFSET(装备属性!$K$1083,1+INT(COUNTA($Q$11:Q191)/5),0),N191)</f>
        <v>0.058</v>
      </c>
      <c r="O192" s="76">
        <f ca="1">IF(MOD(COUNTIF($Q$11:Q191,Q191),5)=0,OFFSET(装备属性!$L$1083,1+INT(COUNTA($Q$11:Q191)/5),0),O191)</f>
        <v>0.072</v>
      </c>
      <c r="Q192" s="89" t="str">
        <f ca="1">IF(MOD(COUNTIF($Q$11:Q191,Q191),5)=0,OFFSET(装备属性!$M$1083,1+INT(COUNTA($Q$11:Q191)/5),0),Q191)</f>
        <v>通用属性</v>
      </c>
      <c r="R192" s="83" t="e">
        <f ca="1">IF(MOD(COUNTIF($Q$11:Q191,Q191),5)=0,10000*SUBSTITUTE(SUBSTITUTE(OFFSET(装备属性!$F$1083,1+INT(COUNTA($Q$11:Q191)/5),0),"[",""),"]","")+_xlfn.XLOOKUP(C192,$M$3:$M$7,$N$3:$N$7)*100,R191)</f>
        <v>#N/A</v>
      </c>
    </row>
    <row r="193" customHeight="1" spans="1:18">
      <c r="A193" s="78" t="str">
        <f ca="1" t="shared" si="6"/>
        <v/>
      </c>
      <c r="B193" s="82" t="str">
        <f ca="1">IFERROR(R193+COUNTIFS($R$11:$R193,R193),"")</f>
        <v/>
      </c>
      <c r="C193" s="83">
        <f ca="1">IF(MOD(COUNTIF($Q$11:Q192,Q192),5)=0,OFFSET(装备属性!$D$1083,1+INT(COUNTA($Q$11:Q192)/5),0),C192)</f>
        <v>0</v>
      </c>
      <c r="D193" s="82">
        <f t="shared" si="8"/>
        <v>2000</v>
      </c>
      <c r="F193" s="82" t="str">
        <f ca="1" t="shared" si="7"/>
        <v/>
      </c>
      <c r="G193" s="78" t="str">
        <f ca="1">IF(AND(LEFT("[{"&amp;M193&amp;","&amp;CEILING(N193*10000+(O193-N193)/4*(COUNTIF($F$11:F193,F193)-1)*10000,10)&amp;"}]",7)="[{equip",MID("[{"&amp;M193&amp;","&amp;CEILING(N193*10000+(O193-N193)/4*(COUNTIF($F$11:F193,F193)-1)*10000,10)&amp;"}]",8,1)&lt;&gt;"_"),"[{"&amp;M193&amp;","&amp;1&amp;"}]","[{"&amp;M193&amp;","&amp;CEILING(N193*10000+(O193-N193)/4*(COUNTIF($F$11:F193,F193)-1)*10000,10)&amp;"}]")</f>
        <v>[{global_dmg_rate,3800}]</v>
      </c>
      <c r="H193" s="82" t="s">
        <v>563</v>
      </c>
      <c r="J193" s="78">
        <f ca="1">IF(MOD(COUNTIF($Q$11:Q192,Q192),5)=0,OFFSET(装备属性!$P$1083,1+INT(COUNTA($Q$11:Q192)/5),0),J192)</f>
        <v>2</v>
      </c>
      <c r="K193" s="83" t="str">
        <f ca="1">IF(RIGHT(G193,13)="rune_slot,1}]",_xlfn.XLOOKUP(LEFT(SUBSTITUTE(G193,"[{",""),FIND(",",SUBSTITUTE(G193,"[{",""))-1),Sheet2!B:B,Sheet2!C:C)&amp;"+"&amp;1,_xlfn.XLOOKUP(LEFT(SUBSTITUTE(G193,"[{",""),FIND(",",SUBSTITUTE(G193,"[{",""))-1),Sheet2!B:B,Sheet2!C:C)&amp;"+"&amp;SUBSTITUTE(RIGHT(G193,LEN(G193)-FIND(",",G193)),"}]","")/100&amp;"%")</f>
        <v>伤害加成+38%</v>
      </c>
      <c r="L193" s="83" t="str">
        <f ca="1">IF(MOD(COUNTIF($Q$11:Q192,Q192),5)=0,OFFSET(装备属性!$G$1083,1+INT(COUNTA($Q$11:Q192)/5),0),L192)</f>
        <v>全职小队Ⅳ</v>
      </c>
      <c r="M193" s="89" t="str">
        <f ca="1">IF(MOD(COUNTIF($Q$11:Q192,Q192),5)=0,OFFSET(装备属性!$H$1083,1+INT(COUNTA($Q$11:Q192)/5),0),M192)</f>
        <v>global_dmg_rate</v>
      </c>
      <c r="N193" s="76">
        <f ca="1">IF(MOD(COUNTIF($Q$11:Q192,Q192),5)=0,OFFSET(装备属性!$K$1083,1+INT(COUNTA($Q$11:Q192)/5),0),N192)</f>
        <v>0.058</v>
      </c>
      <c r="O193" s="76">
        <f ca="1">IF(MOD(COUNTIF($Q$11:Q192,Q192),5)=0,OFFSET(装备属性!$L$1083,1+INT(COUNTA($Q$11:Q192)/5),0),O192)</f>
        <v>0.072</v>
      </c>
      <c r="Q193" s="89" t="str">
        <f ca="1">IF(MOD(COUNTIF($Q$11:Q192,Q192),5)=0,OFFSET(装备属性!$M$1083,1+INT(COUNTA($Q$11:Q192)/5),0),Q192)</f>
        <v>通用属性</v>
      </c>
      <c r="R193" s="83" t="e">
        <f ca="1">IF(MOD(COUNTIF($Q$11:Q192,Q192),5)=0,10000*SUBSTITUTE(SUBSTITUTE(OFFSET(装备属性!$F$1083,1+INT(COUNTA($Q$11:Q192)/5),0),"[",""),"]","")+_xlfn.XLOOKUP(C193,$M$3:$M$7,$N$3:$N$7)*100,R192)</f>
        <v>#N/A</v>
      </c>
    </row>
    <row r="194" customHeight="1" spans="1:18">
      <c r="A194" s="78" t="str">
        <f ca="1" t="shared" si="6"/>
        <v/>
      </c>
      <c r="B194" s="82" t="str">
        <f ca="1">IFERROR(R194+COUNTIFS($R$11:$R194,R194),"")</f>
        <v/>
      </c>
      <c r="C194" s="83">
        <f ca="1">IF(MOD(COUNTIF($Q$11:Q193,Q193),5)=0,OFFSET(装备属性!$D$1083,1+INT(COUNTA($Q$11:Q193)/5),0),C193)</f>
        <v>0</v>
      </c>
      <c r="D194" s="82">
        <f t="shared" si="8"/>
        <v>1500</v>
      </c>
      <c r="F194" s="82" t="str">
        <f ca="1" t="shared" si="7"/>
        <v/>
      </c>
      <c r="G194" s="78" t="str">
        <f ca="1">IF(AND(LEFT("[{"&amp;M194&amp;","&amp;CEILING(N194*10000+(O194-N194)/4*(COUNTIF($F$11:F194,F194)-1)*10000,10)&amp;"}]",7)="[{equip",MID("[{"&amp;M194&amp;","&amp;CEILING(N194*10000+(O194-N194)/4*(COUNTIF($F$11:F194,F194)-1)*10000,10)&amp;"}]",8,1)&lt;&gt;"_"),"[{"&amp;M194&amp;","&amp;1&amp;"}]","[{"&amp;M194&amp;","&amp;CEILING(N194*10000+(O194-N194)/4*(COUNTIF($F$11:F194,F194)-1)*10000,10)&amp;"}]")</f>
        <v>[{global_dmg_rate,3840}]</v>
      </c>
      <c r="H194" s="82" t="s">
        <v>563</v>
      </c>
      <c r="J194" s="78">
        <f ca="1">IF(MOD(COUNTIF($Q$11:Q193,Q193),5)=0,OFFSET(装备属性!$P$1083,1+INT(COUNTA($Q$11:Q193)/5),0),J193)</f>
        <v>2</v>
      </c>
      <c r="K194" s="83" t="str">
        <f ca="1">IF(RIGHT(G194,13)="rune_slot,1}]",_xlfn.XLOOKUP(LEFT(SUBSTITUTE(G194,"[{",""),FIND(",",SUBSTITUTE(G194,"[{",""))-1),Sheet2!B:B,Sheet2!C:C)&amp;"+"&amp;1,_xlfn.XLOOKUP(LEFT(SUBSTITUTE(G194,"[{",""),FIND(",",SUBSTITUTE(G194,"[{",""))-1),Sheet2!B:B,Sheet2!C:C)&amp;"+"&amp;SUBSTITUTE(RIGHT(G194,LEN(G194)-FIND(",",G194)),"}]","")/100&amp;"%")</f>
        <v>伤害加成+38.4%</v>
      </c>
      <c r="L194" s="83" t="str">
        <f ca="1">IF(MOD(COUNTIF($Q$11:Q193,Q193),5)=0,OFFSET(装备属性!$G$1083,1+INT(COUNTA($Q$11:Q193)/5),0),L193)</f>
        <v>全职小队Ⅳ</v>
      </c>
      <c r="M194" s="89" t="str">
        <f ca="1">IF(MOD(COUNTIF($Q$11:Q193,Q193),5)=0,OFFSET(装备属性!$H$1083,1+INT(COUNTA($Q$11:Q193)/5),0),M193)</f>
        <v>global_dmg_rate</v>
      </c>
      <c r="N194" s="76">
        <f ca="1">IF(MOD(COUNTIF($Q$11:Q193,Q193),5)=0,OFFSET(装备属性!$K$1083,1+INT(COUNTA($Q$11:Q193)/5),0),N193)</f>
        <v>0.058</v>
      </c>
      <c r="O194" s="76">
        <f ca="1">IF(MOD(COUNTIF($Q$11:Q193,Q193),5)=0,OFFSET(装备属性!$L$1083,1+INT(COUNTA($Q$11:Q193)/5),0),O193)</f>
        <v>0.072</v>
      </c>
      <c r="Q194" s="89" t="str">
        <f ca="1">IF(MOD(COUNTIF($Q$11:Q193,Q193),5)=0,OFFSET(装备属性!$M$1083,1+INT(COUNTA($Q$11:Q193)/5),0),Q193)</f>
        <v>通用属性</v>
      </c>
      <c r="R194" s="83" t="e">
        <f ca="1">IF(MOD(COUNTIF($Q$11:Q193,Q193),5)=0,10000*SUBSTITUTE(SUBSTITUTE(OFFSET(装备属性!$F$1083,1+INT(COUNTA($Q$11:Q193)/5),0),"[",""),"]","")+_xlfn.XLOOKUP(C194,$M$3:$M$7,$N$3:$N$7)*100,R193)</f>
        <v>#N/A</v>
      </c>
    </row>
    <row r="195" customHeight="1" spans="1:18">
      <c r="A195" s="78" t="str">
        <f ca="1" t="shared" si="6"/>
        <v/>
      </c>
      <c r="B195" s="82" t="str">
        <f ca="1">IFERROR(R195+COUNTIFS($R$11:$R195,R195),"")</f>
        <v/>
      </c>
      <c r="C195" s="83">
        <f ca="1">IF(MOD(COUNTIF($Q$11:Q194,Q194),5)=0,OFFSET(装备属性!$D$1083,1+INT(COUNTA($Q$11:Q194)/5),0),C194)</f>
        <v>0</v>
      </c>
      <c r="D195" s="82">
        <f t="shared" si="8"/>
        <v>1000</v>
      </c>
      <c r="F195" s="82" t="str">
        <f ca="1" t="shared" si="7"/>
        <v/>
      </c>
      <c r="G195" s="78" t="str">
        <f ca="1">IF(AND(LEFT("[{"&amp;M195&amp;","&amp;CEILING(N195*10000+(O195-N195)/4*(COUNTIF($F$11:F195,F195)-1)*10000,10)&amp;"}]",7)="[{equip",MID("[{"&amp;M195&amp;","&amp;CEILING(N195*10000+(O195-N195)/4*(COUNTIF($F$11:F195,F195)-1)*10000,10)&amp;"}]",8,1)&lt;&gt;"_"),"[{"&amp;M195&amp;","&amp;1&amp;"}]","[{"&amp;M195&amp;","&amp;CEILING(N195*10000+(O195-N195)/4*(COUNTIF($F$11:F195,F195)-1)*10000,10)&amp;"}]")</f>
        <v>[{global_dmg_rate,3870}]</v>
      </c>
      <c r="H195" s="82" t="s">
        <v>563</v>
      </c>
      <c r="J195" s="78">
        <f ca="1">IF(MOD(COUNTIF($Q$11:Q194,Q194),5)=0,OFFSET(装备属性!$P$1083,1+INT(COUNTA($Q$11:Q194)/5),0),J194)</f>
        <v>2</v>
      </c>
      <c r="K195" s="83" t="str">
        <f ca="1">IF(RIGHT(G195,13)="rune_slot,1}]",_xlfn.XLOOKUP(LEFT(SUBSTITUTE(G195,"[{",""),FIND(",",SUBSTITUTE(G195,"[{",""))-1),Sheet2!B:B,Sheet2!C:C)&amp;"+"&amp;1,_xlfn.XLOOKUP(LEFT(SUBSTITUTE(G195,"[{",""),FIND(",",SUBSTITUTE(G195,"[{",""))-1),Sheet2!B:B,Sheet2!C:C)&amp;"+"&amp;SUBSTITUTE(RIGHT(G195,LEN(G195)-FIND(",",G195)),"}]","")/100&amp;"%")</f>
        <v>伤害加成+38.7%</v>
      </c>
      <c r="L195" s="83" t="str">
        <f ca="1">IF(MOD(COUNTIF($Q$11:Q194,Q194),5)=0,OFFSET(装备属性!$G$1083,1+INT(COUNTA($Q$11:Q194)/5),0),L194)</f>
        <v>全职小队Ⅳ</v>
      </c>
      <c r="M195" s="89" t="str">
        <f ca="1">IF(MOD(COUNTIF($Q$11:Q194,Q194),5)=0,OFFSET(装备属性!$H$1083,1+INT(COUNTA($Q$11:Q194)/5),0),M194)</f>
        <v>global_dmg_rate</v>
      </c>
      <c r="N195" s="76">
        <f ca="1">IF(MOD(COUNTIF($Q$11:Q194,Q194),5)=0,OFFSET(装备属性!$K$1083,1+INT(COUNTA($Q$11:Q194)/5),0),N194)</f>
        <v>0.058</v>
      </c>
      <c r="O195" s="76">
        <f ca="1">IF(MOD(COUNTIF($Q$11:Q194,Q194),5)=0,OFFSET(装备属性!$L$1083,1+INT(COUNTA($Q$11:Q194)/5),0),O194)</f>
        <v>0.072</v>
      </c>
      <c r="Q195" s="89" t="str">
        <f ca="1">IF(MOD(COUNTIF($Q$11:Q194,Q194),5)=0,OFFSET(装备属性!$M$1083,1+INT(COUNTA($Q$11:Q194)/5),0),Q194)</f>
        <v>通用属性</v>
      </c>
      <c r="R195" s="83" t="e">
        <f ca="1">IF(MOD(COUNTIF($Q$11:Q194,Q194),5)=0,10000*SUBSTITUTE(SUBSTITUTE(OFFSET(装备属性!$F$1083,1+INT(COUNTA($Q$11:Q194)/5),0),"[",""),"]","")+_xlfn.XLOOKUP(C195,$M$3:$M$7,$N$3:$N$7)*100,R194)</f>
        <v>#N/A</v>
      </c>
    </row>
    <row r="196" customHeight="1" spans="1:18">
      <c r="A196" s="78">
        <f ca="1" t="shared" si="6"/>
        <v>10701</v>
      </c>
      <c r="B196" s="82">
        <f ca="1">IFERROR(R196+COUNTIFS($R$11:$R196,R196),"")</f>
        <v>10701</v>
      </c>
      <c r="C196" s="83" t="str">
        <f ca="1">IF(MOD(COUNTIF($Q$11:Q195,Q195),5)=0,OFFSET(装备属性!$D$1083,1+INT(COUNTA($Q$11:Q195)/5),0),C195)</f>
        <v>粉</v>
      </c>
      <c r="D196" s="82">
        <f t="shared" si="8"/>
        <v>3000</v>
      </c>
      <c r="F196" s="82">
        <f ca="1" t="shared" si="7"/>
        <v>10700</v>
      </c>
      <c r="G196" s="78" t="str">
        <f ca="1">IF(AND(LEFT("[{"&amp;M196&amp;","&amp;CEILING(N196*10000+(O196-N196)/4*(COUNTIF($F$11:F196,F196)-1)*10000,10)&amp;"}]",7)="[{equip",MID("[{"&amp;M196&amp;","&amp;CEILING(N196*10000+(O196-N196)/4*(COUNTIF($F$11:F196,F196)-1)*10000,10)&amp;"}]",8,1)&lt;&gt;"_"),"[{"&amp;M196&amp;","&amp;1&amp;"}]","[{"&amp;M196&amp;","&amp;CEILING(N196*10000+(O196-N196)/4*(COUNTIF($F$11:F196,F196)-1)*10000,10)&amp;"}]")</f>
        <v>[{dmg_red_rate,250}]</v>
      </c>
      <c r="H196" s="82" t="s">
        <v>563</v>
      </c>
      <c r="J196" s="78">
        <f ca="1">IF(MOD(COUNTIF($Q$11:Q195,Q195),5)=0,OFFSET(装备属性!$P$1083,1+INT(COUNTA($Q$11:Q195)/5),0),J195)</f>
        <v>6</v>
      </c>
      <c r="K196" s="83" t="str">
        <f ca="1">IF(RIGHT(G196,13)="rune_slot,1}]",_xlfn.XLOOKUP(LEFT(SUBSTITUTE(G196,"[{",""),FIND(",",SUBSTITUTE(G196,"[{",""))-1),Sheet2!B:B,Sheet2!C:C)&amp;"+"&amp;1,_xlfn.XLOOKUP(LEFT(SUBSTITUTE(G196,"[{",""),FIND(",",SUBSTITUTE(G196,"[{",""))-1),Sheet2!B:B,Sheet2!C:C)&amp;"+"&amp;SUBSTITUTE(RIGHT(G196,LEN(G196)-FIND(",",G196)),"}]","")/100&amp;"%")</f>
        <v>伤害减免+2.5%</v>
      </c>
      <c r="L196" s="83" t="str">
        <f ca="1">IF(MOD(COUNTIF($Q$11:Q195,Q195),5)=0,OFFSET(装备属性!$G$1083,1+INT(COUNTA($Q$11:Q195)/5),0),L195)</f>
        <v>全员抗揍Ⅳ</v>
      </c>
      <c r="M196" s="89" t="str">
        <f ca="1">IF(MOD(COUNTIF($Q$11:Q195,Q195),5)=0,OFFSET(装备属性!$H$1083,1+INT(COUNTA($Q$11:Q195)/5),0),M195)</f>
        <v>dmg_red_rate</v>
      </c>
      <c r="N196" s="76">
        <f ca="1">IF(MOD(COUNTIF($Q$11:Q195,Q195),5)=0,OFFSET(装备属性!$K$1083,1+INT(COUNTA($Q$11:Q195)/5),0),N195)</f>
        <v>0.025</v>
      </c>
      <c r="O196" s="76">
        <f ca="1">IF(MOD(COUNTIF($Q$11:Q195,Q195),5)=0,OFFSET(装备属性!$L$1083,1+INT(COUNTA($Q$11:Q195)/5),0),O195)</f>
        <v>0.029</v>
      </c>
      <c r="Q196" s="89" t="str">
        <f ca="1">IF(MOD(COUNTIF($Q$11:Q195,Q195),5)=0,OFFSET(装备属性!$M$1083,1+INT(COUNTA($Q$11:Q195)/5),0),Q195)</f>
        <v>通用属性</v>
      </c>
      <c r="R196" s="83">
        <f ca="1">IF(MOD(COUNTIF($Q$11:Q195,Q195),5)=0,10000*SUBSTITUTE(SUBSTITUTE(OFFSET(装备属性!$F$1083,1+INT(COUNTA($Q$11:Q195)/5),0),"[",""),"]","")+_xlfn.XLOOKUP(C196,$M$3:$M$7,$N$3:$N$7)*100,R195)</f>
        <v>10700</v>
      </c>
    </row>
    <row r="197" customHeight="1" spans="1:18">
      <c r="A197" s="78">
        <f ca="1" t="shared" si="6"/>
        <v>10701</v>
      </c>
      <c r="B197" s="82">
        <f ca="1">IFERROR(R197+COUNTIFS($R$11:$R197,R197),"")</f>
        <v>10702</v>
      </c>
      <c r="C197" s="83" t="str">
        <f ca="1">IF(MOD(COUNTIF($Q$11:Q196,Q196),5)=0,OFFSET(装备属性!$D$1083,1+INT(COUNTA($Q$11:Q196)/5),0),C196)</f>
        <v>粉</v>
      </c>
      <c r="D197" s="82">
        <f t="shared" si="8"/>
        <v>2500</v>
      </c>
      <c r="F197" s="82">
        <f ca="1" t="shared" si="7"/>
        <v>10700</v>
      </c>
      <c r="G197" s="78" t="str">
        <f ca="1">IF(AND(LEFT("[{"&amp;M197&amp;","&amp;CEILING(N197*10000+(O197-N197)/4*(COUNTIF($F$11:F197,F197)-1)*10000,10)&amp;"}]",7)="[{equip",MID("[{"&amp;M197&amp;","&amp;CEILING(N197*10000+(O197-N197)/4*(COUNTIF($F$11:F197,F197)-1)*10000,10)&amp;"}]",8,1)&lt;&gt;"_"),"[{"&amp;M197&amp;","&amp;1&amp;"}]","[{"&amp;M197&amp;","&amp;CEILING(N197*10000+(O197-N197)/4*(COUNTIF($F$11:F197,F197)-1)*10000,10)&amp;"}]")</f>
        <v>[{dmg_red_rate,260}]</v>
      </c>
      <c r="H197" s="82" t="s">
        <v>563</v>
      </c>
      <c r="J197" s="78">
        <f ca="1">IF(MOD(COUNTIF($Q$11:Q196,Q196),5)=0,OFFSET(装备属性!$P$1083,1+INT(COUNTA($Q$11:Q196)/5),0),J196)</f>
        <v>6</v>
      </c>
      <c r="K197" s="83" t="str">
        <f ca="1">IF(RIGHT(G197,13)="rune_slot,1}]",_xlfn.XLOOKUP(LEFT(SUBSTITUTE(G197,"[{",""),FIND(",",SUBSTITUTE(G197,"[{",""))-1),Sheet2!B:B,Sheet2!C:C)&amp;"+"&amp;1,_xlfn.XLOOKUP(LEFT(SUBSTITUTE(G197,"[{",""),FIND(",",SUBSTITUTE(G197,"[{",""))-1),Sheet2!B:B,Sheet2!C:C)&amp;"+"&amp;SUBSTITUTE(RIGHT(G197,LEN(G197)-FIND(",",G197)),"}]","")/100&amp;"%")</f>
        <v>伤害减免+2.6%</v>
      </c>
      <c r="L197" s="83" t="str">
        <f ca="1">IF(MOD(COUNTIF($Q$11:Q196,Q196),5)=0,OFFSET(装备属性!$G$1083,1+INT(COUNTA($Q$11:Q196)/5),0),L196)</f>
        <v>全员抗揍Ⅳ</v>
      </c>
      <c r="M197" s="89" t="str">
        <f ca="1">IF(MOD(COUNTIF($Q$11:Q196,Q196),5)=0,OFFSET(装备属性!$H$1083,1+INT(COUNTA($Q$11:Q196)/5),0),M196)</f>
        <v>dmg_red_rate</v>
      </c>
      <c r="N197" s="76">
        <f ca="1">IF(MOD(COUNTIF($Q$11:Q196,Q196),5)=0,OFFSET(装备属性!$K$1083,1+INT(COUNTA($Q$11:Q196)/5),0),N196)</f>
        <v>0.025</v>
      </c>
      <c r="O197" s="76">
        <f ca="1">IF(MOD(COUNTIF($Q$11:Q196,Q196),5)=0,OFFSET(装备属性!$L$1083,1+INT(COUNTA($Q$11:Q196)/5),0),O196)</f>
        <v>0.029</v>
      </c>
      <c r="Q197" s="89" t="str">
        <f ca="1">IF(MOD(COUNTIF($Q$11:Q196,Q196),5)=0,OFFSET(装备属性!$M$1083,1+INT(COUNTA($Q$11:Q196)/5),0),Q196)</f>
        <v>通用属性</v>
      </c>
      <c r="R197" s="83">
        <f ca="1">IF(MOD(COUNTIF($Q$11:Q196,Q196),5)=0,10000*SUBSTITUTE(SUBSTITUTE(OFFSET(装备属性!$F$1083,1+INT(COUNTA($Q$11:Q196)/5),0),"[",""),"]","")+_xlfn.XLOOKUP(C197,$M$3:$M$7,$N$3:$N$7)*100,R196)</f>
        <v>10700</v>
      </c>
    </row>
    <row r="198" customHeight="1" spans="1:18">
      <c r="A198" s="78">
        <f ca="1" t="shared" si="6"/>
        <v>10701</v>
      </c>
      <c r="B198" s="82">
        <f ca="1">IFERROR(R198+COUNTIFS($R$11:$R198,R198),"")</f>
        <v>10703</v>
      </c>
      <c r="C198" s="83" t="str">
        <f ca="1">IF(MOD(COUNTIF($Q$11:Q197,Q197),5)=0,OFFSET(装备属性!$D$1083,1+INT(COUNTA($Q$11:Q197)/5),0),C197)</f>
        <v>粉</v>
      </c>
      <c r="D198" s="82">
        <f t="shared" si="8"/>
        <v>2000</v>
      </c>
      <c r="F198" s="82">
        <f ca="1" t="shared" si="7"/>
        <v>10700</v>
      </c>
      <c r="G198" s="78" t="str">
        <f ca="1">IF(AND(LEFT("[{"&amp;M198&amp;","&amp;CEILING(N198*10000+(O198-N198)/4*(COUNTIF($F$11:F198,F198)-1)*10000,10)&amp;"}]",7)="[{equip",MID("[{"&amp;M198&amp;","&amp;CEILING(N198*10000+(O198-N198)/4*(COUNTIF($F$11:F198,F198)-1)*10000,10)&amp;"}]",8,1)&lt;&gt;"_"),"[{"&amp;M198&amp;","&amp;1&amp;"}]","[{"&amp;M198&amp;","&amp;CEILING(N198*10000+(O198-N198)/4*(COUNTIF($F$11:F198,F198)-1)*10000,10)&amp;"}]")</f>
        <v>[{dmg_red_rate,270}]</v>
      </c>
      <c r="H198" s="82" t="s">
        <v>563</v>
      </c>
      <c r="J198" s="78">
        <f ca="1">IF(MOD(COUNTIF($Q$11:Q197,Q197),5)=0,OFFSET(装备属性!$P$1083,1+INT(COUNTA($Q$11:Q197)/5),0),J197)</f>
        <v>6</v>
      </c>
      <c r="K198" s="83" t="str">
        <f ca="1">IF(RIGHT(G198,13)="rune_slot,1}]",_xlfn.XLOOKUP(LEFT(SUBSTITUTE(G198,"[{",""),FIND(",",SUBSTITUTE(G198,"[{",""))-1),Sheet2!B:B,Sheet2!C:C)&amp;"+"&amp;1,_xlfn.XLOOKUP(LEFT(SUBSTITUTE(G198,"[{",""),FIND(",",SUBSTITUTE(G198,"[{",""))-1),Sheet2!B:B,Sheet2!C:C)&amp;"+"&amp;SUBSTITUTE(RIGHT(G198,LEN(G198)-FIND(",",G198)),"}]","")/100&amp;"%")</f>
        <v>伤害减免+2.7%</v>
      </c>
      <c r="L198" s="83" t="str">
        <f ca="1">IF(MOD(COUNTIF($Q$11:Q197,Q197),5)=0,OFFSET(装备属性!$G$1083,1+INT(COUNTA($Q$11:Q197)/5),0),L197)</f>
        <v>全员抗揍Ⅳ</v>
      </c>
      <c r="M198" s="89" t="str">
        <f ca="1">IF(MOD(COUNTIF($Q$11:Q197,Q197),5)=0,OFFSET(装备属性!$H$1083,1+INT(COUNTA($Q$11:Q197)/5),0),M197)</f>
        <v>dmg_red_rate</v>
      </c>
      <c r="N198" s="76">
        <f ca="1">IF(MOD(COUNTIF($Q$11:Q197,Q197),5)=0,OFFSET(装备属性!$K$1083,1+INT(COUNTA($Q$11:Q197)/5),0),N197)</f>
        <v>0.025</v>
      </c>
      <c r="O198" s="76">
        <f ca="1">IF(MOD(COUNTIF($Q$11:Q197,Q197),5)=0,OFFSET(装备属性!$L$1083,1+INT(COUNTA($Q$11:Q197)/5),0),O197)</f>
        <v>0.029</v>
      </c>
      <c r="Q198" s="89" t="str">
        <f ca="1">IF(MOD(COUNTIF($Q$11:Q197,Q197),5)=0,OFFSET(装备属性!$M$1083,1+INT(COUNTA($Q$11:Q197)/5),0),Q197)</f>
        <v>通用属性</v>
      </c>
      <c r="R198" s="83">
        <f ca="1">IF(MOD(COUNTIF($Q$11:Q197,Q197),5)=0,10000*SUBSTITUTE(SUBSTITUTE(OFFSET(装备属性!$F$1083,1+INT(COUNTA($Q$11:Q197)/5),0),"[",""),"]","")+_xlfn.XLOOKUP(C198,$M$3:$M$7,$N$3:$N$7)*100,R197)</f>
        <v>10700</v>
      </c>
    </row>
    <row r="199" customHeight="1" spans="1:18">
      <c r="A199" s="78">
        <f ca="1" t="shared" si="6"/>
        <v>10701</v>
      </c>
      <c r="B199" s="82">
        <f ca="1">IFERROR(R199+COUNTIFS($R$11:$R199,R199),"")</f>
        <v>10704</v>
      </c>
      <c r="C199" s="83" t="str">
        <f ca="1">IF(MOD(COUNTIF($Q$11:Q198,Q198),5)=0,OFFSET(装备属性!$D$1083,1+INT(COUNTA($Q$11:Q198)/5),0),C198)</f>
        <v>粉</v>
      </c>
      <c r="D199" s="82">
        <f t="shared" si="8"/>
        <v>1500</v>
      </c>
      <c r="F199" s="82">
        <f ca="1" t="shared" si="7"/>
        <v>10700</v>
      </c>
      <c r="G199" s="78" t="str">
        <f ca="1">IF(AND(LEFT("[{"&amp;M199&amp;","&amp;CEILING(N199*10000+(O199-N199)/4*(COUNTIF($F$11:F199,F199)-1)*10000,10)&amp;"}]",7)="[{equip",MID("[{"&amp;M199&amp;","&amp;CEILING(N199*10000+(O199-N199)/4*(COUNTIF($F$11:F199,F199)-1)*10000,10)&amp;"}]",8,1)&lt;&gt;"_"),"[{"&amp;M199&amp;","&amp;1&amp;"}]","[{"&amp;M199&amp;","&amp;CEILING(N199*10000+(O199-N199)/4*(COUNTIF($F$11:F199,F199)-1)*10000,10)&amp;"}]")</f>
        <v>[{dmg_red_rate,280}]</v>
      </c>
      <c r="H199" s="82" t="s">
        <v>563</v>
      </c>
      <c r="J199" s="78">
        <f ca="1">IF(MOD(COUNTIF($Q$11:Q198,Q198),5)=0,OFFSET(装备属性!$P$1083,1+INT(COUNTA($Q$11:Q198)/5),0),J198)</f>
        <v>6</v>
      </c>
      <c r="K199" s="83" t="str">
        <f ca="1">IF(RIGHT(G199,13)="rune_slot,1}]",_xlfn.XLOOKUP(LEFT(SUBSTITUTE(G199,"[{",""),FIND(",",SUBSTITUTE(G199,"[{",""))-1),Sheet2!B:B,Sheet2!C:C)&amp;"+"&amp;1,_xlfn.XLOOKUP(LEFT(SUBSTITUTE(G199,"[{",""),FIND(",",SUBSTITUTE(G199,"[{",""))-1),Sheet2!B:B,Sheet2!C:C)&amp;"+"&amp;SUBSTITUTE(RIGHT(G199,LEN(G199)-FIND(",",G199)),"}]","")/100&amp;"%")</f>
        <v>伤害减免+2.8%</v>
      </c>
      <c r="L199" s="83" t="str">
        <f ca="1">IF(MOD(COUNTIF($Q$11:Q198,Q198),5)=0,OFFSET(装备属性!$G$1083,1+INT(COUNTA($Q$11:Q198)/5),0),L198)</f>
        <v>全员抗揍Ⅳ</v>
      </c>
      <c r="M199" s="89" t="str">
        <f ca="1">IF(MOD(COUNTIF($Q$11:Q198,Q198),5)=0,OFFSET(装备属性!$H$1083,1+INT(COUNTA($Q$11:Q198)/5),0),M198)</f>
        <v>dmg_red_rate</v>
      </c>
      <c r="N199" s="76">
        <f ca="1">IF(MOD(COUNTIF($Q$11:Q198,Q198),5)=0,OFFSET(装备属性!$K$1083,1+INT(COUNTA($Q$11:Q198)/5),0),N198)</f>
        <v>0.025</v>
      </c>
      <c r="O199" s="76">
        <f ca="1">IF(MOD(COUNTIF($Q$11:Q198,Q198),5)=0,OFFSET(装备属性!$L$1083,1+INT(COUNTA($Q$11:Q198)/5),0),O198)</f>
        <v>0.029</v>
      </c>
      <c r="Q199" s="89" t="str">
        <f ca="1">IF(MOD(COUNTIF($Q$11:Q198,Q198),5)=0,OFFSET(装备属性!$M$1083,1+INT(COUNTA($Q$11:Q198)/5),0),Q198)</f>
        <v>通用属性</v>
      </c>
      <c r="R199" s="83">
        <f ca="1">IF(MOD(COUNTIF($Q$11:Q198,Q198),5)=0,10000*SUBSTITUTE(SUBSTITUTE(OFFSET(装备属性!$F$1083,1+INT(COUNTA($Q$11:Q198)/5),0),"[",""),"]","")+_xlfn.XLOOKUP(C199,$M$3:$M$7,$N$3:$N$7)*100,R198)</f>
        <v>10700</v>
      </c>
    </row>
    <row r="200" customHeight="1" spans="1:18">
      <c r="A200" s="78">
        <f ca="1" t="shared" si="6"/>
        <v>10701</v>
      </c>
      <c r="B200" s="82">
        <f ca="1">IFERROR(R200+COUNTIFS($R$11:$R200,R200),"")</f>
        <v>10705</v>
      </c>
      <c r="C200" s="83" t="str">
        <f ca="1">IF(MOD(COUNTIF($Q$11:Q199,Q199),5)=0,OFFSET(装备属性!$D$1083,1+INT(COUNTA($Q$11:Q199)/5),0),C199)</f>
        <v>粉</v>
      </c>
      <c r="D200" s="82">
        <f t="shared" si="8"/>
        <v>1000</v>
      </c>
      <c r="F200" s="82">
        <f ca="1" t="shared" si="7"/>
        <v>10700</v>
      </c>
      <c r="G200" s="78" t="str">
        <f ca="1">IF(AND(LEFT("[{"&amp;M200&amp;","&amp;CEILING(N200*10000+(O200-N200)/4*(COUNTIF($F$11:F200,F200)-1)*10000,10)&amp;"}]",7)="[{equip",MID("[{"&amp;M200&amp;","&amp;CEILING(N200*10000+(O200-N200)/4*(COUNTIF($F$11:F200,F200)-1)*10000,10)&amp;"}]",8,1)&lt;&gt;"_"),"[{"&amp;M200&amp;","&amp;1&amp;"}]","[{"&amp;M200&amp;","&amp;CEILING(N200*10000+(O200-N200)/4*(COUNTIF($F$11:F200,F200)-1)*10000,10)&amp;"}]")</f>
        <v>[{dmg_red_rate,290}]</v>
      </c>
      <c r="H200" s="82" t="s">
        <v>563</v>
      </c>
      <c r="J200" s="78">
        <f ca="1">IF(MOD(COUNTIF($Q$11:Q199,Q199),5)=0,OFFSET(装备属性!$P$1083,1+INT(COUNTA($Q$11:Q199)/5),0),J199)</f>
        <v>6</v>
      </c>
      <c r="K200" s="83" t="str">
        <f ca="1">IF(RIGHT(G200,13)="rune_slot,1}]",_xlfn.XLOOKUP(LEFT(SUBSTITUTE(G200,"[{",""),FIND(",",SUBSTITUTE(G200,"[{",""))-1),Sheet2!B:B,Sheet2!C:C)&amp;"+"&amp;1,_xlfn.XLOOKUP(LEFT(SUBSTITUTE(G200,"[{",""),FIND(",",SUBSTITUTE(G200,"[{",""))-1),Sheet2!B:B,Sheet2!C:C)&amp;"+"&amp;SUBSTITUTE(RIGHT(G200,LEN(G200)-FIND(",",G200)),"}]","")/100&amp;"%")</f>
        <v>伤害减免+2.9%</v>
      </c>
      <c r="L200" s="83" t="str">
        <f ca="1">IF(MOD(COUNTIF($Q$11:Q199,Q199),5)=0,OFFSET(装备属性!$G$1083,1+INT(COUNTA($Q$11:Q199)/5),0),L199)</f>
        <v>全员抗揍Ⅳ</v>
      </c>
      <c r="M200" s="89" t="str">
        <f ca="1">IF(MOD(COUNTIF($Q$11:Q199,Q199),5)=0,OFFSET(装备属性!$H$1083,1+INT(COUNTA($Q$11:Q199)/5),0),M199)</f>
        <v>dmg_red_rate</v>
      </c>
      <c r="N200" s="76">
        <f ca="1">IF(MOD(COUNTIF($Q$11:Q199,Q199),5)=0,OFFSET(装备属性!$K$1083,1+INT(COUNTA($Q$11:Q199)/5),0),N199)</f>
        <v>0.025</v>
      </c>
      <c r="O200" s="76">
        <f ca="1">IF(MOD(COUNTIF($Q$11:Q199,Q199),5)=0,OFFSET(装备属性!$L$1083,1+INT(COUNTA($Q$11:Q199)/5),0),O199)</f>
        <v>0.029</v>
      </c>
      <c r="Q200" s="89" t="str">
        <f ca="1">IF(MOD(COUNTIF($Q$11:Q199,Q199),5)=0,OFFSET(装备属性!$M$1083,1+INT(COUNTA($Q$11:Q199)/5),0),Q199)</f>
        <v>通用属性</v>
      </c>
      <c r="R200" s="83">
        <f ca="1">IF(MOD(COUNTIF($Q$11:Q199,Q199),5)=0,10000*SUBSTITUTE(SUBSTITUTE(OFFSET(装备属性!$F$1083,1+INT(COUNTA($Q$11:Q199)/5),0),"[",""),"]","")+_xlfn.XLOOKUP(C200,$M$3:$M$7,$N$3:$N$7)*100,R199)</f>
        <v>10700</v>
      </c>
    </row>
    <row r="201" customHeight="1" spans="1:18">
      <c r="A201" s="78">
        <f ca="1" t="shared" si="6"/>
        <v>10701</v>
      </c>
      <c r="B201" s="82">
        <f ca="1">IFERROR(R201+COUNTIFS($R$11:$R201,R201),"")</f>
        <v>10706</v>
      </c>
      <c r="C201" s="83" t="str">
        <f ca="1">IF(MOD(COUNTIF($Q$11:Q200,Q200),5)=0,OFFSET(装备属性!$D$1083,1+INT(COUNTA($Q$11:Q200)/5),0),C200)</f>
        <v>粉</v>
      </c>
      <c r="D201" s="82">
        <f t="shared" si="8"/>
        <v>3000</v>
      </c>
      <c r="F201" s="82">
        <f ca="1" t="shared" si="7"/>
        <v>10701</v>
      </c>
      <c r="G201" s="78" t="str">
        <f ca="1">IF(AND(LEFT("[{"&amp;M201&amp;","&amp;CEILING(N201*10000+(O201-N201)/4*(COUNTIF($F$11:F201,F201)-1)*10000,10)&amp;"}]",7)="[{equip",MID("[{"&amp;M201&amp;","&amp;CEILING(N201*10000+(O201-N201)/4*(COUNTIF($F$11:F201,F201)-1)*10000,10)&amp;"}]",8,1)&lt;&gt;"_"),"[{"&amp;M201&amp;","&amp;1&amp;"}]","[{"&amp;M201&amp;","&amp;CEILING(N201*10000+(O201-N201)/4*(COUNTIF($F$11:F201,F201)-1)*10000,10)&amp;"}]")</f>
        <v>[{all_class_dmg,580}]</v>
      </c>
      <c r="H201" s="82" t="s">
        <v>563</v>
      </c>
      <c r="J201" s="78">
        <f ca="1">IF(MOD(COUNTIF($Q$11:Q200,Q200),5)=0,OFFSET(装备属性!$P$1083,1+INT(COUNTA($Q$11:Q200)/5),0),J200)</f>
        <v>2</v>
      </c>
      <c r="K201" s="83" t="str">
        <f ca="1">IF(RIGHT(G201,13)="rune_slot,1}]",_xlfn.XLOOKUP(LEFT(SUBSTITUTE(G201,"[{",""),FIND(",",SUBSTITUTE(G201,"[{",""))-1),Sheet2!B:B,Sheet2!C:C)&amp;"+"&amp;1,_xlfn.XLOOKUP(LEFT(SUBSTITUTE(G201,"[{",""),FIND(",",SUBSTITUTE(G201,"[{",""))-1),Sheet2!B:B,Sheet2!C:C)&amp;"+"&amp;SUBSTITUTE(RIGHT(G201,LEN(G201)-FIND(",",G201)),"}]","")/100&amp;"%")</f>
        <v>上阵五个不同职业增伤+5.8%</v>
      </c>
      <c r="L201" s="83" t="str">
        <f ca="1">IF(MOD(COUNTIF($Q$11:Q200,Q200),5)=0,OFFSET(装备属性!$G$1083,1+INT(COUNTA($Q$11:Q200)/5),0),L200)</f>
        <v>全员出力Ⅳ</v>
      </c>
      <c r="M201" s="89" t="str">
        <f ca="1">IF(MOD(COUNTIF($Q$11:Q200,Q200),5)=0,OFFSET(装备属性!$H$1083,1+INT(COUNTA($Q$11:Q200)/5),0),M200)</f>
        <v>all_class_dmg</v>
      </c>
      <c r="N201" s="76">
        <f ca="1">IF(MOD(COUNTIF($Q$11:Q200,Q200),5)=0,OFFSET(装备属性!$K$1083,1+INT(COUNTA($Q$11:Q200)/5),0),N200)</f>
        <v>0.058</v>
      </c>
      <c r="O201" s="76">
        <f ca="1">IF(MOD(COUNTIF($Q$11:Q200,Q200),5)=0,OFFSET(装备属性!$L$1083,1+INT(COUNTA($Q$11:Q200)/5),0),O200)</f>
        <v>0.072</v>
      </c>
      <c r="Q201" s="89" t="str">
        <f ca="1">IF(MOD(COUNTIF($Q$11:Q200,Q200),5)=0,OFFSET(装备属性!$M$1083,1+INT(COUNTA($Q$11:Q200)/5),0),Q200)</f>
        <v>通用属性</v>
      </c>
      <c r="R201" s="83">
        <f ca="1">IF(MOD(COUNTIF($Q$11:Q200,Q200),5)=0,10000*SUBSTITUTE(SUBSTITUTE(OFFSET(装备属性!$F$1083,1+INT(COUNTA($Q$11:Q200)/5),0),"[",""),"]","")+_xlfn.XLOOKUP(C201,$M$3:$M$7,$N$3:$N$7)*100,R200)</f>
        <v>10700</v>
      </c>
    </row>
    <row r="202" customHeight="1" spans="1:18">
      <c r="A202" s="78">
        <f ca="1" t="shared" si="6"/>
        <v>10701</v>
      </c>
      <c r="B202" s="82">
        <f ca="1">IFERROR(R202+COUNTIFS($R$11:$R202,R202),"")</f>
        <v>10707</v>
      </c>
      <c r="C202" s="83" t="str">
        <f ca="1">IF(MOD(COUNTIF($Q$11:Q201,Q201),5)=0,OFFSET(装备属性!$D$1083,1+INT(COUNTA($Q$11:Q201)/5),0),C201)</f>
        <v>粉</v>
      </c>
      <c r="D202" s="82">
        <f t="shared" si="8"/>
        <v>2500</v>
      </c>
      <c r="F202" s="82">
        <f ca="1" t="shared" si="7"/>
        <v>10701</v>
      </c>
      <c r="G202" s="78" t="str">
        <f ca="1">IF(AND(LEFT("[{"&amp;M202&amp;","&amp;CEILING(N202*10000+(O202-N202)/4*(COUNTIF($F$11:F202,F202)-1)*10000,10)&amp;"}]",7)="[{equip",MID("[{"&amp;M202&amp;","&amp;CEILING(N202*10000+(O202-N202)/4*(COUNTIF($F$11:F202,F202)-1)*10000,10)&amp;"}]",8,1)&lt;&gt;"_"),"[{"&amp;M202&amp;","&amp;1&amp;"}]","[{"&amp;M202&amp;","&amp;CEILING(N202*10000+(O202-N202)/4*(COUNTIF($F$11:F202,F202)-1)*10000,10)&amp;"}]")</f>
        <v>[{all_class_dmg,620}]</v>
      </c>
      <c r="H202" s="82" t="s">
        <v>563</v>
      </c>
      <c r="J202" s="78">
        <f ca="1">IF(MOD(COUNTIF($Q$11:Q201,Q201),5)=0,OFFSET(装备属性!$P$1083,1+INT(COUNTA($Q$11:Q201)/5),0),J201)</f>
        <v>2</v>
      </c>
      <c r="K202" s="83" t="str">
        <f ca="1">IF(RIGHT(G202,13)="rune_slot,1}]",_xlfn.XLOOKUP(LEFT(SUBSTITUTE(G202,"[{",""),FIND(",",SUBSTITUTE(G202,"[{",""))-1),Sheet2!B:B,Sheet2!C:C)&amp;"+"&amp;1,_xlfn.XLOOKUP(LEFT(SUBSTITUTE(G202,"[{",""),FIND(",",SUBSTITUTE(G202,"[{",""))-1),Sheet2!B:B,Sheet2!C:C)&amp;"+"&amp;SUBSTITUTE(RIGHT(G202,LEN(G202)-FIND(",",G202)),"}]","")/100&amp;"%")</f>
        <v>上阵五个不同职业增伤+6.2%</v>
      </c>
      <c r="L202" s="83" t="str">
        <f ca="1">IF(MOD(COUNTIF($Q$11:Q201,Q201),5)=0,OFFSET(装备属性!$G$1083,1+INT(COUNTA($Q$11:Q201)/5),0),L201)</f>
        <v>全员出力Ⅳ</v>
      </c>
      <c r="M202" s="89" t="str">
        <f ca="1">IF(MOD(COUNTIF($Q$11:Q201,Q201),5)=0,OFFSET(装备属性!$H$1083,1+INT(COUNTA($Q$11:Q201)/5),0),M201)</f>
        <v>all_class_dmg</v>
      </c>
      <c r="N202" s="76">
        <f ca="1">IF(MOD(COUNTIF($Q$11:Q201,Q201),5)=0,OFFSET(装备属性!$K$1083,1+INT(COUNTA($Q$11:Q201)/5),0),N201)</f>
        <v>0.058</v>
      </c>
      <c r="O202" s="76">
        <f ca="1">IF(MOD(COUNTIF($Q$11:Q201,Q201),5)=0,OFFSET(装备属性!$L$1083,1+INT(COUNTA($Q$11:Q201)/5),0),O201)</f>
        <v>0.072</v>
      </c>
      <c r="Q202" s="89" t="str">
        <f ca="1">IF(MOD(COUNTIF($Q$11:Q201,Q201),5)=0,OFFSET(装备属性!$M$1083,1+INT(COUNTA($Q$11:Q201)/5),0),Q201)</f>
        <v>通用属性</v>
      </c>
      <c r="R202" s="83">
        <f ca="1">IF(MOD(COUNTIF($Q$11:Q201,Q201),5)=0,10000*SUBSTITUTE(SUBSTITUTE(OFFSET(装备属性!$F$1083,1+INT(COUNTA($Q$11:Q201)/5),0),"[",""),"]","")+_xlfn.XLOOKUP(C202,$M$3:$M$7,$N$3:$N$7)*100,R201)</f>
        <v>10700</v>
      </c>
    </row>
    <row r="203" customHeight="1" spans="1:18">
      <c r="A203" s="78">
        <f ca="1" t="shared" si="6"/>
        <v>10701</v>
      </c>
      <c r="B203" s="82">
        <f ca="1">IFERROR(R203+COUNTIFS($R$11:$R203,R203),"")</f>
        <v>10708</v>
      </c>
      <c r="C203" s="83" t="str">
        <f ca="1">IF(MOD(COUNTIF($Q$11:Q202,Q202),5)=0,OFFSET(装备属性!$D$1083,1+INT(COUNTA($Q$11:Q202)/5),0),C202)</f>
        <v>粉</v>
      </c>
      <c r="D203" s="82">
        <f t="shared" si="8"/>
        <v>2000</v>
      </c>
      <c r="F203" s="82">
        <f ca="1" t="shared" si="7"/>
        <v>10701</v>
      </c>
      <c r="G203" s="78" t="str">
        <f ca="1">IF(AND(LEFT("[{"&amp;M203&amp;","&amp;CEILING(N203*10000+(O203-N203)/4*(COUNTIF($F$11:F203,F203)-1)*10000,10)&amp;"}]",7)="[{equip",MID("[{"&amp;M203&amp;","&amp;CEILING(N203*10000+(O203-N203)/4*(COUNTIF($F$11:F203,F203)-1)*10000,10)&amp;"}]",8,1)&lt;&gt;"_"),"[{"&amp;M203&amp;","&amp;1&amp;"}]","[{"&amp;M203&amp;","&amp;CEILING(N203*10000+(O203-N203)/4*(COUNTIF($F$11:F203,F203)-1)*10000,10)&amp;"}]")</f>
        <v>[{all_class_dmg,650}]</v>
      </c>
      <c r="H203" s="82" t="s">
        <v>563</v>
      </c>
      <c r="J203" s="78">
        <f ca="1">IF(MOD(COUNTIF($Q$11:Q202,Q202),5)=0,OFFSET(装备属性!$P$1083,1+INT(COUNTA($Q$11:Q202)/5),0),J202)</f>
        <v>2</v>
      </c>
      <c r="K203" s="83" t="str">
        <f ca="1">IF(RIGHT(G203,13)="rune_slot,1}]",_xlfn.XLOOKUP(LEFT(SUBSTITUTE(G203,"[{",""),FIND(",",SUBSTITUTE(G203,"[{",""))-1),Sheet2!B:B,Sheet2!C:C)&amp;"+"&amp;1,_xlfn.XLOOKUP(LEFT(SUBSTITUTE(G203,"[{",""),FIND(",",SUBSTITUTE(G203,"[{",""))-1),Sheet2!B:B,Sheet2!C:C)&amp;"+"&amp;SUBSTITUTE(RIGHT(G203,LEN(G203)-FIND(",",G203)),"}]","")/100&amp;"%")</f>
        <v>上阵五个不同职业增伤+6.5%</v>
      </c>
      <c r="L203" s="83" t="str">
        <f ca="1">IF(MOD(COUNTIF($Q$11:Q202,Q202),5)=0,OFFSET(装备属性!$G$1083,1+INT(COUNTA($Q$11:Q202)/5),0),L202)</f>
        <v>全员出力Ⅳ</v>
      </c>
      <c r="M203" s="89" t="str">
        <f ca="1">IF(MOD(COUNTIF($Q$11:Q202,Q202),5)=0,OFFSET(装备属性!$H$1083,1+INT(COUNTA($Q$11:Q202)/5),0),M202)</f>
        <v>all_class_dmg</v>
      </c>
      <c r="N203" s="76">
        <f ca="1">IF(MOD(COUNTIF($Q$11:Q202,Q202),5)=0,OFFSET(装备属性!$K$1083,1+INT(COUNTA($Q$11:Q202)/5),0),N202)</f>
        <v>0.058</v>
      </c>
      <c r="O203" s="76">
        <f ca="1">IF(MOD(COUNTIF($Q$11:Q202,Q202),5)=0,OFFSET(装备属性!$L$1083,1+INT(COUNTA($Q$11:Q202)/5),0),O202)</f>
        <v>0.072</v>
      </c>
      <c r="Q203" s="89" t="str">
        <f ca="1">IF(MOD(COUNTIF($Q$11:Q202,Q202),5)=0,OFFSET(装备属性!$M$1083,1+INT(COUNTA($Q$11:Q202)/5),0),Q202)</f>
        <v>通用属性</v>
      </c>
      <c r="R203" s="83">
        <f ca="1">IF(MOD(COUNTIF($Q$11:Q202,Q202),5)=0,10000*SUBSTITUTE(SUBSTITUTE(OFFSET(装备属性!$F$1083,1+INT(COUNTA($Q$11:Q202)/5),0),"[",""),"]","")+_xlfn.XLOOKUP(C203,$M$3:$M$7,$N$3:$N$7)*100,R202)</f>
        <v>10700</v>
      </c>
    </row>
    <row r="204" customHeight="1" spans="1:18">
      <c r="A204" s="78">
        <f ca="1" t="shared" ref="A204:A267" si="9">IFERROR(R204+IF(Q204="通用属性",1,IF(Q204="玩法类",2,IF(Q204="稀有词条",3,0))),"")</f>
        <v>10701</v>
      </c>
      <c r="B204" s="82">
        <f ca="1">IFERROR(R204+COUNTIFS($R$11:$R204,R204),"")</f>
        <v>10709</v>
      </c>
      <c r="C204" s="83" t="str">
        <f ca="1">IF(MOD(COUNTIF($Q$11:Q203,Q203),5)=0,OFFSET(装备属性!$D$1083,1+INT(COUNTA($Q$11:Q203)/5),0),C203)</f>
        <v>粉</v>
      </c>
      <c r="D204" s="82">
        <f t="shared" si="8"/>
        <v>1500</v>
      </c>
      <c r="F204" s="82">
        <f ca="1" t="shared" ref="F204:F267" si="10">IFERROR(R204+INT((B204-R204-1)/5),"")</f>
        <v>10701</v>
      </c>
      <c r="G204" s="78" t="str">
        <f ca="1">IF(AND(LEFT("[{"&amp;M204&amp;","&amp;CEILING(N204*10000+(O204-N204)/4*(COUNTIF($F$11:F204,F204)-1)*10000,10)&amp;"}]",7)="[{equip",MID("[{"&amp;M204&amp;","&amp;CEILING(N204*10000+(O204-N204)/4*(COUNTIF($F$11:F204,F204)-1)*10000,10)&amp;"}]",8,1)&lt;&gt;"_"),"[{"&amp;M204&amp;","&amp;1&amp;"}]","[{"&amp;M204&amp;","&amp;CEILING(N204*10000+(O204-N204)/4*(COUNTIF($F$11:F204,F204)-1)*10000,10)&amp;"}]")</f>
        <v>[{all_class_dmg,690}]</v>
      </c>
      <c r="H204" s="82" t="s">
        <v>563</v>
      </c>
      <c r="J204" s="78">
        <f ca="1">IF(MOD(COUNTIF($Q$11:Q203,Q203),5)=0,OFFSET(装备属性!$P$1083,1+INT(COUNTA($Q$11:Q203)/5),0),J203)</f>
        <v>2</v>
      </c>
      <c r="K204" s="83" t="str">
        <f ca="1">IF(RIGHT(G204,13)="rune_slot,1}]",_xlfn.XLOOKUP(LEFT(SUBSTITUTE(G204,"[{",""),FIND(",",SUBSTITUTE(G204,"[{",""))-1),Sheet2!B:B,Sheet2!C:C)&amp;"+"&amp;1,_xlfn.XLOOKUP(LEFT(SUBSTITUTE(G204,"[{",""),FIND(",",SUBSTITUTE(G204,"[{",""))-1),Sheet2!B:B,Sheet2!C:C)&amp;"+"&amp;SUBSTITUTE(RIGHT(G204,LEN(G204)-FIND(",",G204)),"}]","")/100&amp;"%")</f>
        <v>上阵五个不同职业增伤+6.9%</v>
      </c>
      <c r="L204" s="83" t="str">
        <f ca="1">IF(MOD(COUNTIF($Q$11:Q203,Q203),5)=0,OFFSET(装备属性!$G$1083,1+INT(COUNTA($Q$11:Q203)/5),0),L203)</f>
        <v>全员出力Ⅳ</v>
      </c>
      <c r="M204" s="89" t="str">
        <f ca="1">IF(MOD(COUNTIF($Q$11:Q203,Q203),5)=0,OFFSET(装备属性!$H$1083,1+INT(COUNTA($Q$11:Q203)/5),0),M203)</f>
        <v>all_class_dmg</v>
      </c>
      <c r="N204" s="76">
        <f ca="1">IF(MOD(COUNTIF($Q$11:Q203,Q203),5)=0,OFFSET(装备属性!$K$1083,1+INT(COUNTA($Q$11:Q203)/5),0),N203)</f>
        <v>0.058</v>
      </c>
      <c r="O204" s="76">
        <f ca="1">IF(MOD(COUNTIF($Q$11:Q203,Q203),5)=0,OFFSET(装备属性!$L$1083,1+INT(COUNTA($Q$11:Q203)/5),0),O203)</f>
        <v>0.072</v>
      </c>
      <c r="Q204" s="89" t="str">
        <f ca="1">IF(MOD(COUNTIF($Q$11:Q203,Q203),5)=0,OFFSET(装备属性!$M$1083,1+INT(COUNTA($Q$11:Q203)/5),0),Q203)</f>
        <v>通用属性</v>
      </c>
      <c r="R204" s="83">
        <f ca="1">IF(MOD(COUNTIF($Q$11:Q203,Q203),5)=0,10000*SUBSTITUTE(SUBSTITUTE(OFFSET(装备属性!$F$1083,1+INT(COUNTA($Q$11:Q203)/5),0),"[",""),"]","")+_xlfn.XLOOKUP(C204,$M$3:$M$7,$N$3:$N$7)*100,R203)</f>
        <v>10700</v>
      </c>
    </row>
    <row r="205" customHeight="1" spans="1:18">
      <c r="A205" s="78">
        <f ca="1" t="shared" si="9"/>
        <v>10701</v>
      </c>
      <c r="B205" s="82">
        <f ca="1">IFERROR(R205+COUNTIFS($R$11:$R205,R205),"")</f>
        <v>10710</v>
      </c>
      <c r="C205" s="83" t="str">
        <f ca="1">IF(MOD(COUNTIF($Q$11:Q204,Q204),5)=0,OFFSET(装备属性!$D$1083,1+INT(COUNTA($Q$11:Q204)/5),0),C204)</f>
        <v>粉</v>
      </c>
      <c r="D205" s="82">
        <f t="shared" si="8"/>
        <v>1000</v>
      </c>
      <c r="F205" s="82">
        <f ca="1" t="shared" si="10"/>
        <v>10701</v>
      </c>
      <c r="G205" s="78" t="str">
        <f ca="1">IF(AND(LEFT("[{"&amp;M205&amp;","&amp;CEILING(N205*10000+(O205-N205)/4*(COUNTIF($F$11:F205,F205)-1)*10000,10)&amp;"}]",7)="[{equip",MID("[{"&amp;M205&amp;","&amp;CEILING(N205*10000+(O205-N205)/4*(COUNTIF($F$11:F205,F205)-1)*10000,10)&amp;"}]",8,1)&lt;&gt;"_"),"[{"&amp;M205&amp;","&amp;1&amp;"}]","[{"&amp;M205&amp;","&amp;CEILING(N205*10000+(O205-N205)/4*(COUNTIF($F$11:F205,F205)-1)*10000,10)&amp;"}]")</f>
        <v>[{all_class_dmg,720}]</v>
      </c>
      <c r="H205" s="82" t="s">
        <v>563</v>
      </c>
      <c r="J205" s="78">
        <f ca="1">IF(MOD(COUNTIF($Q$11:Q204,Q204),5)=0,OFFSET(装备属性!$P$1083,1+INT(COUNTA($Q$11:Q204)/5),0),J204)</f>
        <v>2</v>
      </c>
      <c r="K205" s="83" t="str">
        <f ca="1">IF(RIGHT(G205,13)="rune_slot,1}]",_xlfn.XLOOKUP(LEFT(SUBSTITUTE(G205,"[{",""),FIND(",",SUBSTITUTE(G205,"[{",""))-1),Sheet2!B:B,Sheet2!C:C)&amp;"+"&amp;1,_xlfn.XLOOKUP(LEFT(SUBSTITUTE(G205,"[{",""),FIND(",",SUBSTITUTE(G205,"[{",""))-1),Sheet2!B:B,Sheet2!C:C)&amp;"+"&amp;SUBSTITUTE(RIGHT(G205,LEN(G205)-FIND(",",G205)),"}]","")/100&amp;"%")</f>
        <v>上阵五个不同职业增伤+7.2%</v>
      </c>
      <c r="L205" s="83" t="str">
        <f ca="1">IF(MOD(COUNTIF($Q$11:Q204,Q204),5)=0,OFFSET(装备属性!$G$1083,1+INT(COUNTA($Q$11:Q204)/5),0),L204)</f>
        <v>全员出力Ⅳ</v>
      </c>
      <c r="M205" s="89" t="str">
        <f ca="1">IF(MOD(COUNTIF($Q$11:Q204,Q204),5)=0,OFFSET(装备属性!$H$1083,1+INT(COUNTA($Q$11:Q204)/5),0),M204)</f>
        <v>all_class_dmg</v>
      </c>
      <c r="N205" s="76">
        <f ca="1">IF(MOD(COUNTIF($Q$11:Q204,Q204),5)=0,OFFSET(装备属性!$K$1083,1+INT(COUNTA($Q$11:Q204)/5),0),N204)</f>
        <v>0.058</v>
      </c>
      <c r="O205" s="76">
        <f ca="1">IF(MOD(COUNTIF($Q$11:Q204,Q204),5)=0,OFFSET(装备属性!$L$1083,1+INT(COUNTA($Q$11:Q204)/5),0),O204)</f>
        <v>0.072</v>
      </c>
      <c r="Q205" s="89" t="str">
        <f ca="1">IF(MOD(COUNTIF($Q$11:Q204,Q204),5)=0,OFFSET(装备属性!$M$1083,1+INT(COUNTA($Q$11:Q204)/5),0),Q204)</f>
        <v>通用属性</v>
      </c>
      <c r="R205" s="83">
        <f ca="1">IF(MOD(COUNTIF($Q$11:Q204,Q204),5)=0,10000*SUBSTITUTE(SUBSTITUTE(OFFSET(装备属性!$F$1083,1+INT(COUNTA($Q$11:Q204)/5),0),"[",""),"]","")+_xlfn.XLOOKUP(C205,$M$3:$M$7,$N$3:$N$7)*100,R204)</f>
        <v>10700</v>
      </c>
    </row>
    <row r="206" customHeight="1" spans="1:18">
      <c r="A206" s="78" t="str">
        <f ca="1" t="shared" si="9"/>
        <v/>
      </c>
      <c r="B206" s="82" t="str">
        <f ca="1">IFERROR(R206+COUNTIFS($R$11:$R206,R206),"")</f>
        <v/>
      </c>
      <c r="C206" s="83">
        <f ca="1">IF(MOD(COUNTIF($Q$11:Q205,Q205),5)=0,OFFSET(装备属性!$D$1083,1+INT(COUNTA($Q$11:Q205)/5),0),C205)</f>
        <v>0</v>
      </c>
      <c r="D206" s="82">
        <f t="shared" si="8"/>
        <v>3000</v>
      </c>
      <c r="F206" s="82" t="str">
        <f ca="1" t="shared" si="10"/>
        <v/>
      </c>
      <c r="G206" s="78" t="str">
        <f ca="1">IF(AND(LEFT("[{"&amp;M206&amp;","&amp;CEILING(N206*10000+(O206-N206)/4*(COUNTIF($F$11:F206,F206)-1)*10000,10)&amp;"}]",7)="[{equip",MID("[{"&amp;M206&amp;","&amp;CEILING(N206*10000+(O206-N206)/4*(COUNTIF($F$11:F206,F206)-1)*10000,10)&amp;"}]",8,1)&lt;&gt;"_"),"[{"&amp;M206&amp;","&amp;1&amp;"}]","[{"&amp;M206&amp;","&amp;CEILING(N206*10000+(O206-N206)/4*(COUNTIF($F$11:F206,F206)-1)*10000,10)&amp;"}]")</f>
        <v>[{exp_boost,2000}]</v>
      </c>
      <c r="H206" s="82" t="s">
        <v>563</v>
      </c>
      <c r="J206" s="78">
        <f ca="1">IF(MOD(COUNTIF($Q$11:Q205,Q205),5)=0,OFFSET(装备属性!$P$1083,1+INT(COUNTA($Q$11:Q205)/5),0),J205)</f>
        <v>9</v>
      </c>
      <c r="K206" s="83" t="str">
        <f ca="1">IF(RIGHT(G206,13)="rune_slot,1}]",_xlfn.XLOOKUP(LEFT(SUBSTITUTE(G206,"[{",""),FIND(",",SUBSTITUTE(G206,"[{",""))-1),Sheet2!B:B,Sheet2!C:C)&amp;"+"&amp;1,_xlfn.XLOOKUP(LEFT(SUBSTITUTE(G206,"[{",""),FIND(",",SUBSTITUTE(G206,"[{",""))-1),Sheet2!B:B,Sheet2!C:C)&amp;"+"&amp;SUBSTITUTE(RIGHT(G206,LEN(G206)-FIND(",",G206)),"}]","")/100&amp;"%")</f>
        <v>经验加成+20%</v>
      </c>
      <c r="L206" s="83" t="str">
        <f ca="1">IF(MOD(COUNTIF($Q$11:Q205,Q205),5)=0,OFFSET(装备属性!$G$1083,1+INT(COUNTA($Q$11:Q205)/5),0),L205)</f>
        <v>涨见识</v>
      </c>
      <c r="M206" s="89" t="str">
        <f ca="1">IF(MOD(COUNTIF($Q$11:Q205,Q205),5)=0,OFFSET(装备属性!$H$1083,1+INT(COUNTA($Q$11:Q205)/5),0),M205)</f>
        <v>exp_boost</v>
      </c>
      <c r="N206" s="76">
        <f ca="1">IF(MOD(COUNTIF($Q$11:Q205,Q205),5)=0,OFFSET(装备属性!$K$1083,1+INT(COUNTA($Q$11:Q205)/5),0),N205)</f>
        <v>0.2</v>
      </c>
      <c r="O206" s="76">
        <f ca="1">IF(MOD(COUNTIF($Q$11:Q205,Q205),5)=0,OFFSET(装备属性!$L$1083,1+INT(COUNTA($Q$11:Q205)/5),0),O205)</f>
        <v>0.2</v>
      </c>
      <c r="Q206" s="89" t="str">
        <f ca="1">IF(MOD(COUNTIF($Q$11:Q205,Q205),5)=0,OFFSET(装备属性!$M$1083,1+INT(COUNTA($Q$11:Q205)/5),0),Q205)</f>
        <v>稀有词条</v>
      </c>
      <c r="R206" s="83" t="e">
        <f ca="1">IF(MOD(COUNTIF($Q$11:Q205,Q205),5)=0,10000*SUBSTITUTE(SUBSTITUTE(OFFSET(装备属性!$F$1083,1+INT(COUNTA($Q$11:Q205)/5),0),"[",""),"]","")+_xlfn.XLOOKUP(C206,$M$3:$M$7,$N$3:$N$7)*100,R205)</f>
        <v>#N/A</v>
      </c>
    </row>
    <row r="207" customHeight="1" spans="1:18">
      <c r="A207" s="78" t="str">
        <f ca="1" t="shared" si="9"/>
        <v/>
      </c>
      <c r="B207" s="82" t="str">
        <f ca="1">IFERROR(R207+COUNTIFS($R$11:$R207,R207),"")</f>
        <v/>
      </c>
      <c r="C207" s="83">
        <f ca="1">IF(MOD(COUNTIF($Q$11:Q206,Q206),5)=0,OFFSET(装备属性!$D$1083,1+INT(COUNTA($Q$11:Q206)/5),0),C206)</f>
        <v>0</v>
      </c>
      <c r="D207" s="82">
        <f t="shared" si="8"/>
        <v>2500</v>
      </c>
      <c r="F207" s="82" t="str">
        <f ca="1" t="shared" si="10"/>
        <v/>
      </c>
      <c r="G207" s="78" t="str">
        <f ca="1">IF(AND(LEFT("[{"&amp;M207&amp;","&amp;CEILING(N207*10000+(O207-N207)/4*(COUNTIF($F$11:F207,F207)-1)*10000,10)&amp;"}]",7)="[{equip",MID("[{"&amp;M207&amp;","&amp;CEILING(N207*10000+(O207-N207)/4*(COUNTIF($F$11:F207,F207)-1)*10000,10)&amp;"}]",8,1)&lt;&gt;"_"),"[{"&amp;M207&amp;","&amp;1&amp;"}]","[{"&amp;M207&amp;","&amp;CEILING(N207*10000+(O207-N207)/4*(COUNTIF($F$11:F207,F207)-1)*10000,10)&amp;"}]")</f>
        <v>[{exp_boost,2000}]</v>
      </c>
      <c r="H207" s="82" t="s">
        <v>563</v>
      </c>
      <c r="J207" s="78">
        <f ca="1">IF(MOD(COUNTIF($Q$11:Q206,Q206),5)=0,OFFSET(装备属性!$P$1083,1+INT(COUNTA($Q$11:Q206)/5),0),J206)</f>
        <v>9</v>
      </c>
      <c r="K207" s="83" t="str">
        <f ca="1">IF(RIGHT(G207,13)="rune_slot,1}]",_xlfn.XLOOKUP(LEFT(SUBSTITUTE(G207,"[{",""),FIND(",",SUBSTITUTE(G207,"[{",""))-1),Sheet2!B:B,Sheet2!C:C)&amp;"+"&amp;1,_xlfn.XLOOKUP(LEFT(SUBSTITUTE(G207,"[{",""),FIND(",",SUBSTITUTE(G207,"[{",""))-1),Sheet2!B:B,Sheet2!C:C)&amp;"+"&amp;SUBSTITUTE(RIGHT(G207,LEN(G207)-FIND(",",G207)),"}]","")/100&amp;"%")</f>
        <v>经验加成+20%</v>
      </c>
      <c r="L207" s="83" t="str">
        <f ca="1">IF(MOD(COUNTIF($Q$11:Q206,Q206),5)=0,OFFSET(装备属性!$G$1083,1+INT(COUNTA($Q$11:Q206)/5),0),L206)</f>
        <v>涨见识</v>
      </c>
      <c r="M207" s="89" t="str">
        <f ca="1">IF(MOD(COUNTIF($Q$11:Q206,Q206),5)=0,OFFSET(装备属性!$H$1083,1+INT(COUNTA($Q$11:Q206)/5),0),M206)</f>
        <v>exp_boost</v>
      </c>
      <c r="N207" s="76">
        <f ca="1">IF(MOD(COUNTIF($Q$11:Q206,Q206),5)=0,OFFSET(装备属性!$K$1083,1+INT(COUNTA($Q$11:Q206)/5),0),N206)</f>
        <v>0.2</v>
      </c>
      <c r="O207" s="76">
        <f ca="1">IF(MOD(COUNTIF($Q$11:Q206,Q206),5)=0,OFFSET(装备属性!$L$1083,1+INT(COUNTA($Q$11:Q206)/5),0),O206)</f>
        <v>0.2</v>
      </c>
      <c r="Q207" s="89" t="str">
        <f ca="1">IF(MOD(COUNTIF($Q$11:Q206,Q206),5)=0,OFFSET(装备属性!$M$1083,1+INT(COUNTA($Q$11:Q206)/5),0),Q206)</f>
        <v>稀有词条</v>
      </c>
      <c r="R207" s="83" t="e">
        <f ca="1">IF(MOD(COUNTIF($Q$11:Q206,Q206),5)=0,10000*SUBSTITUTE(SUBSTITUTE(OFFSET(装备属性!$F$1083,1+INT(COUNTA($Q$11:Q206)/5),0),"[",""),"]","")+_xlfn.XLOOKUP(C207,$M$3:$M$7,$N$3:$N$7)*100,R206)</f>
        <v>#N/A</v>
      </c>
    </row>
    <row r="208" customHeight="1" spans="1:18">
      <c r="A208" s="78" t="str">
        <f ca="1" t="shared" si="9"/>
        <v/>
      </c>
      <c r="B208" s="82" t="str">
        <f ca="1">IFERROR(R208+COUNTIFS($R$11:$R208,R208),"")</f>
        <v/>
      </c>
      <c r="C208" s="83">
        <f ca="1">IF(MOD(COUNTIF($Q$11:Q207,Q207),5)=0,OFFSET(装备属性!$D$1083,1+INT(COUNTA($Q$11:Q207)/5),0),C207)</f>
        <v>0</v>
      </c>
      <c r="D208" s="82">
        <f t="shared" si="8"/>
        <v>2000</v>
      </c>
      <c r="F208" s="82" t="str">
        <f ca="1" t="shared" si="10"/>
        <v/>
      </c>
      <c r="G208" s="78" t="str">
        <f ca="1">IF(AND(LEFT("[{"&amp;M208&amp;","&amp;CEILING(N208*10000+(O208-N208)/4*(COUNTIF($F$11:F208,F208)-1)*10000,10)&amp;"}]",7)="[{equip",MID("[{"&amp;M208&amp;","&amp;CEILING(N208*10000+(O208-N208)/4*(COUNTIF($F$11:F208,F208)-1)*10000,10)&amp;"}]",8,1)&lt;&gt;"_"),"[{"&amp;M208&amp;","&amp;1&amp;"}]","[{"&amp;M208&amp;","&amp;CEILING(N208*10000+(O208-N208)/4*(COUNTIF($F$11:F208,F208)-1)*10000,10)&amp;"}]")</f>
        <v>[{exp_boost,2000}]</v>
      </c>
      <c r="H208" s="82" t="s">
        <v>563</v>
      </c>
      <c r="J208" s="78">
        <f ca="1">IF(MOD(COUNTIF($Q$11:Q207,Q207),5)=0,OFFSET(装备属性!$P$1083,1+INT(COUNTA($Q$11:Q207)/5),0),J207)</f>
        <v>9</v>
      </c>
      <c r="K208" s="83" t="str">
        <f ca="1">IF(RIGHT(G208,13)="rune_slot,1}]",_xlfn.XLOOKUP(LEFT(SUBSTITUTE(G208,"[{",""),FIND(",",SUBSTITUTE(G208,"[{",""))-1),Sheet2!B:B,Sheet2!C:C)&amp;"+"&amp;1,_xlfn.XLOOKUP(LEFT(SUBSTITUTE(G208,"[{",""),FIND(",",SUBSTITUTE(G208,"[{",""))-1),Sheet2!B:B,Sheet2!C:C)&amp;"+"&amp;SUBSTITUTE(RIGHT(G208,LEN(G208)-FIND(",",G208)),"}]","")/100&amp;"%")</f>
        <v>经验加成+20%</v>
      </c>
      <c r="L208" s="83" t="str">
        <f ca="1">IF(MOD(COUNTIF($Q$11:Q207,Q207),5)=0,OFFSET(装备属性!$G$1083,1+INT(COUNTA($Q$11:Q207)/5),0),L207)</f>
        <v>涨见识</v>
      </c>
      <c r="M208" s="89" t="str">
        <f ca="1">IF(MOD(COUNTIF($Q$11:Q207,Q207),5)=0,OFFSET(装备属性!$H$1083,1+INT(COUNTA($Q$11:Q207)/5),0),M207)</f>
        <v>exp_boost</v>
      </c>
      <c r="N208" s="76">
        <f ca="1">IF(MOD(COUNTIF($Q$11:Q207,Q207),5)=0,OFFSET(装备属性!$K$1083,1+INT(COUNTA($Q$11:Q207)/5),0),N207)</f>
        <v>0.2</v>
      </c>
      <c r="O208" s="76">
        <f ca="1">IF(MOD(COUNTIF($Q$11:Q207,Q207),5)=0,OFFSET(装备属性!$L$1083,1+INT(COUNTA($Q$11:Q207)/5),0),O207)</f>
        <v>0.2</v>
      </c>
      <c r="Q208" s="89" t="str">
        <f ca="1">IF(MOD(COUNTIF($Q$11:Q207,Q207),5)=0,OFFSET(装备属性!$M$1083,1+INT(COUNTA($Q$11:Q207)/5),0),Q207)</f>
        <v>稀有词条</v>
      </c>
      <c r="R208" s="83" t="e">
        <f ca="1">IF(MOD(COUNTIF($Q$11:Q207,Q207),5)=0,10000*SUBSTITUTE(SUBSTITUTE(OFFSET(装备属性!$F$1083,1+INT(COUNTA($Q$11:Q207)/5),0),"[",""),"]","")+_xlfn.XLOOKUP(C208,$M$3:$M$7,$N$3:$N$7)*100,R207)</f>
        <v>#N/A</v>
      </c>
    </row>
    <row r="209" customHeight="1" spans="1:18">
      <c r="A209" s="78" t="str">
        <f ca="1" t="shared" si="9"/>
        <v/>
      </c>
      <c r="B209" s="82" t="str">
        <f ca="1">IFERROR(R209+COUNTIFS($R$11:$R209,R209),"")</f>
        <v/>
      </c>
      <c r="C209" s="83">
        <f ca="1">IF(MOD(COUNTIF($Q$11:Q208,Q208),5)=0,OFFSET(装备属性!$D$1083,1+INT(COUNTA($Q$11:Q208)/5),0),C208)</f>
        <v>0</v>
      </c>
      <c r="D209" s="82">
        <f t="shared" ref="D209:D272" si="11">D204</f>
        <v>1500</v>
      </c>
      <c r="F209" s="82" t="str">
        <f ca="1" t="shared" si="10"/>
        <v/>
      </c>
      <c r="G209" s="78" t="str">
        <f ca="1">IF(AND(LEFT("[{"&amp;M209&amp;","&amp;CEILING(N209*10000+(O209-N209)/4*(COUNTIF($F$11:F209,F209)-1)*10000,10)&amp;"}]",7)="[{equip",MID("[{"&amp;M209&amp;","&amp;CEILING(N209*10000+(O209-N209)/4*(COUNTIF($F$11:F209,F209)-1)*10000,10)&amp;"}]",8,1)&lt;&gt;"_"),"[{"&amp;M209&amp;","&amp;1&amp;"}]","[{"&amp;M209&amp;","&amp;CEILING(N209*10000+(O209-N209)/4*(COUNTIF($F$11:F209,F209)-1)*10000,10)&amp;"}]")</f>
        <v>[{exp_boost,2000}]</v>
      </c>
      <c r="H209" s="82" t="s">
        <v>563</v>
      </c>
      <c r="J209" s="78">
        <f ca="1">IF(MOD(COUNTIF($Q$11:Q208,Q208),5)=0,OFFSET(装备属性!$P$1083,1+INT(COUNTA($Q$11:Q208)/5),0),J208)</f>
        <v>9</v>
      </c>
      <c r="K209" s="83" t="str">
        <f ca="1">IF(RIGHT(G209,13)="rune_slot,1}]",_xlfn.XLOOKUP(LEFT(SUBSTITUTE(G209,"[{",""),FIND(",",SUBSTITUTE(G209,"[{",""))-1),Sheet2!B:B,Sheet2!C:C)&amp;"+"&amp;1,_xlfn.XLOOKUP(LEFT(SUBSTITUTE(G209,"[{",""),FIND(",",SUBSTITUTE(G209,"[{",""))-1),Sheet2!B:B,Sheet2!C:C)&amp;"+"&amp;SUBSTITUTE(RIGHT(G209,LEN(G209)-FIND(",",G209)),"}]","")/100&amp;"%")</f>
        <v>经验加成+20%</v>
      </c>
      <c r="L209" s="83" t="str">
        <f ca="1">IF(MOD(COUNTIF($Q$11:Q208,Q208),5)=0,OFFSET(装备属性!$G$1083,1+INT(COUNTA($Q$11:Q208)/5),0),L208)</f>
        <v>涨见识</v>
      </c>
      <c r="M209" s="89" t="str">
        <f ca="1">IF(MOD(COUNTIF($Q$11:Q208,Q208),5)=0,OFFSET(装备属性!$H$1083,1+INT(COUNTA($Q$11:Q208)/5),0),M208)</f>
        <v>exp_boost</v>
      </c>
      <c r="N209" s="76">
        <f ca="1">IF(MOD(COUNTIF($Q$11:Q208,Q208),5)=0,OFFSET(装备属性!$K$1083,1+INT(COUNTA($Q$11:Q208)/5),0),N208)</f>
        <v>0.2</v>
      </c>
      <c r="O209" s="76">
        <f ca="1">IF(MOD(COUNTIF($Q$11:Q208,Q208),5)=0,OFFSET(装备属性!$L$1083,1+INT(COUNTA($Q$11:Q208)/5),0),O208)</f>
        <v>0.2</v>
      </c>
      <c r="Q209" s="89" t="str">
        <f ca="1">IF(MOD(COUNTIF($Q$11:Q208,Q208),5)=0,OFFSET(装备属性!$M$1083,1+INT(COUNTA($Q$11:Q208)/5),0),Q208)</f>
        <v>稀有词条</v>
      </c>
      <c r="R209" s="83" t="e">
        <f ca="1">IF(MOD(COUNTIF($Q$11:Q208,Q208),5)=0,10000*SUBSTITUTE(SUBSTITUTE(OFFSET(装备属性!$F$1083,1+INT(COUNTA($Q$11:Q208)/5),0),"[",""),"]","")+_xlfn.XLOOKUP(C209,$M$3:$M$7,$N$3:$N$7)*100,R208)</f>
        <v>#N/A</v>
      </c>
    </row>
    <row r="210" customHeight="1" spans="1:18">
      <c r="A210" s="78" t="str">
        <f ca="1" t="shared" si="9"/>
        <v/>
      </c>
      <c r="B210" s="82" t="str">
        <f ca="1">IFERROR(R210+COUNTIFS($R$11:$R210,R210),"")</f>
        <v/>
      </c>
      <c r="C210" s="83">
        <f ca="1">IF(MOD(COUNTIF($Q$11:Q209,Q209),5)=0,OFFSET(装备属性!$D$1083,1+INT(COUNTA($Q$11:Q209)/5),0),C209)</f>
        <v>0</v>
      </c>
      <c r="D210" s="82">
        <f t="shared" si="11"/>
        <v>1000</v>
      </c>
      <c r="F210" s="82" t="str">
        <f ca="1" t="shared" si="10"/>
        <v/>
      </c>
      <c r="G210" s="78" t="str">
        <f ca="1">IF(AND(LEFT("[{"&amp;M210&amp;","&amp;CEILING(N210*10000+(O210-N210)/4*(COUNTIF($F$11:F210,F210)-1)*10000,10)&amp;"}]",7)="[{equip",MID("[{"&amp;M210&amp;","&amp;CEILING(N210*10000+(O210-N210)/4*(COUNTIF($F$11:F210,F210)-1)*10000,10)&amp;"}]",8,1)&lt;&gt;"_"),"[{"&amp;M210&amp;","&amp;1&amp;"}]","[{"&amp;M210&amp;","&amp;CEILING(N210*10000+(O210-N210)/4*(COUNTIF($F$11:F210,F210)-1)*10000,10)&amp;"}]")</f>
        <v>[{exp_boost,2000}]</v>
      </c>
      <c r="H210" s="82" t="s">
        <v>563</v>
      </c>
      <c r="J210" s="78">
        <f ca="1">IF(MOD(COUNTIF($Q$11:Q209,Q209),5)=0,OFFSET(装备属性!$P$1083,1+INT(COUNTA($Q$11:Q209)/5),0),J209)</f>
        <v>9</v>
      </c>
      <c r="K210" s="83" t="str">
        <f ca="1">IF(RIGHT(G210,13)="rune_slot,1}]",_xlfn.XLOOKUP(LEFT(SUBSTITUTE(G210,"[{",""),FIND(",",SUBSTITUTE(G210,"[{",""))-1),Sheet2!B:B,Sheet2!C:C)&amp;"+"&amp;1,_xlfn.XLOOKUP(LEFT(SUBSTITUTE(G210,"[{",""),FIND(",",SUBSTITUTE(G210,"[{",""))-1),Sheet2!B:B,Sheet2!C:C)&amp;"+"&amp;SUBSTITUTE(RIGHT(G210,LEN(G210)-FIND(",",G210)),"}]","")/100&amp;"%")</f>
        <v>经验加成+20%</v>
      </c>
      <c r="L210" s="83" t="str">
        <f ca="1">IF(MOD(COUNTIF($Q$11:Q209,Q209),5)=0,OFFSET(装备属性!$G$1083,1+INT(COUNTA($Q$11:Q209)/5),0),L209)</f>
        <v>涨见识</v>
      </c>
      <c r="M210" s="89" t="str">
        <f ca="1">IF(MOD(COUNTIF($Q$11:Q209,Q209),5)=0,OFFSET(装备属性!$H$1083,1+INT(COUNTA($Q$11:Q209)/5),0),M209)</f>
        <v>exp_boost</v>
      </c>
      <c r="N210" s="76">
        <f ca="1">IF(MOD(COUNTIF($Q$11:Q209,Q209),5)=0,OFFSET(装备属性!$K$1083,1+INT(COUNTA($Q$11:Q209)/5),0),N209)</f>
        <v>0.2</v>
      </c>
      <c r="O210" s="76">
        <f ca="1">IF(MOD(COUNTIF($Q$11:Q209,Q209),5)=0,OFFSET(装备属性!$L$1083,1+INT(COUNTA($Q$11:Q209)/5),0),O209)</f>
        <v>0.2</v>
      </c>
      <c r="Q210" s="89" t="str">
        <f ca="1">IF(MOD(COUNTIF($Q$11:Q209,Q209),5)=0,OFFSET(装备属性!$M$1083,1+INT(COUNTA($Q$11:Q209)/5),0),Q209)</f>
        <v>稀有词条</v>
      </c>
      <c r="R210" s="83" t="e">
        <f ca="1">IF(MOD(COUNTIF($Q$11:Q209,Q209),5)=0,10000*SUBSTITUTE(SUBSTITUTE(OFFSET(装备属性!$F$1083,1+INT(COUNTA($Q$11:Q209)/5),0),"[",""),"]","")+_xlfn.XLOOKUP(C210,$M$3:$M$7,$N$3:$N$7)*100,R209)</f>
        <v>#N/A</v>
      </c>
    </row>
    <row r="211" customHeight="1" spans="1:18">
      <c r="A211" s="78">
        <f ca="1" t="shared" si="9"/>
        <v>10703</v>
      </c>
      <c r="B211" s="82">
        <f ca="1">IFERROR(R211+COUNTIFS($R$11:$R211,R211),"")</f>
        <v>10711</v>
      </c>
      <c r="C211" s="83" t="str">
        <f ca="1">IF(MOD(COUNTIF($Q$11:Q210,Q210),5)=0,OFFSET(装备属性!$D$1083,1+INT(COUNTA($Q$11:Q210)/5),0),C210)</f>
        <v>粉</v>
      </c>
      <c r="D211" s="82">
        <f t="shared" si="11"/>
        <v>3000</v>
      </c>
      <c r="F211" s="82">
        <f ca="1" t="shared" si="10"/>
        <v>10702</v>
      </c>
      <c r="G211" s="78" t="str">
        <f ca="1">IF(AND(LEFT("[{"&amp;M211&amp;","&amp;CEILING(N211*10000+(O211-N211)/4*(COUNTIF($F$11:F211,F211)-1)*10000,10)&amp;"}]",7)="[{equip",MID("[{"&amp;M211&amp;","&amp;CEILING(N211*10000+(O211-N211)/4*(COUNTIF($F$11:F211,F211)-1)*10000,10)&amp;"}]",8,1)&lt;&gt;"_"),"[{"&amp;M211&amp;","&amp;1&amp;"}]","[{"&amp;M211&amp;","&amp;CEILING(N211*10000+(O211-N211)/4*(COUNTIF($F$11:F211,F211)-1)*10000,10)&amp;"}]")</f>
        <v>[{equip_base_attr,2500}]</v>
      </c>
      <c r="H211" s="82" t="s">
        <v>563</v>
      </c>
      <c r="J211" s="78">
        <f ca="1">IF(MOD(COUNTIF($Q$11:Q210,Q210),5)=0,OFFSET(装备属性!$P$1083,1+INT(COUNTA($Q$11:Q210)/5),0),J210)</f>
        <v>7</v>
      </c>
      <c r="K211" s="83" t="str">
        <f ca="1">IF(RIGHT(G211,13)="rune_slot,1}]",_xlfn.XLOOKUP(LEFT(SUBSTITUTE(G211,"[{",""),FIND(",",SUBSTITUTE(G211,"[{",""))-1),Sheet2!B:B,Sheet2!C:C)&amp;"+"&amp;1,_xlfn.XLOOKUP(LEFT(SUBSTITUTE(G211,"[{",""),FIND(",",SUBSTITUTE(G211,"[{",""))-1),Sheet2!B:B,Sheet2!C:C)&amp;"+"&amp;SUBSTITUTE(RIGHT(G211,LEN(G211)-FIND(",",G211)),"}]","")/100&amp;"%")</f>
        <v>装备基础属性加成+25%</v>
      </c>
      <c r="L211" s="83" t="str">
        <f ca="1">IF(MOD(COUNTIF($Q$11:Q210,Q210),5)=0,OFFSET(装备属性!$G$1083,1+INT(COUNTA($Q$11:Q210)/5),0),L210)</f>
        <v>厚底子</v>
      </c>
      <c r="M211" s="89" t="str">
        <f ca="1">IF(MOD(COUNTIF($Q$11:Q210,Q210),5)=0,OFFSET(装备属性!$H$1083,1+INT(COUNTA($Q$11:Q210)/5),0),M210)</f>
        <v>equip_base_attr</v>
      </c>
      <c r="N211" s="76">
        <f ca="1">IF(MOD(COUNTIF($Q$11:Q210,Q210),5)=0,OFFSET(装备属性!$K$1083,1+INT(COUNTA($Q$11:Q210)/5),0),N210)</f>
        <v>0.25</v>
      </c>
      <c r="O211" s="76">
        <f ca="1">IF(MOD(COUNTIF($Q$11:Q210,Q210),5)=0,OFFSET(装备属性!$L$1083,1+INT(COUNTA($Q$11:Q210)/5),0),O210)</f>
        <v>0.25</v>
      </c>
      <c r="Q211" s="89" t="str">
        <f ca="1">IF(MOD(COUNTIF($Q$11:Q210,Q210),5)=0,OFFSET(装备属性!$M$1083,1+INT(COUNTA($Q$11:Q210)/5),0),Q210)</f>
        <v>稀有词条</v>
      </c>
      <c r="R211" s="83">
        <f ca="1">IF(MOD(COUNTIF($Q$11:Q210,Q210),5)=0,10000*SUBSTITUTE(SUBSTITUTE(OFFSET(装备属性!$F$1083,1+INT(COUNTA($Q$11:Q210)/5),0),"[",""),"]","")+_xlfn.XLOOKUP(C211,$M$3:$M$7,$N$3:$N$7)*100,R210)</f>
        <v>10700</v>
      </c>
    </row>
    <row r="212" customHeight="1" spans="1:18">
      <c r="A212" s="78">
        <f ca="1" t="shared" si="9"/>
        <v>10703</v>
      </c>
      <c r="B212" s="82">
        <f ca="1">IFERROR(R212+COUNTIFS($R$11:$R212,R212),"")</f>
        <v>10712</v>
      </c>
      <c r="C212" s="83" t="str">
        <f ca="1">IF(MOD(COUNTIF($Q$11:Q211,Q211),5)=0,OFFSET(装备属性!$D$1083,1+INT(COUNTA($Q$11:Q211)/5),0),C211)</f>
        <v>粉</v>
      </c>
      <c r="D212" s="82">
        <f t="shared" si="11"/>
        <v>2500</v>
      </c>
      <c r="F212" s="82">
        <f ca="1" t="shared" si="10"/>
        <v>10702</v>
      </c>
      <c r="G212" s="78" t="str">
        <f ca="1">IF(AND(LEFT("[{"&amp;M212&amp;","&amp;CEILING(N212*10000+(O212-N212)/4*(COUNTIF($F$11:F212,F212)-1)*10000,10)&amp;"}]",7)="[{equip",MID("[{"&amp;M212&amp;","&amp;CEILING(N212*10000+(O212-N212)/4*(COUNTIF($F$11:F212,F212)-1)*10000,10)&amp;"}]",8,1)&lt;&gt;"_"),"[{"&amp;M212&amp;","&amp;1&amp;"}]","[{"&amp;M212&amp;","&amp;CEILING(N212*10000+(O212-N212)/4*(COUNTIF($F$11:F212,F212)-1)*10000,10)&amp;"}]")</f>
        <v>[{equip_base_attr,2500}]</v>
      </c>
      <c r="H212" s="82" t="s">
        <v>563</v>
      </c>
      <c r="J212" s="78">
        <f ca="1">IF(MOD(COUNTIF($Q$11:Q211,Q211),5)=0,OFFSET(装备属性!$P$1083,1+INT(COUNTA($Q$11:Q211)/5),0),J211)</f>
        <v>7</v>
      </c>
      <c r="K212" s="83" t="str">
        <f ca="1">IF(RIGHT(G212,13)="rune_slot,1}]",_xlfn.XLOOKUP(LEFT(SUBSTITUTE(G212,"[{",""),FIND(",",SUBSTITUTE(G212,"[{",""))-1),Sheet2!B:B,Sheet2!C:C)&amp;"+"&amp;1,_xlfn.XLOOKUP(LEFT(SUBSTITUTE(G212,"[{",""),FIND(",",SUBSTITUTE(G212,"[{",""))-1),Sheet2!B:B,Sheet2!C:C)&amp;"+"&amp;SUBSTITUTE(RIGHT(G212,LEN(G212)-FIND(",",G212)),"}]","")/100&amp;"%")</f>
        <v>装备基础属性加成+25%</v>
      </c>
      <c r="L212" s="83" t="str">
        <f ca="1">IF(MOD(COUNTIF($Q$11:Q211,Q211),5)=0,OFFSET(装备属性!$G$1083,1+INT(COUNTA($Q$11:Q211)/5),0),L211)</f>
        <v>厚底子</v>
      </c>
      <c r="M212" s="89" t="str">
        <f ca="1">IF(MOD(COUNTIF($Q$11:Q211,Q211),5)=0,OFFSET(装备属性!$H$1083,1+INT(COUNTA($Q$11:Q211)/5),0),M211)</f>
        <v>equip_base_attr</v>
      </c>
      <c r="N212" s="76">
        <f ca="1">IF(MOD(COUNTIF($Q$11:Q211,Q211),5)=0,OFFSET(装备属性!$K$1083,1+INT(COUNTA($Q$11:Q211)/5),0),N211)</f>
        <v>0.25</v>
      </c>
      <c r="O212" s="76">
        <f ca="1">IF(MOD(COUNTIF($Q$11:Q211,Q211),5)=0,OFFSET(装备属性!$L$1083,1+INT(COUNTA($Q$11:Q211)/5),0),O211)</f>
        <v>0.25</v>
      </c>
      <c r="Q212" s="89" t="str">
        <f ca="1">IF(MOD(COUNTIF($Q$11:Q211,Q211),5)=0,OFFSET(装备属性!$M$1083,1+INT(COUNTA($Q$11:Q211)/5),0),Q211)</f>
        <v>稀有词条</v>
      </c>
      <c r="R212" s="83">
        <f ca="1">IF(MOD(COUNTIF($Q$11:Q211,Q211),5)=0,10000*SUBSTITUTE(SUBSTITUTE(OFFSET(装备属性!$F$1083,1+INT(COUNTA($Q$11:Q211)/5),0),"[",""),"]","")+_xlfn.XLOOKUP(C212,$M$3:$M$7,$N$3:$N$7)*100,R211)</f>
        <v>10700</v>
      </c>
    </row>
    <row r="213" customHeight="1" spans="1:18">
      <c r="A213" s="78">
        <f ca="1" t="shared" si="9"/>
        <v>10703</v>
      </c>
      <c r="B213" s="82">
        <f ca="1">IFERROR(R213+COUNTIFS($R$11:$R213,R213),"")</f>
        <v>10713</v>
      </c>
      <c r="C213" s="83" t="str">
        <f ca="1">IF(MOD(COUNTIF($Q$11:Q212,Q212),5)=0,OFFSET(装备属性!$D$1083,1+INT(COUNTA($Q$11:Q212)/5),0),C212)</f>
        <v>粉</v>
      </c>
      <c r="D213" s="82">
        <f t="shared" si="11"/>
        <v>2000</v>
      </c>
      <c r="F213" s="82">
        <f ca="1" t="shared" si="10"/>
        <v>10702</v>
      </c>
      <c r="G213" s="78" t="str">
        <f ca="1">IF(AND(LEFT("[{"&amp;M213&amp;","&amp;CEILING(N213*10000+(O213-N213)/4*(COUNTIF($F$11:F213,F213)-1)*10000,10)&amp;"}]",7)="[{equip",MID("[{"&amp;M213&amp;","&amp;CEILING(N213*10000+(O213-N213)/4*(COUNTIF($F$11:F213,F213)-1)*10000,10)&amp;"}]",8,1)&lt;&gt;"_"),"[{"&amp;M213&amp;","&amp;1&amp;"}]","[{"&amp;M213&amp;","&amp;CEILING(N213*10000+(O213-N213)/4*(COUNTIF($F$11:F213,F213)-1)*10000,10)&amp;"}]")</f>
        <v>[{equip_base_attr,2500}]</v>
      </c>
      <c r="H213" s="82" t="s">
        <v>563</v>
      </c>
      <c r="J213" s="78">
        <f ca="1">IF(MOD(COUNTIF($Q$11:Q212,Q212),5)=0,OFFSET(装备属性!$P$1083,1+INT(COUNTA($Q$11:Q212)/5),0),J212)</f>
        <v>7</v>
      </c>
      <c r="K213" s="83" t="str">
        <f ca="1">IF(RIGHT(G213,13)="rune_slot,1}]",_xlfn.XLOOKUP(LEFT(SUBSTITUTE(G213,"[{",""),FIND(",",SUBSTITUTE(G213,"[{",""))-1),Sheet2!B:B,Sheet2!C:C)&amp;"+"&amp;1,_xlfn.XLOOKUP(LEFT(SUBSTITUTE(G213,"[{",""),FIND(",",SUBSTITUTE(G213,"[{",""))-1),Sheet2!B:B,Sheet2!C:C)&amp;"+"&amp;SUBSTITUTE(RIGHT(G213,LEN(G213)-FIND(",",G213)),"}]","")/100&amp;"%")</f>
        <v>装备基础属性加成+25%</v>
      </c>
      <c r="L213" s="83" t="str">
        <f ca="1">IF(MOD(COUNTIF($Q$11:Q212,Q212),5)=0,OFFSET(装备属性!$G$1083,1+INT(COUNTA($Q$11:Q212)/5),0),L212)</f>
        <v>厚底子</v>
      </c>
      <c r="M213" s="89" t="str">
        <f ca="1">IF(MOD(COUNTIF($Q$11:Q212,Q212),5)=0,OFFSET(装备属性!$H$1083,1+INT(COUNTA($Q$11:Q212)/5),0),M212)</f>
        <v>equip_base_attr</v>
      </c>
      <c r="N213" s="76">
        <f ca="1">IF(MOD(COUNTIF($Q$11:Q212,Q212),5)=0,OFFSET(装备属性!$K$1083,1+INT(COUNTA($Q$11:Q212)/5),0),N212)</f>
        <v>0.25</v>
      </c>
      <c r="O213" s="76">
        <f ca="1">IF(MOD(COUNTIF($Q$11:Q212,Q212),5)=0,OFFSET(装备属性!$L$1083,1+INT(COUNTA($Q$11:Q212)/5),0),O212)</f>
        <v>0.25</v>
      </c>
      <c r="Q213" s="89" t="str">
        <f ca="1">IF(MOD(COUNTIF($Q$11:Q212,Q212),5)=0,OFFSET(装备属性!$M$1083,1+INT(COUNTA($Q$11:Q212)/5),0),Q212)</f>
        <v>稀有词条</v>
      </c>
      <c r="R213" s="83">
        <f ca="1">IF(MOD(COUNTIF($Q$11:Q212,Q212),5)=0,10000*SUBSTITUTE(SUBSTITUTE(OFFSET(装备属性!$F$1083,1+INT(COUNTA($Q$11:Q212)/5),0),"[",""),"]","")+_xlfn.XLOOKUP(C213,$M$3:$M$7,$N$3:$N$7)*100,R212)</f>
        <v>10700</v>
      </c>
    </row>
    <row r="214" customHeight="1" spans="1:18">
      <c r="A214" s="78">
        <f ca="1" t="shared" si="9"/>
        <v>10703</v>
      </c>
      <c r="B214" s="82">
        <f ca="1">IFERROR(R214+COUNTIFS($R$11:$R214,R214),"")</f>
        <v>10714</v>
      </c>
      <c r="C214" s="83" t="str">
        <f ca="1">IF(MOD(COUNTIF($Q$11:Q213,Q213),5)=0,OFFSET(装备属性!$D$1083,1+INT(COUNTA($Q$11:Q213)/5),0),C213)</f>
        <v>粉</v>
      </c>
      <c r="D214" s="82">
        <f t="shared" si="11"/>
        <v>1500</v>
      </c>
      <c r="F214" s="82">
        <f ca="1" t="shared" si="10"/>
        <v>10702</v>
      </c>
      <c r="G214" s="78" t="str">
        <f ca="1">IF(AND(LEFT("[{"&amp;M214&amp;","&amp;CEILING(N214*10000+(O214-N214)/4*(COUNTIF($F$11:F214,F214)-1)*10000,10)&amp;"}]",7)="[{equip",MID("[{"&amp;M214&amp;","&amp;CEILING(N214*10000+(O214-N214)/4*(COUNTIF($F$11:F214,F214)-1)*10000,10)&amp;"}]",8,1)&lt;&gt;"_"),"[{"&amp;M214&amp;","&amp;1&amp;"}]","[{"&amp;M214&amp;","&amp;CEILING(N214*10000+(O214-N214)/4*(COUNTIF($F$11:F214,F214)-1)*10000,10)&amp;"}]")</f>
        <v>[{equip_base_attr,2500}]</v>
      </c>
      <c r="H214" s="82" t="s">
        <v>563</v>
      </c>
      <c r="J214" s="78">
        <f ca="1">IF(MOD(COUNTIF($Q$11:Q213,Q213),5)=0,OFFSET(装备属性!$P$1083,1+INT(COUNTA($Q$11:Q213)/5),0),J213)</f>
        <v>7</v>
      </c>
      <c r="K214" s="83" t="str">
        <f ca="1">IF(RIGHT(G214,13)="rune_slot,1}]",_xlfn.XLOOKUP(LEFT(SUBSTITUTE(G214,"[{",""),FIND(",",SUBSTITUTE(G214,"[{",""))-1),Sheet2!B:B,Sheet2!C:C)&amp;"+"&amp;1,_xlfn.XLOOKUP(LEFT(SUBSTITUTE(G214,"[{",""),FIND(",",SUBSTITUTE(G214,"[{",""))-1),Sheet2!B:B,Sheet2!C:C)&amp;"+"&amp;SUBSTITUTE(RIGHT(G214,LEN(G214)-FIND(",",G214)),"}]","")/100&amp;"%")</f>
        <v>装备基础属性加成+25%</v>
      </c>
      <c r="L214" s="83" t="str">
        <f ca="1">IF(MOD(COUNTIF($Q$11:Q213,Q213),5)=0,OFFSET(装备属性!$G$1083,1+INT(COUNTA($Q$11:Q213)/5),0),L213)</f>
        <v>厚底子</v>
      </c>
      <c r="M214" s="89" t="str">
        <f ca="1">IF(MOD(COUNTIF($Q$11:Q213,Q213),5)=0,OFFSET(装备属性!$H$1083,1+INT(COUNTA($Q$11:Q213)/5),0),M213)</f>
        <v>equip_base_attr</v>
      </c>
      <c r="N214" s="76">
        <f ca="1">IF(MOD(COUNTIF($Q$11:Q213,Q213),5)=0,OFFSET(装备属性!$K$1083,1+INT(COUNTA($Q$11:Q213)/5),0),N213)</f>
        <v>0.25</v>
      </c>
      <c r="O214" s="76">
        <f ca="1">IF(MOD(COUNTIF($Q$11:Q213,Q213),5)=0,OFFSET(装备属性!$L$1083,1+INT(COUNTA($Q$11:Q213)/5),0),O213)</f>
        <v>0.25</v>
      </c>
      <c r="Q214" s="89" t="str">
        <f ca="1">IF(MOD(COUNTIF($Q$11:Q213,Q213),5)=0,OFFSET(装备属性!$M$1083,1+INT(COUNTA($Q$11:Q213)/5),0),Q213)</f>
        <v>稀有词条</v>
      </c>
      <c r="R214" s="83">
        <f ca="1">IF(MOD(COUNTIF($Q$11:Q213,Q213),5)=0,10000*SUBSTITUTE(SUBSTITUTE(OFFSET(装备属性!$F$1083,1+INT(COUNTA($Q$11:Q213)/5),0),"[",""),"]","")+_xlfn.XLOOKUP(C214,$M$3:$M$7,$N$3:$N$7)*100,R213)</f>
        <v>10700</v>
      </c>
    </row>
    <row r="215" customHeight="1" spans="1:18">
      <c r="A215" s="78">
        <f ca="1" t="shared" si="9"/>
        <v>10703</v>
      </c>
      <c r="B215" s="82">
        <f ca="1">IFERROR(R215+COUNTIFS($R$11:$R215,R215),"")</f>
        <v>10715</v>
      </c>
      <c r="C215" s="83" t="str">
        <f ca="1">IF(MOD(COUNTIF($Q$11:Q214,Q214),5)=0,OFFSET(装备属性!$D$1083,1+INT(COUNTA($Q$11:Q214)/5),0),C214)</f>
        <v>粉</v>
      </c>
      <c r="D215" s="82">
        <f t="shared" si="11"/>
        <v>1000</v>
      </c>
      <c r="F215" s="82">
        <f ca="1" t="shared" si="10"/>
        <v>10702</v>
      </c>
      <c r="G215" s="78" t="str">
        <f ca="1">IF(AND(LEFT("[{"&amp;M215&amp;","&amp;CEILING(N215*10000+(O215-N215)/4*(COUNTIF($F$11:F215,F215)-1)*10000,10)&amp;"}]",7)="[{equip",MID("[{"&amp;M215&amp;","&amp;CEILING(N215*10000+(O215-N215)/4*(COUNTIF($F$11:F215,F215)-1)*10000,10)&amp;"}]",8,1)&lt;&gt;"_"),"[{"&amp;M215&amp;","&amp;1&amp;"}]","[{"&amp;M215&amp;","&amp;CEILING(N215*10000+(O215-N215)/4*(COUNTIF($F$11:F215,F215)-1)*10000,10)&amp;"}]")</f>
        <v>[{equip_base_attr,2500}]</v>
      </c>
      <c r="H215" s="82" t="s">
        <v>563</v>
      </c>
      <c r="J215" s="78">
        <f ca="1">IF(MOD(COUNTIF($Q$11:Q214,Q214),5)=0,OFFSET(装备属性!$P$1083,1+INT(COUNTA($Q$11:Q214)/5),0),J214)</f>
        <v>7</v>
      </c>
      <c r="K215" s="83" t="str">
        <f ca="1">IF(RIGHT(G215,13)="rune_slot,1}]",_xlfn.XLOOKUP(LEFT(SUBSTITUTE(G215,"[{",""),FIND(",",SUBSTITUTE(G215,"[{",""))-1),Sheet2!B:B,Sheet2!C:C)&amp;"+"&amp;1,_xlfn.XLOOKUP(LEFT(SUBSTITUTE(G215,"[{",""),FIND(",",SUBSTITUTE(G215,"[{",""))-1),Sheet2!B:B,Sheet2!C:C)&amp;"+"&amp;SUBSTITUTE(RIGHT(G215,LEN(G215)-FIND(",",G215)),"}]","")/100&amp;"%")</f>
        <v>装备基础属性加成+25%</v>
      </c>
      <c r="L215" s="83" t="str">
        <f ca="1">IF(MOD(COUNTIF($Q$11:Q214,Q214),5)=0,OFFSET(装备属性!$G$1083,1+INT(COUNTA($Q$11:Q214)/5),0),L214)</f>
        <v>厚底子</v>
      </c>
      <c r="M215" s="89" t="str">
        <f ca="1">IF(MOD(COUNTIF($Q$11:Q214,Q214),5)=0,OFFSET(装备属性!$H$1083,1+INT(COUNTA($Q$11:Q214)/5),0),M214)</f>
        <v>equip_base_attr</v>
      </c>
      <c r="N215" s="76">
        <f ca="1">IF(MOD(COUNTIF($Q$11:Q214,Q214),5)=0,OFFSET(装备属性!$K$1083,1+INT(COUNTA($Q$11:Q214)/5),0),N214)</f>
        <v>0.25</v>
      </c>
      <c r="O215" s="76">
        <f ca="1">IF(MOD(COUNTIF($Q$11:Q214,Q214),5)=0,OFFSET(装备属性!$L$1083,1+INT(COUNTA($Q$11:Q214)/5),0),O214)</f>
        <v>0.25</v>
      </c>
      <c r="Q215" s="89" t="str">
        <f ca="1">IF(MOD(COUNTIF($Q$11:Q214,Q214),5)=0,OFFSET(装备属性!$M$1083,1+INT(COUNTA($Q$11:Q214)/5),0),Q214)</f>
        <v>稀有词条</v>
      </c>
      <c r="R215" s="83">
        <f ca="1">IF(MOD(COUNTIF($Q$11:Q214,Q214),5)=0,10000*SUBSTITUTE(SUBSTITUTE(OFFSET(装备属性!$F$1083,1+INT(COUNTA($Q$11:Q214)/5),0),"[",""),"]","")+_xlfn.XLOOKUP(C215,$M$3:$M$7,$N$3:$N$7)*100,R214)</f>
        <v>10700</v>
      </c>
    </row>
    <row r="216" customHeight="1" spans="1:18">
      <c r="A216" s="78" t="str">
        <f ca="1" t="shared" si="9"/>
        <v/>
      </c>
      <c r="B216" s="82" t="str">
        <f ca="1">IFERROR(R216+COUNTIFS($R$11:$R216,R216),"")</f>
        <v/>
      </c>
      <c r="C216" s="83">
        <f ca="1">IF(MOD(COUNTIF($Q$11:Q215,Q215),5)=0,OFFSET(装备属性!$D$1083,1+INT(COUNTA($Q$11:Q215)/5),0),C215)</f>
        <v>0</v>
      </c>
      <c r="D216" s="82">
        <f t="shared" si="11"/>
        <v>3000</v>
      </c>
      <c r="F216" s="82" t="str">
        <f ca="1" t="shared" si="10"/>
        <v/>
      </c>
      <c r="G216" s="78" t="str">
        <f ca="1">IF(AND(LEFT("[{"&amp;M216&amp;","&amp;CEILING(N216*10000+(O216-N216)/4*(COUNTIF($F$11:F216,F216)-1)*10000,10)&amp;"}]",7)="[{equip",MID("[{"&amp;M216&amp;","&amp;CEILING(N216*10000+(O216-N216)/4*(COUNTIF($F$11:F216,F216)-1)*10000,10)&amp;"}]",8,1)&lt;&gt;"_"),"[{"&amp;M216&amp;","&amp;1&amp;"}]","[{"&amp;M216&amp;","&amp;CEILING(N216*10000+(O216-N216)/4*(COUNTIF($F$11:F216,F216)-1)*10000,10)&amp;"}]")</f>
        <v>[{equip_extra_attr,5000}]</v>
      </c>
      <c r="H216" s="82" t="s">
        <v>563</v>
      </c>
      <c r="J216" s="78">
        <f ca="1">IF(MOD(COUNTIF($Q$11:Q215,Q215),5)=0,OFFSET(装备属性!$P$1083,1+INT(COUNTA($Q$11:Q215)/5),0),J215)</f>
        <v>8</v>
      </c>
      <c r="K216" s="83" t="str">
        <f ca="1">IF(RIGHT(G216,13)="rune_slot,1}]",_xlfn.XLOOKUP(LEFT(SUBSTITUTE(G216,"[{",""),FIND(",",SUBSTITUTE(G216,"[{",""))-1),Sheet2!B:B,Sheet2!C:C)&amp;"+"&amp;1,_xlfn.XLOOKUP(LEFT(SUBSTITUTE(G216,"[{",""),FIND(",",SUBSTITUTE(G216,"[{",""))-1),Sheet2!B:B,Sheet2!C:C)&amp;"+"&amp;SUBSTITUTE(RIGHT(G216,LEN(G216)-FIND(",",G216)),"}]","")/100&amp;"%")</f>
        <v>装备附加属性加成+50%</v>
      </c>
      <c r="L216" s="83" t="str">
        <f ca="1">IF(MOD(COUNTIF($Q$11:Q215,Q215),5)=0,OFFSET(装备属性!$G$1083,1+INT(COUNTA($Q$11:Q215)/5),0),L215)</f>
        <v>提成色</v>
      </c>
      <c r="M216" s="89" t="str">
        <f ca="1">IF(MOD(COUNTIF($Q$11:Q215,Q215),5)=0,OFFSET(装备属性!$H$1083,1+INT(COUNTA($Q$11:Q215)/5),0),M215)</f>
        <v>equip_extra_attr</v>
      </c>
      <c r="N216" s="76">
        <f ca="1">IF(MOD(COUNTIF($Q$11:Q215,Q215),5)=0,OFFSET(装备属性!$K$1083,1+INT(COUNTA($Q$11:Q215)/5),0),N215)</f>
        <v>0.5</v>
      </c>
      <c r="O216" s="76">
        <f ca="1">IF(MOD(COUNTIF($Q$11:Q215,Q215),5)=0,OFFSET(装备属性!$L$1083,1+INT(COUNTA($Q$11:Q215)/5),0),O215)</f>
        <v>0.5</v>
      </c>
      <c r="Q216" s="89" t="str">
        <f ca="1">IF(MOD(COUNTIF($Q$11:Q215,Q215),5)=0,OFFSET(装备属性!$M$1083,1+INT(COUNTA($Q$11:Q215)/5),0),Q215)</f>
        <v>稀有词条</v>
      </c>
      <c r="R216" s="83" t="e">
        <f ca="1">IF(MOD(COUNTIF($Q$11:Q215,Q215),5)=0,10000*SUBSTITUTE(SUBSTITUTE(OFFSET(装备属性!$F$1083,1+INT(COUNTA($Q$11:Q215)/5),0),"[",""),"]","")+_xlfn.XLOOKUP(C216,$M$3:$M$7,$N$3:$N$7)*100,R215)</f>
        <v>#N/A</v>
      </c>
    </row>
    <row r="217" customHeight="1" spans="1:18">
      <c r="A217" s="78" t="str">
        <f ca="1" t="shared" si="9"/>
        <v/>
      </c>
      <c r="B217" s="82" t="str">
        <f ca="1">IFERROR(R217+COUNTIFS($R$11:$R217,R217),"")</f>
        <v/>
      </c>
      <c r="C217" s="83">
        <f ca="1">IF(MOD(COUNTIF($Q$11:Q216,Q216),5)=0,OFFSET(装备属性!$D$1083,1+INT(COUNTA($Q$11:Q216)/5),0),C216)</f>
        <v>0</v>
      </c>
      <c r="D217" s="82">
        <f t="shared" si="11"/>
        <v>2500</v>
      </c>
      <c r="F217" s="82" t="str">
        <f ca="1" t="shared" si="10"/>
        <v/>
      </c>
      <c r="G217" s="78" t="str">
        <f ca="1">IF(AND(LEFT("[{"&amp;M217&amp;","&amp;CEILING(N217*10000+(O217-N217)/4*(COUNTIF($F$11:F217,F217)-1)*10000,10)&amp;"}]",7)="[{equip",MID("[{"&amp;M217&amp;","&amp;CEILING(N217*10000+(O217-N217)/4*(COUNTIF($F$11:F217,F217)-1)*10000,10)&amp;"}]",8,1)&lt;&gt;"_"),"[{"&amp;M217&amp;","&amp;1&amp;"}]","[{"&amp;M217&amp;","&amp;CEILING(N217*10000+(O217-N217)/4*(COUNTIF($F$11:F217,F217)-1)*10000,10)&amp;"}]")</f>
        <v>[{equip_extra_attr,5000}]</v>
      </c>
      <c r="H217" s="82" t="s">
        <v>563</v>
      </c>
      <c r="J217" s="78">
        <f ca="1">IF(MOD(COUNTIF($Q$11:Q216,Q216),5)=0,OFFSET(装备属性!$P$1083,1+INT(COUNTA($Q$11:Q216)/5),0),J216)</f>
        <v>8</v>
      </c>
      <c r="K217" s="83" t="str">
        <f ca="1">IF(RIGHT(G217,13)="rune_slot,1}]",_xlfn.XLOOKUP(LEFT(SUBSTITUTE(G217,"[{",""),FIND(",",SUBSTITUTE(G217,"[{",""))-1),Sheet2!B:B,Sheet2!C:C)&amp;"+"&amp;1,_xlfn.XLOOKUP(LEFT(SUBSTITUTE(G217,"[{",""),FIND(",",SUBSTITUTE(G217,"[{",""))-1),Sheet2!B:B,Sheet2!C:C)&amp;"+"&amp;SUBSTITUTE(RIGHT(G217,LEN(G217)-FIND(",",G217)),"}]","")/100&amp;"%")</f>
        <v>装备附加属性加成+50%</v>
      </c>
      <c r="L217" s="83" t="str">
        <f ca="1">IF(MOD(COUNTIF($Q$11:Q216,Q216),5)=0,OFFSET(装备属性!$G$1083,1+INT(COUNTA($Q$11:Q216)/5),0),L216)</f>
        <v>提成色</v>
      </c>
      <c r="M217" s="89" t="str">
        <f ca="1">IF(MOD(COUNTIF($Q$11:Q216,Q216),5)=0,OFFSET(装备属性!$H$1083,1+INT(COUNTA($Q$11:Q216)/5),0),M216)</f>
        <v>equip_extra_attr</v>
      </c>
      <c r="N217" s="76">
        <f ca="1">IF(MOD(COUNTIF($Q$11:Q216,Q216),5)=0,OFFSET(装备属性!$K$1083,1+INT(COUNTA($Q$11:Q216)/5),0),N216)</f>
        <v>0.5</v>
      </c>
      <c r="O217" s="76">
        <f ca="1">IF(MOD(COUNTIF($Q$11:Q216,Q216),5)=0,OFFSET(装备属性!$L$1083,1+INT(COUNTA($Q$11:Q216)/5),0),O216)</f>
        <v>0.5</v>
      </c>
      <c r="Q217" s="89" t="str">
        <f ca="1">IF(MOD(COUNTIF($Q$11:Q216,Q216),5)=0,OFFSET(装备属性!$M$1083,1+INT(COUNTA($Q$11:Q216)/5),0),Q216)</f>
        <v>稀有词条</v>
      </c>
      <c r="R217" s="83" t="e">
        <f ca="1">IF(MOD(COUNTIF($Q$11:Q216,Q216),5)=0,10000*SUBSTITUTE(SUBSTITUTE(OFFSET(装备属性!$F$1083,1+INT(COUNTA($Q$11:Q216)/5),0),"[",""),"]","")+_xlfn.XLOOKUP(C217,$M$3:$M$7,$N$3:$N$7)*100,R216)</f>
        <v>#N/A</v>
      </c>
    </row>
    <row r="218" customHeight="1" spans="1:18">
      <c r="A218" s="78" t="str">
        <f ca="1" t="shared" si="9"/>
        <v/>
      </c>
      <c r="B218" s="82" t="str">
        <f ca="1">IFERROR(R218+COUNTIFS($R$11:$R218,R218),"")</f>
        <v/>
      </c>
      <c r="C218" s="83">
        <f ca="1">IF(MOD(COUNTIF($Q$11:Q217,Q217),5)=0,OFFSET(装备属性!$D$1083,1+INT(COUNTA($Q$11:Q217)/5),0),C217)</f>
        <v>0</v>
      </c>
      <c r="D218" s="82">
        <f t="shared" si="11"/>
        <v>2000</v>
      </c>
      <c r="F218" s="82" t="str">
        <f ca="1" t="shared" si="10"/>
        <v/>
      </c>
      <c r="G218" s="78" t="str">
        <f ca="1">IF(AND(LEFT("[{"&amp;M218&amp;","&amp;CEILING(N218*10000+(O218-N218)/4*(COUNTIF($F$11:F218,F218)-1)*10000,10)&amp;"}]",7)="[{equip",MID("[{"&amp;M218&amp;","&amp;CEILING(N218*10000+(O218-N218)/4*(COUNTIF($F$11:F218,F218)-1)*10000,10)&amp;"}]",8,1)&lt;&gt;"_"),"[{"&amp;M218&amp;","&amp;1&amp;"}]","[{"&amp;M218&amp;","&amp;CEILING(N218*10000+(O218-N218)/4*(COUNTIF($F$11:F218,F218)-1)*10000,10)&amp;"}]")</f>
        <v>[{equip_extra_attr,5000}]</v>
      </c>
      <c r="H218" s="82" t="s">
        <v>563</v>
      </c>
      <c r="J218" s="78">
        <f ca="1">IF(MOD(COUNTIF($Q$11:Q217,Q217),5)=0,OFFSET(装备属性!$P$1083,1+INT(COUNTA($Q$11:Q217)/5),0),J217)</f>
        <v>8</v>
      </c>
      <c r="K218" s="83" t="str">
        <f ca="1">IF(RIGHT(G218,13)="rune_slot,1}]",_xlfn.XLOOKUP(LEFT(SUBSTITUTE(G218,"[{",""),FIND(",",SUBSTITUTE(G218,"[{",""))-1),Sheet2!B:B,Sheet2!C:C)&amp;"+"&amp;1,_xlfn.XLOOKUP(LEFT(SUBSTITUTE(G218,"[{",""),FIND(",",SUBSTITUTE(G218,"[{",""))-1),Sheet2!B:B,Sheet2!C:C)&amp;"+"&amp;SUBSTITUTE(RIGHT(G218,LEN(G218)-FIND(",",G218)),"}]","")/100&amp;"%")</f>
        <v>装备附加属性加成+50%</v>
      </c>
      <c r="L218" s="83" t="str">
        <f ca="1">IF(MOD(COUNTIF($Q$11:Q217,Q217),5)=0,OFFSET(装备属性!$G$1083,1+INT(COUNTA($Q$11:Q217)/5),0),L217)</f>
        <v>提成色</v>
      </c>
      <c r="M218" s="89" t="str">
        <f ca="1">IF(MOD(COUNTIF($Q$11:Q217,Q217),5)=0,OFFSET(装备属性!$H$1083,1+INT(COUNTA($Q$11:Q217)/5),0),M217)</f>
        <v>equip_extra_attr</v>
      </c>
      <c r="N218" s="76">
        <f ca="1">IF(MOD(COUNTIF($Q$11:Q217,Q217),5)=0,OFFSET(装备属性!$K$1083,1+INT(COUNTA($Q$11:Q217)/5),0),N217)</f>
        <v>0.5</v>
      </c>
      <c r="O218" s="76">
        <f ca="1">IF(MOD(COUNTIF($Q$11:Q217,Q217),5)=0,OFFSET(装备属性!$L$1083,1+INT(COUNTA($Q$11:Q217)/5),0),O217)</f>
        <v>0.5</v>
      </c>
      <c r="Q218" s="89" t="str">
        <f ca="1">IF(MOD(COUNTIF($Q$11:Q217,Q217),5)=0,OFFSET(装备属性!$M$1083,1+INT(COUNTA($Q$11:Q217)/5),0),Q217)</f>
        <v>稀有词条</v>
      </c>
      <c r="R218" s="83" t="e">
        <f ca="1">IF(MOD(COUNTIF($Q$11:Q217,Q217),5)=0,10000*SUBSTITUTE(SUBSTITUTE(OFFSET(装备属性!$F$1083,1+INT(COUNTA($Q$11:Q217)/5),0),"[",""),"]","")+_xlfn.XLOOKUP(C218,$M$3:$M$7,$N$3:$N$7)*100,R217)</f>
        <v>#N/A</v>
      </c>
    </row>
    <row r="219" customHeight="1" spans="1:18">
      <c r="A219" s="78" t="str">
        <f ca="1" t="shared" si="9"/>
        <v/>
      </c>
      <c r="B219" s="82" t="str">
        <f ca="1">IFERROR(R219+COUNTIFS($R$11:$R219,R219),"")</f>
        <v/>
      </c>
      <c r="C219" s="83">
        <f ca="1">IF(MOD(COUNTIF($Q$11:Q218,Q218),5)=0,OFFSET(装备属性!$D$1083,1+INT(COUNTA($Q$11:Q218)/5),0),C218)</f>
        <v>0</v>
      </c>
      <c r="D219" s="82">
        <f t="shared" si="11"/>
        <v>1500</v>
      </c>
      <c r="F219" s="82" t="str">
        <f ca="1" t="shared" si="10"/>
        <v/>
      </c>
      <c r="G219" s="78" t="str">
        <f ca="1">IF(AND(LEFT("[{"&amp;M219&amp;","&amp;CEILING(N219*10000+(O219-N219)/4*(COUNTIF($F$11:F219,F219)-1)*10000,10)&amp;"}]",7)="[{equip",MID("[{"&amp;M219&amp;","&amp;CEILING(N219*10000+(O219-N219)/4*(COUNTIF($F$11:F219,F219)-1)*10000,10)&amp;"}]",8,1)&lt;&gt;"_"),"[{"&amp;M219&amp;","&amp;1&amp;"}]","[{"&amp;M219&amp;","&amp;CEILING(N219*10000+(O219-N219)/4*(COUNTIF($F$11:F219,F219)-1)*10000,10)&amp;"}]")</f>
        <v>[{equip_extra_attr,5000}]</v>
      </c>
      <c r="H219" s="82" t="s">
        <v>563</v>
      </c>
      <c r="J219" s="78">
        <f ca="1">IF(MOD(COUNTIF($Q$11:Q218,Q218),5)=0,OFFSET(装备属性!$P$1083,1+INT(COUNTA($Q$11:Q218)/5),0),J218)</f>
        <v>8</v>
      </c>
      <c r="K219" s="83" t="str">
        <f ca="1">IF(RIGHT(G219,13)="rune_slot,1}]",_xlfn.XLOOKUP(LEFT(SUBSTITUTE(G219,"[{",""),FIND(",",SUBSTITUTE(G219,"[{",""))-1),Sheet2!B:B,Sheet2!C:C)&amp;"+"&amp;1,_xlfn.XLOOKUP(LEFT(SUBSTITUTE(G219,"[{",""),FIND(",",SUBSTITUTE(G219,"[{",""))-1),Sheet2!B:B,Sheet2!C:C)&amp;"+"&amp;SUBSTITUTE(RIGHT(G219,LEN(G219)-FIND(",",G219)),"}]","")/100&amp;"%")</f>
        <v>装备附加属性加成+50%</v>
      </c>
      <c r="L219" s="83" t="str">
        <f ca="1">IF(MOD(COUNTIF($Q$11:Q218,Q218),5)=0,OFFSET(装备属性!$G$1083,1+INT(COUNTA($Q$11:Q218)/5),0),L218)</f>
        <v>提成色</v>
      </c>
      <c r="M219" s="89" t="str">
        <f ca="1">IF(MOD(COUNTIF($Q$11:Q218,Q218),5)=0,OFFSET(装备属性!$H$1083,1+INT(COUNTA($Q$11:Q218)/5),0),M218)</f>
        <v>equip_extra_attr</v>
      </c>
      <c r="N219" s="76">
        <f ca="1">IF(MOD(COUNTIF($Q$11:Q218,Q218),5)=0,OFFSET(装备属性!$K$1083,1+INT(COUNTA($Q$11:Q218)/5),0),N218)</f>
        <v>0.5</v>
      </c>
      <c r="O219" s="76">
        <f ca="1">IF(MOD(COUNTIF($Q$11:Q218,Q218),5)=0,OFFSET(装备属性!$L$1083,1+INT(COUNTA($Q$11:Q218)/5),0),O218)</f>
        <v>0.5</v>
      </c>
      <c r="Q219" s="89" t="str">
        <f ca="1">IF(MOD(COUNTIF($Q$11:Q218,Q218),5)=0,OFFSET(装备属性!$M$1083,1+INT(COUNTA($Q$11:Q218)/5),0),Q218)</f>
        <v>稀有词条</v>
      </c>
      <c r="R219" s="83" t="e">
        <f ca="1">IF(MOD(COUNTIF($Q$11:Q218,Q218),5)=0,10000*SUBSTITUTE(SUBSTITUTE(OFFSET(装备属性!$F$1083,1+INT(COUNTA($Q$11:Q218)/5),0),"[",""),"]","")+_xlfn.XLOOKUP(C219,$M$3:$M$7,$N$3:$N$7)*100,R218)</f>
        <v>#N/A</v>
      </c>
    </row>
    <row r="220" customHeight="1" spans="1:18">
      <c r="A220" s="78" t="str">
        <f ca="1" t="shared" si="9"/>
        <v/>
      </c>
      <c r="B220" s="82" t="str">
        <f ca="1">IFERROR(R220+COUNTIFS($R$11:$R220,R220),"")</f>
        <v/>
      </c>
      <c r="C220" s="83">
        <f ca="1">IF(MOD(COUNTIF($Q$11:Q219,Q219),5)=0,OFFSET(装备属性!$D$1083,1+INT(COUNTA($Q$11:Q219)/5),0),C219)</f>
        <v>0</v>
      </c>
      <c r="D220" s="82">
        <f t="shared" si="11"/>
        <v>1000</v>
      </c>
      <c r="F220" s="82" t="str">
        <f ca="1" t="shared" si="10"/>
        <v/>
      </c>
      <c r="G220" s="78" t="str">
        <f ca="1">IF(AND(LEFT("[{"&amp;M220&amp;","&amp;CEILING(N220*10000+(O220-N220)/4*(COUNTIF($F$11:F220,F220)-1)*10000,10)&amp;"}]",7)="[{equip",MID("[{"&amp;M220&amp;","&amp;CEILING(N220*10000+(O220-N220)/4*(COUNTIF($F$11:F220,F220)-1)*10000,10)&amp;"}]",8,1)&lt;&gt;"_"),"[{"&amp;M220&amp;","&amp;1&amp;"}]","[{"&amp;M220&amp;","&amp;CEILING(N220*10000+(O220-N220)/4*(COUNTIF($F$11:F220,F220)-1)*10000,10)&amp;"}]")</f>
        <v>[{equip_extra_attr,5000}]</v>
      </c>
      <c r="H220" s="82" t="s">
        <v>563</v>
      </c>
      <c r="J220" s="78">
        <f ca="1">IF(MOD(COUNTIF($Q$11:Q219,Q219),5)=0,OFFSET(装备属性!$P$1083,1+INT(COUNTA($Q$11:Q219)/5),0),J219)</f>
        <v>8</v>
      </c>
      <c r="K220" s="83" t="str">
        <f ca="1">IF(RIGHT(G220,13)="rune_slot,1}]",_xlfn.XLOOKUP(LEFT(SUBSTITUTE(G220,"[{",""),FIND(",",SUBSTITUTE(G220,"[{",""))-1),Sheet2!B:B,Sheet2!C:C)&amp;"+"&amp;1,_xlfn.XLOOKUP(LEFT(SUBSTITUTE(G220,"[{",""),FIND(",",SUBSTITUTE(G220,"[{",""))-1),Sheet2!B:B,Sheet2!C:C)&amp;"+"&amp;SUBSTITUTE(RIGHT(G220,LEN(G220)-FIND(",",G220)),"}]","")/100&amp;"%")</f>
        <v>装备附加属性加成+50%</v>
      </c>
      <c r="L220" s="83" t="str">
        <f ca="1">IF(MOD(COUNTIF($Q$11:Q219,Q219),5)=0,OFFSET(装备属性!$G$1083,1+INT(COUNTA($Q$11:Q219)/5),0),L219)</f>
        <v>提成色</v>
      </c>
      <c r="M220" s="89" t="str">
        <f ca="1">IF(MOD(COUNTIF($Q$11:Q219,Q219),5)=0,OFFSET(装备属性!$H$1083,1+INT(COUNTA($Q$11:Q219)/5),0),M219)</f>
        <v>equip_extra_attr</v>
      </c>
      <c r="N220" s="76">
        <f ca="1">IF(MOD(COUNTIF($Q$11:Q219,Q219),5)=0,OFFSET(装备属性!$K$1083,1+INT(COUNTA($Q$11:Q219)/5),0),N219)</f>
        <v>0.5</v>
      </c>
      <c r="O220" s="76">
        <f ca="1">IF(MOD(COUNTIF($Q$11:Q219,Q219),5)=0,OFFSET(装备属性!$L$1083,1+INT(COUNTA($Q$11:Q219)/5),0),O219)</f>
        <v>0.5</v>
      </c>
      <c r="Q220" s="89" t="str">
        <f ca="1">IF(MOD(COUNTIF($Q$11:Q219,Q219),5)=0,OFFSET(装备属性!$M$1083,1+INT(COUNTA($Q$11:Q219)/5),0),Q219)</f>
        <v>稀有词条</v>
      </c>
      <c r="R220" s="83" t="e">
        <f ca="1">IF(MOD(COUNTIF($Q$11:Q219,Q219),5)=0,10000*SUBSTITUTE(SUBSTITUTE(OFFSET(装备属性!$F$1083,1+INT(COUNTA($Q$11:Q219)/5),0),"[",""),"]","")+_xlfn.XLOOKUP(C220,$M$3:$M$7,$N$3:$N$7)*100,R219)</f>
        <v>#N/A</v>
      </c>
    </row>
    <row r="221" customHeight="1" spans="1:18">
      <c r="A221" s="78">
        <f ca="1" t="shared" si="9"/>
        <v>10702</v>
      </c>
      <c r="B221" s="82">
        <f ca="1">IFERROR(R221+COUNTIFS($R$11:$R221,R221),"")</f>
        <v>10716</v>
      </c>
      <c r="C221" s="83" t="str">
        <f ca="1">IF(MOD(COUNTIF($Q$11:Q220,Q220),5)=0,OFFSET(装备属性!$D$1083,1+INT(COUNTA($Q$11:Q220)/5),0),C220)</f>
        <v>粉</v>
      </c>
      <c r="D221" s="82">
        <f t="shared" si="11"/>
        <v>3000</v>
      </c>
      <c r="F221" s="82">
        <f ca="1" t="shared" si="10"/>
        <v>10703</v>
      </c>
      <c r="G221" s="78" t="str">
        <f ca="1">IF(AND(LEFT("[{"&amp;M221&amp;","&amp;CEILING(N221*10000+(O221-N221)/4*(COUNTIF($F$11:F221,F221)-1)*10000,10)&amp;"}]",7)="[{equip",MID("[{"&amp;M221&amp;","&amp;CEILING(N221*10000+(O221-N221)/4*(COUNTIF($F$11:F221,F221)-1)*10000,10)&amp;"}]",8,1)&lt;&gt;"_"),"[{"&amp;M221&amp;","&amp;1&amp;"}]","[{"&amp;M221&amp;","&amp;CEILING(N221*10000+(O221-N221)/4*(COUNTIF($F$11:F221,F221)-1)*10000,10)&amp;"}]")</f>
        <v>[{arena_pve_hit_rare,800}]</v>
      </c>
      <c r="H221" s="82" t="s">
        <v>563</v>
      </c>
      <c r="J221" s="78">
        <f ca="1">IF(MOD(COUNTIF($Q$11:Q220,Q220),5)=0,OFFSET(装备属性!$P$1083,1+INT(COUNTA($Q$11:Q220)/5),0),J220)</f>
        <v>1</v>
      </c>
      <c r="K221" s="83" t="str">
        <f ca="1">IF(RIGHT(G221,13)="rune_slot,1}]",_xlfn.XLOOKUP(LEFT(SUBSTITUTE(G221,"[{",""),FIND(",",SUBSTITUTE(G221,"[{",""))-1),Sheet2!B:B,Sheet2!C:C)&amp;"+"&amp;1,_xlfn.XLOOKUP(LEFT(SUBSTITUTE(G221,"[{",""),FIND(",",SUBSTITUTE(G221,"[{",""))-1),Sheet2!B:B,Sheet2!C:C)&amp;"+"&amp;SUBSTITUTE(RIGHT(G221,LEN(G221)-FIND(",",G221)),"}]","")/100&amp;"%")</f>
        <v>荧幕争锋增伤+8%</v>
      </c>
      <c r="L221" s="83" t="str">
        <f ca="1">IF(MOD(COUNTIF($Q$11:Q220,Q220),5)=0,OFFSET(装备属性!$G$1083,1+INT(COUNTA($Q$11:Q220)/5),0),L220)</f>
        <v>关键开团Ⅳ</v>
      </c>
      <c r="M221" s="89" t="str">
        <f ca="1">IF(MOD(COUNTIF($Q$11:Q220,Q220),5)=0,OFFSET(装备属性!$H$1083,1+INT(COUNTA($Q$11:Q220)/5),0),M220)</f>
        <v>arena_pve_hit_rare</v>
      </c>
      <c r="N221" s="76">
        <f ca="1">IF(MOD(COUNTIF($Q$11:Q220,Q220),5)=0,OFFSET(装备属性!$K$1083,1+INT(COUNTA($Q$11:Q220)/5),0),N220)</f>
        <v>0.08</v>
      </c>
      <c r="O221" s="76">
        <f ca="1">IF(MOD(COUNTIF($Q$11:Q220,Q220),5)=0,OFFSET(装备属性!$L$1083,1+INT(COUNTA($Q$11:Q220)/5),0),O220)</f>
        <v>0.09</v>
      </c>
      <c r="Q221" s="89" t="str">
        <f ca="1">IF(MOD(COUNTIF($Q$11:Q220,Q220),5)=0,OFFSET(装备属性!$M$1083,1+INT(COUNTA($Q$11:Q220)/5),0),Q220)</f>
        <v>玩法类</v>
      </c>
      <c r="R221" s="83">
        <f ca="1">IF(MOD(COUNTIF($Q$11:Q220,Q220),5)=0,10000*SUBSTITUTE(SUBSTITUTE(OFFSET(装备属性!$F$1083,1+INT(COUNTA($Q$11:Q220)/5),0),"[",""),"]","")+_xlfn.XLOOKUP(C221,$M$3:$M$7,$N$3:$N$7)*100,R220)</f>
        <v>10700</v>
      </c>
    </row>
    <row r="222" customHeight="1" spans="1:18">
      <c r="A222" s="78">
        <f ca="1" t="shared" si="9"/>
        <v>10702</v>
      </c>
      <c r="B222" s="82">
        <f ca="1">IFERROR(R222+COUNTIFS($R$11:$R222,R222),"")</f>
        <v>10717</v>
      </c>
      <c r="C222" s="83" t="str">
        <f ca="1">IF(MOD(COUNTIF($Q$11:Q221,Q221),5)=0,OFFSET(装备属性!$D$1083,1+INT(COUNTA($Q$11:Q221)/5),0),C221)</f>
        <v>粉</v>
      </c>
      <c r="D222" s="82">
        <f t="shared" si="11"/>
        <v>2500</v>
      </c>
      <c r="F222" s="82">
        <f ca="1" t="shared" si="10"/>
        <v>10703</v>
      </c>
      <c r="G222" s="78" t="str">
        <f ca="1">IF(AND(LEFT("[{"&amp;M222&amp;","&amp;CEILING(N222*10000+(O222-N222)/4*(COUNTIF($F$11:F222,F222)-1)*10000,10)&amp;"}]",7)="[{equip",MID("[{"&amp;M222&amp;","&amp;CEILING(N222*10000+(O222-N222)/4*(COUNTIF($F$11:F222,F222)-1)*10000,10)&amp;"}]",8,1)&lt;&gt;"_"),"[{"&amp;M222&amp;","&amp;1&amp;"}]","[{"&amp;M222&amp;","&amp;CEILING(N222*10000+(O222-N222)/4*(COUNTIF($F$11:F222,F222)-1)*10000,10)&amp;"}]")</f>
        <v>[{arena_pve_hit_rare,830}]</v>
      </c>
      <c r="H222" s="82" t="s">
        <v>563</v>
      </c>
      <c r="J222" s="78">
        <f ca="1">IF(MOD(COUNTIF($Q$11:Q221,Q221),5)=0,OFFSET(装备属性!$P$1083,1+INT(COUNTA($Q$11:Q221)/5),0),J221)</f>
        <v>1</v>
      </c>
      <c r="K222" s="83" t="str">
        <f ca="1">IF(RIGHT(G222,13)="rune_slot,1}]",_xlfn.XLOOKUP(LEFT(SUBSTITUTE(G222,"[{",""),FIND(",",SUBSTITUTE(G222,"[{",""))-1),Sheet2!B:B,Sheet2!C:C)&amp;"+"&amp;1,_xlfn.XLOOKUP(LEFT(SUBSTITUTE(G222,"[{",""),FIND(",",SUBSTITUTE(G222,"[{",""))-1),Sheet2!B:B,Sheet2!C:C)&amp;"+"&amp;SUBSTITUTE(RIGHT(G222,LEN(G222)-FIND(",",G222)),"}]","")/100&amp;"%")</f>
        <v>荧幕争锋增伤+8.3%</v>
      </c>
      <c r="L222" s="83" t="str">
        <f ca="1">IF(MOD(COUNTIF($Q$11:Q221,Q221),5)=0,OFFSET(装备属性!$G$1083,1+INT(COUNTA($Q$11:Q221)/5),0),L221)</f>
        <v>关键开团Ⅳ</v>
      </c>
      <c r="M222" s="89" t="str">
        <f ca="1">IF(MOD(COUNTIF($Q$11:Q221,Q221),5)=0,OFFSET(装备属性!$H$1083,1+INT(COUNTA($Q$11:Q221)/5),0),M221)</f>
        <v>arena_pve_hit_rare</v>
      </c>
      <c r="N222" s="76">
        <f ca="1">IF(MOD(COUNTIF($Q$11:Q221,Q221),5)=0,OFFSET(装备属性!$K$1083,1+INT(COUNTA($Q$11:Q221)/5),0),N221)</f>
        <v>0.08</v>
      </c>
      <c r="O222" s="76">
        <f ca="1">IF(MOD(COUNTIF($Q$11:Q221,Q221),5)=0,OFFSET(装备属性!$L$1083,1+INT(COUNTA($Q$11:Q221)/5),0),O221)</f>
        <v>0.09</v>
      </c>
      <c r="Q222" s="89" t="str">
        <f ca="1">IF(MOD(COUNTIF($Q$11:Q221,Q221),5)=0,OFFSET(装备属性!$M$1083,1+INT(COUNTA($Q$11:Q221)/5),0),Q221)</f>
        <v>玩法类</v>
      </c>
      <c r="R222" s="83">
        <f ca="1">IF(MOD(COUNTIF($Q$11:Q221,Q221),5)=0,10000*SUBSTITUTE(SUBSTITUTE(OFFSET(装备属性!$F$1083,1+INT(COUNTA($Q$11:Q221)/5),0),"[",""),"]","")+_xlfn.XLOOKUP(C222,$M$3:$M$7,$N$3:$N$7)*100,R221)</f>
        <v>10700</v>
      </c>
    </row>
    <row r="223" customHeight="1" spans="1:18">
      <c r="A223" s="78">
        <f ca="1" t="shared" si="9"/>
        <v>10702</v>
      </c>
      <c r="B223" s="82">
        <f ca="1">IFERROR(R223+COUNTIFS($R$11:$R223,R223),"")</f>
        <v>10718</v>
      </c>
      <c r="C223" s="83" t="str">
        <f ca="1">IF(MOD(COUNTIF($Q$11:Q222,Q222),5)=0,OFFSET(装备属性!$D$1083,1+INT(COUNTA($Q$11:Q222)/5),0),C222)</f>
        <v>粉</v>
      </c>
      <c r="D223" s="82">
        <f t="shared" si="11"/>
        <v>2000</v>
      </c>
      <c r="F223" s="82">
        <f ca="1" t="shared" si="10"/>
        <v>10703</v>
      </c>
      <c r="G223" s="78" t="str">
        <f ca="1">IF(AND(LEFT("[{"&amp;M223&amp;","&amp;CEILING(N223*10000+(O223-N223)/4*(COUNTIF($F$11:F223,F223)-1)*10000,10)&amp;"}]",7)="[{equip",MID("[{"&amp;M223&amp;","&amp;CEILING(N223*10000+(O223-N223)/4*(COUNTIF($F$11:F223,F223)-1)*10000,10)&amp;"}]",8,1)&lt;&gt;"_"),"[{"&amp;M223&amp;","&amp;1&amp;"}]","[{"&amp;M223&amp;","&amp;CEILING(N223*10000+(O223-N223)/4*(COUNTIF($F$11:F223,F223)-1)*10000,10)&amp;"}]")</f>
        <v>[{arena_pve_hit_rare,850}]</v>
      </c>
      <c r="H223" s="82" t="s">
        <v>563</v>
      </c>
      <c r="J223" s="78">
        <f ca="1">IF(MOD(COUNTIF($Q$11:Q222,Q222),5)=0,OFFSET(装备属性!$P$1083,1+INT(COUNTA($Q$11:Q222)/5),0),J222)</f>
        <v>1</v>
      </c>
      <c r="K223" s="83" t="str">
        <f ca="1">IF(RIGHT(G223,13)="rune_slot,1}]",_xlfn.XLOOKUP(LEFT(SUBSTITUTE(G223,"[{",""),FIND(",",SUBSTITUTE(G223,"[{",""))-1),Sheet2!B:B,Sheet2!C:C)&amp;"+"&amp;1,_xlfn.XLOOKUP(LEFT(SUBSTITUTE(G223,"[{",""),FIND(",",SUBSTITUTE(G223,"[{",""))-1),Sheet2!B:B,Sheet2!C:C)&amp;"+"&amp;SUBSTITUTE(RIGHT(G223,LEN(G223)-FIND(",",G223)),"}]","")/100&amp;"%")</f>
        <v>荧幕争锋增伤+8.5%</v>
      </c>
      <c r="L223" s="83" t="str">
        <f ca="1">IF(MOD(COUNTIF($Q$11:Q222,Q222),5)=0,OFFSET(装备属性!$G$1083,1+INT(COUNTA($Q$11:Q222)/5),0),L222)</f>
        <v>关键开团Ⅳ</v>
      </c>
      <c r="M223" s="89" t="str">
        <f ca="1">IF(MOD(COUNTIF($Q$11:Q222,Q222),5)=0,OFFSET(装备属性!$H$1083,1+INT(COUNTA($Q$11:Q222)/5),0),M222)</f>
        <v>arena_pve_hit_rare</v>
      </c>
      <c r="N223" s="76">
        <f ca="1">IF(MOD(COUNTIF($Q$11:Q222,Q222),5)=0,OFFSET(装备属性!$K$1083,1+INT(COUNTA($Q$11:Q222)/5),0),N222)</f>
        <v>0.08</v>
      </c>
      <c r="O223" s="76">
        <f ca="1">IF(MOD(COUNTIF($Q$11:Q222,Q222),5)=0,OFFSET(装备属性!$L$1083,1+INT(COUNTA($Q$11:Q222)/5),0),O222)</f>
        <v>0.09</v>
      </c>
      <c r="Q223" s="89" t="str">
        <f ca="1">IF(MOD(COUNTIF($Q$11:Q222,Q222),5)=0,OFFSET(装备属性!$M$1083,1+INT(COUNTA($Q$11:Q222)/5),0),Q222)</f>
        <v>玩法类</v>
      </c>
      <c r="R223" s="83">
        <f ca="1">IF(MOD(COUNTIF($Q$11:Q222,Q222),5)=0,10000*SUBSTITUTE(SUBSTITUTE(OFFSET(装备属性!$F$1083,1+INT(COUNTA($Q$11:Q222)/5),0),"[",""),"]","")+_xlfn.XLOOKUP(C223,$M$3:$M$7,$N$3:$N$7)*100,R222)</f>
        <v>10700</v>
      </c>
    </row>
    <row r="224" customHeight="1" spans="1:18">
      <c r="A224" s="78">
        <f ca="1" t="shared" si="9"/>
        <v>10702</v>
      </c>
      <c r="B224" s="82">
        <f ca="1">IFERROR(R224+COUNTIFS($R$11:$R224,R224),"")</f>
        <v>10719</v>
      </c>
      <c r="C224" s="83" t="str">
        <f ca="1">IF(MOD(COUNTIF($Q$11:Q223,Q223),5)=0,OFFSET(装备属性!$D$1083,1+INT(COUNTA($Q$11:Q223)/5),0),C223)</f>
        <v>粉</v>
      </c>
      <c r="D224" s="82">
        <f t="shared" si="11"/>
        <v>1500</v>
      </c>
      <c r="F224" s="82">
        <f ca="1" t="shared" si="10"/>
        <v>10703</v>
      </c>
      <c r="G224" s="78" t="str">
        <f ca="1">IF(AND(LEFT("[{"&amp;M224&amp;","&amp;CEILING(N224*10000+(O224-N224)/4*(COUNTIF($F$11:F224,F224)-1)*10000,10)&amp;"}]",7)="[{equip",MID("[{"&amp;M224&amp;","&amp;CEILING(N224*10000+(O224-N224)/4*(COUNTIF($F$11:F224,F224)-1)*10000,10)&amp;"}]",8,1)&lt;&gt;"_"),"[{"&amp;M224&amp;","&amp;1&amp;"}]","[{"&amp;M224&amp;","&amp;CEILING(N224*10000+(O224-N224)/4*(COUNTIF($F$11:F224,F224)-1)*10000,10)&amp;"}]")</f>
        <v>[{arena_pve_hit_rare,880}]</v>
      </c>
      <c r="H224" s="82" t="s">
        <v>563</v>
      </c>
      <c r="J224" s="78">
        <f ca="1">IF(MOD(COUNTIF($Q$11:Q223,Q223),5)=0,OFFSET(装备属性!$P$1083,1+INT(COUNTA($Q$11:Q223)/5),0),J223)</f>
        <v>1</v>
      </c>
      <c r="K224" s="83" t="str">
        <f ca="1">IF(RIGHT(G224,13)="rune_slot,1}]",_xlfn.XLOOKUP(LEFT(SUBSTITUTE(G224,"[{",""),FIND(",",SUBSTITUTE(G224,"[{",""))-1),Sheet2!B:B,Sheet2!C:C)&amp;"+"&amp;1,_xlfn.XLOOKUP(LEFT(SUBSTITUTE(G224,"[{",""),FIND(",",SUBSTITUTE(G224,"[{",""))-1),Sheet2!B:B,Sheet2!C:C)&amp;"+"&amp;SUBSTITUTE(RIGHT(G224,LEN(G224)-FIND(",",G224)),"}]","")/100&amp;"%")</f>
        <v>荧幕争锋增伤+8.8%</v>
      </c>
      <c r="L224" s="83" t="str">
        <f ca="1">IF(MOD(COUNTIF($Q$11:Q223,Q223),5)=0,OFFSET(装备属性!$G$1083,1+INT(COUNTA($Q$11:Q223)/5),0),L223)</f>
        <v>关键开团Ⅳ</v>
      </c>
      <c r="M224" s="89" t="str">
        <f ca="1">IF(MOD(COUNTIF($Q$11:Q223,Q223),5)=0,OFFSET(装备属性!$H$1083,1+INT(COUNTA($Q$11:Q223)/5),0),M223)</f>
        <v>arena_pve_hit_rare</v>
      </c>
      <c r="N224" s="76">
        <f ca="1">IF(MOD(COUNTIF($Q$11:Q223,Q223),5)=0,OFFSET(装备属性!$K$1083,1+INT(COUNTA($Q$11:Q223)/5),0),N223)</f>
        <v>0.08</v>
      </c>
      <c r="O224" s="76">
        <f ca="1">IF(MOD(COUNTIF($Q$11:Q223,Q223),5)=0,OFFSET(装备属性!$L$1083,1+INT(COUNTA($Q$11:Q223)/5),0),O223)</f>
        <v>0.09</v>
      </c>
      <c r="Q224" s="89" t="str">
        <f ca="1">IF(MOD(COUNTIF($Q$11:Q223,Q223),5)=0,OFFSET(装备属性!$M$1083,1+INT(COUNTA($Q$11:Q223)/5),0),Q223)</f>
        <v>玩法类</v>
      </c>
      <c r="R224" s="83">
        <f ca="1">IF(MOD(COUNTIF($Q$11:Q223,Q223),5)=0,10000*SUBSTITUTE(SUBSTITUTE(OFFSET(装备属性!$F$1083,1+INT(COUNTA($Q$11:Q223)/5),0),"[",""),"]","")+_xlfn.XLOOKUP(C224,$M$3:$M$7,$N$3:$N$7)*100,R223)</f>
        <v>10700</v>
      </c>
    </row>
    <row r="225" customHeight="1" spans="1:18">
      <c r="A225" s="78">
        <f ca="1" t="shared" si="9"/>
        <v>10702</v>
      </c>
      <c r="B225" s="82">
        <f ca="1">IFERROR(R225+COUNTIFS($R$11:$R225,R225),"")</f>
        <v>10720</v>
      </c>
      <c r="C225" s="83" t="str">
        <f ca="1">IF(MOD(COUNTIF($Q$11:Q224,Q224),5)=0,OFFSET(装备属性!$D$1083,1+INT(COUNTA($Q$11:Q224)/5),0),C224)</f>
        <v>粉</v>
      </c>
      <c r="D225" s="82">
        <f t="shared" si="11"/>
        <v>1000</v>
      </c>
      <c r="F225" s="82">
        <f ca="1" t="shared" si="10"/>
        <v>10703</v>
      </c>
      <c r="G225" s="78" t="str">
        <f ca="1">IF(AND(LEFT("[{"&amp;M225&amp;","&amp;CEILING(N225*10000+(O225-N225)/4*(COUNTIF($F$11:F225,F225)-1)*10000,10)&amp;"}]",7)="[{equip",MID("[{"&amp;M225&amp;","&amp;CEILING(N225*10000+(O225-N225)/4*(COUNTIF($F$11:F225,F225)-1)*10000,10)&amp;"}]",8,1)&lt;&gt;"_"),"[{"&amp;M225&amp;","&amp;1&amp;"}]","[{"&amp;M225&amp;","&amp;CEILING(N225*10000+(O225-N225)/4*(COUNTIF($F$11:F225,F225)-1)*10000,10)&amp;"}]")</f>
        <v>[{arena_pve_hit_rare,900}]</v>
      </c>
      <c r="H225" s="82" t="s">
        <v>563</v>
      </c>
      <c r="J225" s="78">
        <f ca="1">IF(MOD(COUNTIF($Q$11:Q224,Q224),5)=0,OFFSET(装备属性!$P$1083,1+INT(COUNTA($Q$11:Q224)/5),0),J224)</f>
        <v>1</v>
      </c>
      <c r="K225" s="83" t="str">
        <f ca="1">IF(RIGHT(G225,13)="rune_slot,1}]",_xlfn.XLOOKUP(LEFT(SUBSTITUTE(G225,"[{",""),FIND(",",SUBSTITUTE(G225,"[{",""))-1),Sheet2!B:B,Sheet2!C:C)&amp;"+"&amp;1,_xlfn.XLOOKUP(LEFT(SUBSTITUTE(G225,"[{",""),FIND(",",SUBSTITUTE(G225,"[{",""))-1),Sheet2!B:B,Sheet2!C:C)&amp;"+"&amp;SUBSTITUTE(RIGHT(G225,LEN(G225)-FIND(",",G225)),"}]","")/100&amp;"%")</f>
        <v>荧幕争锋增伤+9%</v>
      </c>
      <c r="L225" s="83" t="str">
        <f ca="1">IF(MOD(COUNTIF($Q$11:Q224,Q224),5)=0,OFFSET(装备属性!$G$1083,1+INT(COUNTA($Q$11:Q224)/5),0),L224)</f>
        <v>关键开团Ⅳ</v>
      </c>
      <c r="M225" s="89" t="str">
        <f ca="1">IF(MOD(COUNTIF($Q$11:Q224,Q224),5)=0,OFFSET(装备属性!$H$1083,1+INT(COUNTA($Q$11:Q224)/5),0),M224)</f>
        <v>arena_pve_hit_rare</v>
      </c>
      <c r="N225" s="76">
        <f ca="1">IF(MOD(COUNTIF($Q$11:Q224,Q224),5)=0,OFFSET(装备属性!$K$1083,1+INT(COUNTA($Q$11:Q224)/5),0),N224)</f>
        <v>0.08</v>
      </c>
      <c r="O225" s="76">
        <f ca="1">IF(MOD(COUNTIF($Q$11:Q224,Q224),5)=0,OFFSET(装备属性!$L$1083,1+INT(COUNTA($Q$11:Q224)/5),0),O224)</f>
        <v>0.09</v>
      </c>
      <c r="Q225" s="89" t="str">
        <f ca="1">IF(MOD(COUNTIF($Q$11:Q224,Q224),5)=0,OFFSET(装备属性!$M$1083,1+INT(COUNTA($Q$11:Q224)/5),0),Q224)</f>
        <v>玩法类</v>
      </c>
      <c r="R225" s="83">
        <f ca="1">IF(MOD(COUNTIF($Q$11:Q224,Q224),5)=0,10000*SUBSTITUTE(SUBSTITUTE(OFFSET(装备属性!$F$1083,1+INT(COUNTA($Q$11:Q224)/5),0),"[",""),"]","")+_xlfn.XLOOKUP(C225,$M$3:$M$7,$N$3:$N$7)*100,R224)</f>
        <v>10700</v>
      </c>
    </row>
    <row r="226" customHeight="1" spans="1:18">
      <c r="A226" s="78">
        <f ca="1" t="shared" si="9"/>
        <v>10701</v>
      </c>
      <c r="B226" s="82">
        <f ca="1">IFERROR(R226+COUNTIFS($R$11:$R226,R226),"")</f>
        <v>10721</v>
      </c>
      <c r="C226" s="83" t="str">
        <f ca="1">IF(MOD(COUNTIF($Q$11:Q225,Q225),5)=0,OFFSET(装备属性!$D$1083,1+INT(COUNTA($Q$11:Q225)/5),0),C225)</f>
        <v>粉</v>
      </c>
      <c r="D226" s="82">
        <f t="shared" si="11"/>
        <v>3000</v>
      </c>
      <c r="F226" s="82">
        <f ca="1" t="shared" si="10"/>
        <v>10704</v>
      </c>
      <c r="G226" s="78" t="str">
        <f ca="1">IF(AND(LEFT("[{"&amp;M226&amp;","&amp;CEILING(N226*10000+(O226-N226)/4*(COUNTIF($F$11:F226,F226)-1)*10000,10)&amp;"}]",7)="[{equip",MID("[{"&amp;M226&amp;","&amp;CEILING(N226*10000+(O226-N226)/4*(COUNTIF($F$11:F226,F226)-1)*10000,10)&amp;"}]",8,1)&lt;&gt;"_"),"[{"&amp;M226&amp;","&amp;1&amp;"}]","[{"&amp;M226&amp;","&amp;CEILING(N226*10000+(O226-N226)/4*(COUNTIF($F$11:F226,F226)-1)*10000,10)&amp;"}]")</f>
        <v>[{warrior_dmg_red_rate,300}]</v>
      </c>
      <c r="H226" s="82" t="s">
        <v>563</v>
      </c>
      <c r="J226" s="78">
        <f ca="1">IF(MOD(COUNTIF($Q$11:Q225,Q225),5)=0,OFFSET(装备属性!$P$1083,1+INT(COUNTA($Q$11:Q225)/5),0),J225)</f>
        <v>6</v>
      </c>
      <c r="K226" s="83" t="str">
        <f ca="1">IF(RIGHT(G226,13)="rune_slot,1}]",_xlfn.XLOOKUP(LEFT(SUBSTITUTE(G226,"[{",""),FIND(",",SUBSTITUTE(G226,"[{",""))-1),Sheet2!B:B,Sheet2!C:C)&amp;"+"&amp;1,_xlfn.XLOOKUP(LEFT(SUBSTITUTE(G226,"[{",""),FIND(",",SUBSTITUTE(G226,"[{",""))-1),Sheet2!B:B,Sheet2!C:C)&amp;"+"&amp;SUBSTITUTE(RIGHT(G226,LEN(G226)-FIND(",",G226)),"}]","")/100&amp;"%")</f>
        <v>战士伤害减免+3%</v>
      </c>
      <c r="L226" s="83" t="str">
        <f ca="1">IF(MOD(COUNTIF($Q$11:Q225,Q225),5)=0,OFFSET(装备属性!$G$1083,1+INT(COUNTA($Q$11:Q225)/5),0),L225)</f>
        <v>猛男耐打Ⅳ</v>
      </c>
      <c r="M226" s="89" t="str">
        <f ca="1">IF(MOD(COUNTIF($Q$11:Q225,Q225),5)=0,OFFSET(装备属性!$H$1083,1+INT(COUNTA($Q$11:Q225)/5),0),M225)</f>
        <v>warrior_dmg_red_rate</v>
      </c>
      <c r="N226" s="76">
        <f ca="1">IF(MOD(COUNTIF($Q$11:Q225,Q225),5)=0,OFFSET(装备属性!$K$1083,1+INT(COUNTA($Q$11:Q225)/5),0),N225)</f>
        <v>0.03</v>
      </c>
      <c r="O226" s="76">
        <f ca="1">IF(MOD(COUNTIF($Q$11:Q225,Q225),5)=0,OFFSET(装备属性!$L$1083,1+INT(COUNTA($Q$11:Q225)/5),0),O225)</f>
        <v>0.034</v>
      </c>
      <c r="Q226" s="89" t="str">
        <f ca="1">IF(MOD(COUNTIF($Q$11:Q225,Q225),5)=0,OFFSET(装备属性!$M$1083,1+INT(COUNTA($Q$11:Q225)/5),0),Q225)</f>
        <v>通用属性</v>
      </c>
      <c r="R226" s="83">
        <f ca="1">IF(MOD(COUNTIF($Q$11:Q225,Q225),5)=0,10000*SUBSTITUTE(SUBSTITUTE(OFFSET(装备属性!$F$1083,1+INT(COUNTA($Q$11:Q225)/5),0),"[",""),"]","")+_xlfn.XLOOKUP(C226,$M$3:$M$7,$N$3:$N$7)*100,R225)</f>
        <v>10700</v>
      </c>
    </row>
    <row r="227" customHeight="1" spans="1:18">
      <c r="A227" s="78">
        <f ca="1" t="shared" si="9"/>
        <v>10701</v>
      </c>
      <c r="B227" s="82">
        <f ca="1">IFERROR(R227+COUNTIFS($R$11:$R227,R227),"")</f>
        <v>10722</v>
      </c>
      <c r="C227" s="83" t="str">
        <f ca="1">IF(MOD(COUNTIF($Q$11:Q226,Q226),5)=0,OFFSET(装备属性!$D$1083,1+INT(COUNTA($Q$11:Q226)/5),0),C226)</f>
        <v>粉</v>
      </c>
      <c r="D227" s="82">
        <f t="shared" si="11"/>
        <v>2500</v>
      </c>
      <c r="F227" s="82">
        <f ca="1" t="shared" si="10"/>
        <v>10704</v>
      </c>
      <c r="G227" s="78" t="str">
        <f ca="1">IF(AND(LEFT("[{"&amp;M227&amp;","&amp;CEILING(N227*10000+(O227-N227)/4*(COUNTIF($F$11:F227,F227)-1)*10000,10)&amp;"}]",7)="[{equip",MID("[{"&amp;M227&amp;","&amp;CEILING(N227*10000+(O227-N227)/4*(COUNTIF($F$11:F227,F227)-1)*10000,10)&amp;"}]",8,1)&lt;&gt;"_"),"[{"&amp;M227&amp;","&amp;1&amp;"}]","[{"&amp;M227&amp;","&amp;CEILING(N227*10000+(O227-N227)/4*(COUNTIF($F$11:F227,F227)-1)*10000,10)&amp;"}]")</f>
        <v>[{warrior_dmg_red_rate,310}]</v>
      </c>
      <c r="H227" s="82" t="s">
        <v>563</v>
      </c>
      <c r="J227" s="78">
        <f ca="1">IF(MOD(COUNTIF($Q$11:Q226,Q226),5)=0,OFFSET(装备属性!$P$1083,1+INT(COUNTA($Q$11:Q226)/5),0),J226)</f>
        <v>6</v>
      </c>
      <c r="K227" s="83" t="str">
        <f ca="1">IF(RIGHT(G227,13)="rune_slot,1}]",_xlfn.XLOOKUP(LEFT(SUBSTITUTE(G227,"[{",""),FIND(",",SUBSTITUTE(G227,"[{",""))-1),Sheet2!B:B,Sheet2!C:C)&amp;"+"&amp;1,_xlfn.XLOOKUP(LEFT(SUBSTITUTE(G227,"[{",""),FIND(",",SUBSTITUTE(G227,"[{",""))-1),Sheet2!B:B,Sheet2!C:C)&amp;"+"&amp;SUBSTITUTE(RIGHT(G227,LEN(G227)-FIND(",",G227)),"}]","")/100&amp;"%")</f>
        <v>战士伤害减免+3.1%</v>
      </c>
      <c r="L227" s="83" t="str">
        <f ca="1">IF(MOD(COUNTIF($Q$11:Q226,Q226),5)=0,OFFSET(装备属性!$G$1083,1+INT(COUNTA($Q$11:Q226)/5),0),L226)</f>
        <v>猛男耐打Ⅳ</v>
      </c>
      <c r="M227" s="89" t="str">
        <f ca="1">IF(MOD(COUNTIF($Q$11:Q226,Q226),5)=0,OFFSET(装备属性!$H$1083,1+INT(COUNTA($Q$11:Q226)/5),0),M226)</f>
        <v>warrior_dmg_red_rate</v>
      </c>
      <c r="N227" s="76">
        <f ca="1">IF(MOD(COUNTIF($Q$11:Q226,Q226),5)=0,OFFSET(装备属性!$K$1083,1+INT(COUNTA($Q$11:Q226)/5),0),N226)</f>
        <v>0.03</v>
      </c>
      <c r="O227" s="76">
        <f ca="1">IF(MOD(COUNTIF($Q$11:Q226,Q226),5)=0,OFFSET(装备属性!$L$1083,1+INT(COUNTA($Q$11:Q226)/5),0),O226)</f>
        <v>0.034</v>
      </c>
      <c r="Q227" s="89" t="str">
        <f ca="1">IF(MOD(COUNTIF($Q$11:Q226,Q226),5)=0,OFFSET(装备属性!$M$1083,1+INT(COUNTA($Q$11:Q226)/5),0),Q226)</f>
        <v>通用属性</v>
      </c>
      <c r="R227" s="83">
        <f ca="1">IF(MOD(COUNTIF($Q$11:Q226,Q226),5)=0,10000*SUBSTITUTE(SUBSTITUTE(OFFSET(装备属性!$F$1083,1+INT(COUNTA($Q$11:Q226)/5),0),"[",""),"]","")+_xlfn.XLOOKUP(C227,$M$3:$M$7,$N$3:$N$7)*100,R226)</f>
        <v>10700</v>
      </c>
    </row>
    <row r="228" customHeight="1" spans="1:18">
      <c r="A228" s="78">
        <f ca="1" t="shared" si="9"/>
        <v>10701</v>
      </c>
      <c r="B228" s="82">
        <f ca="1">IFERROR(R228+COUNTIFS($R$11:$R228,R228),"")</f>
        <v>10723</v>
      </c>
      <c r="C228" s="83" t="str">
        <f ca="1">IF(MOD(COUNTIF($Q$11:Q227,Q227),5)=0,OFFSET(装备属性!$D$1083,1+INT(COUNTA($Q$11:Q227)/5),0),C227)</f>
        <v>粉</v>
      </c>
      <c r="D228" s="82">
        <f t="shared" si="11"/>
        <v>2000</v>
      </c>
      <c r="F228" s="82">
        <f ca="1" t="shared" si="10"/>
        <v>10704</v>
      </c>
      <c r="G228" s="78" t="str">
        <f ca="1">IF(AND(LEFT("[{"&amp;M228&amp;","&amp;CEILING(N228*10000+(O228-N228)/4*(COUNTIF($F$11:F228,F228)-1)*10000,10)&amp;"}]",7)="[{equip",MID("[{"&amp;M228&amp;","&amp;CEILING(N228*10000+(O228-N228)/4*(COUNTIF($F$11:F228,F228)-1)*10000,10)&amp;"}]",8,1)&lt;&gt;"_"),"[{"&amp;M228&amp;","&amp;1&amp;"}]","[{"&amp;M228&amp;","&amp;CEILING(N228*10000+(O228-N228)/4*(COUNTIF($F$11:F228,F228)-1)*10000,10)&amp;"}]")</f>
        <v>[{warrior_dmg_red_rate,320}]</v>
      </c>
      <c r="H228" s="82" t="s">
        <v>563</v>
      </c>
      <c r="J228" s="78">
        <f ca="1">IF(MOD(COUNTIF($Q$11:Q227,Q227),5)=0,OFFSET(装备属性!$P$1083,1+INT(COUNTA($Q$11:Q227)/5),0),J227)</f>
        <v>6</v>
      </c>
      <c r="K228" s="83" t="str">
        <f ca="1">IF(RIGHT(G228,13)="rune_slot,1}]",_xlfn.XLOOKUP(LEFT(SUBSTITUTE(G228,"[{",""),FIND(",",SUBSTITUTE(G228,"[{",""))-1),Sheet2!B:B,Sheet2!C:C)&amp;"+"&amp;1,_xlfn.XLOOKUP(LEFT(SUBSTITUTE(G228,"[{",""),FIND(",",SUBSTITUTE(G228,"[{",""))-1),Sheet2!B:B,Sheet2!C:C)&amp;"+"&amp;SUBSTITUTE(RIGHT(G228,LEN(G228)-FIND(",",G228)),"}]","")/100&amp;"%")</f>
        <v>战士伤害减免+3.2%</v>
      </c>
      <c r="L228" s="83" t="str">
        <f ca="1">IF(MOD(COUNTIF($Q$11:Q227,Q227),5)=0,OFFSET(装备属性!$G$1083,1+INT(COUNTA($Q$11:Q227)/5),0),L227)</f>
        <v>猛男耐打Ⅳ</v>
      </c>
      <c r="M228" s="89" t="str">
        <f ca="1">IF(MOD(COUNTIF($Q$11:Q227,Q227),5)=0,OFFSET(装备属性!$H$1083,1+INT(COUNTA($Q$11:Q227)/5),0),M227)</f>
        <v>warrior_dmg_red_rate</v>
      </c>
      <c r="N228" s="76">
        <f ca="1">IF(MOD(COUNTIF($Q$11:Q227,Q227),5)=0,OFFSET(装备属性!$K$1083,1+INT(COUNTA($Q$11:Q227)/5),0),N227)</f>
        <v>0.03</v>
      </c>
      <c r="O228" s="76">
        <f ca="1">IF(MOD(COUNTIF($Q$11:Q227,Q227),5)=0,OFFSET(装备属性!$L$1083,1+INT(COUNTA($Q$11:Q227)/5),0),O227)</f>
        <v>0.034</v>
      </c>
      <c r="Q228" s="89" t="str">
        <f ca="1">IF(MOD(COUNTIF($Q$11:Q227,Q227),5)=0,OFFSET(装备属性!$M$1083,1+INT(COUNTA($Q$11:Q227)/5),0),Q227)</f>
        <v>通用属性</v>
      </c>
      <c r="R228" s="83">
        <f ca="1">IF(MOD(COUNTIF($Q$11:Q227,Q227),5)=0,10000*SUBSTITUTE(SUBSTITUTE(OFFSET(装备属性!$F$1083,1+INT(COUNTA($Q$11:Q227)/5),0),"[",""),"]","")+_xlfn.XLOOKUP(C228,$M$3:$M$7,$N$3:$N$7)*100,R227)</f>
        <v>10700</v>
      </c>
    </row>
    <row r="229" customHeight="1" spans="1:18">
      <c r="A229" s="78">
        <f ca="1" t="shared" si="9"/>
        <v>10701</v>
      </c>
      <c r="B229" s="82">
        <f ca="1">IFERROR(R229+COUNTIFS($R$11:$R229,R229),"")</f>
        <v>10724</v>
      </c>
      <c r="C229" s="83" t="str">
        <f ca="1">IF(MOD(COUNTIF($Q$11:Q228,Q228),5)=0,OFFSET(装备属性!$D$1083,1+INT(COUNTA($Q$11:Q228)/5),0),C228)</f>
        <v>粉</v>
      </c>
      <c r="D229" s="82">
        <f t="shared" si="11"/>
        <v>1500</v>
      </c>
      <c r="F229" s="82">
        <f ca="1" t="shared" si="10"/>
        <v>10704</v>
      </c>
      <c r="G229" s="78" t="str">
        <f ca="1">IF(AND(LEFT("[{"&amp;M229&amp;","&amp;CEILING(N229*10000+(O229-N229)/4*(COUNTIF($F$11:F229,F229)-1)*10000,10)&amp;"}]",7)="[{equip",MID("[{"&amp;M229&amp;","&amp;CEILING(N229*10000+(O229-N229)/4*(COUNTIF($F$11:F229,F229)-1)*10000,10)&amp;"}]",8,1)&lt;&gt;"_"),"[{"&amp;M229&amp;","&amp;1&amp;"}]","[{"&amp;M229&amp;","&amp;CEILING(N229*10000+(O229-N229)/4*(COUNTIF($F$11:F229,F229)-1)*10000,10)&amp;"}]")</f>
        <v>[{warrior_dmg_red_rate,330}]</v>
      </c>
      <c r="H229" s="82" t="s">
        <v>563</v>
      </c>
      <c r="J229" s="78">
        <f ca="1">IF(MOD(COUNTIF($Q$11:Q228,Q228),5)=0,OFFSET(装备属性!$P$1083,1+INT(COUNTA($Q$11:Q228)/5),0),J228)</f>
        <v>6</v>
      </c>
      <c r="K229" s="83" t="str">
        <f ca="1">IF(RIGHT(G229,13)="rune_slot,1}]",_xlfn.XLOOKUP(LEFT(SUBSTITUTE(G229,"[{",""),FIND(",",SUBSTITUTE(G229,"[{",""))-1),Sheet2!B:B,Sheet2!C:C)&amp;"+"&amp;1,_xlfn.XLOOKUP(LEFT(SUBSTITUTE(G229,"[{",""),FIND(",",SUBSTITUTE(G229,"[{",""))-1),Sheet2!B:B,Sheet2!C:C)&amp;"+"&amp;SUBSTITUTE(RIGHT(G229,LEN(G229)-FIND(",",G229)),"}]","")/100&amp;"%")</f>
        <v>战士伤害减免+3.3%</v>
      </c>
      <c r="L229" s="83" t="str">
        <f ca="1">IF(MOD(COUNTIF($Q$11:Q228,Q228),5)=0,OFFSET(装备属性!$G$1083,1+INT(COUNTA($Q$11:Q228)/5),0),L228)</f>
        <v>猛男耐打Ⅳ</v>
      </c>
      <c r="M229" s="89" t="str">
        <f ca="1">IF(MOD(COUNTIF($Q$11:Q228,Q228),5)=0,OFFSET(装备属性!$H$1083,1+INT(COUNTA($Q$11:Q228)/5),0),M228)</f>
        <v>warrior_dmg_red_rate</v>
      </c>
      <c r="N229" s="76">
        <f ca="1">IF(MOD(COUNTIF($Q$11:Q228,Q228),5)=0,OFFSET(装备属性!$K$1083,1+INT(COUNTA($Q$11:Q228)/5),0),N228)</f>
        <v>0.03</v>
      </c>
      <c r="O229" s="76">
        <f ca="1">IF(MOD(COUNTIF($Q$11:Q228,Q228),5)=0,OFFSET(装备属性!$L$1083,1+INT(COUNTA($Q$11:Q228)/5),0),O228)</f>
        <v>0.034</v>
      </c>
      <c r="Q229" s="89" t="str">
        <f ca="1">IF(MOD(COUNTIF($Q$11:Q228,Q228),5)=0,OFFSET(装备属性!$M$1083,1+INT(COUNTA($Q$11:Q228)/5),0),Q228)</f>
        <v>通用属性</v>
      </c>
      <c r="R229" s="83">
        <f ca="1">IF(MOD(COUNTIF($Q$11:Q228,Q228),5)=0,10000*SUBSTITUTE(SUBSTITUTE(OFFSET(装备属性!$F$1083,1+INT(COUNTA($Q$11:Q228)/5),0),"[",""),"]","")+_xlfn.XLOOKUP(C229,$M$3:$M$7,$N$3:$N$7)*100,R228)</f>
        <v>10700</v>
      </c>
    </row>
    <row r="230" customHeight="1" spans="1:18">
      <c r="A230" s="78">
        <f ca="1" t="shared" si="9"/>
        <v>10701</v>
      </c>
      <c r="B230" s="82">
        <f ca="1">IFERROR(R230+COUNTIFS($R$11:$R230,R230),"")</f>
        <v>10725</v>
      </c>
      <c r="C230" s="83" t="str">
        <f ca="1">IF(MOD(COUNTIF($Q$11:Q229,Q229),5)=0,OFFSET(装备属性!$D$1083,1+INT(COUNTA($Q$11:Q229)/5),0),C229)</f>
        <v>粉</v>
      </c>
      <c r="D230" s="82">
        <f t="shared" si="11"/>
        <v>1000</v>
      </c>
      <c r="F230" s="82">
        <f ca="1" t="shared" si="10"/>
        <v>10704</v>
      </c>
      <c r="G230" s="78" t="str">
        <f ca="1">IF(AND(LEFT("[{"&amp;M230&amp;","&amp;CEILING(N230*10000+(O230-N230)/4*(COUNTIF($F$11:F230,F230)-1)*10000,10)&amp;"}]",7)="[{equip",MID("[{"&amp;M230&amp;","&amp;CEILING(N230*10000+(O230-N230)/4*(COUNTIF($F$11:F230,F230)-1)*10000,10)&amp;"}]",8,1)&lt;&gt;"_"),"[{"&amp;M230&amp;","&amp;1&amp;"}]","[{"&amp;M230&amp;","&amp;CEILING(N230*10000+(O230-N230)/4*(COUNTIF($F$11:F230,F230)-1)*10000,10)&amp;"}]")</f>
        <v>[{warrior_dmg_red_rate,340}]</v>
      </c>
      <c r="H230" s="82" t="s">
        <v>563</v>
      </c>
      <c r="J230" s="78">
        <f ca="1">IF(MOD(COUNTIF($Q$11:Q229,Q229),5)=0,OFFSET(装备属性!$P$1083,1+INT(COUNTA($Q$11:Q229)/5),0),J229)</f>
        <v>6</v>
      </c>
      <c r="K230" s="83" t="str">
        <f ca="1">IF(RIGHT(G230,13)="rune_slot,1}]",_xlfn.XLOOKUP(LEFT(SUBSTITUTE(G230,"[{",""),FIND(",",SUBSTITUTE(G230,"[{",""))-1),Sheet2!B:B,Sheet2!C:C)&amp;"+"&amp;1,_xlfn.XLOOKUP(LEFT(SUBSTITUTE(G230,"[{",""),FIND(",",SUBSTITUTE(G230,"[{",""))-1),Sheet2!B:B,Sheet2!C:C)&amp;"+"&amp;SUBSTITUTE(RIGHT(G230,LEN(G230)-FIND(",",G230)),"}]","")/100&amp;"%")</f>
        <v>战士伤害减免+3.4%</v>
      </c>
      <c r="L230" s="83" t="str">
        <f ca="1">IF(MOD(COUNTIF($Q$11:Q229,Q229),5)=0,OFFSET(装备属性!$G$1083,1+INT(COUNTA($Q$11:Q229)/5),0),L229)</f>
        <v>猛男耐打Ⅳ</v>
      </c>
      <c r="M230" s="89" t="str">
        <f ca="1">IF(MOD(COUNTIF($Q$11:Q229,Q229),5)=0,OFFSET(装备属性!$H$1083,1+INT(COUNTA($Q$11:Q229)/5),0),M229)</f>
        <v>warrior_dmg_red_rate</v>
      </c>
      <c r="N230" s="76">
        <f ca="1">IF(MOD(COUNTIF($Q$11:Q229,Q229),5)=0,OFFSET(装备属性!$K$1083,1+INT(COUNTA($Q$11:Q229)/5),0),N229)</f>
        <v>0.03</v>
      </c>
      <c r="O230" s="76">
        <f ca="1">IF(MOD(COUNTIF($Q$11:Q229,Q229),5)=0,OFFSET(装备属性!$L$1083,1+INT(COUNTA($Q$11:Q229)/5),0),O229)</f>
        <v>0.034</v>
      </c>
      <c r="Q230" s="89" t="str">
        <f ca="1">IF(MOD(COUNTIF($Q$11:Q229,Q229),5)=0,OFFSET(装备属性!$M$1083,1+INT(COUNTA($Q$11:Q229)/5),0),Q229)</f>
        <v>通用属性</v>
      </c>
      <c r="R230" s="83">
        <f ca="1">IF(MOD(COUNTIF($Q$11:Q229,Q229),5)=0,10000*SUBSTITUTE(SUBSTITUTE(OFFSET(装备属性!$F$1083,1+INT(COUNTA($Q$11:Q229)/5),0),"[",""),"]","")+_xlfn.XLOOKUP(C230,$M$3:$M$7,$N$3:$N$7)*100,R229)</f>
        <v>10700</v>
      </c>
    </row>
    <row r="231" customHeight="1" spans="1:18">
      <c r="A231" s="78">
        <f ca="1" t="shared" si="9"/>
        <v>10701</v>
      </c>
      <c r="B231" s="82">
        <f ca="1">IFERROR(R231+COUNTIFS($R$11:$R231,R231),"")</f>
        <v>10726</v>
      </c>
      <c r="C231" s="83" t="str">
        <f ca="1">IF(MOD(COUNTIF($Q$11:Q230,Q230),5)=0,OFFSET(装备属性!$D$1083,1+INT(COUNTA($Q$11:Q230)/5),0),C230)</f>
        <v>粉</v>
      </c>
      <c r="D231" s="82">
        <f t="shared" si="11"/>
        <v>3000</v>
      </c>
      <c r="F231" s="82">
        <f ca="1" t="shared" si="10"/>
        <v>10705</v>
      </c>
      <c r="G231" s="78" t="str">
        <f ca="1">IF(AND(LEFT("[{"&amp;M231&amp;","&amp;CEILING(N231*10000+(O231-N231)/4*(COUNTIF($F$11:F231,F231)-1)*10000,10)&amp;"}]",7)="[{equip",MID("[{"&amp;M231&amp;","&amp;CEILING(N231*10000+(O231-N231)/4*(COUNTIF($F$11:F231,F231)-1)*10000,10)&amp;"}]",8,1)&lt;&gt;"_"),"[{"&amp;M231&amp;","&amp;1&amp;"}]","[{"&amp;M231&amp;","&amp;CEILING(N231*10000+(O231-N231)/4*(COUNTIF($F$11:F231,F231)-1)*10000,10)&amp;"}]")</f>
        <v>[{warrior_dmg_rate,800}]</v>
      </c>
      <c r="H231" s="82" t="s">
        <v>563</v>
      </c>
      <c r="J231" s="78">
        <f ca="1">IF(MOD(COUNTIF($Q$11:Q230,Q230),5)=0,OFFSET(装备属性!$P$1083,1+INT(COUNTA($Q$11:Q230)/5),0),J230)</f>
        <v>5</v>
      </c>
      <c r="K231" s="83" t="str">
        <f ca="1">IF(RIGHT(G231,13)="rune_slot,1}]",_xlfn.XLOOKUP(LEFT(SUBSTITUTE(G231,"[{",""),FIND(",",SUBSTITUTE(G231,"[{",""))-1),Sheet2!B:B,Sheet2!C:C)&amp;"+"&amp;1,_xlfn.XLOOKUP(LEFT(SUBSTITUTE(G231,"[{",""),FIND(",",SUBSTITUTE(G231,"[{",""))-1),Sheet2!B:B,Sheet2!C:C)&amp;"+"&amp;SUBSTITUTE(RIGHT(G231,LEN(G231)-FIND(",",G231)),"}]","")/100&amp;"%")</f>
        <v>战士伤害+8%</v>
      </c>
      <c r="L231" s="83" t="str">
        <f ca="1">IF(MOD(COUNTIF($Q$11:Q230,Q230),5)=0,OFFSET(装备属性!$G$1083,1+INT(COUNTA($Q$11:Q230)/5),0),L230)</f>
        <v>猛男加劲Ⅳ</v>
      </c>
      <c r="M231" s="89" t="str">
        <f ca="1">IF(MOD(COUNTIF($Q$11:Q230,Q230),5)=0,OFFSET(装备属性!$H$1083,1+INT(COUNTA($Q$11:Q230)/5),0),M230)</f>
        <v>warrior_dmg_rate</v>
      </c>
      <c r="N231" s="76">
        <f ca="1">IF(MOD(COUNTIF($Q$11:Q230,Q230),5)=0,OFFSET(装备属性!$K$1083,1+INT(COUNTA($Q$11:Q230)/5),0),N230)</f>
        <v>0.08</v>
      </c>
      <c r="O231" s="76">
        <f ca="1">IF(MOD(COUNTIF($Q$11:Q230,Q230),5)=0,OFFSET(装备属性!$L$1083,1+INT(COUNTA($Q$11:Q230)/5),0),O230)</f>
        <v>0.09</v>
      </c>
      <c r="Q231" s="89" t="str">
        <f ca="1">IF(MOD(COUNTIF($Q$11:Q230,Q230),5)=0,OFFSET(装备属性!$M$1083,1+INT(COUNTA($Q$11:Q230)/5),0),Q230)</f>
        <v>通用属性</v>
      </c>
      <c r="R231" s="83">
        <f ca="1">IF(MOD(COUNTIF($Q$11:Q230,Q230),5)=0,10000*SUBSTITUTE(SUBSTITUTE(OFFSET(装备属性!$F$1083,1+INT(COUNTA($Q$11:Q230)/5),0),"[",""),"]","")+_xlfn.XLOOKUP(C231,$M$3:$M$7,$N$3:$N$7)*100,R230)</f>
        <v>10700</v>
      </c>
    </row>
    <row r="232" customHeight="1" spans="1:18">
      <c r="A232" s="78">
        <f ca="1" t="shared" si="9"/>
        <v>10701</v>
      </c>
      <c r="B232" s="82">
        <f ca="1">IFERROR(R232+COUNTIFS($R$11:$R232,R232),"")</f>
        <v>10727</v>
      </c>
      <c r="C232" s="83" t="str">
        <f ca="1">IF(MOD(COUNTIF($Q$11:Q231,Q231),5)=0,OFFSET(装备属性!$D$1083,1+INT(COUNTA($Q$11:Q231)/5),0),C231)</f>
        <v>粉</v>
      </c>
      <c r="D232" s="82">
        <f t="shared" si="11"/>
        <v>2500</v>
      </c>
      <c r="F232" s="82">
        <f ca="1" t="shared" si="10"/>
        <v>10705</v>
      </c>
      <c r="G232" s="78" t="str">
        <f ca="1">IF(AND(LEFT("[{"&amp;M232&amp;","&amp;CEILING(N232*10000+(O232-N232)/4*(COUNTIF($F$11:F232,F232)-1)*10000,10)&amp;"}]",7)="[{equip",MID("[{"&amp;M232&amp;","&amp;CEILING(N232*10000+(O232-N232)/4*(COUNTIF($F$11:F232,F232)-1)*10000,10)&amp;"}]",8,1)&lt;&gt;"_"),"[{"&amp;M232&amp;","&amp;1&amp;"}]","[{"&amp;M232&amp;","&amp;CEILING(N232*10000+(O232-N232)/4*(COUNTIF($F$11:F232,F232)-1)*10000,10)&amp;"}]")</f>
        <v>[{warrior_dmg_rate,830}]</v>
      </c>
      <c r="H232" s="82" t="s">
        <v>563</v>
      </c>
      <c r="J232" s="78">
        <f ca="1">IF(MOD(COUNTIF($Q$11:Q231,Q231),5)=0,OFFSET(装备属性!$P$1083,1+INT(COUNTA($Q$11:Q231)/5),0),J231)</f>
        <v>5</v>
      </c>
      <c r="K232" s="83" t="str">
        <f ca="1">IF(RIGHT(G232,13)="rune_slot,1}]",_xlfn.XLOOKUP(LEFT(SUBSTITUTE(G232,"[{",""),FIND(",",SUBSTITUTE(G232,"[{",""))-1),Sheet2!B:B,Sheet2!C:C)&amp;"+"&amp;1,_xlfn.XLOOKUP(LEFT(SUBSTITUTE(G232,"[{",""),FIND(",",SUBSTITUTE(G232,"[{",""))-1),Sheet2!B:B,Sheet2!C:C)&amp;"+"&amp;SUBSTITUTE(RIGHT(G232,LEN(G232)-FIND(",",G232)),"}]","")/100&amp;"%")</f>
        <v>战士伤害+8.3%</v>
      </c>
      <c r="L232" s="83" t="str">
        <f ca="1">IF(MOD(COUNTIF($Q$11:Q231,Q231),5)=0,OFFSET(装备属性!$G$1083,1+INT(COUNTA($Q$11:Q231)/5),0),L231)</f>
        <v>猛男加劲Ⅳ</v>
      </c>
      <c r="M232" s="89" t="str">
        <f ca="1">IF(MOD(COUNTIF($Q$11:Q231,Q231),5)=0,OFFSET(装备属性!$H$1083,1+INT(COUNTA($Q$11:Q231)/5),0),M231)</f>
        <v>warrior_dmg_rate</v>
      </c>
      <c r="N232" s="76">
        <f ca="1">IF(MOD(COUNTIF($Q$11:Q231,Q231),5)=0,OFFSET(装备属性!$K$1083,1+INT(COUNTA($Q$11:Q231)/5),0),N231)</f>
        <v>0.08</v>
      </c>
      <c r="O232" s="76">
        <f ca="1">IF(MOD(COUNTIF($Q$11:Q231,Q231),5)=0,OFFSET(装备属性!$L$1083,1+INT(COUNTA($Q$11:Q231)/5),0),O231)</f>
        <v>0.09</v>
      </c>
      <c r="Q232" s="89" t="str">
        <f ca="1">IF(MOD(COUNTIF($Q$11:Q231,Q231),5)=0,OFFSET(装备属性!$M$1083,1+INT(COUNTA($Q$11:Q231)/5),0),Q231)</f>
        <v>通用属性</v>
      </c>
      <c r="R232" s="83">
        <f ca="1">IF(MOD(COUNTIF($Q$11:Q231,Q231),5)=0,10000*SUBSTITUTE(SUBSTITUTE(OFFSET(装备属性!$F$1083,1+INT(COUNTA($Q$11:Q231)/5),0),"[",""),"]","")+_xlfn.XLOOKUP(C232,$M$3:$M$7,$N$3:$N$7)*100,R231)</f>
        <v>10700</v>
      </c>
    </row>
    <row r="233" customHeight="1" spans="1:18">
      <c r="A233" s="78">
        <f ca="1" t="shared" si="9"/>
        <v>10701</v>
      </c>
      <c r="B233" s="82">
        <f ca="1">IFERROR(R233+COUNTIFS($R$11:$R233,R233),"")</f>
        <v>10728</v>
      </c>
      <c r="C233" s="83" t="str">
        <f ca="1">IF(MOD(COUNTIF($Q$11:Q232,Q232),5)=0,OFFSET(装备属性!$D$1083,1+INT(COUNTA($Q$11:Q232)/5),0),C232)</f>
        <v>粉</v>
      </c>
      <c r="D233" s="82">
        <f t="shared" si="11"/>
        <v>2000</v>
      </c>
      <c r="F233" s="82">
        <f ca="1" t="shared" si="10"/>
        <v>10705</v>
      </c>
      <c r="G233" s="78" t="str">
        <f ca="1">IF(AND(LEFT("[{"&amp;M233&amp;","&amp;CEILING(N233*10000+(O233-N233)/4*(COUNTIF($F$11:F233,F233)-1)*10000,10)&amp;"}]",7)="[{equip",MID("[{"&amp;M233&amp;","&amp;CEILING(N233*10000+(O233-N233)/4*(COUNTIF($F$11:F233,F233)-1)*10000,10)&amp;"}]",8,1)&lt;&gt;"_"),"[{"&amp;M233&amp;","&amp;1&amp;"}]","[{"&amp;M233&amp;","&amp;CEILING(N233*10000+(O233-N233)/4*(COUNTIF($F$11:F233,F233)-1)*10000,10)&amp;"}]")</f>
        <v>[{warrior_dmg_rate,850}]</v>
      </c>
      <c r="H233" s="82" t="s">
        <v>563</v>
      </c>
      <c r="J233" s="78">
        <f ca="1">IF(MOD(COUNTIF($Q$11:Q232,Q232),5)=0,OFFSET(装备属性!$P$1083,1+INT(COUNTA($Q$11:Q232)/5),0),J232)</f>
        <v>5</v>
      </c>
      <c r="K233" s="83" t="str">
        <f ca="1">IF(RIGHT(G233,13)="rune_slot,1}]",_xlfn.XLOOKUP(LEFT(SUBSTITUTE(G233,"[{",""),FIND(",",SUBSTITUTE(G233,"[{",""))-1),Sheet2!B:B,Sheet2!C:C)&amp;"+"&amp;1,_xlfn.XLOOKUP(LEFT(SUBSTITUTE(G233,"[{",""),FIND(",",SUBSTITUTE(G233,"[{",""))-1),Sheet2!B:B,Sheet2!C:C)&amp;"+"&amp;SUBSTITUTE(RIGHT(G233,LEN(G233)-FIND(",",G233)),"}]","")/100&amp;"%")</f>
        <v>战士伤害+8.5%</v>
      </c>
      <c r="L233" s="83" t="str">
        <f ca="1">IF(MOD(COUNTIF($Q$11:Q232,Q232),5)=0,OFFSET(装备属性!$G$1083,1+INT(COUNTA($Q$11:Q232)/5),0),L232)</f>
        <v>猛男加劲Ⅳ</v>
      </c>
      <c r="M233" s="89" t="str">
        <f ca="1">IF(MOD(COUNTIF($Q$11:Q232,Q232),5)=0,OFFSET(装备属性!$H$1083,1+INT(COUNTA($Q$11:Q232)/5),0),M232)</f>
        <v>warrior_dmg_rate</v>
      </c>
      <c r="N233" s="76">
        <f ca="1">IF(MOD(COUNTIF($Q$11:Q232,Q232),5)=0,OFFSET(装备属性!$K$1083,1+INT(COUNTA($Q$11:Q232)/5),0),N232)</f>
        <v>0.08</v>
      </c>
      <c r="O233" s="76">
        <f ca="1">IF(MOD(COUNTIF($Q$11:Q232,Q232),5)=0,OFFSET(装备属性!$L$1083,1+INT(COUNTA($Q$11:Q232)/5),0),O232)</f>
        <v>0.09</v>
      </c>
      <c r="Q233" s="89" t="str">
        <f ca="1">IF(MOD(COUNTIF($Q$11:Q232,Q232),5)=0,OFFSET(装备属性!$M$1083,1+INT(COUNTA($Q$11:Q232)/5),0),Q232)</f>
        <v>通用属性</v>
      </c>
      <c r="R233" s="83">
        <f ca="1">IF(MOD(COUNTIF($Q$11:Q232,Q232),5)=0,10000*SUBSTITUTE(SUBSTITUTE(OFFSET(装备属性!$F$1083,1+INT(COUNTA($Q$11:Q232)/5),0),"[",""),"]","")+_xlfn.XLOOKUP(C233,$M$3:$M$7,$N$3:$N$7)*100,R232)</f>
        <v>10700</v>
      </c>
    </row>
    <row r="234" customHeight="1" spans="1:18">
      <c r="A234" s="78">
        <f ca="1" t="shared" si="9"/>
        <v>10701</v>
      </c>
      <c r="B234" s="82">
        <f ca="1">IFERROR(R234+COUNTIFS($R$11:$R234,R234),"")</f>
        <v>10729</v>
      </c>
      <c r="C234" s="83" t="str">
        <f ca="1">IF(MOD(COUNTIF($Q$11:Q233,Q233),5)=0,OFFSET(装备属性!$D$1083,1+INT(COUNTA($Q$11:Q233)/5),0),C233)</f>
        <v>粉</v>
      </c>
      <c r="D234" s="82">
        <f t="shared" si="11"/>
        <v>1500</v>
      </c>
      <c r="F234" s="82">
        <f ca="1" t="shared" si="10"/>
        <v>10705</v>
      </c>
      <c r="G234" s="78" t="str">
        <f ca="1">IF(AND(LEFT("[{"&amp;M234&amp;","&amp;CEILING(N234*10000+(O234-N234)/4*(COUNTIF($F$11:F234,F234)-1)*10000,10)&amp;"}]",7)="[{equip",MID("[{"&amp;M234&amp;","&amp;CEILING(N234*10000+(O234-N234)/4*(COUNTIF($F$11:F234,F234)-1)*10000,10)&amp;"}]",8,1)&lt;&gt;"_"),"[{"&amp;M234&amp;","&amp;1&amp;"}]","[{"&amp;M234&amp;","&amp;CEILING(N234*10000+(O234-N234)/4*(COUNTIF($F$11:F234,F234)-1)*10000,10)&amp;"}]")</f>
        <v>[{warrior_dmg_rate,880}]</v>
      </c>
      <c r="H234" s="82" t="s">
        <v>563</v>
      </c>
      <c r="J234" s="78">
        <f ca="1">IF(MOD(COUNTIF($Q$11:Q233,Q233),5)=0,OFFSET(装备属性!$P$1083,1+INT(COUNTA($Q$11:Q233)/5),0),J233)</f>
        <v>5</v>
      </c>
      <c r="K234" s="83" t="str">
        <f ca="1">IF(RIGHT(G234,13)="rune_slot,1}]",_xlfn.XLOOKUP(LEFT(SUBSTITUTE(G234,"[{",""),FIND(",",SUBSTITUTE(G234,"[{",""))-1),Sheet2!B:B,Sheet2!C:C)&amp;"+"&amp;1,_xlfn.XLOOKUP(LEFT(SUBSTITUTE(G234,"[{",""),FIND(",",SUBSTITUTE(G234,"[{",""))-1),Sheet2!B:B,Sheet2!C:C)&amp;"+"&amp;SUBSTITUTE(RIGHT(G234,LEN(G234)-FIND(",",G234)),"}]","")/100&amp;"%")</f>
        <v>战士伤害+8.8%</v>
      </c>
      <c r="L234" s="83" t="str">
        <f ca="1">IF(MOD(COUNTIF($Q$11:Q233,Q233),5)=0,OFFSET(装备属性!$G$1083,1+INT(COUNTA($Q$11:Q233)/5),0),L233)</f>
        <v>猛男加劲Ⅳ</v>
      </c>
      <c r="M234" s="89" t="str">
        <f ca="1">IF(MOD(COUNTIF($Q$11:Q233,Q233),5)=0,OFFSET(装备属性!$H$1083,1+INT(COUNTA($Q$11:Q233)/5),0),M233)</f>
        <v>warrior_dmg_rate</v>
      </c>
      <c r="N234" s="76">
        <f ca="1">IF(MOD(COUNTIF($Q$11:Q233,Q233),5)=0,OFFSET(装备属性!$K$1083,1+INT(COUNTA($Q$11:Q233)/5),0),N233)</f>
        <v>0.08</v>
      </c>
      <c r="O234" s="76">
        <f ca="1">IF(MOD(COUNTIF($Q$11:Q233,Q233),5)=0,OFFSET(装备属性!$L$1083,1+INT(COUNTA($Q$11:Q233)/5),0),O233)</f>
        <v>0.09</v>
      </c>
      <c r="Q234" s="89" t="str">
        <f ca="1">IF(MOD(COUNTIF($Q$11:Q233,Q233),5)=0,OFFSET(装备属性!$M$1083,1+INT(COUNTA($Q$11:Q233)/5),0),Q233)</f>
        <v>通用属性</v>
      </c>
      <c r="R234" s="83">
        <f ca="1">IF(MOD(COUNTIF($Q$11:Q233,Q233),5)=0,10000*SUBSTITUTE(SUBSTITUTE(OFFSET(装备属性!$F$1083,1+INT(COUNTA($Q$11:Q233)/5),0),"[",""),"]","")+_xlfn.XLOOKUP(C234,$M$3:$M$7,$N$3:$N$7)*100,R233)</f>
        <v>10700</v>
      </c>
    </row>
    <row r="235" customHeight="1" spans="1:18">
      <c r="A235" s="78">
        <f ca="1" t="shared" si="9"/>
        <v>10701</v>
      </c>
      <c r="B235" s="82">
        <f ca="1">IFERROR(R235+COUNTIFS($R$11:$R235,R235),"")</f>
        <v>10730</v>
      </c>
      <c r="C235" s="83" t="str">
        <f ca="1">IF(MOD(COUNTIF($Q$11:Q234,Q234),5)=0,OFFSET(装备属性!$D$1083,1+INT(COUNTA($Q$11:Q234)/5),0),C234)</f>
        <v>粉</v>
      </c>
      <c r="D235" s="82">
        <f t="shared" si="11"/>
        <v>1000</v>
      </c>
      <c r="F235" s="82">
        <f ca="1" t="shared" si="10"/>
        <v>10705</v>
      </c>
      <c r="G235" s="78" t="str">
        <f ca="1">IF(AND(LEFT("[{"&amp;M235&amp;","&amp;CEILING(N235*10000+(O235-N235)/4*(COUNTIF($F$11:F235,F235)-1)*10000,10)&amp;"}]",7)="[{equip",MID("[{"&amp;M235&amp;","&amp;CEILING(N235*10000+(O235-N235)/4*(COUNTIF($F$11:F235,F235)-1)*10000,10)&amp;"}]",8,1)&lt;&gt;"_"),"[{"&amp;M235&amp;","&amp;1&amp;"}]","[{"&amp;M235&amp;","&amp;CEILING(N235*10000+(O235-N235)/4*(COUNTIF($F$11:F235,F235)-1)*10000,10)&amp;"}]")</f>
        <v>[{warrior_dmg_rate,900}]</v>
      </c>
      <c r="H235" s="82" t="s">
        <v>563</v>
      </c>
      <c r="J235" s="78">
        <f ca="1">IF(MOD(COUNTIF($Q$11:Q234,Q234),5)=0,OFFSET(装备属性!$P$1083,1+INT(COUNTA($Q$11:Q234)/5),0),J234)</f>
        <v>5</v>
      </c>
      <c r="K235" s="83" t="str">
        <f ca="1">IF(RIGHT(G235,13)="rune_slot,1}]",_xlfn.XLOOKUP(LEFT(SUBSTITUTE(G235,"[{",""),FIND(",",SUBSTITUTE(G235,"[{",""))-1),Sheet2!B:B,Sheet2!C:C)&amp;"+"&amp;1,_xlfn.XLOOKUP(LEFT(SUBSTITUTE(G235,"[{",""),FIND(",",SUBSTITUTE(G235,"[{",""))-1),Sheet2!B:B,Sheet2!C:C)&amp;"+"&amp;SUBSTITUTE(RIGHT(G235,LEN(G235)-FIND(",",G235)),"}]","")/100&amp;"%")</f>
        <v>战士伤害+9%</v>
      </c>
      <c r="L235" s="83" t="str">
        <f ca="1">IF(MOD(COUNTIF($Q$11:Q234,Q234),5)=0,OFFSET(装备属性!$G$1083,1+INT(COUNTA($Q$11:Q234)/5),0),L234)</f>
        <v>猛男加劲Ⅳ</v>
      </c>
      <c r="M235" s="89" t="str">
        <f ca="1">IF(MOD(COUNTIF($Q$11:Q234,Q234),5)=0,OFFSET(装备属性!$H$1083,1+INT(COUNTA($Q$11:Q234)/5),0),M234)</f>
        <v>warrior_dmg_rate</v>
      </c>
      <c r="N235" s="76">
        <f ca="1">IF(MOD(COUNTIF($Q$11:Q234,Q234),5)=0,OFFSET(装备属性!$K$1083,1+INT(COUNTA($Q$11:Q234)/5),0),N234)</f>
        <v>0.08</v>
      </c>
      <c r="O235" s="76">
        <f ca="1">IF(MOD(COUNTIF($Q$11:Q234,Q234),5)=0,OFFSET(装备属性!$L$1083,1+INT(COUNTA($Q$11:Q234)/5),0),O234)</f>
        <v>0.09</v>
      </c>
      <c r="Q235" s="89" t="str">
        <f ca="1">IF(MOD(COUNTIF($Q$11:Q234,Q234),5)=0,OFFSET(装备属性!$M$1083,1+INT(COUNTA($Q$11:Q234)/5),0),Q234)</f>
        <v>通用属性</v>
      </c>
      <c r="R235" s="83">
        <f ca="1">IF(MOD(COUNTIF($Q$11:Q234,Q234),5)=0,10000*SUBSTITUTE(SUBSTITUTE(OFFSET(装备属性!$F$1083,1+INT(COUNTA($Q$11:Q234)/5),0),"[",""),"]","")+_xlfn.XLOOKUP(C235,$M$3:$M$7,$N$3:$N$7)*100,R234)</f>
        <v>10700</v>
      </c>
    </row>
    <row r="236" customHeight="1" spans="1:18">
      <c r="A236" s="78">
        <f ca="1" t="shared" si="9"/>
        <v>10701</v>
      </c>
      <c r="B236" s="82">
        <f ca="1">IFERROR(R236+COUNTIFS($R$11:$R236,R236),"")</f>
        <v>10731</v>
      </c>
      <c r="C236" s="83" t="str">
        <f ca="1">IF(MOD(COUNTIF($Q$11:Q235,Q235),5)=0,OFFSET(装备属性!$D$1083,1+INT(COUNTA($Q$11:Q235)/5),0),C235)</f>
        <v>粉</v>
      </c>
      <c r="D236" s="82">
        <f t="shared" si="11"/>
        <v>3000</v>
      </c>
      <c r="F236" s="82">
        <f ca="1" t="shared" si="10"/>
        <v>10706</v>
      </c>
      <c r="G236" s="78" t="str">
        <f ca="1">IF(AND(LEFT("[{"&amp;M236&amp;","&amp;CEILING(N236*10000+(O236-N236)/4*(COUNTIF($F$11:F236,F236)-1)*10000,10)&amp;"}]",7)="[{equip",MID("[{"&amp;M236&amp;","&amp;CEILING(N236*10000+(O236-N236)/4*(COUNTIF($F$11:F236,F236)-1)*10000,10)&amp;"}]",8,1)&lt;&gt;"_"),"[{"&amp;M236&amp;","&amp;1&amp;"}]","[{"&amp;M236&amp;","&amp;CEILING(N236*10000+(O236-N236)/4*(COUNTIF($F$11:F236,F236)-1)*10000,10)&amp;"}]")</f>
        <v>[{warrior_class_dmg_rate,1100}]</v>
      </c>
      <c r="H236" s="82" t="s">
        <v>563</v>
      </c>
      <c r="J236" s="78">
        <f ca="1">IF(MOD(COUNTIF($Q$11:Q235,Q235),5)=0,OFFSET(装备属性!$P$1083,1+INT(COUNTA($Q$11:Q235)/5),0),J235)</f>
        <v>3</v>
      </c>
      <c r="K236" s="83" t="str">
        <f ca="1">IF(RIGHT(G236,13)="rune_slot,1}]",_xlfn.XLOOKUP(LEFT(SUBSTITUTE(G236,"[{",""),FIND(",",SUBSTITUTE(G236,"[{",""))-1),Sheet2!B:B,Sheet2!C:C)&amp;"+"&amp;1,_xlfn.XLOOKUP(LEFT(SUBSTITUTE(G236,"[{",""),FIND(",",SUBSTITUTE(G236,"[{",""))-1),Sheet2!B:B,Sheet2!C:C)&amp;"+"&amp;SUBSTITUTE(RIGHT(G236,LEN(G236)-FIND(",",G236)),"}]","")/100&amp;"%")</f>
        <v>上阵两个战士职业增伤+11%</v>
      </c>
      <c r="L236" s="83" t="str">
        <f ca="1">IF(MOD(COUNTIF($Q$11:Q235,Q235),5)=0,OFFSET(装备属性!$G$1083,1+INT(COUNTA($Q$11:Q235)/5),0),L235)</f>
        <v>猛男小队Ⅳ</v>
      </c>
      <c r="M236" s="89" t="str">
        <f ca="1">IF(MOD(COUNTIF($Q$11:Q235,Q235),5)=0,OFFSET(装备属性!$H$1083,1+INT(COUNTA($Q$11:Q235)/5),0),M235)</f>
        <v>warrior_class_dmg_rate</v>
      </c>
      <c r="N236" s="76">
        <f ca="1">IF(MOD(COUNTIF($Q$11:Q235,Q235),5)=0,OFFSET(装备属性!$K$1083,1+INT(COUNTA($Q$11:Q235)/5),0),N235)</f>
        <v>0.11</v>
      </c>
      <c r="O236" s="76">
        <f ca="1">IF(MOD(COUNTIF($Q$11:Q235,Q235),5)=0,OFFSET(装备属性!$L$1083,1+INT(COUNTA($Q$11:Q235)/5),0),O235)</f>
        <v>0.13</v>
      </c>
      <c r="Q236" s="89" t="str">
        <f ca="1">IF(MOD(COUNTIF($Q$11:Q235,Q235),5)=0,OFFSET(装备属性!$M$1083,1+INT(COUNTA($Q$11:Q235)/5),0),Q235)</f>
        <v>通用属性</v>
      </c>
      <c r="R236" s="83">
        <f ca="1">IF(MOD(COUNTIF($Q$11:Q235,Q235),5)=0,10000*SUBSTITUTE(SUBSTITUTE(OFFSET(装备属性!$F$1083,1+INT(COUNTA($Q$11:Q235)/5),0),"[",""),"]","")+_xlfn.XLOOKUP(C236,$M$3:$M$7,$N$3:$N$7)*100,R235)</f>
        <v>10700</v>
      </c>
    </row>
    <row r="237" customHeight="1" spans="1:18">
      <c r="A237" s="78">
        <f ca="1" t="shared" si="9"/>
        <v>10701</v>
      </c>
      <c r="B237" s="82">
        <f ca="1">IFERROR(R237+COUNTIFS($R$11:$R237,R237),"")</f>
        <v>10732</v>
      </c>
      <c r="C237" s="83" t="str">
        <f ca="1">IF(MOD(COUNTIF($Q$11:Q236,Q236),5)=0,OFFSET(装备属性!$D$1083,1+INT(COUNTA($Q$11:Q236)/5),0),C236)</f>
        <v>粉</v>
      </c>
      <c r="D237" s="82">
        <f t="shared" si="11"/>
        <v>2500</v>
      </c>
      <c r="F237" s="82">
        <f ca="1" t="shared" si="10"/>
        <v>10706</v>
      </c>
      <c r="G237" s="78" t="str">
        <f ca="1">IF(AND(LEFT("[{"&amp;M237&amp;","&amp;CEILING(N237*10000+(O237-N237)/4*(COUNTIF($F$11:F237,F237)-1)*10000,10)&amp;"}]",7)="[{equip",MID("[{"&amp;M237&amp;","&amp;CEILING(N237*10000+(O237-N237)/4*(COUNTIF($F$11:F237,F237)-1)*10000,10)&amp;"}]",8,1)&lt;&gt;"_"),"[{"&amp;M237&amp;","&amp;1&amp;"}]","[{"&amp;M237&amp;","&amp;CEILING(N237*10000+(O237-N237)/4*(COUNTIF($F$11:F237,F237)-1)*10000,10)&amp;"}]")</f>
        <v>[{warrior_class_dmg_rate,1150}]</v>
      </c>
      <c r="H237" s="82" t="s">
        <v>563</v>
      </c>
      <c r="J237" s="78">
        <f ca="1">IF(MOD(COUNTIF($Q$11:Q236,Q236),5)=0,OFFSET(装备属性!$P$1083,1+INT(COUNTA($Q$11:Q236)/5),0),J236)</f>
        <v>3</v>
      </c>
      <c r="K237" s="83" t="str">
        <f ca="1">IF(RIGHT(G237,13)="rune_slot,1}]",_xlfn.XLOOKUP(LEFT(SUBSTITUTE(G237,"[{",""),FIND(",",SUBSTITUTE(G237,"[{",""))-1),Sheet2!B:B,Sheet2!C:C)&amp;"+"&amp;1,_xlfn.XLOOKUP(LEFT(SUBSTITUTE(G237,"[{",""),FIND(",",SUBSTITUTE(G237,"[{",""))-1),Sheet2!B:B,Sheet2!C:C)&amp;"+"&amp;SUBSTITUTE(RIGHT(G237,LEN(G237)-FIND(",",G237)),"}]","")/100&amp;"%")</f>
        <v>上阵两个战士职业增伤+11.5%</v>
      </c>
      <c r="L237" s="83" t="str">
        <f ca="1">IF(MOD(COUNTIF($Q$11:Q236,Q236),5)=0,OFFSET(装备属性!$G$1083,1+INT(COUNTA($Q$11:Q236)/5),0),L236)</f>
        <v>猛男小队Ⅳ</v>
      </c>
      <c r="M237" s="89" t="str">
        <f ca="1">IF(MOD(COUNTIF($Q$11:Q236,Q236),5)=0,OFFSET(装备属性!$H$1083,1+INT(COUNTA($Q$11:Q236)/5),0),M236)</f>
        <v>warrior_class_dmg_rate</v>
      </c>
      <c r="N237" s="76">
        <f ca="1">IF(MOD(COUNTIF($Q$11:Q236,Q236),5)=0,OFFSET(装备属性!$K$1083,1+INT(COUNTA($Q$11:Q236)/5),0),N236)</f>
        <v>0.11</v>
      </c>
      <c r="O237" s="76">
        <f ca="1">IF(MOD(COUNTIF($Q$11:Q236,Q236),5)=0,OFFSET(装备属性!$L$1083,1+INT(COUNTA($Q$11:Q236)/5),0),O236)</f>
        <v>0.13</v>
      </c>
      <c r="Q237" s="89" t="str">
        <f ca="1">IF(MOD(COUNTIF($Q$11:Q236,Q236),5)=0,OFFSET(装备属性!$M$1083,1+INT(COUNTA($Q$11:Q236)/5),0),Q236)</f>
        <v>通用属性</v>
      </c>
      <c r="R237" s="83">
        <f ca="1">IF(MOD(COUNTIF($Q$11:Q236,Q236),5)=0,10000*SUBSTITUTE(SUBSTITUTE(OFFSET(装备属性!$F$1083,1+INT(COUNTA($Q$11:Q236)/5),0),"[",""),"]","")+_xlfn.XLOOKUP(C237,$M$3:$M$7,$N$3:$N$7)*100,R236)</f>
        <v>10700</v>
      </c>
    </row>
    <row r="238" customHeight="1" spans="1:18">
      <c r="A238" s="78">
        <f ca="1" t="shared" si="9"/>
        <v>10701</v>
      </c>
      <c r="B238" s="82">
        <f ca="1">IFERROR(R238+COUNTIFS($R$11:$R238,R238),"")</f>
        <v>10733</v>
      </c>
      <c r="C238" s="83" t="str">
        <f ca="1">IF(MOD(COUNTIF($Q$11:Q237,Q237),5)=0,OFFSET(装备属性!$D$1083,1+INT(COUNTA($Q$11:Q237)/5),0),C237)</f>
        <v>粉</v>
      </c>
      <c r="D238" s="82">
        <f t="shared" si="11"/>
        <v>2000</v>
      </c>
      <c r="F238" s="82">
        <f ca="1" t="shared" si="10"/>
        <v>10706</v>
      </c>
      <c r="G238" s="78" t="str">
        <f ca="1">IF(AND(LEFT("[{"&amp;M238&amp;","&amp;CEILING(N238*10000+(O238-N238)/4*(COUNTIF($F$11:F238,F238)-1)*10000,10)&amp;"}]",7)="[{equip",MID("[{"&amp;M238&amp;","&amp;CEILING(N238*10000+(O238-N238)/4*(COUNTIF($F$11:F238,F238)-1)*10000,10)&amp;"}]",8,1)&lt;&gt;"_"),"[{"&amp;M238&amp;","&amp;1&amp;"}]","[{"&amp;M238&amp;","&amp;CEILING(N238*10000+(O238-N238)/4*(COUNTIF($F$11:F238,F238)-1)*10000,10)&amp;"}]")</f>
        <v>[{warrior_class_dmg_rate,1200}]</v>
      </c>
      <c r="H238" s="82" t="s">
        <v>563</v>
      </c>
      <c r="J238" s="78">
        <f ca="1">IF(MOD(COUNTIF($Q$11:Q237,Q237),5)=0,OFFSET(装备属性!$P$1083,1+INT(COUNTA($Q$11:Q237)/5),0),J237)</f>
        <v>3</v>
      </c>
      <c r="K238" s="83" t="str">
        <f ca="1">IF(RIGHT(G238,13)="rune_slot,1}]",_xlfn.XLOOKUP(LEFT(SUBSTITUTE(G238,"[{",""),FIND(",",SUBSTITUTE(G238,"[{",""))-1),Sheet2!B:B,Sheet2!C:C)&amp;"+"&amp;1,_xlfn.XLOOKUP(LEFT(SUBSTITUTE(G238,"[{",""),FIND(",",SUBSTITUTE(G238,"[{",""))-1),Sheet2!B:B,Sheet2!C:C)&amp;"+"&amp;SUBSTITUTE(RIGHT(G238,LEN(G238)-FIND(",",G238)),"}]","")/100&amp;"%")</f>
        <v>上阵两个战士职业增伤+12%</v>
      </c>
      <c r="L238" s="83" t="str">
        <f ca="1">IF(MOD(COUNTIF($Q$11:Q237,Q237),5)=0,OFFSET(装备属性!$G$1083,1+INT(COUNTA($Q$11:Q237)/5),0),L237)</f>
        <v>猛男小队Ⅳ</v>
      </c>
      <c r="M238" s="89" t="str">
        <f ca="1">IF(MOD(COUNTIF($Q$11:Q237,Q237),5)=0,OFFSET(装备属性!$H$1083,1+INT(COUNTA($Q$11:Q237)/5),0),M237)</f>
        <v>warrior_class_dmg_rate</v>
      </c>
      <c r="N238" s="76">
        <f ca="1">IF(MOD(COUNTIF($Q$11:Q237,Q237),5)=0,OFFSET(装备属性!$K$1083,1+INT(COUNTA($Q$11:Q237)/5),0),N237)</f>
        <v>0.11</v>
      </c>
      <c r="O238" s="76">
        <f ca="1">IF(MOD(COUNTIF($Q$11:Q237,Q237),5)=0,OFFSET(装备属性!$L$1083,1+INT(COUNTA($Q$11:Q237)/5),0),O237)</f>
        <v>0.13</v>
      </c>
      <c r="Q238" s="89" t="str">
        <f ca="1">IF(MOD(COUNTIF($Q$11:Q237,Q237),5)=0,OFFSET(装备属性!$M$1083,1+INT(COUNTA($Q$11:Q237)/5),0),Q237)</f>
        <v>通用属性</v>
      </c>
      <c r="R238" s="83">
        <f ca="1">IF(MOD(COUNTIF($Q$11:Q237,Q237),5)=0,10000*SUBSTITUTE(SUBSTITUTE(OFFSET(装备属性!$F$1083,1+INT(COUNTA($Q$11:Q237)/5),0),"[",""),"]","")+_xlfn.XLOOKUP(C238,$M$3:$M$7,$N$3:$N$7)*100,R237)</f>
        <v>10700</v>
      </c>
    </row>
    <row r="239" customHeight="1" spans="1:18">
      <c r="A239" s="78">
        <f ca="1" t="shared" si="9"/>
        <v>10701</v>
      </c>
      <c r="B239" s="82">
        <f ca="1">IFERROR(R239+COUNTIFS($R$11:$R239,R239),"")</f>
        <v>10734</v>
      </c>
      <c r="C239" s="83" t="str">
        <f ca="1">IF(MOD(COUNTIF($Q$11:Q238,Q238),5)=0,OFFSET(装备属性!$D$1083,1+INT(COUNTA($Q$11:Q238)/5),0),C238)</f>
        <v>粉</v>
      </c>
      <c r="D239" s="82">
        <f t="shared" si="11"/>
        <v>1500</v>
      </c>
      <c r="F239" s="82">
        <f ca="1" t="shared" si="10"/>
        <v>10706</v>
      </c>
      <c r="G239" s="78" t="str">
        <f ca="1">IF(AND(LEFT("[{"&amp;M239&amp;","&amp;CEILING(N239*10000+(O239-N239)/4*(COUNTIF($F$11:F239,F239)-1)*10000,10)&amp;"}]",7)="[{equip",MID("[{"&amp;M239&amp;","&amp;CEILING(N239*10000+(O239-N239)/4*(COUNTIF($F$11:F239,F239)-1)*10000,10)&amp;"}]",8,1)&lt;&gt;"_"),"[{"&amp;M239&amp;","&amp;1&amp;"}]","[{"&amp;M239&amp;","&amp;CEILING(N239*10000+(O239-N239)/4*(COUNTIF($F$11:F239,F239)-1)*10000,10)&amp;"}]")</f>
        <v>[{warrior_class_dmg_rate,1250}]</v>
      </c>
      <c r="H239" s="82" t="s">
        <v>563</v>
      </c>
      <c r="J239" s="78">
        <f ca="1">IF(MOD(COUNTIF($Q$11:Q238,Q238),5)=0,OFFSET(装备属性!$P$1083,1+INT(COUNTA($Q$11:Q238)/5),0),J238)</f>
        <v>3</v>
      </c>
      <c r="K239" s="83" t="str">
        <f ca="1">IF(RIGHT(G239,13)="rune_slot,1}]",_xlfn.XLOOKUP(LEFT(SUBSTITUTE(G239,"[{",""),FIND(",",SUBSTITUTE(G239,"[{",""))-1),Sheet2!B:B,Sheet2!C:C)&amp;"+"&amp;1,_xlfn.XLOOKUP(LEFT(SUBSTITUTE(G239,"[{",""),FIND(",",SUBSTITUTE(G239,"[{",""))-1),Sheet2!B:B,Sheet2!C:C)&amp;"+"&amp;SUBSTITUTE(RIGHT(G239,LEN(G239)-FIND(",",G239)),"}]","")/100&amp;"%")</f>
        <v>上阵两个战士职业增伤+12.5%</v>
      </c>
      <c r="L239" s="83" t="str">
        <f ca="1">IF(MOD(COUNTIF($Q$11:Q238,Q238),5)=0,OFFSET(装备属性!$G$1083,1+INT(COUNTA($Q$11:Q238)/5),0),L238)</f>
        <v>猛男小队Ⅳ</v>
      </c>
      <c r="M239" s="89" t="str">
        <f ca="1">IF(MOD(COUNTIF($Q$11:Q238,Q238),5)=0,OFFSET(装备属性!$H$1083,1+INT(COUNTA($Q$11:Q238)/5),0),M238)</f>
        <v>warrior_class_dmg_rate</v>
      </c>
      <c r="N239" s="76">
        <f ca="1">IF(MOD(COUNTIF($Q$11:Q238,Q238),5)=0,OFFSET(装备属性!$K$1083,1+INT(COUNTA($Q$11:Q238)/5),0),N238)</f>
        <v>0.11</v>
      </c>
      <c r="O239" s="76">
        <f ca="1">IF(MOD(COUNTIF($Q$11:Q238,Q238),5)=0,OFFSET(装备属性!$L$1083,1+INT(COUNTA($Q$11:Q238)/5),0),O238)</f>
        <v>0.13</v>
      </c>
      <c r="Q239" s="89" t="str">
        <f ca="1">IF(MOD(COUNTIF($Q$11:Q238,Q238),5)=0,OFFSET(装备属性!$M$1083,1+INT(COUNTA($Q$11:Q238)/5),0),Q238)</f>
        <v>通用属性</v>
      </c>
      <c r="R239" s="83">
        <f ca="1">IF(MOD(COUNTIF($Q$11:Q238,Q238),5)=0,10000*SUBSTITUTE(SUBSTITUTE(OFFSET(装备属性!$F$1083,1+INT(COUNTA($Q$11:Q238)/5),0),"[",""),"]","")+_xlfn.XLOOKUP(C239,$M$3:$M$7,$N$3:$N$7)*100,R238)</f>
        <v>10700</v>
      </c>
    </row>
    <row r="240" customHeight="1" spans="1:18">
      <c r="A240" s="78">
        <f ca="1" t="shared" si="9"/>
        <v>10701</v>
      </c>
      <c r="B240" s="82">
        <f ca="1">IFERROR(R240+COUNTIFS($R$11:$R240,R240),"")</f>
        <v>10735</v>
      </c>
      <c r="C240" s="83" t="str">
        <f ca="1">IF(MOD(COUNTIF($Q$11:Q239,Q239),5)=0,OFFSET(装备属性!$D$1083,1+INT(COUNTA($Q$11:Q239)/5),0),C239)</f>
        <v>粉</v>
      </c>
      <c r="D240" s="82">
        <f t="shared" si="11"/>
        <v>1000</v>
      </c>
      <c r="F240" s="82">
        <f ca="1" t="shared" si="10"/>
        <v>10706</v>
      </c>
      <c r="G240" s="78" t="str">
        <f ca="1">IF(AND(LEFT("[{"&amp;M240&amp;","&amp;CEILING(N240*10000+(O240-N240)/4*(COUNTIF($F$11:F240,F240)-1)*10000,10)&amp;"}]",7)="[{equip",MID("[{"&amp;M240&amp;","&amp;CEILING(N240*10000+(O240-N240)/4*(COUNTIF($F$11:F240,F240)-1)*10000,10)&amp;"}]",8,1)&lt;&gt;"_"),"[{"&amp;M240&amp;","&amp;1&amp;"}]","[{"&amp;M240&amp;","&amp;CEILING(N240*10000+(O240-N240)/4*(COUNTIF($F$11:F240,F240)-1)*10000,10)&amp;"}]")</f>
        <v>[{warrior_class_dmg_rate,1300}]</v>
      </c>
      <c r="H240" s="82" t="s">
        <v>563</v>
      </c>
      <c r="J240" s="78">
        <f ca="1">IF(MOD(COUNTIF($Q$11:Q239,Q239),5)=0,OFFSET(装备属性!$P$1083,1+INT(COUNTA($Q$11:Q239)/5),0),J239)</f>
        <v>3</v>
      </c>
      <c r="K240" s="83" t="str">
        <f ca="1">IF(RIGHT(G240,13)="rune_slot,1}]",_xlfn.XLOOKUP(LEFT(SUBSTITUTE(G240,"[{",""),FIND(",",SUBSTITUTE(G240,"[{",""))-1),Sheet2!B:B,Sheet2!C:C)&amp;"+"&amp;1,_xlfn.XLOOKUP(LEFT(SUBSTITUTE(G240,"[{",""),FIND(",",SUBSTITUTE(G240,"[{",""))-1),Sheet2!B:B,Sheet2!C:C)&amp;"+"&amp;SUBSTITUTE(RIGHT(G240,LEN(G240)-FIND(",",G240)),"}]","")/100&amp;"%")</f>
        <v>上阵两个战士职业增伤+13%</v>
      </c>
      <c r="L240" s="83" t="str">
        <f ca="1">IF(MOD(COUNTIF($Q$11:Q239,Q239),5)=0,OFFSET(装备属性!$G$1083,1+INT(COUNTA($Q$11:Q239)/5),0),L239)</f>
        <v>猛男小队Ⅳ</v>
      </c>
      <c r="M240" s="89" t="str">
        <f ca="1">IF(MOD(COUNTIF($Q$11:Q239,Q239),5)=0,OFFSET(装备属性!$H$1083,1+INT(COUNTA($Q$11:Q239)/5),0),M239)</f>
        <v>warrior_class_dmg_rate</v>
      </c>
      <c r="N240" s="76">
        <f ca="1">IF(MOD(COUNTIF($Q$11:Q239,Q239),5)=0,OFFSET(装备属性!$K$1083,1+INT(COUNTA($Q$11:Q239)/5),0),N239)</f>
        <v>0.11</v>
      </c>
      <c r="O240" s="76">
        <f ca="1">IF(MOD(COUNTIF($Q$11:Q239,Q239),5)=0,OFFSET(装备属性!$L$1083,1+INT(COUNTA($Q$11:Q239)/5),0),O239)</f>
        <v>0.13</v>
      </c>
      <c r="Q240" s="89" t="str">
        <f ca="1">IF(MOD(COUNTIF($Q$11:Q239,Q239),5)=0,OFFSET(装备属性!$M$1083,1+INT(COUNTA($Q$11:Q239)/5),0),Q239)</f>
        <v>通用属性</v>
      </c>
      <c r="R240" s="83">
        <f ca="1">IF(MOD(COUNTIF($Q$11:Q239,Q239),5)=0,10000*SUBSTITUTE(SUBSTITUTE(OFFSET(装备属性!$F$1083,1+INT(COUNTA($Q$11:Q239)/5),0),"[",""),"]","")+_xlfn.XLOOKUP(C240,$M$3:$M$7,$N$3:$N$7)*100,R239)</f>
        <v>10700</v>
      </c>
    </row>
    <row r="241" customHeight="1" spans="1:18">
      <c r="A241" s="78">
        <f ca="1" t="shared" si="9"/>
        <v>10701</v>
      </c>
      <c r="B241" s="82">
        <f ca="1">IFERROR(R241+COUNTIFS($R$11:$R241,R241),"")</f>
        <v>10736</v>
      </c>
      <c r="C241" s="83" t="str">
        <f ca="1">IF(MOD(COUNTIF($Q$11:Q240,Q240),5)=0,OFFSET(装备属性!$D$1083,1+INT(COUNTA($Q$11:Q240)/5),0),C240)</f>
        <v>粉</v>
      </c>
      <c r="D241" s="82">
        <f t="shared" si="11"/>
        <v>3000</v>
      </c>
      <c r="F241" s="82">
        <f ca="1" t="shared" si="10"/>
        <v>10707</v>
      </c>
      <c r="G241" s="78" t="str">
        <f ca="1">IF(AND(LEFT("[{"&amp;M241&amp;","&amp;CEILING(N241*10000+(O241-N241)/4*(COUNTIF($F$11:F241,F241)-1)*10000,10)&amp;"}]",7)="[{equip",MID("[{"&amp;M241&amp;","&amp;CEILING(N241*10000+(O241-N241)/4*(COUNTIF($F$11:F241,F241)-1)*10000,10)&amp;"}]",8,1)&lt;&gt;"_"),"[{"&amp;M241&amp;","&amp;1&amp;"}]","[{"&amp;M241&amp;","&amp;CEILING(N241*10000+(O241-N241)/4*(COUNTIF($F$11:F241,F241)-1)*10000,10)&amp;"}]")</f>
        <v>[{warrior_crit_dmg,3300}]</v>
      </c>
      <c r="H241" s="82" t="s">
        <v>563</v>
      </c>
      <c r="J241" s="78">
        <f ca="1">IF(MOD(COUNTIF($Q$11:Q240,Q240),5)=0,OFFSET(装备属性!$P$1083,1+INT(COUNTA($Q$11:Q240)/5),0),J240)</f>
        <v>4</v>
      </c>
      <c r="K241" s="83" t="str">
        <f ca="1">IF(RIGHT(G241,13)="rune_slot,1}]",_xlfn.XLOOKUP(LEFT(SUBSTITUTE(G241,"[{",""),FIND(",",SUBSTITUTE(G241,"[{",""))-1),Sheet2!B:B,Sheet2!C:C)&amp;"+"&amp;1,_xlfn.XLOOKUP(LEFT(SUBSTITUTE(G241,"[{",""),FIND(",",SUBSTITUTE(G241,"[{",""))-1),Sheet2!B:B,Sheet2!C:C)&amp;"+"&amp;SUBSTITUTE(RIGHT(G241,LEN(G241)-FIND(",",G241)),"}]","")/100&amp;"%")</f>
        <v>战士暴击伤害+33%</v>
      </c>
      <c r="L241" s="83" t="str">
        <f ca="1">IF(MOD(COUNTIF($Q$11:Q240,Q240),5)=0,OFFSET(装备属性!$G$1083,1+INT(COUNTA($Q$11:Q240)/5),0),L240)</f>
        <v>暴走猛男Ⅳ</v>
      </c>
      <c r="M241" s="89" t="str">
        <f ca="1">IF(MOD(COUNTIF($Q$11:Q240,Q240),5)=0,OFFSET(装备属性!$H$1083,1+INT(COUNTA($Q$11:Q240)/5),0),M240)</f>
        <v>warrior_crit_dmg</v>
      </c>
      <c r="N241" s="76">
        <f ca="1">IF(MOD(COUNTIF($Q$11:Q240,Q240),5)=0,OFFSET(装备属性!$K$1083,1+INT(COUNTA($Q$11:Q240)/5),0),N240)</f>
        <v>0.33</v>
      </c>
      <c r="O241" s="76">
        <f ca="1">IF(MOD(COUNTIF($Q$11:Q240,Q240),5)=0,OFFSET(装备属性!$L$1083,1+INT(COUNTA($Q$11:Q240)/5),0),O240)</f>
        <v>0.39</v>
      </c>
      <c r="Q241" s="89" t="str">
        <f ca="1">IF(MOD(COUNTIF($Q$11:Q240,Q240),5)=0,OFFSET(装备属性!$M$1083,1+INT(COUNTA($Q$11:Q240)/5),0),Q240)</f>
        <v>通用属性</v>
      </c>
      <c r="R241" s="83">
        <f ca="1">IF(MOD(COUNTIF($Q$11:Q240,Q240),5)=0,10000*SUBSTITUTE(SUBSTITUTE(OFFSET(装备属性!$F$1083,1+INT(COUNTA($Q$11:Q240)/5),0),"[",""),"]","")+_xlfn.XLOOKUP(C241,$M$3:$M$7,$N$3:$N$7)*100,R240)</f>
        <v>10700</v>
      </c>
    </row>
    <row r="242" customHeight="1" spans="1:18">
      <c r="A242" s="78">
        <f ca="1" t="shared" si="9"/>
        <v>10701</v>
      </c>
      <c r="B242" s="82">
        <f ca="1">IFERROR(R242+COUNTIFS($R$11:$R242,R242),"")</f>
        <v>10737</v>
      </c>
      <c r="C242" s="83" t="str">
        <f ca="1">IF(MOD(COUNTIF($Q$11:Q241,Q241),5)=0,OFFSET(装备属性!$D$1083,1+INT(COUNTA($Q$11:Q241)/5),0),C241)</f>
        <v>粉</v>
      </c>
      <c r="D242" s="82">
        <f t="shared" si="11"/>
        <v>2500</v>
      </c>
      <c r="F242" s="82">
        <f ca="1" t="shared" si="10"/>
        <v>10707</v>
      </c>
      <c r="G242" s="78" t="str">
        <f ca="1">IF(AND(LEFT("[{"&amp;M242&amp;","&amp;CEILING(N242*10000+(O242-N242)/4*(COUNTIF($F$11:F242,F242)-1)*10000,10)&amp;"}]",7)="[{equip",MID("[{"&amp;M242&amp;","&amp;CEILING(N242*10000+(O242-N242)/4*(COUNTIF($F$11:F242,F242)-1)*10000,10)&amp;"}]",8,1)&lt;&gt;"_"),"[{"&amp;M242&amp;","&amp;1&amp;"}]","[{"&amp;M242&amp;","&amp;CEILING(N242*10000+(O242-N242)/4*(COUNTIF($F$11:F242,F242)-1)*10000,10)&amp;"}]")</f>
        <v>[{warrior_crit_dmg,3450}]</v>
      </c>
      <c r="H242" s="82" t="s">
        <v>563</v>
      </c>
      <c r="J242" s="78">
        <f ca="1">IF(MOD(COUNTIF($Q$11:Q241,Q241),5)=0,OFFSET(装备属性!$P$1083,1+INT(COUNTA($Q$11:Q241)/5),0),J241)</f>
        <v>4</v>
      </c>
      <c r="K242" s="83" t="str">
        <f ca="1">IF(RIGHT(G242,13)="rune_slot,1}]",_xlfn.XLOOKUP(LEFT(SUBSTITUTE(G242,"[{",""),FIND(",",SUBSTITUTE(G242,"[{",""))-1),Sheet2!B:B,Sheet2!C:C)&amp;"+"&amp;1,_xlfn.XLOOKUP(LEFT(SUBSTITUTE(G242,"[{",""),FIND(",",SUBSTITUTE(G242,"[{",""))-1),Sheet2!B:B,Sheet2!C:C)&amp;"+"&amp;SUBSTITUTE(RIGHT(G242,LEN(G242)-FIND(",",G242)),"}]","")/100&amp;"%")</f>
        <v>战士暴击伤害+34.5%</v>
      </c>
      <c r="L242" s="83" t="str">
        <f ca="1">IF(MOD(COUNTIF($Q$11:Q241,Q241),5)=0,OFFSET(装备属性!$G$1083,1+INT(COUNTA($Q$11:Q241)/5),0),L241)</f>
        <v>暴走猛男Ⅳ</v>
      </c>
      <c r="M242" s="89" t="str">
        <f ca="1">IF(MOD(COUNTIF($Q$11:Q241,Q241),5)=0,OFFSET(装备属性!$H$1083,1+INT(COUNTA($Q$11:Q241)/5),0),M241)</f>
        <v>warrior_crit_dmg</v>
      </c>
      <c r="N242" s="76">
        <f ca="1">IF(MOD(COUNTIF($Q$11:Q241,Q241),5)=0,OFFSET(装备属性!$K$1083,1+INT(COUNTA($Q$11:Q241)/5),0),N241)</f>
        <v>0.33</v>
      </c>
      <c r="O242" s="76">
        <f ca="1">IF(MOD(COUNTIF($Q$11:Q241,Q241),5)=0,OFFSET(装备属性!$L$1083,1+INT(COUNTA($Q$11:Q241)/5),0),O241)</f>
        <v>0.39</v>
      </c>
      <c r="Q242" s="89" t="str">
        <f ca="1">IF(MOD(COUNTIF($Q$11:Q241,Q241),5)=0,OFFSET(装备属性!$M$1083,1+INT(COUNTA($Q$11:Q241)/5),0),Q241)</f>
        <v>通用属性</v>
      </c>
      <c r="R242" s="83">
        <f ca="1">IF(MOD(COUNTIF($Q$11:Q241,Q241),5)=0,10000*SUBSTITUTE(SUBSTITUTE(OFFSET(装备属性!$F$1083,1+INT(COUNTA($Q$11:Q241)/5),0),"[",""),"]","")+_xlfn.XLOOKUP(C242,$M$3:$M$7,$N$3:$N$7)*100,R241)</f>
        <v>10700</v>
      </c>
    </row>
    <row r="243" customHeight="1" spans="1:18">
      <c r="A243" s="78">
        <f ca="1" t="shared" si="9"/>
        <v>10701</v>
      </c>
      <c r="B243" s="82">
        <f ca="1">IFERROR(R243+COUNTIFS($R$11:$R243,R243),"")</f>
        <v>10738</v>
      </c>
      <c r="C243" s="83" t="str">
        <f ca="1">IF(MOD(COUNTIF($Q$11:Q242,Q242),5)=0,OFFSET(装备属性!$D$1083,1+INT(COUNTA($Q$11:Q242)/5),0),C242)</f>
        <v>粉</v>
      </c>
      <c r="D243" s="82">
        <f t="shared" si="11"/>
        <v>2000</v>
      </c>
      <c r="F243" s="82">
        <f ca="1" t="shared" si="10"/>
        <v>10707</v>
      </c>
      <c r="G243" s="78" t="str">
        <f ca="1">IF(AND(LEFT("[{"&amp;M243&amp;","&amp;CEILING(N243*10000+(O243-N243)/4*(COUNTIF($F$11:F243,F243)-1)*10000,10)&amp;"}]",7)="[{equip",MID("[{"&amp;M243&amp;","&amp;CEILING(N243*10000+(O243-N243)/4*(COUNTIF($F$11:F243,F243)-1)*10000,10)&amp;"}]",8,1)&lt;&gt;"_"),"[{"&amp;M243&amp;","&amp;1&amp;"}]","[{"&amp;M243&amp;","&amp;CEILING(N243*10000+(O243-N243)/4*(COUNTIF($F$11:F243,F243)-1)*10000,10)&amp;"}]")</f>
        <v>[{warrior_crit_dmg,3600}]</v>
      </c>
      <c r="H243" s="82" t="s">
        <v>563</v>
      </c>
      <c r="J243" s="78">
        <f ca="1">IF(MOD(COUNTIF($Q$11:Q242,Q242),5)=0,OFFSET(装备属性!$P$1083,1+INT(COUNTA($Q$11:Q242)/5),0),J242)</f>
        <v>4</v>
      </c>
      <c r="K243" s="83" t="str">
        <f ca="1">IF(RIGHT(G243,13)="rune_slot,1}]",_xlfn.XLOOKUP(LEFT(SUBSTITUTE(G243,"[{",""),FIND(",",SUBSTITUTE(G243,"[{",""))-1),Sheet2!B:B,Sheet2!C:C)&amp;"+"&amp;1,_xlfn.XLOOKUP(LEFT(SUBSTITUTE(G243,"[{",""),FIND(",",SUBSTITUTE(G243,"[{",""))-1),Sheet2!B:B,Sheet2!C:C)&amp;"+"&amp;SUBSTITUTE(RIGHT(G243,LEN(G243)-FIND(",",G243)),"}]","")/100&amp;"%")</f>
        <v>战士暴击伤害+36%</v>
      </c>
      <c r="L243" s="83" t="str">
        <f ca="1">IF(MOD(COUNTIF($Q$11:Q242,Q242),5)=0,OFFSET(装备属性!$G$1083,1+INT(COUNTA($Q$11:Q242)/5),0),L242)</f>
        <v>暴走猛男Ⅳ</v>
      </c>
      <c r="M243" s="89" t="str">
        <f ca="1">IF(MOD(COUNTIF($Q$11:Q242,Q242),5)=0,OFFSET(装备属性!$H$1083,1+INT(COUNTA($Q$11:Q242)/5),0),M242)</f>
        <v>warrior_crit_dmg</v>
      </c>
      <c r="N243" s="76">
        <f ca="1">IF(MOD(COUNTIF($Q$11:Q242,Q242),5)=0,OFFSET(装备属性!$K$1083,1+INT(COUNTA($Q$11:Q242)/5),0),N242)</f>
        <v>0.33</v>
      </c>
      <c r="O243" s="76">
        <f ca="1">IF(MOD(COUNTIF($Q$11:Q242,Q242),5)=0,OFFSET(装备属性!$L$1083,1+INT(COUNTA($Q$11:Q242)/5),0),O242)</f>
        <v>0.39</v>
      </c>
      <c r="Q243" s="89" t="str">
        <f ca="1">IF(MOD(COUNTIF($Q$11:Q242,Q242),5)=0,OFFSET(装备属性!$M$1083,1+INT(COUNTA($Q$11:Q242)/5),0),Q242)</f>
        <v>通用属性</v>
      </c>
      <c r="R243" s="83">
        <f ca="1">IF(MOD(COUNTIF($Q$11:Q242,Q242),5)=0,10000*SUBSTITUTE(SUBSTITUTE(OFFSET(装备属性!$F$1083,1+INT(COUNTA($Q$11:Q242)/5),0),"[",""),"]","")+_xlfn.XLOOKUP(C243,$M$3:$M$7,$N$3:$N$7)*100,R242)</f>
        <v>10700</v>
      </c>
    </row>
    <row r="244" customHeight="1" spans="1:18">
      <c r="A244" s="78">
        <f ca="1" t="shared" si="9"/>
        <v>10701</v>
      </c>
      <c r="B244" s="82">
        <f ca="1">IFERROR(R244+COUNTIFS($R$11:$R244,R244),"")</f>
        <v>10739</v>
      </c>
      <c r="C244" s="83" t="str">
        <f ca="1">IF(MOD(COUNTIF($Q$11:Q243,Q243),5)=0,OFFSET(装备属性!$D$1083,1+INT(COUNTA($Q$11:Q243)/5),0),C243)</f>
        <v>粉</v>
      </c>
      <c r="D244" s="82">
        <f t="shared" si="11"/>
        <v>1500</v>
      </c>
      <c r="F244" s="82">
        <f ca="1" t="shared" si="10"/>
        <v>10707</v>
      </c>
      <c r="G244" s="78" t="str">
        <f ca="1">IF(AND(LEFT("[{"&amp;M244&amp;","&amp;CEILING(N244*10000+(O244-N244)/4*(COUNTIF($F$11:F244,F244)-1)*10000,10)&amp;"}]",7)="[{equip",MID("[{"&amp;M244&amp;","&amp;CEILING(N244*10000+(O244-N244)/4*(COUNTIF($F$11:F244,F244)-1)*10000,10)&amp;"}]",8,1)&lt;&gt;"_"),"[{"&amp;M244&amp;","&amp;1&amp;"}]","[{"&amp;M244&amp;","&amp;CEILING(N244*10000+(O244-N244)/4*(COUNTIF($F$11:F244,F244)-1)*10000,10)&amp;"}]")</f>
        <v>[{warrior_crit_dmg,3750}]</v>
      </c>
      <c r="H244" s="82" t="s">
        <v>563</v>
      </c>
      <c r="J244" s="78">
        <f ca="1">IF(MOD(COUNTIF($Q$11:Q243,Q243),5)=0,OFFSET(装备属性!$P$1083,1+INT(COUNTA($Q$11:Q243)/5),0),J243)</f>
        <v>4</v>
      </c>
      <c r="K244" s="83" t="str">
        <f ca="1">IF(RIGHT(G244,13)="rune_slot,1}]",_xlfn.XLOOKUP(LEFT(SUBSTITUTE(G244,"[{",""),FIND(",",SUBSTITUTE(G244,"[{",""))-1),Sheet2!B:B,Sheet2!C:C)&amp;"+"&amp;1,_xlfn.XLOOKUP(LEFT(SUBSTITUTE(G244,"[{",""),FIND(",",SUBSTITUTE(G244,"[{",""))-1),Sheet2!B:B,Sheet2!C:C)&amp;"+"&amp;SUBSTITUTE(RIGHT(G244,LEN(G244)-FIND(",",G244)),"}]","")/100&amp;"%")</f>
        <v>战士暴击伤害+37.5%</v>
      </c>
      <c r="L244" s="83" t="str">
        <f ca="1">IF(MOD(COUNTIF($Q$11:Q243,Q243),5)=0,OFFSET(装备属性!$G$1083,1+INT(COUNTA($Q$11:Q243)/5),0),L243)</f>
        <v>暴走猛男Ⅳ</v>
      </c>
      <c r="M244" s="89" t="str">
        <f ca="1">IF(MOD(COUNTIF($Q$11:Q243,Q243),5)=0,OFFSET(装备属性!$H$1083,1+INT(COUNTA($Q$11:Q243)/5),0),M243)</f>
        <v>warrior_crit_dmg</v>
      </c>
      <c r="N244" s="76">
        <f ca="1">IF(MOD(COUNTIF($Q$11:Q243,Q243),5)=0,OFFSET(装备属性!$K$1083,1+INT(COUNTA($Q$11:Q243)/5),0),N243)</f>
        <v>0.33</v>
      </c>
      <c r="O244" s="76">
        <f ca="1">IF(MOD(COUNTIF($Q$11:Q243,Q243),5)=0,OFFSET(装备属性!$L$1083,1+INT(COUNTA($Q$11:Q243)/5),0),O243)</f>
        <v>0.39</v>
      </c>
      <c r="Q244" s="89" t="str">
        <f ca="1">IF(MOD(COUNTIF($Q$11:Q243,Q243),5)=0,OFFSET(装备属性!$M$1083,1+INT(COUNTA($Q$11:Q243)/5),0),Q243)</f>
        <v>通用属性</v>
      </c>
      <c r="R244" s="83">
        <f ca="1">IF(MOD(COUNTIF($Q$11:Q243,Q243),5)=0,10000*SUBSTITUTE(SUBSTITUTE(OFFSET(装备属性!$F$1083,1+INT(COUNTA($Q$11:Q243)/5),0),"[",""),"]","")+_xlfn.XLOOKUP(C244,$M$3:$M$7,$N$3:$N$7)*100,R243)</f>
        <v>10700</v>
      </c>
    </row>
    <row r="245" customHeight="1" spans="1:18">
      <c r="A245" s="78">
        <f ca="1" t="shared" si="9"/>
        <v>10701</v>
      </c>
      <c r="B245" s="82">
        <f ca="1">IFERROR(R245+COUNTIFS($R$11:$R245,R245),"")</f>
        <v>10740</v>
      </c>
      <c r="C245" s="83" t="str">
        <f ca="1">IF(MOD(COUNTIF($Q$11:Q244,Q244),5)=0,OFFSET(装备属性!$D$1083,1+INT(COUNTA($Q$11:Q244)/5),0),C244)</f>
        <v>粉</v>
      </c>
      <c r="D245" s="82">
        <f t="shared" si="11"/>
        <v>1000</v>
      </c>
      <c r="F245" s="82">
        <f ca="1" t="shared" si="10"/>
        <v>10707</v>
      </c>
      <c r="G245" s="78" t="str">
        <f ca="1">IF(AND(LEFT("[{"&amp;M245&amp;","&amp;CEILING(N245*10000+(O245-N245)/4*(COUNTIF($F$11:F245,F245)-1)*10000,10)&amp;"}]",7)="[{equip",MID("[{"&amp;M245&amp;","&amp;CEILING(N245*10000+(O245-N245)/4*(COUNTIF($F$11:F245,F245)-1)*10000,10)&amp;"}]",8,1)&lt;&gt;"_"),"[{"&amp;M245&amp;","&amp;1&amp;"}]","[{"&amp;M245&amp;","&amp;CEILING(N245*10000+(O245-N245)/4*(COUNTIF($F$11:F245,F245)-1)*10000,10)&amp;"}]")</f>
        <v>[{warrior_crit_dmg,3900}]</v>
      </c>
      <c r="H245" s="82" t="s">
        <v>563</v>
      </c>
      <c r="J245" s="78">
        <f ca="1">IF(MOD(COUNTIF($Q$11:Q244,Q244),5)=0,OFFSET(装备属性!$P$1083,1+INT(COUNTA($Q$11:Q244)/5),0),J244)</f>
        <v>4</v>
      </c>
      <c r="K245" s="83" t="str">
        <f ca="1">IF(RIGHT(G245,13)="rune_slot,1}]",_xlfn.XLOOKUP(LEFT(SUBSTITUTE(G245,"[{",""),FIND(",",SUBSTITUTE(G245,"[{",""))-1),Sheet2!B:B,Sheet2!C:C)&amp;"+"&amp;1,_xlfn.XLOOKUP(LEFT(SUBSTITUTE(G245,"[{",""),FIND(",",SUBSTITUTE(G245,"[{",""))-1),Sheet2!B:B,Sheet2!C:C)&amp;"+"&amp;SUBSTITUTE(RIGHT(G245,LEN(G245)-FIND(",",G245)),"}]","")/100&amp;"%")</f>
        <v>战士暴击伤害+39%</v>
      </c>
      <c r="L245" s="83" t="str">
        <f ca="1">IF(MOD(COUNTIF($Q$11:Q244,Q244),5)=0,OFFSET(装备属性!$G$1083,1+INT(COUNTA($Q$11:Q244)/5),0),L244)</f>
        <v>暴走猛男Ⅳ</v>
      </c>
      <c r="M245" s="89" t="str">
        <f ca="1">IF(MOD(COUNTIF($Q$11:Q244,Q244),5)=0,OFFSET(装备属性!$H$1083,1+INT(COUNTA($Q$11:Q244)/5),0),M244)</f>
        <v>warrior_crit_dmg</v>
      </c>
      <c r="N245" s="76">
        <f ca="1">IF(MOD(COUNTIF($Q$11:Q244,Q244),5)=0,OFFSET(装备属性!$K$1083,1+INT(COUNTA($Q$11:Q244)/5),0),N244)</f>
        <v>0.33</v>
      </c>
      <c r="O245" s="76">
        <f ca="1">IF(MOD(COUNTIF($Q$11:Q244,Q244),5)=0,OFFSET(装备属性!$L$1083,1+INT(COUNTA($Q$11:Q244)/5),0),O244)</f>
        <v>0.39</v>
      </c>
      <c r="Q245" s="89" t="str">
        <f ca="1">IF(MOD(COUNTIF($Q$11:Q244,Q244),5)=0,OFFSET(装备属性!$M$1083,1+INT(COUNTA($Q$11:Q244)/5),0),Q244)</f>
        <v>通用属性</v>
      </c>
      <c r="R245" s="83">
        <f ca="1">IF(MOD(COUNTIF($Q$11:Q244,Q244),5)=0,10000*SUBSTITUTE(SUBSTITUTE(OFFSET(装备属性!$F$1083,1+INT(COUNTA($Q$11:Q244)/5),0),"[",""),"]","")+_xlfn.XLOOKUP(C245,$M$3:$M$7,$N$3:$N$7)*100,R244)</f>
        <v>10700</v>
      </c>
    </row>
    <row r="246" customHeight="1" spans="1:18">
      <c r="A246" s="78">
        <f ca="1" t="shared" si="9"/>
        <v>10703</v>
      </c>
      <c r="B246" s="82">
        <f ca="1">IFERROR(R246+COUNTIFS($R$11:$R246,R246),"")</f>
        <v>10741</v>
      </c>
      <c r="C246" s="83" t="str">
        <f ca="1">IF(MOD(COUNTIF($Q$11:Q245,Q245),5)=0,OFFSET(装备属性!$D$1083,1+INT(COUNTA($Q$11:Q245)/5),0),C245)</f>
        <v>粉</v>
      </c>
      <c r="D246" s="82">
        <f t="shared" si="11"/>
        <v>3000</v>
      </c>
      <c r="F246" s="82">
        <f ca="1" t="shared" si="10"/>
        <v>10708</v>
      </c>
      <c r="G246" s="78" t="str">
        <f ca="1">IF(AND(LEFT("[{"&amp;M246&amp;","&amp;CEILING(N246*10000+(O246-N246)/4*(COUNTIF($F$11:F246,F246)-1)*10000,10)&amp;"}]",7)="[{equip",MID("[{"&amp;M246&amp;","&amp;CEILING(N246*10000+(O246-N246)/4*(COUNTIF($F$11:F246,F246)-1)*10000,10)&amp;"}]",8,1)&lt;&gt;"_"),"[{"&amp;M246&amp;","&amp;1&amp;"}]","[{"&amp;M246&amp;","&amp;CEILING(N246*10000+(O246-N246)/4*(COUNTIF($F$11:F246,F246)-1)*10000,10)&amp;"}]")</f>
        <v>[{equip6_rune_slot,1}]</v>
      </c>
      <c r="H246" s="82" t="s">
        <v>563</v>
      </c>
      <c r="J246" s="78">
        <f ca="1">IF(MOD(COUNTIF($Q$11:Q245,Q245),5)=0,OFFSET(装备属性!$P$1083,1+INT(COUNTA($Q$11:Q245)/5),0),J245)</f>
        <v>10</v>
      </c>
      <c r="K246" s="83" t="str">
        <f ca="1">IF(RIGHT(G246,13)="rune_slot,1}]",_xlfn.XLOOKUP(LEFT(SUBSTITUTE(G246,"[{",""),FIND(",",SUBSTITUTE(G246,"[{",""))-1),Sheet2!B:B,Sheet2!C:C)&amp;"+"&amp;1,_xlfn.XLOOKUP(LEFT(SUBSTITUTE(G246,"[{",""),FIND(",",SUBSTITUTE(G246,"[{",""))-1),Sheet2!B:B,Sheet2!C:C)&amp;"+"&amp;SUBSTITUTE(RIGHT(G246,LEN(G246)-FIND(",",G246)),"}]","")/100&amp;"%")</f>
        <v>头盔符文孔位+1</v>
      </c>
      <c r="L246" s="83" t="str">
        <f ca="1">IF(MOD(COUNTIF($Q$11:Q245,Q245),5)=0,OFFSET(装备属性!$G$1083,1+INT(COUNTA($Q$11:Q245)/5),0),L245)</f>
        <v>扩符槽</v>
      </c>
      <c r="M246" s="89" t="str">
        <f ca="1">IF(MOD(COUNTIF($Q$11:Q245,Q245),5)=0,OFFSET(装备属性!$H$1083,1+INT(COUNTA($Q$11:Q245)/5),0),M245)</f>
        <v>equip6_rune_slot</v>
      </c>
      <c r="N246" s="76">
        <f ca="1">IF(MOD(COUNTIF($Q$11:Q245,Q245),5)=0,OFFSET(装备属性!$K$1083,1+INT(COUNTA($Q$11:Q245)/5),0),N245)</f>
        <v>1</v>
      </c>
      <c r="O246" s="76">
        <f ca="1">IF(MOD(COUNTIF($Q$11:Q245,Q245),5)=0,OFFSET(装备属性!$L$1083,1+INT(COUNTA($Q$11:Q245)/5),0),O245)</f>
        <v>1</v>
      </c>
      <c r="Q246" s="89" t="str">
        <f ca="1">IF(MOD(COUNTIF($Q$11:Q245,Q245),5)=0,OFFSET(装备属性!$M$1083,1+INT(COUNTA($Q$11:Q245)/5),0),Q245)</f>
        <v>稀有词条</v>
      </c>
      <c r="R246" s="83">
        <f ca="1">IF(MOD(COUNTIF($Q$11:Q245,Q245),5)=0,10000*SUBSTITUTE(SUBSTITUTE(OFFSET(装备属性!$F$1083,1+INT(COUNTA($Q$11:Q245)/5),0),"[",""),"]","")+_xlfn.XLOOKUP(C246,$M$3:$M$7,$N$3:$N$7)*100,R245)</f>
        <v>10700</v>
      </c>
    </row>
    <row r="247" customHeight="1" spans="1:18">
      <c r="A247" s="78">
        <f ca="1" t="shared" si="9"/>
        <v>10703</v>
      </c>
      <c r="B247" s="82">
        <f ca="1">IFERROR(R247+COUNTIFS($R$11:$R247,R247),"")</f>
        <v>10742</v>
      </c>
      <c r="C247" s="83" t="str">
        <f ca="1">IF(MOD(COUNTIF($Q$11:Q246,Q246),5)=0,OFFSET(装备属性!$D$1083,1+INT(COUNTA($Q$11:Q246)/5),0),C246)</f>
        <v>粉</v>
      </c>
      <c r="D247" s="82">
        <f t="shared" si="11"/>
        <v>2500</v>
      </c>
      <c r="F247" s="82">
        <f ca="1" t="shared" si="10"/>
        <v>10708</v>
      </c>
      <c r="G247" s="78" t="str">
        <f ca="1">IF(AND(LEFT("[{"&amp;M247&amp;","&amp;CEILING(N247*10000+(O247-N247)/4*(COUNTIF($F$11:F247,F247)-1)*10000,10)&amp;"}]",7)="[{equip",MID("[{"&amp;M247&amp;","&amp;CEILING(N247*10000+(O247-N247)/4*(COUNTIF($F$11:F247,F247)-1)*10000,10)&amp;"}]",8,1)&lt;&gt;"_"),"[{"&amp;M247&amp;","&amp;1&amp;"}]","[{"&amp;M247&amp;","&amp;CEILING(N247*10000+(O247-N247)/4*(COUNTIF($F$11:F247,F247)-1)*10000,10)&amp;"}]")</f>
        <v>[{equip6_rune_slot,1}]</v>
      </c>
      <c r="H247" s="82" t="s">
        <v>563</v>
      </c>
      <c r="J247" s="78">
        <f ca="1">IF(MOD(COUNTIF($Q$11:Q246,Q246),5)=0,OFFSET(装备属性!$P$1083,1+INT(COUNTA($Q$11:Q246)/5),0),J246)</f>
        <v>10</v>
      </c>
      <c r="K247" s="83" t="str">
        <f ca="1">IF(RIGHT(G247,13)="rune_slot,1}]",_xlfn.XLOOKUP(LEFT(SUBSTITUTE(G247,"[{",""),FIND(",",SUBSTITUTE(G247,"[{",""))-1),Sheet2!B:B,Sheet2!C:C)&amp;"+"&amp;1,_xlfn.XLOOKUP(LEFT(SUBSTITUTE(G247,"[{",""),FIND(",",SUBSTITUTE(G247,"[{",""))-1),Sheet2!B:B,Sheet2!C:C)&amp;"+"&amp;SUBSTITUTE(RIGHT(G247,LEN(G247)-FIND(",",G247)),"}]","")/100&amp;"%")</f>
        <v>头盔符文孔位+1</v>
      </c>
      <c r="L247" s="83" t="str">
        <f ca="1">IF(MOD(COUNTIF($Q$11:Q246,Q246),5)=0,OFFSET(装备属性!$G$1083,1+INT(COUNTA($Q$11:Q246)/5),0),L246)</f>
        <v>扩符槽</v>
      </c>
      <c r="M247" s="89" t="str">
        <f ca="1">IF(MOD(COUNTIF($Q$11:Q246,Q246),5)=0,OFFSET(装备属性!$H$1083,1+INT(COUNTA($Q$11:Q246)/5),0),M246)</f>
        <v>equip6_rune_slot</v>
      </c>
      <c r="N247" s="76">
        <f ca="1">IF(MOD(COUNTIF($Q$11:Q246,Q246),5)=0,OFFSET(装备属性!$K$1083,1+INT(COUNTA($Q$11:Q246)/5),0),N246)</f>
        <v>1</v>
      </c>
      <c r="O247" s="76">
        <f ca="1">IF(MOD(COUNTIF($Q$11:Q246,Q246),5)=0,OFFSET(装备属性!$L$1083,1+INT(COUNTA($Q$11:Q246)/5),0),O246)</f>
        <v>1</v>
      </c>
      <c r="Q247" s="89" t="str">
        <f ca="1">IF(MOD(COUNTIF($Q$11:Q246,Q246),5)=0,OFFSET(装备属性!$M$1083,1+INT(COUNTA($Q$11:Q246)/5),0),Q246)</f>
        <v>稀有词条</v>
      </c>
      <c r="R247" s="83">
        <f ca="1">IF(MOD(COUNTIF($Q$11:Q246,Q246),5)=0,10000*SUBSTITUTE(SUBSTITUTE(OFFSET(装备属性!$F$1083,1+INT(COUNTA($Q$11:Q246)/5),0),"[",""),"]","")+_xlfn.XLOOKUP(C247,$M$3:$M$7,$N$3:$N$7)*100,R246)</f>
        <v>10700</v>
      </c>
    </row>
    <row r="248" customHeight="1" spans="1:18">
      <c r="A248" s="78">
        <f ca="1" t="shared" si="9"/>
        <v>10703</v>
      </c>
      <c r="B248" s="82">
        <f ca="1">IFERROR(R248+COUNTIFS($R$11:$R248,R248),"")</f>
        <v>10743</v>
      </c>
      <c r="C248" s="83" t="str">
        <f ca="1">IF(MOD(COUNTIF($Q$11:Q247,Q247),5)=0,OFFSET(装备属性!$D$1083,1+INT(COUNTA($Q$11:Q247)/5),0),C247)</f>
        <v>粉</v>
      </c>
      <c r="D248" s="82">
        <f t="shared" si="11"/>
        <v>2000</v>
      </c>
      <c r="F248" s="82">
        <f ca="1" t="shared" si="10"/>
        <v>10708</v>
      </c>
      <c r="G248" s="78" t="str">
        <f ca="1">IF(AND(LEFT("[{"&amp;M248&amp;","&amp;CEILING(N248*10000+(O248-N248)/4*(COUNTIF($F$11:F248,F248)-1)*10000,10)&amp;"}]",7)="[{equip",MID("[{"&amp;M248&amp;","&amp;CEILING(N248*10000+(O248-N248)/4*(COUNTIF($F$11:F248,F248)-1)*10000,10)&amp;"}]",8,1)&lt;&gt;"_"),"[{"&amp;M248&amp;","&amp;1&amp;"}]","[{"&amp;M248&amp;","&amp;CEILING(N248*10000+(O248-N248)/4*(COUNTIF($F$11:F248,F248)-1)*10000,10)&amp;"}]")</f>
        <v>[{equip6_rune_slot,1}]</v>
      </c>
      <c r="H248" s="82" t="s">
        <v>563</v>
      </c>
      <c r="J248" s="78">
        <f ca="1">IF(MOD(COUNTIF($Q$11:Q247,Q247),5)=0,OFFSET(装备属性!$P$1083,1+INT(COUNTA($Q$11:Q247)/5),0),J247)</f>
        <v>10</v>
      </c>
      <c r="K248" s="83" t="str">
        <f ca="1">IF(RIGHT(G248,13)="rune_slot,1}]",_xlfn.XLOOKUP(LEFT(SUBSTITUTE(G248,"[{",""),FIND(",",SUBSTITUTE(G248,"[{",""))-1),Sheet2!B:B,Sheet2!C:C)&amp;"+"&amp;1,_xlfn.XLOOKUP(LEFT(SUBSTITUTE(G248,"[{",""),FIND(",",SUBSTITUTE(G248,"[{",""))-1),Sheet2!B:B,Sheet2!C:C)&amp;"+"&amp;SUBSTITUTE(RIGHT(G248,LEN(G248)-FIND(",",G248)),"}]","")/100&amp;"%")</f>
        <v>头盔符文孔位+1</v>
      </c>
      <c r="L248" s="83" t="str">
        <f ca="1">IF(MOD(COUNTIF($Q$11:Q247,Q247),5)=0,OFFSET(装备属性!$G$1083,1+INT(COUNTA($Q$11:Q247)/5),0),L247)</f>
        <v>扩符槽</v>
      </c>
      <c r="M248" s="89" t="str">
        <f ca="1">IF(MOD(COUNTIF($Q$11:Q247,Q247),5)=0,OFFSET(装备属性!$H$1083,1+INT(COUNTA($Q$11:Q247)/5),0),M247)</f>
        <v>equip6_rune_slot</v>
      </c>
      <c r="N248" s="76">
        <f ca="1">IF(MOD(COUNTIF($Q$11:Q247,Q247),5)=0,OFFSET(装备属性!$K$1083,1+INT(COUNTA($Q$11:Q247)/5),0),N247)</f>
        <v>1</v>
      </c>
      <c r="O248" s="76">
        <f ca="1">IF(MOD(COUNTIF($Q$11:Q247,Q247),5)=0,OFFSET(装备属性!$L$1083,1+INT(COUNTA($Q$11:Q247)/5),0),O247)</f>
        <v>1</v>
      </c>
      <c r="Q248" s="89" t="str">
        <f ca="1">IF(MOD(COUNTIF($Q$11:Q247,Q247),5)=0,OFFSET(装备属性!$M$1083,1+INT(COUNTA($Q$11:Q247)/5),0),Q247)</f>
        <v>稀有词条</v>
      </c>
      <c r="R248" s="83">
        <f ca="1">IF(MOD(COUNTIF($Q$11:Q247,Q247),5)=0,10000*SUBSTITUTE(SUBSTITUTE(OFFSET(装备属性!$F$1083,1+INT(COUNTA($Q$11:Q247)/5),0),"[",""),"]","")+_xlfn.XLOOKUP(C248,$M$3:$M$7,$N$3:$N$7)*100,R247)</f>
        <v>10700</v>
      </c>
    </row>
    <row r="249" customHeight="1" spans="1:18">
      <c r="A249" s="78">
        <f ca="1" t="shared" si="9"/>
        <v>10703</v>
      </c>
      <c r="B249" s="82">
        <f ca="1">IFERROR(R249+COUNTIFS($R$11:$R249,R249),"")</f>
        <v>10744</v>
      </c>
      <c r="C249" s="83" t="str">
        <f ca="1">IF(MOD(COUNTIF($Q$11:Q248,Q248),5)=0,OFFSET(装备属性!$D$1083,1+INT(COUNTA($Q$11:Q248)/5),0),C248)</f>
        <v>粉</v>
      </c>
      <c r="D249" s="82">
        <f t="shared" si="11"/>
        <v>1500</v>
      </c>
      <c r="F249" s="82">
        <f ca="1" t="shared" si="10"/>
        <v>10708</v>
      </c>
      <c r="G249" s="78" t="str">
        <f ca="1">IF(AND(LEFT("[{"&amp;M249&amp;","&amp;CEILING(N249*10000+(O249-N249)/4*(COUNTIF($F$11:F249,F249)-1)*10000,10)&amp;"}]",7)="[{equip",MID("[{"&amp;M249&amp;","&amp;CEILING(N249*10000+(O249-N249)/4*(COUNTIF($F$11:F249,F249)-1)*10000,10)&amp;"}]",8,1)&lt;&gt;"_"),"[{"&amp;M249&amp;","&amp;1&amp;"}]","[{"&amp;M249&amp;","&amp;CEILING(N249*10000+(O249-N249)/4*(COUNTIF($F$11:F249,F249)-1)*10000,10)&amp;"}]")</f>
        <v>[{equip6_rune_slot,1}]</v>
      </c>
      <c r="H249" s="82" t="s">
        <v>563</v>
      </c>
      <c r="J249" s="78">
        <f ca="1">IF(MOD(COUNTIF($Q$11:Q248,Q248),5)=0,OFFSET(装备属性!$P$1083,1+INT(COUNTA($Q$11:Q248)/5),0),J248)</f>
        <v>10</v>
      </c>
      <c r="K249" s="83" t="str">
        <f ca="1">IF(RIGHT(G249,13)="rune_slot,1}]",_xlfn.XLOOKUP(LEFT(SUBSTITUTE(G249,"[{",""),FIND(",",SUBSTITUTE(G249,"[{",""))-1),Sheet2!B:B,Sheet2!C:C)&amp;"+"&amp;1,_xlfn.XLOOKUP(LEFT(SUBSTITUTE(G249,"[{",""),FIND(",",SUBSTITUTE(G249,"[{",""))-1),Sheet2!B:B,Sheet2!C:C)&amp;"+"&amp;SUBSTITUTE(RIGHT(G249,LEN(G249)-FIND(",",G249)),"}]","")/100&amp;"%")</f>
        <v>头盔符文孔位+1</v>
      </c>
      <c r="L249" s="83" t="str">
        <f ca="1">IF(MOD(COUNTIF($Q$11:Q248,Q248),5)=0,OFFSET(装备属性!$G$1083,1+INT(COUNTA($Q$11:Q248)/5),0),L248)</f>
        <v>扩符槽</v>
      </c>
      <c r="M249" s="89" t="str">
        <f ca="1">IF(MOD(COUNTIF($Q$11:Q248,Q248),5)=0,OFFSET(装备属性!$H$1083,1+INT(COUNTA($Q$11:Q248)/5),0),M248)</f>
        <v>equip6_rune_slot</v>
      </c>
      <c r="N249" s="76">
        <f ca="1">IF(MOD(COUNTIF($Q$11:Q248,Q248),5)=0,OFFSET(装备属性!$K$1083,1+INT(COUNTA($Q$11:Q248)/5),0),N248)</f>
        <v>1</v>
      </c>
      <c r="O249" s="76">
        <f ca="1">IF(MOD(COUNTIF($Q$11:Q248,Q248),5)=0,OFFSET(装备属性!$L$1083,1+INT(COUNTA($Q$11:Q248)/5),0),O248)</f>
        <v>1</v>
      </c>
      <c r="Q249" s="89" t="str">
        <f ca="1">IF(MOD(COUNTIF($Q$11:Q248,Q248),5)=0,OFFSET(装备属性!$M$1083,1+INT(COUNTA($Q$11:Q248)/5),0),Q248)</f>
        <v>稀有词条</v>
      </c>
      <c r="R249" s="83">
        <f ca="1">IF(MOD(COUNTIF($Q$11:Q248,Q248),5)=0,10000*SUBSTITUTE(SUBSTITUTE(OFFSET(装备属性!$F$1083,1+INT(COUNTA($Q$11:Q248)/5),0),"[",""),"]","")+_xlfn.XLOOKUP(C249,$M$3:$M$7,$N$3:$N$7)*100,R248)</f>
        <v>10700</v>
      </c>
    </row>
    <row r="250" customHeight="1" spans="1:18">
      <c r="A250" s="78">
        <f ca="1" t="shared" si="9"/>
        <v>10703</v>
      </c>
      <c r="B250" s="82">
        <f ca="1">IFERROR(R250+COUNTIFS($R$11:$R250,R250),"")</f>
        <v>10745</v>
      </c>
      <c r="C250" s="83" t="str">
        <f ca="1">IF(MOD(COUNTIF($Q$11:Q249,Q249),5)=0,OFFSET(装备属性!$D$1083,1+INT(COUNTA($Q$11:Q249)/5),0),C249)</f>
        <v>粉</v>
      </c>
      <c r="D250" s="82">
        <f t="shared" si="11"/>
        <v>1000</v>
      </c>
      <c r="F250" s="82">
        <f ca="1" t="shared" si="10"/>
        <v>10708</v>
      </c>
      <c r="G250" s="78" t="str">
        <f ca="1">IF(AND(LEFT("[{"&amp;M250&amp;","&amp;CEILING(N250*10000+(O250-N250)/4*(COUNTIF($F$11:F250,F250)-1)*10000,10)&amp;"}]",7)="[{equip",MID("[{"&amp;M250&amp;","&amp;CEILING(N250*10000+(O250-N250)/4*(COUNTIF($F$11:F250,F250)-1)*10000,10)&amp;"}]",8,1)&lt;&gt;"_"),"[{"&amp;M250&amp;","&amp;1&amp;"}]","[{"&amp;M250&amp;","&amp;CEILING(N250*10000+(O250-N250)/4*(COUNTIF($F$11:F250,F250)-1)*10000,10)&amp;"}]")</f>
        <v>[{equip6_rune_slot,1}]</v>
      </c>
      <c r="H250" s="82" t="s">
        <v>563</v>
      </c>
      <c r="J250" s="78">
        <f ca="1">IF(MOD(COUNTIF($Q$11:Q249,Q249),5)=0,OFFSET(装备属性!$P$1083,1+INT(COUNTA($Q$11:Q249)/5),0),J249)</f>
        <v>10</v>
      </c>
      <c r="K250" s="83" t="str">
        <f ca="1">IF(RIGHT(G250,13)="rune_slot,1}]",_xlfn.XLOOKUP(LEFT(SUBSTITUTE(G250,"[{",""),FIND(",",SUBSTITUTE(G250,"[{",""))-1),Sheet2!B:B,Sheet2!C:C)&amp;"+"&amp;1,_xlfn.XLOOKUP(LEFT(SUBSTITUTE(G250,"[{",""),FIND(",",SUBSTITUTE(G250,"[{",""))-1),Sheet2!B:B,Sheet2!C:C)&amp;"+"&amp;SUBSTITUTE(RIGHT(G250,LEN(G250)-FIND(",",G250)),"}]","")/100&amp;"%")</f>
        <v>头盔符文孔位+1</v>
      </c>
      <c r="L250" s="83" t="str">
        <f ca="1">IF(MOD(COUNTIF($Q$11:Q249,Q249),5)=0,OFFSET(装备属性!$G$1083,1+INT(COUNTA($Q$11:Q249)/5),0),L249)</f>
        <v>扩符槽</v>
      </c>
      <c r="M250" s="89" t="str">
        <f ca="1">IF(MOD(COUNTIF($Q$11:Q249,Q249),5)=0,OFFSET(装备属性!$H$1083,1+INT(COUNTA($Q$11:Q249)/5),0),M249)</f>
        <v>equip6_rune_slot</v>
      </c>
      <c r="N250" s="76">
        <f ca="1">IF(MOD(COUNTIF($Q$11:Q249,Q249),5)=0,OFFSET(装备属性!$K$1083,1+INT(COUNTA($Q$11:Q249)/5),0),N249)</f>
        <v>1</v>
      </c>
      <c r="O250" s="76">
        <f ca="1">IF(MOD(COUNTIF($Q$11:Q249,Q249),5)=0,OFFSET(装备属性!$L$1083,1+INT(COUNTA($Q$11:Q249)/5),0),O249)</f>
        <v>1</v>
      </c>
      <c r="Q250" s="89" t="str">
        <f ca="1">IF(MOD(COUNTIF($Q$11:Q249,Q249),5)=0,OFFSET(装备属性!$M$1083,1+INT(COUNTA($Q$11:Q249)/5),0),Q249)</f>
        <v>稀有词条</v>
      </c>
      <c r="R250" s="83">
        <f ca="1">IF(MOD(COUNTIF($Q$11:Q249,Q249),5)=0,10000*SUBSTITUTE(SUBSTITUTE(OFFSET(装备属性!$F$1083,1+INT(COUNTA($Q$11:Q249)/5),0),"[",""),"]","")+_xlfn.XLOOKUP(C250,$M$3:$M$7,$N$3:$N$7)*100,R249)</f>
        <v>10700</v>
      </c>
    </row>
    <row r="251" customHeight="1" spans="1:18">
      <c r="A251" s="78" t="str">
        <f ca="1" t="shared" si="9"/>
        <v/>
      </c>
      <c r="B251" s="82" t="str">
        <f ca="1">IFERROR(R251+COUNTIFS($R$11:$R251,R251),"")</f>
        <v/>
      </c>
      <c r="C251" s="83">
        <f ca="1">IF(MOD(COUNTIF($Q$11:Q250,Q250),5)=0,OFFSET(装备属性!$D$1083,1+INT(COUNTA($Q$11:Q250)/5),0),C250)</f>
        <v>0</v>
      </c>
      <c r="D251" s="82">
        <f t="shared" si="11"/>
        <v>3000</v>
      </c>
      <c r="F251" s="82" t="str">
        <f ca="1" t="shared" si="10"/>
        <v/>
      </c>
      <c r="G251" s="78" t="str">
        <f ca="1">IF(AND(LEFT("[{"&amp;M251&amp;","&amp;CEILING(N251*10000+(O251-N251)/4*(COUNTIF($F$11:F251,F251)-1)*10000,10)&amp;"}]",7)="[{equip",MID("[{"&amp;M251&amp;","&amp;CEILING(N251*10000+(O251-N251)/4*(COUNTIF($F$11:F251,F251)-1)*10000,10)&amp;"}]",8,1)&lt;&gt;"_"),"[{"&amp;M251&amp;","&amp;1&amp;"}]","[{"&amp;M251&amp;","&amp;CEILING(N251*10000+(O251-N251)/4*(COUNTIF($F$11:F251,F251)-1)*10000,10)&amp;"}]")</f>
        <v>[{global_dmg_rate,4400}]</v>
      </c>
      <c r="H251" s="82" t="s">
        <v>563</v>
      </c>
      <c r="J251" s="78">
        <f ca="1">IF(MOD(COUNTIF($Q$11:Q250,Q250),5)=0,OFFSET(装备属性!$P$1083,1+INT(COUNTA($Q$11:Q250)/5),0),J250)</f>
        <v>2</v>
      </c>
      <c r="K251" s="83" t="str">
        <f ca="1">IF(RIGHT(G251,13)="rune_slot,1}]",_xlfn.XLOOKUP(LEFT(SUBSTITUTE(G251,"[{",""),FIND(",",SUBSTITUTE(G251,"[{",""))-1),Sheet2!B:B,Sheet2!C:C)&amp;"+"&amp;1,_xlfn.XLOOKUP(LEFT(SUBSTITUTE(G251,"[{",""),FIND(",",SUBSTITUTE(G251,"[{",""))-1),Sheet2!B:B,Sheet2!C:C)&amp;"+"&amp;SUBSTITUTE(RIGHT(G251,LEN(G251)-FIND(",",G251)),"}]","")/100&amp;"%")</f>
        <v>伤害加成+44%</v>
      </c>
      <c r="L251" s="83" t="str">
        <f ca="1">IF(MOD(COUNTIF($Q$11:Q250,Q250),5)=0,OFFSET(装备属性!$G$1083,1+INT(COUNTA($Q$11:Q250)/5),0),L250)</f>
        <v>全职小队Ⅴ</v>
      </c>
      <c r="M251" s="89" t="str">
        <f ca="1">IF(MOD(COUNTIF($Q$11:Q250,Q250),5)=0,OFFSET(装备属性!$H$1083,1+INT(COUNTA($Q$11:Q250)/5),0),M250)</f>
        <v>global_dmg_rate</v>
      </c>
      <c r="N251" s="76">
        <f ca="1">IF(MOD(COUNTIF($Q$11:Q250,Q250),5)=0,OFFSET(装备属性!$K$1083,1+INT(COUNTA($Q$11:Q250)/5),0),N250)</f>
        <v>0.072</v>
      </c>
      <c r="O251" s="76">
        <f ca="1">IF(MOD(COUNTIF($Q$11:Q250,Q250),5)=0,OFFSET(装备属性!$L$1083,1+INT(COUNTA($Q$11:Q250)/5),0),O250)</f>
        <v>0.086</v>
      </c>
      <c r="Q251" s="89" t="str">
        <f ca="1">IF(MOD(COUNTIF($Q$11:Q250,Q250),5)=0,OFFSET(装备属性!$M$1083,1+INT(COUNTA($Q$11:Q250)/5),0),Q250)</f>
        <v>通用属性</v>
      </c>
      <c r="R251" s="83" t="e">
        <f ca="1">IF(MOD(COUNTIF($Q$11:Q250,Q250),5)=0,10000*SUBSTITUTE(SUBSTITUTE(OFFSET(装备属性!$F$1083,1+INT(COUNTA($Q$11:Q250)/5),0),"[",""),"]","")+_xlfn.XLOOKUP(C251,$M$3:$M$7,$N$3:$N$7)*100,R250)</f>
        <v>#N/A</v>
      </c>
    </row>
    <row r="252" customHeight="1" spans="1:18">
      <c r="A252" s="78" t="str">
        <f ca="1" t="shared" si="9"/>
        <v/>
      </c>
      <c r="B252" s="82" t="str">
        <f ca="1">IFERROR(R252+COUNTIFS($R$11:$R252,R252),"")</f>
        <v/>
      </c>
      <c r="C252" s="83">
        <f ca="1">IF(MOD(COUNTIF($Q$11:Q251,Q251),5)=0,OFFSET(装备属性!$D$1083,1+INT(COUNTA($Q$11:Q251)/5),0),C251)</f>
        <v>0</v>
      </c>
      <c r="D252" s="82">
        <f t="shared" si="11"/>
        <v>2500</v>
      </c>
      <c r="F252" s="82" t="str">
        <f ca="1" t="shared" si="10"/>
        <v/>
      </c>
      <c r="G252" s="78" t="str">
        <f ca="1">IF(AND(LEFT("[{"&amp;M252&amp;","&amp;CEILING(N252*10000+(O252-N252)/4*(COUNTIF($F$11:F252,F252)-1)*10000,10)&amp;"}]",7)="[{equip",MID("[{"&amp;M252&amp;","&amp;CEILING(N252*10000+(O252-N252)/4*(COUNTIF($F$11:F252,F252)-1)*10000,10)&amp;"}]",8,1)&lt;&gt;"_"),"[{"&amp;M252&amp;","&amp;1&amp;"}]","[{"&amp;M252&amp;","&amp;CEILING(N252*10000+(O252-N252)/4*(COUNTIF($F$11:F252,F252)-1)*10000,10)&amp;"}]")</f>
        <v>[{global_dmg_rate,4430}]</v>
      </c>
      <c r="H252" s="82" t="s">
        <v>563</v>
      </c>
      <c r="J252" s="78">
        <f ca="1">IF(MOD(COUNTIF($Q$11:Q251,Q251),5)=0,OFFSET(装备属性!$P$1083,1+INT(COUNTA($Q$11:Q251)/5),0),J251)</f>
        <v>2</v>
      </c>
      <c r="K252" s="83" t="str">
        <f ca="1">IF(RIGHT(G252,13)="rune_slot,1}]",_xlfn.XLOOKUP(LEFT(SUBSTITUTE(G252,"[{",""),FIND(",",SUBSTITUTE(G252,"[{",""))-1),Sheet2!B:B,Sheet2!C:C)&amp;"+"&amp;1,_xlfn.XLOOKUP(LEFT(SUBSTITUTE(G252,"[{",""),FIND(",",SUBSTITUTE(G252,"[{",""))-1),Sheet2!B:B,Sheet2!C:C)&amp;"+"&amp;SUBSTITUTE(RIGHT(G252,LEN(G252)-FIND(",",G252)),"}]","")/100&amp;"%")</f>
        <v>伤害加成+44.3%</v>
      </c>
      <c r="L252" s="83" t="str">
        <f ca="1">IF(MOD(COUNTIF($Q$11:Q251,Q251),5)=0,OFFSET(装备属性!$G$1083,1+INT(COUNTA($Q$11:Q251)/5),0),L251)</f>
        <v>全职小队Ⅴ</v>
      </c>
      <c r="M252" s="89" t="str">
        <f ca="1">IF(MOD(COUNTIF($Q$11:Q251,Q251),5)=0,OFFSET(装备属性!$H$1083,1+INT(COUNTA($Q$11:Q251)/5),0),M251)</f>
        <v>global_dmg_rate</v>
      </c>
      <c r="N252" s="76">
        <f ca="1">IF(MOD(COUNTIF($Q$11:Q251,Q251),5)=0,OFFSET(装备属性!$K$1083,1+INT(COUNTA($Q$11:Q251)/5),0),N251)</f>
        <v>0.072</v>
      </c>
      <c r="O252" s="76">
        <f ca="1">IF(MOD(COUNTIF($Q$11:Q251,Q251),5)=0,OFFSET(装备属性!$L$1083,1+INT(COUNTA($Q$11:Q251)/5),0),O251)</f>
        <v>0.086</v>
      </c>
      <c r="Q252" s="89" t="str">
        <f ca="1">IF(MOD(COUNTIF($Q$11:Q251,Q251),5)=0,OFFSET(装备属性!$M$1083,1+INT(COUNTA($Q$11:Q251)/5),0),Q251)</f>
        <v>通用属性</v>
      </c>
      <c r="R252" s="83" t="e">
        <f ca="1">IF(MOD(COUNTIF($Q$11:Q251,Q251),5)=0,10000*SUBSTITUTE(SUBSTITUTE(OFFSET(装备属性!$F$1083,1+INT(COUNTA($Q$11:Q251)/5),0),"[",""),"]","")+_xlfn.XLOOKUP(C252,$M$3:$M$7,$N$3:$N$7)*100,R251)</f>
        <v>#N/A</v>
      </c>
    </row>
    <row r="253" customHeight="1" spans="1:18">
      <c r="A253" s="78" t="str">
        <f ca="1" t="shared" si="9"/>
        <v/>
      </c>
      <c r="B253" s="82" t="str">
        <f ca="1">IFERROR(R253+COUNTIFS($R$11:$R253,R253),"")</f>
        <v/>
      </c>
      <c r="C253" s="83">
        <f ca="1">IF(MOD(COUNTIF($Q$11:Q252,Q252),5)=0,OFFSET(装备属性!$D$1083,1+INT(COUNTA($Q$11:Q252)/5),0),C252)</f>
        <v>0</v>
      </c>
      <c r="D253" s="82">
        <f t="shared" si="11"/>
        <v>2000</v>
      </c>
      <c r="F253" s="82" t="str">
        <f ca="1" t="shared" si="10"/>
        <v/>
      </c>
      <c r="G253" s="78" t="str">
        <f ca="1">IF(AND(LEFT("[{"&amp;M253&amp;","&amp;CEILING(N253*10000+(O253-N253)/4*(COUNTIF($F$11:F253,F253)-1)*10000,10)&amp;"}]",7)="[{equip",MID("[{"&amp;M253&amp;","&amp;CEILING(N253*10000+(O253-N253)/4*(COUNTIF($F$11:F253,F253)-1)*10000,10)&amp;"}]",8,1)&lt;&gt;"_"),"[{"&amp;M253&amp;","&amp;1&amp;"}]","[{"&amp;M253&amp;","&amp;CEILING(N253*10000+(O253-N253)/4*(COUNTIF($F$11:F253,F253)-1)*10000,10)&amp;"}]")</f>
        <v>[{global_dmg_rate,4470}]</v>
      </c>
      <c r="H253" s="82" t="s">
        <v>563</v>
      </c>
      <c r="J253" s="78">
        <f ca="1">IF(MOD(COUNTIF($Q$11:Q252,Q252),5)=0,OFFSET(装备属性!$P$1083,1+INT(COUNTA($Q$11:Q252)/5),0),J252)</f>
        <v>2</v>
      </c>
      <c r="K253" s="83" t="str">
        <f ca="1">IF(RIGHT(G253,13)="rune_slot,1}]",_xlfn.XLOOKUP(LEFT(SUBSTITUTE(G253,"[{",""),FIND(",",SUBSTITUTE(G253,"[{",""))-1),Sheet2!B:B,Sheet2!C:C)&amp;"+"&amp;1,_xlfn.XLOOKUP(LEFT(SUBSTITUTE(G253,"[{",""),FIND(",",SUBSTITUTE(G253,"[{",""))-1),Sheet2!B:B,Sheet2!C:C)&amp;"+"&amp;SUBSTITUTE(RIGHT(G253,LEN(G253)-FIND(",",G253)),"}]","")/100&amp;"%")</f>
        <v>伤害加成+44.7%</v>
      </c>
      <c r="L253" s="83" t="str">
        <f ca="1">IF(MOD(COUNTIF($Q$11:Q252,Q252),5)=0,OFFSET(装备属性!$G$1083,1+INT(COUNTA($Q$11:Q252)/5),0),L252)</f>
        <v>全职小队Ⅴ</v>
      </c>
      <c r="M253" s="89" t="str">
        <f ca="1">IF(MOD(COUNTIF($Q$11:Q252,Q252),5)=0,OFFSET(装备属性!$H$1083,1+INT(COUNTA($Q$11:Q252)/5),0),M252)</f>
        <v>global_dmg_rate</v>
      </c>
      <c r="N253" s="76">
        <f ca="1">IF(MOD(COUNTIF($Q$11:Q252,Q252),5)=0,OFFSET(装备属性!$K$1083,1+INT(COUNTA($Q$11:Q252)/5),0),N252)</f>
        <v>0.072</v>
      </c>
      <c r="O253" s="76">
        <f ca="1">IF(MOD(COUNTIF($Q$11:Q252,Q252),5)=0,OFFSET(装备属性!$L$1083,1+INT(COUNTA($Q$11:Q252)/5),0),O252)</f>
        <v>0.086</v>
      </c>
      <c r="Q253" s="89" t="str">
        <f ca="1">IF(MOD(COUNTIF($Q$11:Q252,Q252),5)=0,OFFSET(装备属性!$M$1083,1+INT(COUNTA($Q$11:Q252)/5),0),Q252)</f>
        <v>通用属性</v>
      </c>
      <c r="R253" s="83" t="e">
        <f ca="1">IF(MOD(COUNTIF($Q$11:Q252,Q252),5)=0,10000*SUBSTITUTE(SUBSTITUTE(OFFSET(装备属性!$F$1083,1+INT(COUNTA($Q$11:Q252)/5),0),"[",""),"]","")+_xlfn.XLOOKUP(C253,$M$3:$M$7,$N$3:$N$7)*100,R252)</f>
        <v>#N/A</v>
      </c>
    </row>
    <row r="254" customHeight="1" spans="1:18">
      <c r="A254" s="78" t="str">
        <f ca="1" t="shared" si="9"/>
        <v/>
      </c>
      <c r="B254" s="82" t="str">
        <f ca="1">IFERROR(R254+COUNTIFS($R$11:$R254,R254),"")</f>
        <v/>
      </c>
      <c r="C254" s="83">
        <f ca="1">IF(MOD(COUNTIF($Q$11:Q253,Q253),5)=0,OFFSET(装备属性!$D$1083,1+INT(COUNTA($Q$11:Q253)/5),0),C253)</f>
        <v>0</v>
      </c>
      <c r="D254" s="82">
        <f t="shared" si="11"/>
        <v>1500</v>
      </c>
      <c r="F254" s="82" t="str">
        <f ca="1" t="shared" si="10"/>
        <v/>
      </c>
      <c r="G254" s="78" t="str">
        <f ca="1">IF(AND(LEFT("[{"&amp;M254&amp;","&amp;CEILING(N254*10000+(O254-N254)/4*(COUNTIF($F$11:F254,F254)-1)*10000,10)&amp;"}]",7)="[{equip",MID("[{"&amp;M254&amp;","&amp;CEILING(N254*10000+(O254-N254)/4*(COUNTIF($F$11:F254,F254)-1)*10000,10)&amp;"}]",8,1)&lt;&gt;"_"),"[{"&amp;M254&amp;","&amp;1&amp;"}]","[{"&amp;M254&amp;","&amp;CEILING(N254*10000+(O254-N254)/4*(COUNTIF($F$11:F254,F254)-1)*10000,10)&amp;"}]")</f>
        <v>[{global_dmg_rate,4500}]</v>
      </c>
      <c r="H254" s="82" t="s">
        <v>563</v>
      </c>
      <c r="J254" s="78">
        <f ca="1">IF(MOD(COUNTIF($Q$11:Q253,Q253),5)=0,OFFSET(装备属性!$P$1083,1+INT(COUNTA($Q$11:Q253)/5),0),J253)</f>
        <v>2</v>
      </c>
      <c r="K254" s="83" t="str">
        <f ca="1">IF(RIGHT(G254,13)="rune_slot,1}]",_xlfn.XLOOKUP(LEFT(SUBSTITUTE(G254,"[{",""),FIND(",",SUBSTITUTE(G254,"[{",""))-1),Sheet2!B:B,Sheet2!C:C)&amp;"+"&amp;1,_xlfn.XLOOKUP(LEFT(SUBSTITUTE(G254,"[{",""),FIND(",",SUBSTITUTE(G254,"[{",""))-1),Sheet2!B:B,Sheet2!C:C)&amp;"+"&amp;SUBSTITUTE(RIGHT(G254,LEN(G254)-FIND(",",G254)),"}]","")/100&amp;"%")</f>
        <v>伤害加成+45%</v>
      </c>
      <c r="L254" s="83" t="str">
        <f ca="1">IF(MOD(COUNTIF($Q$11:Q253,Q253),5)=0,OFFSET(装备属性!$G$1083,1+INT(COUNTA($Q$11:Q253)/5),0),L253)</f>
        <v>全职小队Ⅴ</v>
      </c>
      <c r="M254" s="89" t="str">
        <f ca="1">IF(MOD(COUNTIF($Q$11:Q253,Q253),5)=0,OFFSET(装备属性!$H$1083,1+INT(COUNTA($Q$11:Q253)/5),0),M253)</f>
        <v>global_dmg_rate</v>
      </c>
      <c r="N254" s="76">
        <f ca="1">IF(MOD(COUNTIF($Q$11:Q253,Q253),5)=0,OFFSET(装备属性!$K$1083,1+INT(COUNTA($Q$11:Q253)/5),0),N253)</f>
        <v>0.072</v>
      </c>
      <c r="O254" s="76">
        <f ca="1">IF(MOD(COUNTIF($Q$11:Q253,Q253),5)=0,OFFSET(装备属性!$L$1083,1+INT(COUNTA($Q$11:Q253)/5),0),O253)</f>
        <v>0.086</v>
      </c>
      <c r="Q254" s="89" t="str">
        <f ca="1">IF(MOD(COUNTIF($Q$11:Q253,Q253),5)=0,OFFSET(装备属性!$M$1083,1+INT(COUNTA($Q$11:Q253)/5),0),Q253)</f>
        <v>通用属性</v>
      </c>
      <c r="R254" s="83" t="e">
        <f ca="1">IF(MOD(COUNTIF($Q$11:Q253,Q253),5)=0,10000*SUBSTITUTE(SUBSTITUTE(OFFSET(装备属性!$F$1083,1+INT(COUNTA($Q$11:Q253)/5),0),"[",""),"]","")+_xlfn.XLOOKUP(C254,$M$3:$M$7,$N$3:$N$7)*100,R253)</f>
        <v>#N/A</v>
      </c>
    </row>
    <row r="255" customHeight="1" spans="1:18">
      <c r="A255" s="78" t="str">
        <f ca="1" t="shared" si="9"/>
        <v/>
      </c>
      <c r="B255" s="82" t="str">
        <f ca="1">IFERROR(R255+COUNTIFS($R$11:$R255,R255),"")</f>
        <v/>
      </c>
      <c r="C255" s="83">
        <f ca="1">IF(MOD(COUNTIF($Q$11:Q254,Q254),5)=0,OFFSET(装备属性!$D$1083,1+INT(COUNTA($Q$11:Q254)/5),0),C254)</f>
        <v>0</v>
      </c>
      <c r="D255" s="82">
        <f t="shared" si="11"/>
        <v>1000</v>
      </c>
      <c r="F255" s="82" t="str">
        <f ca="1" t="shared" si="10"/>
        <v/>
      </c>
      <c r="G255" s="78" t="str">
        <f ca="1">IF(AND(LEFT("[{"&amp;M255&amp;","&amp;CEILING(N255*10000+(O255-N255)/4*(COUNTIF($F$11:F255,F255)-1)*10000,10)&amp;"}]",7)="[{equip",MID("[{"&amp;M255&amp;","&amp;CEILING(N255*10000+(O255-N255)/4*(COUNTIF($F$11:F255,F255)-1)*10000,10)&amp;"}]",8,1)&lt;&gt;"_"),"[{"&amp;M255&amp;","&amp;1&amp;"}]","[{"&amp;M255&amp;","&amp;CEILING(N255*10000+(O255-N255)/4*(COUNTIF($F$11:F255,F255)-1)*10000,10)&amp;"}]")</f>
        <v>[{global_dmg_rate,4540}]</v>
      </c>
      <c r="H255" s="82" t="s">
        <v>563</v>
      </c>
      <c r="J255" s="78">
        <f ca="1">IF(MOD(COUNTIF($Q$11:Q254,Q254),5)=0,OFFSET(装备属性!$P$1083,1+INT(COUNTA($Q$11:Q254)/5),0),J254)</f>
        <v>2</v>
      </c>
      <c r="K255" s="83" t="str">
        <f ca="1">IF(RIGHT(G255,13)="rune_slot,1}]",_xlfn.XLOOKUP(LEFT(SUBSTITUTE(G255,"[{",""),FIND(",",SUBSTITUTE(G255,"[{",""))-1),Sheet2!B:B,Sheet2!C:C)&amp;"+"&amp;1,_xlfn.XLOOKUP(LEFT(SUBSTITUTE(G255,"[{",""),FIND(",",SUBSTITUTE(G255,"[{",""))-1),Sheet2!B:B,Sheet2!C:C)&amp;"+"&amp;SUBSTITUTE(RIGHT(G255,LEN(G255)-FIND(",",G255)),"}]","")/100&amp;"%")</f>
        <v>伤害加成+45.4%</v>
      </c>
      <c r="L255" s="83" t="str">
        <f ca="1">IF(MOD(COUNTIF($Q$11:Q254,Q254),5)=0,OFFSET(装备属性!$G$1083,1+INT(COUNTA($Q$11:Q254)/5),0),L254)</f>
        <v>全职小队Ⅴ</v>
      </c>
      <c r="M255" s="89" t="str">
        <f ca="1">IF(MOD(COUNTIF($Q$11:Q254,Q254),5)=0,OFFSET(装备属性!$H$1083,1+INT(COUNTA($Q$11:Q254)/5),0),M254)</f>
        <v>global_dmg_rate</v>
      </c>
      <c r="N255" s="76">
        <f ca="1">IF(MOD(COUNTIF($Q$11:Q254,Q254),5)=0,OFFSET(装备属性!$K$1083,1+INT(COUNTA($Q$11:Q254)/5),0),N254)</f>
        <v>0.072</v>
      </c>
      <c r="O255" s="76">
        <f ca="1">IF(MOD(COUNTIF($Q$11:Q254,Q254),5)=0,OFFSET(装备属性!$L$1083,1+INT(COUNTA($Q$11:Q254)/5),0),O254)</f>
        <v>0.086</v>
      </c>
      <c r="Q255" s="89" t="str">
        <f ca="1">IF(MOD(COUNTIF($Q$11:Q254,Q254),5)=0,OFFSET(装备属性!$M$1083,1+INT(COUNTA($Q$11:Q254)/5),0),Q254)</f>
        <v>通用属性</v>
      </c>
      <c r="R255" s="83" t="e">
        <f ca="1">IF(MOD(COUNTIF($Q$11:Q254,Q254),5)=0,10000*SUBSTITUTE(SUBSTITUTE(OFFSET(装备属性!$F$1083,1+INT(COUNTA($Q$11:Q254)/5),0),"[",""),"]","")+_xlfn.XLOOKUP(C255,$M$3:$M$7,$N$3:$N$7)*100,R254)</f>
        <v>#N/A</v>
      </c>
    </row>
    <row r="256" customHeight="1" spans="1:18">
      <c r="A256" s="78">
        <f ca="1" t="shared" si="9"/>
        <v>10801</v>
      </c>
      <c r="B256" s="82">
        <f ca="1">IFERROR(R256+COUNTIFS($R$11:$R256,R256),"")</f>
        <v>10801</v>
      </c>
      <c r="C256" s="83" t="str">
        <f ca="1">IF(MOD(COUNTIF($Q$11:Q255,Q255),5)=0,OFFSET(装备属性!$D$1083,1+INT(COUNTA($Q$11:Q255)/5),0),C255)</f>
        <v>彩</v>
      </c>
      <c r="D256" s="82">
        <f t="shared" si="11"/>
        <v>3000</v>
      </c>
      <c r="F256" s="82">
        <f ca="1" t="shared" si="10"/>
        <v>10800</v>
      </c>
      <c r="G256" s="78" t="str">
        <f ca="1">IF(AND(LEFT("[{"&amp;M256&amp;","&amp;CEILING(N256*10000+(O256-N256)/4*(COUNTIF($F$11:F256,F256)-1)*10000,10)&amp;"}]",7)="[{equip",MID("[{"&amp;M256&amp;","&amp;CEILING(N256*10000+(O256-N256)/4*(COUNTIF($F$11:F256,F256)-1)*10000,10)&amp;"}]",8,1)&lt;&gt;"_"),"[{"&amp;M256&amp;","&amp;1&amp;"}]","[{"&amp;M256&amp;","&amp;CEILING(N256*10000+(O256-N256)/4*(COUNTIF($F$11:F256,F256)-1)*10000,10)&amp;"}]")</f>
        <v>[{dmg_red_rate,300}]</v>
      </c>
      <c r="H256" s="82" t="s">
        <v>563</v>
      </c>
      <c r="J256" s="78">
        <f ca="1">IF(MOD(COUNTIF($Q$11:Q255,Q255),5)=0,OFFSET(装备属性!$P$1083,1+INT(COUNTA($Q$11:Q255)/5),0),J255)</f>
        <v>6</v>
      </c>
      <c r="K256" s="83" t="str">
        <f ca="1">IF(RIGHT(G256,13)="rune_slot,1}]",_xlfn.XLOOKUP(LEFT(SUBSTITUTE(G256,"[{",""),FIND(",",SUBSTITUTE(G256,"[{",""))-1),Sheet2!B:B,Sheet2!C:C)&amp;"+"&amp;1,_xlfn.XLOOKUP(LEFT(SUBSTITUTE(G256,"[{",""),FIND(",",SUBSTITUTE(G256,"[{",""))-1),Sheet2!B:B,Sheet2!C:C)&amp;"+"&amp;SUBSTITUTE(RIGHT(G256,LEN(G256)-FIND(",",G256)),"}]","")/100&amp;"%")</f>
        <v>伤害减免+3%</v>
      </c>
      <c r="L256" s="83" t="str">
        <f ca="1">IF(MOD(COUNTIF($Q$11:Q255,Q255),5)=0,OFFSET(装备属性!$G$1083,1+INT(COUNTA($Q$11:Q255)/5),0),L255)</f>
        <v>全员抗揍Ⅴ</v>
      </c>
      <c r="M256" s="89" t="str">
        <f ca="1">IF(MOD(COUNTIF($Q$11:Q255,Q255),5)=0,OFFSET(装备属性!$H$1083,1+INT(COUNTA($Q$11:Q255)/5),0),M255)</f>
        <v>dmg_red_rate</v>
      </c>
      <c r="N256" s="76">
        <f ca="1">IF(MOD(COUNTIF($Q$11:Q255,Q255),5)=0,OFFSET(装备属性!$K$1083,1+INT(COUNTA($Q$11:Q255)/5),0),N255)</f>
        <v>0.03</v>
      </c>
      <c r="O256" s="76">
        <f ca="1">IF(MOD(COUNTIF($Q$11:Q255,Q255),5)=0,OFFSET(装备属性!$L$1083,1+INT(COUNTA($Q$11:Q255)/5),0),O255)</f>
        <v>0.034</v>
      </c>
      <c r="Q256" s="89" t="str">
        <f ca="1">IF(MOD(COUNTIF($Q$11:Q255,Q255),5)=0,OFFSET(装备属性!$M$1083,1+INT(COUNTA($Q$11:Q255)/5),0),Q255)</f>
        <v>通用属性</v>
      </c>
      <c r="R256" s="83">
        <f ca="1">IF(MOD(COUNTIF($Q$11:Q255,Q255),5)=0,10000*SUBSTITUTE(SUBSTITUTE(OFFSET(装备属性!$F$1083,1+INT(COUNTA($Q$11:Q255)/5),0),"[",""),"]","")+_xlfn.XLOOKUP(C256,$M$3:$M$7,$N$3:$N$7)*100,R255)</f>
        <v>10800</v>
      </c>
    </row>
    <row r="257" customHeight="1" spans="1:18">
      <c r="A257" s="78">
        <f ca="1" t="shared" si="9"/>
        <v>10801</v>
      </c>
      <c r="B257" s="82">
        <f ca="1">IFERROR(R257+COUNTIFS($R$11:$R257,R257),"")</f>
        <v>10802</v>
      </c>
      <c r="C257" s="83" t="str">
        <f ca="1">IF(MOD(COUNTIF($Q$11:Q256,Q256),5)=0,OFFSET(装备属性!$D$1083,1+INT(COUNTA($Q$11:Q256)/5),0),C256)</f>
        <v>彩</v>
      </c>
      <c r="D257" s="82">
        <f t="shared" si="11"/>
        <v>2500</v>
      </c>
      <c r="F257" s="82">
        <f ca="1" t="shared" si="10"/>
        <v>10800</v>
      </c>
      <c r="G257" s="78" t="str">
        <f ca="1">IF(AND(LEFT("[{"&amp;M257&amp;","&amp;CEILING(N257*10000+(O257-N257)/4*(COUNTIF($F$11:F257,F257)-1)*10000,10)&amp;"}]",7)="[{equip",MID("[{"&amp;M257&amp;","&amp;CEILING(N257*10000+(O257-N257)/4*(COUNTIF($F$11:F257,F257)-1)*10000,10)&amp;"}]",8,1)&lt;&gt;"_"),"[{"&amp;M257&amp;","&amp;1&amp;"}]","[{"&amp;M257&amp;","&amp;CEILING(N257*10000+(O257-N257)/4*(COUNTIF($F$11:F257,F257)-1)*10000,10)&amp;"}]")</f>
        <v>[{dmg_red_rate,310}]</v>
      </c>
      <c r="H257" s="82" t="s">
        <v>563</v>
      </c>
      <c r="J257" s="78">
        <f ca="1">IF(MOD(COUNTIF($Q$11:Q256,Q256),5)=0,OFFSET(装备属性!$P$1083,1+INT(COUNTA($Q$11:Q256)/5),0),J256)</f>
        <v>6</v>
      </c>
      <c r="K257" s="83" t="str">
        <f ca="1">IF(RIGHT(G257,13)="rune_slot,1}]",_xlfn.XLOOKUP(LEFT(SUBSTITUTE(G257,"[{",""),FIND(",",SUBSTITUTE(G257,"[{",""))-1),Sheet2!B:B,Sheet2!C:C)&amp;"+"&amp;1,_xlfn.XLOOKUP(LEFT(SUBSTITUTE(G257,"[{",""),FIND(",",SUBSTITUTE(G257,"[{",""))-1),Sheet2!B:B,Sheet2!C:C)&amp;"+"&amp;SUBSTITUTE(RIGHT(G257,LEN(G257)-FIND(",",G257)),"}]","")/100&amp;"%")</f>
        <v>伤害减免+3.1%</v>
      </c>
      <c r="L257" s="83" t="str">
        <f ca="1">IF(MOD(COUNTIF($Q$11:Q256,Q256),5)=0,OFFSET(装备属性!$G$1083,1+INT(COUNTA($Q$11:Q256)/5),0),L256)</f>
        <v>全员抗揍Ⅴ</v>
      </c>
      <c r="M257" s="89" t="str">
        <f ca="1">IF(MOD(COUNTIF($Q$11:Q256,Q256),5)=0,OFFSET(装备属性!$H$1083,1+INT(COUNTA($Q$11:Q256)/5),0),M256)</f>
        <v>dmg_red_rate</v>
      </c>
      <c r="N257" s="76">
        <f ca="1">IF(MOD(COUNTIF($Q$11:Q256,Q256),5)=0,OFFSET(装备属性!$K$1083,1+INT(COUNTA($Q$11:Q256)/5),0),N256)</f>
        <v>0.03</v>
      </c>
      <c r="O257" s="76">
        <f ca="1">IF(MOD(COUNTIF($Q$11:Q256,Q256),5)=0,OFFSET(装备属性!$L$1083,1+INT(COUNTA($Q$11:Q256)/5),0),O256)</f>
        <v>0.034</v>
      </c>
      <c r="Q257" s="89" t="str">
        <f ca="1">IF(MOD(COUNTIF($Q$11:Q256,Q256),5)=0,OFFSET(装备属性!$M$1083,1+INT(COUNTA($Q$11:Q256)/5),0),Q256)</f>
        <v>通用属性</v>
      </c>
      <c r="R257" s="83">
        <f ca="1">IF(MOD(COUNTIF($Q$11:Q256,Q256),5)=0,10000*SUBSTITUTE(SUBSTITUTE(OFFSET(装备属性!$F$1083,1+INT(COUNTA($Q$11:Q256)/5),0),"[",""),"]","")+_xlfn.XLOOKUP(C257,$M$3:$M$7,$N$3:$N$7)*100,R256)</f>
        <v>10800</v>
      </c>
    </row>
    <row r="258" customHeight="1" spans="1:18">
      <c r="A258" s="78">
        <f ca="1" t="shared" si="9"/>
        <v>10801</v>
      </c>
      <c r="B258" s="82">
        <f ca="1">IFERROR(R258+COUNTIFS($R$11:$R258,R258),"")</f>
        <v>10803</v>
      </c>
      <c r="C258" s="83" t="str">
        <f ca="1">IF(MOD(COUNTIF($Q$11:Q257,Q257),5)=0,OFFSET(装备属性!$D$1083,1+INT(COUNTA($Q$11:Q257)/5),0),C257)</f>
        <v>彩</v>
      </c>
      <c r="D258" s="82">
        <f t="shared" si="11"/>
        <v>2000</v>
      </c>
      <c r="F258" s="82">
        <f ca="1" t="shared" si="10"/>
        <v>10800</v>
      </c>
      <c r="G258" s="78" t="str">
        <f ca="1">IF(AND(LEFT("[{"&amp;M258&amp;","&amp;CEILING(N258*10000+(O258-N258)/4*(COUNTIF($F$11:F258,F258)-1)*10000,10)&amp;"}]",7)="[{equip",MID("[{"&amp;M258&amp;","&amp;CEILING(N258*10000+(O258-N258)/4*(COUNTIF($F$11:F258,F258)-1)*10000,10)&amp;"}]",8,1)&lt;&gt;"_"),"[{"&amp;M258&amp;","&amp;1&amp;"}]","[{"&amp;M258&amp;","&amp;CEILING(N258*10000+(O258-N258)/4*(COUNTIF($F$11:F258,F258)-1)*10000,10)&amp;"}]")</f>
        <v>[{dmg_red_rate,320}]</v>
      </c>
      <c r="H258" s="82" t="s">
        <v>563</v>
      </c>
      <c r="J258" s="78">
        <f ca="1">IF(MOD(COUNTIF($Q$11:Q257,Q257),5)=0,OFFSET(装备属性!$P$1083,1+INT(COUNTA($Q$11:Q257)/5),0),J257)</f>
        <v>6</v>
      </c>
      <c r="K258" s="83" t="str">
        <f ca="1">IF(RIGHT(G258,13)="rune_slot,1}]",_xlfn.XLOOKUP(LEFT(SUBSTITUTE(G258,"[{",""),FIND(",",SUBSTITUTE(G258,"[{",""))-1),Sheet2!B:B,Sheet2!C:C)&amp;"+"&amp;1,_xlfn.XLOOKUP(LEFT(SUBSTITUTE(G258,"[{",""),FIND(",",SUBSTITUTE(G258,"[{",""))-1),Sheet2!B:B,Sheet2!C:C)&amp;"+"&amp;SUBSTITUTE(RIGHT(G258,LEN(G258)-FIND(",",G258)),"}]","")/100&amp;"%")</f>
        <v>伤害减免+3.2%</v>
      </c>
      <c r="L258" s="83" t="str">
        <f ca="1">IF(MOD(COUNTIF($Q$11:Q257,Q257),5)=0,OFFSET(装备属性!$G$1083,1+INT(COUNTA($Q$11:Q257)/5),0),L257)</f>
        <v>全员抗揍Ⅴ</v>
      </c>
      <c r="M258" s="89" t="str">
        <f ca="1">IF(MOD(COUNTIF($Q$11:Q257,Q257),5)=0,OFFSET(装备属性!$H$1083,1+INT(COUNTA($Q$11:Q257)/5),0),M257)</f>
        <v>dmg_red_rate</v>
      </c>
      <c r="N258" s="76">
        <f ca="1">IF(MOD(COUNTIF($Q$11:Q257,Q257),5)=0,OFFSET(装备属性!$K$1083,1+INT(COUNTA($Q$11:Q257)/5),0),N257)</f>
        <v>0.03</v>
      </c>
      <c r="O258" s="76">
        <f ca="1">IF(MOD(COUNTIF($Q$11:Q257,Q257),5)=0,OFFSET(装备属性!$L$1083,1+INT(COUNTA($Q$11:Q257)/5),0),O257)</f>
        <v>0.034</v>
      </c>
      <c r="Q258" s="89" t="str">
        <f ca="1">IF(MOD(COUNTIF($Q$11:Q257,Q257),5)=0,OFFSET(装备属性!$M$1083,1+INT(COUNTA($Q$11:Q257)/5),0),Q257)</f>
        <v>通用属性</v>
      </c>
      <c r="R258" s="83">
        <f ca="1">IF(MOD(COUNTIF($Q$11:Q257,Q257),5)=0,10000*SUBSTITUTE(SUBSTITUTE(OFFSET(装备属性!$F$1083,1+INT(COUNTA($Q$11:Q257)/5),0),"[",""),"]","")+_xlfn.XLOOKUP(C258,$M$3:$M$7,$N$3:$N$7)*100,R257)</f>
        <v>10800</v>
      </c>
    </row>
    <row r="259" customHeight="1" spans="1:18">
      <c r="A259" s="78">
        <f ca="1" t="shared" si="9"/>
        <v>10801</v>
      </c>
      <c r="B259" s="82">
        <f ca="1">IFERROR(R259+COUNTIFS($R$11:$R259,R259),"")</f>
        <v>10804</v>
      </c>
      <c r="C259" s="83" t="str">
        <f ca="1">IF(MOD(COUNTIF($Q$11:Q258,Q258),5)=0,OFFSET(装备属性!$D$1083,1+INT(COUNTA($Q$11:Q258)/5),0),C258)</f>
        <v>彩</v>
      </c>
      <c r="D259" s="82">
        <f t="shared" si="11"/>
        <v>1500</v>
      </c>
      <c r="F259" s="82">
        <f ca="1" t="shared" si="10"/>
        <v>10800</v>
      </c>
      <c r="G259" s="78" t="str">
        <f ca="1">IF(AND(LEFT("[{"&amp;M259&amp;","&amp;CEILING(N259*10000+(O259-N259)/4*(COUNTIF($F$11:F259,F259)-1)*10000,10)&amp;"}]",7)="[{equip",MID("[{"&amp;M259&amp;","&amp;CEILING(N259*10000+(O259-N259)/4*(COUNTIF($F$11:F259,F259)-1)*10000,10)&amp;"}]",8,1)&lt;&gt;"_"),"[{"&amp;M259&amp;","&amp;1&amp;"}]","[{"&amp;M259&amp;","&amp;CEILING(N259*10000+(O259-N259)/4*(COUNTIF($F$11:F259,F259)-1)*10000,10)&amp;"}]")</f>
        <v>[{dmg_red_rate,330}]</v>
      </c>
      <c r="H259" s="82" t="s">
        <v>563</v>
      </c>
      <c r="J259" s="78">
        <f ca="1">IF(MOD(COUNTIF($Q$11:Q258,Q258),5)=0,OFFSET(装备属性!$P$1083,1+INT(COUNTA($Q$11:Q258)/5),0),J258)</f>
        <v>6</v>
      </c>
      <c r="K259" s="83" t="str">
        <f ca="1">IF(RIGHT(G259,13)="rune_slot,1}]",_xlfn.XLOOKUP(LEFT(SUBSTITUTE(G259,"[{",""),FIND(",",SUBSTITUTE(G259,"[{",""))-1),Sheet2!B:B,Sheet2!C:C)&amp;"+"&amp;1,_xlfn.XLOOKUP(LEFT(SUBSTITUTE(G259,"[{",""),FIND(",",SUBSTITUTE(G259,"[{",""))-1),Sheet2!B:B,Sheet2!C:C)&amp;"+"&amp;SUBSTITUTE(RIGHT(G259,LEN(G259)-FIND(",",G259)),"}]","")/100&amp;"%")</f>
        <v>伤害减免+3.3%</v>
      </c>
      <c r="L259" s="83" t="str">
        <f ca="1">IF(MOD(COUNTIF($Q$11:Q258,Q258),5)=0,OFFSET(装备属性!$G$1083,1+INT(COUNTA($Q$11:Q258)/5),0),L258)</f>
        <v>全员抗揍Ⅴ</v>
      </c>
      <c r="M259" s="89" t="str">
        <f ca="1">IF(MOD(COUNTIF($Q$11:Q258,Q258),5)=0,OFFSET(装备属性!$H$1083,1+INT(COUNTA($Q$11:Q258)/5),0),M258)</f>
        <v>dmg_red_rate</v>
      </c>
      <c r="N259" s="76">
        <f ca="1">IF(MOD(COUNTIF($Q$11:Q258,Q258),5)=0,OFFSET(装备属性!$K$1083,1+INT(COUNTA($Q$11:Q258)/5),0),N258)</f>
        <v>0.03</v>
      </c>
      <c r="O259" s="76">
        <f ca="1">IF(MOD(COUNTIF($Q$11:Q258,Q258),5)=0,OFFSET(装备属性!$L$1083,1+INT(COUNTA($Q$11:Q258)/5),0),O258)</f>
        <v>0.034</v>
      </c>
      <c r="Q259" s="89" t="str">
        <f ca="1">IF(MOD(COUNTIF($Q$11:Q258,Q258),5)=0,OFFSET(装备属性!$M$1083,1+INT(COUNTA($Q$11:Q258)/5),0),Q258)</f>
        <v>通用属性</v>
      </c>
      <c r="R259" s="83">
        <f ca="1">IF(MOD(COUNTIF($Q$11:Q258,Q258),5)=0,10000*SUBSTITUTE(SUBSTITUTE(OFFSET(装备属性!$F$1083,1+INT(COUNTA($Q$11:Q258)/5),0),"[",""),"]","")+_xlfn.XLOOKUP(C259,$M$3:$M$7,$N$3:$N$7)*100,R258)</f>
        <v>10800</v>
      </c>
    </row>
    <row r="260" customHeight="1" spans="1:18">
      <c r="A260" s="78">
        <f ca="1" t="shared" si="9"/>
        <v>10801</v>
      </c>
      <c r="B260" s="82">
        <f ca="1">IFERROR(R260+COUNTIFS($R$11:$R260,R260),"")</f>
        <v>10805</v>
      </c>
      <c r="C260" s="83" t="str">
        <f ca="1">IF(MOD(COUNTIF($Q$11:Q259,Q259),5)=0,OFFSET(装备属性!$D$1083,1+INT(COUNTA($Q$11:Q259)/5),0),C259)</f>
        <v>彩</v>
      </c>
      <c r="D260" s="82">
        <f t="shared" si="11"/>
        <v>1000</v>
      </c>
      <c r="F260" s="82">
        <f ca="1" t="shared" si="10"/>
        <v>10800</v>
      </c>
      <c r="G260" s="78" t="str">
        <f ca="1">IF(AND(LEFT("[{"&amp;M260&amp;","&amp;CEILING(N260*10000+(O260-N260)/4*(COUNTIF($F$11:F260,F260)-1)*10000,10)&amp;"}]",7)="[{equip",MID("[{"&amp;M260&amp;","&amp;CEILING(N260*10000+(O260-N260)/4*(COUNTIF($F$11:F260,F260)-1)*10000,10)&amp;"}]",8,1)&lt;&gt;"_"),"[{"&amp;M260&amp;","&amp;1&amp;"}]","[{"&amp;M260&amp;","&amp;CEILING(N260*10000+(O260-N260)/4*(COUNTIF($F$11:F260,F260)-1)*10000,10)&amp;"}]")</f>
        <v>[{dmg_red_rate,340}]</v>
      </c>
      <c r="H260" s="82" t="s">
        <v>563</v>
      </c>
      <c r="J260" s="78">
        <f ca="1">IF(MOD(COUNTIF($Q$11:Q259,Q259),5)=0,OFFSET(装备属性!$P$1083,1+INT(COUNTA($Q$11:Q259)/5),0),J259)</f>
        <v>6</v>
      </c>
      <c r="K260" s="83" t="str">
        <f ca="1">IF(RIGHT(G260,13)="rune_slot,1}]",_xlfn.XLOOKUP(LEFT(SUBSTITUTE(G260,"[{",""),FIND(",",SUBSTITUTE(G260,"[{",""))-1),Sheet2!B:B,Sheet2!C:C)&amp;"+"&amp;1,_xlfn.XLOOKUP(LEFT(SUBSTITUTE(G260,"[{",""),FIND(",",SUBSTITUTE(G260,"[{",""))-1),Sheet2!B:B,Sheet2!C:C)&amp;"+"&amp;SUBSTITUTE(RIGHT(G260,LEN(G260)-FIND(",",G260)),"}]","")/100&amp;"%")</f>
        <v>伤害减免+3.4%</v>
      </c>
      <c r="L260" s="83" t="str">
        <f ca="1">IF(MOD(COUNTIF($Q$11:Q259,Q259),5)=0,OFFSET(装备属性!$G$1083,1+INT(COUNTA($Q$11:Q259)/5),0),L259)</f>
        <v>全员抗揍Ⅴ</v>
      </c>
      <c r="M260" s="89" t="str">
        <f ca="1">IF(MOD(COUNTIF($Q$11:Q259,Q259),5)=0,OFFSET(装备属性!$H$1083,1+INT(COUNTA($Q$11:Q259)/5),0),M259)</f>
        <v>dmg_red_rate</v>
      </c>
      <c r="N260" s="76">
        <f ca="1">IF(MOD(COUNTIF($Q$11:Q259,Q259),5)=0,OFFSET(装备属性!$K$1083,1+INT(COUNTA($Q$11:Q259)/5),0),N259)</f>
        <v>0.03</v>
      </c>
      <c r="O260" s="76">
        <f ca="1">IF(MOD(COUNTIF($Q$11:Q259,Q259),5)=0,OFFSET(装备属性!$L$1083,1+INT(COUNTA($Q$11:Q259)/5),0),O259)</f>
        <v>0.034</v>
      </c>
      <c r="Q260" s="89" t="str">
        <f ca="1">IF(MOD(COUNTIF($Q$11:Q259,Q259),5)=0,OFFSET(装备属性!$M$1083,1+INT(COUNTA($Q$11:Q259)/5),0),Q259)</f>
        <v>通用属性</v>
      </c>
      <c r="R260" s="83">
        <f ca="1">IF(MOD(COUNTIF($Q$11:Q259,Q259),5)=0,10000*SUBSTITUTE(SUBSTITUTE(OFFSET(装备属性!$F$1083,1+INT(COUNTA($Q$11:Q259)/5),0),"[",""),"]","")+_xlfn.XLOOKUP(C260,$M$3:$M$7,$N$3:$N$7)*100,R259)</f>
        <v>10800</v>
      </c>
    </row>
    <row r="261" customHeight="1" spans="1:18">
      <c r="A261" s="78">
        <f ca="1" t="shared" si="9"/>
        <v>10801</v>
      </c>
      <c r="B261" s="82">
        <f ca="1">IFERROR(R261+COUNTIFS($R$11:$R261,R261),"")</f>
        <v>10806</v>
      </c>
      <c r="C261" s="83" t="str">
        <f ca="1">IF(MOD(COUNTIF($Q$11:Q260,Q260),5)=0,OFFSET(装备属性!$D$1083,1+INT(COUNTA($Q$11:Q260)/5),0),C260)</f>
        <v>彩</v>
      </c>
      <c r="D261" s="82">
        <f t="shared" si="11"/>
        <v>3000</v>
      </c>
      <c r="F261" s="82">
        <f ca="1" t="shared" si="10"/>
        <v>10801</v>
      </c>
      <c r="G261" s="78" t="str">
        <f ca="1">IF(AND(LEFT("[{"&amp;M261&amp;","&amp;CEILING(N261*10000+(O261-N261)/4*(COUNTIF($F$11:F261,F261)-1)*10000,10)&amp;"}]",7)="[{equip",MID("[{"&amp;M261&amp;","&amp;CEILING(N261*10000+(O261-N261)/4*(COUNTIF($F$11:F261,F261)-1)*10000,10)&amp;"}]",8,1)&lt;&gt;"_"),"[{"&amp;M261&amp;","&amp;1&amp;"}]","[{"&amp;M261&amp;","&amp;CEILING(N261*10000+(O261-N261)/4*(COUNTIF($F$11:F261,F261)-1)*10000,10)&amp;"}]")</f>
        <v>[{all_class_dmg,720}]</v>
      </c>
      <c r="H261" s="82" t="s">
        <v>563</v>
      </c>
      <c r="J261" s="78">
        <f ca="1">IF(MOD(COUNTIF($Q$11:Q260,Q260),5)=0,OFFSET(装备属性!$P$1083,1+INT(COUNTA($Q$11:Q260)/5),0),J260)</f>
        <v>2</v>
      </c>
      <c r="K261" s="83" t="str">
        <f ca="1">IF(RIGHT(G261,13)="rune_slot,1}]",_xlfn.XLOOKUP(LEFT(SUBSTITUTE(G261,"[{",""),FIND(",",SUBSTITUTE(G261,"[{",""))-1),Sheet2!B:B,Sheet2!C:C)&amp;"+"&amp;1,_xlfn.XLOOKUP(LEFT(SUBSTITUTE(G261,"[{",""),FIND(",",SUBSTITUTE(G261,"[{",""))-1),Sheet2!B:B,Sheet2!C:C)&amp;"+"&amp;SUBSTITUTE(RIGHT(G261,LEN(G261)-FIND(",",G261)),"}]","")/100&amp;"%")</f>
        <v>上阵五个不同职业增伤+7.2%</v>
      </c>
      <c r="L261" s="83" t="str">
        <f ca="1">IF(MOD(COUNTIF($Q$11:Q260,Q260),5)=0,OFFSET(装备属性!$G$1083,1+INT(COUNTA($Q$11:Q260)/5),0),L260)</f>
        <v>全员出力Ⅴ</v>
      </c>
      <c r="M261" s="89" t="str">
        <f ca="1">IF(MOD(COUNTIF($Q$11:Q260,Q260),5)=0,OFFSET(装备属性!$H$1083,1+INT(COUNTA($Q$11:Q260)/5),0),M260)</f>
        <v>all_class_dmg</v>
      </c>
      <c r="N261" s="76">
        <f ca="1">IF(MOD(COUNTIF($Q$11:Q260,Q260),5)=0,OFFSET(装备属性!$K$1083,1+INT(COUNTA($Q$11:Q260)/5),0),N260)</f>
        <v>0.072</v>
      </c>
      <c r="O261" s="76">
        <f ca="1">IF(MOD(COUNTIF($Q$11:Q260,Q260),5)=0,OFFSET(装备属性!$L$1083,1+INT(COUNTA($Q$11:Q260)/5),0),O260)</f>
        <v>0.086</v>
      </c>
      <c r="Q261" s="89" t="str">
        <f ca="1">IF(MOD(COUNTIF($Q$11:Q260,Q260),5)=0,OFFSET(装备属性!$M$1083,1+INT(COUNTA($Q$11:Q260)/5),0),Q260)</f>
        <v>通用属性</v>
      </c>
      <c r="R261" s="83">
        <f ca="1">IF(MOD(COUNTIF($Q$11:Q260,Q260),5)=0,10000*SUBSTITUTE(SUBSTITUTE(OFFSET(装备属性!$F$1083,1+INT(COUNTA($Q$11:Q260)/5),0),"[",""),"]","")+_xlfn.XLOOKUP(C261,$M$3:$M$7,$N$3:$N$7)*100,R260)</f>
        <v>10800</v>
      </c>
    </row>
    <row r="262" customHeight="1" spans="1:18">
      <c r="A262" s="78">
        <f ca="1" t="shared" si="9"/>
        <v>10801</v>
      </c>
      <c r="B262" s="82">
        <f ca="1">IFERROR(R262+COUNTIFS($R$11:$R262,R262),"")</f>
        <v>10807</v>
      </c>
      <c r="C262" s="83" t="str">
        <f ca="1">IF(MOD(COUNTIF($Q$11:Q261,Q261),5)=0,OFFSET(装备属性!$D$1083,1+INT(COUNTA($Q$11:Q261)/5),0),C261)</f>
        <v>彩</v>
      </c>
      <c r="D262" s="82">
        <f t="shared" si="11"/>
        <v>2500</v>
      </c>
      <c r="F262" s="82">
        <f ca="1" t="shared" si="10"/>
        <v>10801</v>
      </c>
      <c r="G262" s="78" t="str">
        <f ca="1">IF(AND(LEFT("[{"&amp;M262&amp;","&amp;CEILING(N262*10000+(O262-N262)/4*(COUNTIF($F$11:F262,F262)-1)*10000,10)&amp;"}]",7)="[{equip",MID("[{"&amp;M262&amp;","&amp;CEILING(N262*10000+(O262-N262)/4*(COUNTIF($F$11:F262,F262)-1)*10000,10)&amp;"}]",8,1)&lt;&gt;"_"),"[{"&amp;M262&amp;","&amp;1&amp;"}]","[{"&amp;M262&amp;","&amp;CEILING(N262*10000+(O262-N262)/4*(COUNTIF($F$11:F262,F262)-1)*10000,10)&amp;"}]")</f>
        <v>[{all_class_dmg,760}]</v>
      </c>
      <c r="H262" s="82" t="s">
        <v>563</v>
      </c>
      <c r="J262" s="78">
        <f ca="1">IF(MOD(COUNTIF($Q$11:Q261,Q261),5)=0,OFFSET(装备属性!$P$1083,1+INT(COUNTA($Q$11:Q261)/5),0),J261)</f>
        <v>2</v>
      </c>
      <c r="K262" s="83" t="str">
        <f ca="1">IF(RIGHT(G262,13)="rune_slot,1}]",_xlfn.XLOOKUP(LEFT(SUBSTITUTE(G262,"[{",""),FIND(",",SUBSTITUTE(G262,"[{",""))-1),Sheet2!B:B,Sheet2!C:C)&amp;"+"&amp;1,_xlfn.XLOOKUP(LEFT(SUBSTITUTE(G262,"[{",""),FIND(",",SUBSTITUTE(G262,"[{",""))-1),Sheet2!B:B,Sheet2!C:C)&amp;"+"&amp;SUBSTITUTE(RIGHT(G262,LEN(G262)-FIND(",",G262)),"}]","")/100&amp;"%")</f>
        <v>上阵五个不同职业增伤+7.6%</v>
      </c>
      <c r="L262" s="83" t="str">
        <f ca="1">IF(MOD(COUNTIF($Q$11:Q261,Q261),5)=0,OFFSET(装备属性!$G$1083,1+INT(COUNTA($Q$11:Q261)/5),0),L261)</f>
        <v>全员出力Ⅴ</v>
      </c>
      <c r="M262" s="89" t="str">
        <f ca="1">IF(MOD(COUNTIF($Q$11:Q261,Q261),5)=0,OFFSET(装备属性!$H$1083,1+INT(COUNTA($Q$11:Q261)/5),0),M261)</f>
        <v>all_class_dmg</v>
      </c>
      <c r="N262" s="76">
        <f ca="1">IF(MOD(COUNTIF($Q$11:Q261,Q261),5)=0,OFFSET(装备属性!$K$1083,1+INT(COUNTA($Q$11:Q261)/5),0),N261)</f>
        <v>0.072</v>
      </c>
      <c r="O262" s="76">
        <f ca="1">IF(MOD(COUNTIF($Q$11:Q261,Q261),5)=0,OFFSET(装备属性!$L$1083,1+INT(COUNTA($Q$11:Q261)/5),0),O261)</f>
        <v>0.086</v>
      </c>
      <c r="Q262" s="89" t="str">
        <f ca="1">IF(MOD(COUNTIF($Q$11:Q261,Q261),5)=0,OFFSET(装备属性!$M$1083,1+INT(COUNTA($Q$11:Q261)/5),0),Q261)</f>
        <v>通用属性</v>
      </c>
      <c r="R262" s="83">
        <f ca="1">IF(MOD(COUNTIF($Q$11:Q261,Q261),5)=0,10000*SUBSTITUTE(SUBSTITUTE(OFFSET(装备属性!$F$1083,1+INT(COUNTA($Q$11:Q261)/5),0),"[",""),"]","")+_xlfn.XLOOKUP(C262,$M$3:$M$7,$N$3:$N$7)*100,R261)</f>
        <v>10800</v>
      </c>
    </row>
    <row r="263" customHeight="1" spans="1:18">
      <c r="A263" s="78">
        <f ca="1" t="shared" si="9"/>
        <v>10801</v>
      </c>
      <c r="B263" s="82">
        <f ca="1">IFERROR(R263+COUNTIFS($R$11:$R263,R263),"")</f>
        <v>10808</v>
      </c>
      <c r="C263" s="83" t="str">
        <f ca="1">IF(MOD(COUNTIF($Q$11:Q262,Q262),5)=0,OFFSET(装备属性!$D$1083,1+INT(COUNTA($Q$11:Q262)/5),0),C262)</f>
        <v>彩</v>
      </c>
      <c r="D263" s="82">
        <f t="shared" si="11"/>
        <v>2000</v>
      </c>
      <c r="F263" s="82">
        <f ca="1" t="shared" si="10"/>
        <v>10801</v>
      </c>
      <c r="G263" s="78" t="str">
        <f ca="1">IF(AND(LEFT("[{"&amp;M263&amp;","&amp;CEILING(N263*10000+(O263-N263)/4*(COUNTIF($F$11:F263,F263)-1)*10000,10)&amp;"}]",7)="[{equip",MID("[{"&amp;M263&amp;","&amp;CEILING(N263*10000+(O263-N263)/4*(COUNTIF($F$11:F263,F263)-1)*10000,10)&amp;"}]",8,1)&lt;&gt;"_"),"[{"&amp;M263&amp;","&amp;1&amp;"}]","[{"&amp;M263&amp;","&amp;CEILING(N263*10000+(O263-N263)/4*(COUNTIF($F$11:F263,F263)-1)*10000,10)&amp;"}]")</f>
        <v>[{all_class_dmg,790}]</v>
      </c>
      <c r="H263" s="82" t="s">
        <v>563</v>
      </c>
      <c r="J263" s="78">
        <f ca="1">IF(MOD(COUNTIF($Q$11:Q262,Q262),5)=0,OFFSET(装备属性!$P$1083,1+INT(COUNTA($Q$11:Q262)/5),0),J262)</f>
        <v>2</v>
      </c>
      <c r="K263" s="83" t="str">
        <f ca="1">IF(RIGHT(G263,13)="rune_slot,1}]",_xlfn.XLOOKUP(LEFT(SUBSTITUTE(G263,"[{",""),FIND(",",SUBSTITUTE(G263,"[{",""))-1),Sheet2!B:B,Sheet2!C:C)&amp;"+"&amp;1,_xlfn.XLOOKUP(LEFT(SUBSTITUTE(G263,"[{",""),FIND(",",SUBSTITUTE(G263,"[{",""))-1),Sheet2!B:B,Sheet2!C:C)&amp;"+"&amp;SUBSTITUTE(RIGHT(G263,LEN(G263)-FIND(",",G263)),"}]","")/100&amp;"%")</f>
        <v>上阵五个不同职业增伤+7.9%</v>
      </c>
      <c r="L263" s="83" t="str">
        <f ca="1">IF(MOD(COUNTIF($Q$11:Q262,Q262),5)=0,OFFSET(装备属性!$G$1083,1+INT(COUNTA($Q$11:Q262)/5),0),L262)</f>
        <v>全员出力Ⅴ</v>
      </c>
      <c r="M263" s="89" t="str">
        <f ca="1">IF(MOD(COUNTIF($Q$11:Q262,Q262),5)=0,OFFSET(装备属性!$H$1083,1+INT(COUNTA($Q$11:Q262)/5),0),M262)</f>
        <v>all_class_dmg</v>
      </c>
      <c r="N263" s="76">
        <f ca="1">IF(MOD(COUNTIF($Q$11:Q262,Q262),5)=0,OFFSET(装备属性!$K$1083,1+INT(COUNTA($Q$11:Q262)/5),0),N262)</f>
        <v>0.072</v>
      </c>
      <c r="O263" s="76">
        <f ca="1">IF(MOD(COUNTIF($Q$11:Q262,Q262),5)=0,OFFSET(装备属性!$L$1083,1+INT(COUNTA($Q$11:Q262)/5),0),O262)</f>
        <v>0.086</v>
      </c>
      <c r="Q263" s="89" t="str">
        <f ca="1">IF(MOD(COUNTIF($Q$11:Q262,Q262),5)=0,OFFSET(装备属性!$M$1083,1+INT(COUNTA($Q$11:Q262)/5),0),Q262)</f>
        <v>通用属性</v>
      </c>
      <c r="R263" s="83">
        <f ca="1">IF(MOD(COUNTIF($Q$11:Q262,Q262),5)=0,10000*SUBSTITUTE(SUBSTITUTE(OFFSET(装备属性!$F$1083,1+INT(COUNTA($Q$11:Q262)/5),0),"[",""),"]","")+_xlfn.XLOOKUP(C263,$M$3:$M$7,$N$3:$N$7)*100,R262)</f>
        <v>10800</v>
      </c>
    </row>
    <row r="264" customHeight="1" spans="1:18">
      <c r="A264" s="78">
        <f ca="1" t="shared" si="9"/>
        <v>10801</v>
      </c>
      <c r="B264" s="82">
        <f ca="1">IFERROR(R264+COUNTIFS($R$11:$R264,R264),"")</f>
        <v>10809</v>
      </c>
      <c r="C264" s="83" t="str">
        <f ca="1">IF(MOD(COUNTIF($Q$11:Q263,Q263),5)=0,OFFSET(装备属性!$D$1083,1+INT(COUNTA($Q$11:Q263)/5),0),C263)</f>
        <v>彩</v>
      </c>
      <c r="D264" s="82">
        <f t="shared" si="11"/>
        <v>1500</v>
      </c>
      <c r="F264" s="82">
        <f ca="1" t="shared" si="10"/>
        <v>10801</v>
      </c>
      <c r="G264" s="78" t="str">
        <f ca="1">IF(AND(LEFT("[{"&amp;M264&amp;","&amp;CEILING(N264*10000+(O264-N264)/4*(COUNTIF($F$11:F264,F264)-1)*10000,10)&amp;"}]",7)="[{equip",MID("[{"&amp;M264&amp;","&amp;CEILING(N264*10000+(O264-N264)/4*(COUNTIF($F$11:F264,F264)-1)*10000,10)&amp;"}]",8,1)&lt;&gt;"_"),"[{"&amp;M264&amp;","&amp;1&amp;"}]","[{"&amp;M264&amp;","&amp;CEILING(N264*10000+(O264-N264)/4*(COUNTIF($F$11:F264,F264)-1)*10000,10)&amp;"}]")</f>
        <v>[{all_class_dmg,830}]</v>
      </c>
      <c r="H264" s="82" t="s">
        <v>563</v>
      </c>
      <c r="J264" s="78">
        <f ca="1">IF(MOD(COUNTIF($Q$11:Q263,Q263),5)=0,OFFSET(装备属性!$P$1083,1+INT(COUNTA($Q$11:Q263)/5),0),J263)</f>
        <v>2</v>
      </c>
      <c r="K264" s="83" t="str">
        <f ca="1">IF(RIGHT(G264,13)="rune_slot,1}]",_xlfn.XLOOKUP(LEFT(SUBSTITUTE(G264,"[{",""),FIND(",",SUBSTITUTE(G264,"[{",""))-1),Sheet2!B:B,Sheet2!C:C)&amp;"+"&amp;1,_xlfn.XLOOKUP(LEFT(SUBSTITUTE(G264,"[{",""),FIND(",",SUBSTITUTE(G264,"[{",""))-1),Sheet2!B:B,Sheet2!C:C)&amp;"+"&amp;SUBSTITUTE(RIGHT(G264,LEN(G264)-FIND(",",G264)),"}]","")/100&amp;"%")</f>
        <v>上阵五个不同职业增伤+8.3%</v>
      </c>
      <c r="L264" s="83" t="str">
        <f ca="1">IF(MOD(COUNTIF($Q$11:Q263,Q263),5)=0,OFFSET(装备属性!$G$1083,1+INT(COUNTA($Q$11:Q263)/5),0),L263)</f>
        <v>全员出力Ⅴ</v>
      </c>
      <c r="M264" s="89" t="str">
        <f ca="1">IF(MOD(COUNTIF($Q$11:Q263,Q263),5)=0,OFFSET(装备属性!$H$1083,1+INT(COUNTA($Q$11:Q263)/5),0),M263)</f>
        <v>all_class_dmg</v>
      </c>
      <c r="N264" s="76">
        <f ca="1">IF(MOD(COUNTIF($Q$11:Q263,Q263),5)=0,OFFSET(装备属性!$K$1083,1+INT(COUNTA($Q$11:Q263)/5),0),N263)</f>
        <v>0.072</v>
      </c>
      <c r="O264" s="76">
        <f ca="1">IF(MOD(COUNTIF($Q$11:Q263,Q263),5)=0,OFFSET(装备属性!$L$1083,1+INT(COUNTA($Q$11:Q263)/5),0),O263)</f>
        <v>0.086</v>
      </c>
      <c r="Q264" s="89" t="str">
        <f ca="1">IF(MOD(COUNTIF($Q$11:Q263,Q263),5)=0,OFFSET(装备属性!$M$1083,1+INT(COUNTA($Q$11:Q263)/5),0),Q263)</f>
        <v>通用属性</v>
      </c>
      <c r="R264" s="83">
        <f ca="1">IF(MOD(COUNTIF($Q$11:Q263,Q263),5)=0,10000*SUBSTITUTE(SUBSTITUTE(OFFSET(装备属性!$F$1083,1+INT(COUNTA($Q$11:Q263)/5),0),"[",""),"]","")+_xlfn.XLOOKUP(C264,$M$3:$M$7,$N$3:$N$7)*100,R263)</f>
        <v>10800</v>
      </c>
    </row>
    <row r="265" customHeight="1" spans="1:18">
      <c r="A265" s="78">
        <f ca="1" t="shared" si="9"/>
        <v>10801</v>
      </c>
      <c r="B265" s="82">
        <f ca="1">IFERROR(R265+COUNTIFS($R$11:$R265,R265),"")</f>
        <v>10810</v>
      </c>
      <c r="C265" s="83" t="str">
        <f ca="1">IF(MOD(COUNTIF($Q$11:Q264,Q264),5)=0,OFFSET(装备属性!$D$1083,1+INT(COUNTA($Q$11:Q264)/5),0),C264)</f>
        <v>彩</v>
      </c>
      <c r="D265" s="82">
        <f t="shared" si="11"/>
        <v>1000</v>
      </c>
      <c r="F265" s="82">
        <f ca="1" t="shared" si="10"/>
        <v>10801</v>
      </c>
      <c r="G265" s="78" t="str">
        <f ca="1">IF(AND(LEFT("[{"&amp;M265&amp;","&amp;CEILING(N265*10000+(O265-N265)/4*(COUNTIF($F$11:F265,F265)-1)*10000,10)&amp;"}]",7)="[{equip",MID("[{"&amp;M265&amp;","&amp;CEILING(N265*10000+(O265-N265)/4*(COUNTIF($F$11:F265,F265)-1)*10000,10)&amp;"}]",8,1)&lt;&gt;"_"),"[{"&amp;M265&amp;","&amp;1&amp;"}]","[{"&amp;M265&amp;","&amp;CEILING(N265*10000+(O265-N265)/4*(COUNTIF($F$11:F265,F265)-1)*10000,10)&amp;"}]")</f>
        <v>[{all_class_dmg,860}]</v>
      </c>
      <c r="H265" s="82" t="s">
        <v>563</v>
      </c>
      <c r="J265" s="78">
        <f ca="1">IF(MOD(COUNTIF($Q$11:Q264,Q264),5)=0,OFFSET(装备属性!$P$1083,1+INT(COUNTA($Q$11:Q264)/5),0),J264)</f>
        <v>2</v>
      </c>
      <c r="K265" s="83" t="str">
        <f ca="1">IF(RIGHT(G265,13)="rune_slot,1}]",_xlfn.XLOOKUP(LEFT(SUBSTITUTE(G265,"[{",""),FIND(",",SUBSTITUTE(G265,"[{",""))-1),Sheet2!B:B,Sheet2!C:C)&amp;"+"&amp;1,_xlfn.XLOOKUP(LEFT(SUBSTITUTE(G265,"[{",""),FIND(",",SUBSTITUTE(G265,"[{",""))-1),Sheet2!B:B,Sheet2!C:C)&amp;"+"&amp;SUBSTITUTE(RIGHT(G265,LEN(G265)-FIND(",",G265)),"}]","")/100&amp;"%")</f>
        <v>上阵五个不同职业增伤+8.6%</v>
      </c>
      <c r="L265" s="83" t="str">
        <f ca="1">IF(MOD(COUNTIF($Q$11:Q264,Q264),5)=0,OFFSET(装备属性!$G$1083,1+INT(COUNTA($Q$11:Q264)/5),0),L264)</f>
        <v>全员出力Ⅴ</v>
      </c>
      <c r="M265" s="89" t="str">
        <f ca="1">IF(MOD(COUNTIF($Q$11:Q264,Q264),5)=0,OFFSET(装备属性!$H$1083,1+INT(COUNTA($Q$11:Q264)/5),0),M264)</f>
        <v>all_class_dmg</v>
      </c>
      <c r="N265" s="76">
        <f ca="1">IF(MOD(COUNTIF($Q$11:Q264,Q264),5)=0,OFFSET(装备属性!$K$1083,1+INT(COUNTA($Q$11:Q264)/5),0),N264)</f>
        <v>0.072</v>
      </c>
      <c r="O265" s="76">
        <f ca="1">IF(MOD(COUNTIF($Q$11:Q264,Q264),5)=0,OFFSET(装备属性!$L$1083,1+INT(COUNTA($Q$11:Q264)/5),0),O264)</f>
        <v>0.086</v>
      </c>
      <c r="Q265" s="89" t="str">
        <f ca="1">IF(MOD(COUNTIF($Q$11:Q264,Q264),5)=0,OFFSET(装备属性!$M$1083,1+INT(COUNTA($Q$11:Q264)/5),0),Q264)</f>
        <v>通用属性</v>
      </c>
      <c r="R265" s="83">
        <f ca="1">IF(MOD(COUNTIF($Q$11:Q264,Q264),5)=0,10000*SUBSTITUTE(SUBSTITUTE(OFFSET(装备属性!$F$1083,1+INT(COUNTA($Q$11:Q264)/5),0),"[",""),"]","")+_xlfn.XLOOKUP(C265,$M$3:$M$7,$N$3:$N$7)*100,R264)</f>
        <v>10800</v>
      </c>
    </row>
    <row r="266" customHeight="1" spans="1:18">
      <c r="A266" s="78" t="str">
        <f ca="1" t="shared" si="9"/>
        <v/>
      </c>
      <c r="B266" s="82" t="str">
        <f ca="1">IFERROR(R266+COUNTIFS($R$11:$R266,R266),"")</f>
        <v/>
      </c>
      <c r="C266" s="83">
        <f ca="1">IF(MOD(COUNTIF($Q$11:Q265,Q265),5)=0,OFFSET(装备属性!$D$1083,1+INT(COUNTA($Q$11:Q265)/5),0),C265)</f>
        <v>0</v>
      </c>
      <c r="D266" s="82">
        <f t="shared" si="11"/>
        <v>3000</v>
      </c>
      <c r="F266" s="82" t="str">
        <f ca="1" t="shared" si="10"/>
        <v/>
      </c>
      <c r="G266" s="78" t="str">
        <f ca="1">IF(AND(LEFT("[{"&amp;M266&amp;","&amp;CEILING(N266*10000+(O266-N266)/4*(COUNTIF($F$11:F266,F266)-1)*10000,10)&amp;"}]",7)="[{equip",MID("[{"&amp;M266&amp;","&amp;CEILING(N266*10000+(O266-N266)/4*(COUNTIF($F$11:F266,F266)-1)*10000,10)&amp;"}]",8,1)&lt;&gt;"_"),"[{"&amp;M266&amp;","&amp;1&amp;"}]","[{"&amp;M266&amp;","&amp;CEILING(N266*10000+(O266-N266)/4*(COUNTIF($F$11:F266,F266)-1)*10000,10)&amp;"}]")</f>
        <v>[{exp_boost,2000}]</v>
      </c>
      <c r="H266" s="82" t="s">
        <v>563</v>
      </c>
      <c r="J266" s="78">
        <f ca="1">IF(MOD(COUNTIF($Q$11:Q265,Q265),5)=0,OFFSET(装备属性!$P$1083,1+INT(COUNTA($Q$11:Q265)/5),0),J265)</f>
        <v>9</v>
      </c>
      <c r="K266" s="83" t="str">
        <f ca="1">IF(RIGHT(G266,13)="rune_slot,1}]",_xlfn.XLOOKUP(LEFT(SUBSTITUTE(G266,"[{",""),FIND(",",SUBSTITUTE(G266,"[{",""))-1),Sheet2!B:B,Sheet2!C:C)&amp;"+"&amp;1,_xlfn.XLOOKUP(LEFT(SUBSTITUTE(G266,"[{",""),FIND(",",SUBSTITUTE(G266,"[{",""))-1),Sheet2!B:B,Sheet2!C:C)&amp;"+"&amp;SUBSTITUTE(RIGHT(G266,LEN(G266)-FIND(",",G266)),"}]","")/100&amp;"%")</f>
        <v>经验加成+20%</v>
      </c>
      <c r="L266" s="83" t="str">
        <f ca="1">IF(MOD(COUNTIF($Q$11:Q265,Q265),5)=0,OFFSET(装备属性!$G$1083,1+INT(COUNTA($Q$11:Q265)/5),0),L265)</f>
        <v>涨见识</v>
      </c>
      <c r="M266" s="89" t="str">
        <f ca="1">IF(MOD(COUNTIF($Q$11:Q265,Q265),5)=0,OFFSET(装备属性!$H$1083,1+INT(COUNTA($Q$11:Q265)/5),0),M265)</f>
        <v>exp_boost</v>
      </c>
      <c r="N266" s="76">
        <f ca="1">IF(MOD(COUNTIF($Q$11:Q265,Q265),5)=0,OFFSET(装备属性!$K$1083,1+INT(COUNTA($Q$11:Q265)/5),0),N265)</f>
        <v>0.2</v>
      </c>
      <c r="O266" s="76">
        <f ca="1">IF(MOD(COUNTIF($Q$11:Q265,Q265),5)=0,OFFSET(装备属性!$L$1083,1+INT(COUNTA($Q$11:Q265)/5),0),O265)</f>
        <v>0.2</v>
      </c>
      <c r="Q266" s="89" t="str">
        <f ca="1">IF(MOD(COUNTIF($Q$11:Q265,Q265),5)=0,OFFSET(装备属性!$M$1083,1+INT(COUNTA($Q$11:Q265)/5),0),Q265)</f>
        <v>稀有词条</v>
      </c>
      <c r="R266" s="83" t="e">
        <f ca="1">IF(MOD(COUNTIF($Q$11:Q265,Q265),5)=0,10000*SUBSTITUTE(SUBSTITUTE(OFFSET(装备属性!$F$1083,1+INT(COUNTA($Q$11:Q265)/5),0),"[",""),"]","")+_xlfn.XLOOKUP(C266,$M$3:$M$7,$N$3:$N$7)*100,R265)</f>
        <v>#N/A</v>
      </c>
    </row>
    <row r="267" customHeight="1" spans="1:18">
      <c r="A267" s="78" t="str">
        <f ca="1" t="shared" si="9"/>
        <v/>
      </c>
      <c r="B267" s="82" t="str">
        <f ca="1">IFERROR(R267+COUNTIFS($R$11:$R267,R267),"")</f>
        <v/>
      </c>
      <c r="C267" s="83">
        <f ca="1">IF(MOD(COUNTIF($Q$11:Q266,Q266),5)=0,OFFSET(装备属性!$D$1083,1+INT(COUNTA($Q$11:Q266)/5),0),C266)</f>
        <v>0</v>
      </c>
      <c r="D267" s="82">
        <f t="shared" si="11"/>
        <v>2500</v>
      </c>
      <c r="F267" s="82" t="str">
        <f ca="1" t="shared" si="10"/>
        <v/>
      </c>
      <c r="G267" s="78" t="str">
        <f ca="1">IF(AND(LEFT("[{"&amp;M267&amp;","&amp;CEILING(N267*10000+(O267-N267)/4*(COUNTIF($F$11:F267,F267)-1)*10000,10)&amp;"}]",7)="[{equip",MID("[{"&amp;M267&amp;","&amp;CEILING(N267*10000+(O267-N267)/4*(COUNTIF($F$11:F267,F267)-1)*10000,10)&amp;"}]",8,1)&lt;&gt;"_"),"[{"&amp;M267&amp;","&amp;1&amp;"}]","[{"&amp;M267&amp;","&amp;CEILING(N267*10000+(O267-N267)/4*(COUNTIF($F$11:F267,F267)-1)*10000,10)&amp;"}]")</f>
        <v>[{exp_boost,2000}]</v>
      </c>
      <c r="H267" s="82" t="s">
        <v>563</v>
      </c>
      <c r="J267" s="78">
        <f ca="1">IF(MOD(COUNTIF($Q$11:Q266,Q266),5)=0,OFFSET(装备属性!$P$1083,1+INT(COUNTA($Q$11:Q266)/5),0),J266)</f>
        <v>9</v>
      </c>
      <c r="K267" s="83" t="str">
        <f ca="1">IF(RIGHT(G267,13)="rune_slot,1}]",_xlfn.XLOOKUP(LEFT(SUBSTITUTE(G267,"[{",""),FIND(",",SUBSTITUTE(G267,"[{",""))-1),Sheet2!B:B,Sheet2!C:C)&amp;"+"&amp;1,_xlfn.XLOOKUP(LEFT(SUBSTITUTE(G267,"[{",""),FIND(",",SUBSTITUTE(G267,"[{",""))-1),Sheet2!B:B,Sheet2!C:C)&amp;"+"&amp;SUBSTITUTE(RIGHT(G267,LEN(G267)-FIND(",",G267)),"}]","")/100&amp;"%")</f>
        <v>经验加成+20%</v>
      </c>
      <c r="L267" s="83" t="str">
        <f ca="1">IF(MOD(COUNTIF($Q$11:Q266,Q266),5)=0,OFFSET(装备属性!$G$1083,1+INT(COUNTA($Q$11:Q266)/5),0),L266)</f>
        <v>涨见识</v>
      </c>
      <c r="M267" s="89" t="str">
        <f ca="1">IF(MOD(COUNTIF($Q$11:Q266,Q266),5)=0,OFFSET(装备属性!$H$1083,1+INT(COUNTA($Q$11:Q266)/5),0),M266)</f>
        <v>exp_boost</v>
      </c>
      <c r="N267" s="76">
        <f ca="1">IF(MOD(COUNTIF($Q$11:Q266,Q266),5)=0,OFFSET(装备属性!$K$1083,1+INT(COUNTA($Q$11:Q266)/5),0),N266)</f>
        <v>0.2</v>
      </c>
      <c r="O267" s="76">
        <f ca="1">IF(MOD(COUNTIF($Q$11:Q266,Q266),5)=0,OFFSET(装备属性!$L$1083,1+INT(COUNTA($Q$11:Q266)/5),0),O266)</f>
        <v>0.2</v>
      </c>
      <c r="Q267" s="89" t="str">
        <f ca="1">IF(MOD(COUNTIF($Q$11:Q266,Q266),5)=0,OFFSET(装备属性!$M$1083,1+INT(COUNTA($Q$11:Q266)/5),0),Q266)</f>
        <v>稀有词条</v>
      </c>
      <c r="R267" s="83" t="e">
        <f ca="1">IF(MOD(COUNTIF($Q$11:Q266,Q266),5)=0,10000*SUBSTITUTE(SUBSTITUTE(OFFSET(装备属性!$F$1083,1+INT(COUNTA($Q$11:Q266)/5),0),"[",""),"]","")+_xlfn.XLOOKUP(C267,$M$3:$M$7,$N$3:$N$7)*100,R266)</f>
        <v>#N/A</v>
      </c>
    </row>
    <row r="268" customHeight="1" spans="1:18">
      <c r="A268" s="78" t="str">
        <f ca="1" t="shared" ref="A268:A331" si="12">IFERROR(R268+IF(Q268="通用属性",1,IF(Q268="玩法类",2,IF(Q268="稀有词条",3,0))),"")</f>
        <v/>
      </c>
      <c r="B268" s="82" t="str">
        <f ca="1">IFERROR(R268+COUNTIFS($R$11:$R268,R268),"")</f>
        <v/>
      </c>
      <c r="C268" s="83">
        <f ca="1">IF(MOD(COUNTIF($Q$11:Q267,Q267),5)=0,OFFSET(装备属性!$D$1083,1+INT(COUNTA($Q$11:Q267)/5),0),C267)</f>
        <v>0</v>
      </c>
      <c r="D268" s="82">
        <f t="shared" si="11"/>
        <v>2000</v>
      </c>
      <c r="F268" s="82" t="str">
        <f ca="1" t="shared" ref="F268:F331" si="13">IFERROR(R268+INT((B268-R268-1)/5),"")</f>
        <v/>
      </c>
      <c r="G268" s="78" t="str">
        <f ca="1">IF(AND(LEFT("[{"&amp;M268&amp;","&amp;CEILING(N268*10000+(O268-N268)/4*(COUNTIF($F$11:F268,F268)-1)*10000,10)&amp;"}]",7)="[{equip",MID("[{"&amp;M268&amp;","&amp;CEILING(N268*10000+(O268-N268)/4*(COUNTIF($F$11:F268,F268)-1)*10000,10)&amp;"}]",8,1)&lt;&gt;"_"),"[{"&amp;M268&amp;","&amp;1&amp;"}]","[{"&amp;M268&amp;","&amp;CEILING(N268*10000+(O268-N268)/4*(COUNTIF($F$11:F268,F268)-1)*10000,10)&amp;"}]")</f>
        <v>[{exp_boost,2000}]</v>
      </c>
      <c r="H268" s="82" t="s">
        <v>563</v>
      </c>
      <c r="J268" s="78">
        <f ca="1">IF(MOD(COUNTIF($Q$11:Q267,Q267),5)=0,OFFSET(装备属性!$P$1083,1+INT(COUNTA($Q$11:Q267)/5),0),J267)</f>
        <v>9</v>
      </c>
      <c r="K268" s="83" t="str">
        <f ca="1">IF(RIGHT(G268,13)="rune_slot,1}]",_xlfn.XLOOKUP(LEFT(SUBSTITUTE(G268,"[{",""),FIND(",",SUBSTITUTE(G268,"[{",""))-1),Sheet2!B:B,Sheet2!C:C)&amp;"+"&amp;1,_xlfn.XLOOKUP(LEFT(SUBSTITUTE(G268,"[{",""),FIND(",",SUBSTITUTE(G268,"[{",""))-1),Sheet2!B:B,Sheet2!C:C)&amp;"+"&amp;SUBSTITUTE(RIGHT(G268,LEN(G268)-FIND(",",G268)),"}]","")/100&amp;"%")</f>
        <v>经验加成+20%</v>
      </c>
      <c r="L268" s="83" t="str">
        <f ca="1">IF(MOD(COUNTIF($Q$11:Q267,Q267),5)=0,OFFSET(装备属性!$G$1083,1+INT(COUNTA($Q$11:Q267)/5),0),L267)</f>
        <v>涨见识</v>
      </c>
      <c r="M268" s="89" t="str">
        <f ca="1">IF(MOD(COUNTIF($Q$11:Q267,Q267),5)=0,OFFSET(装备属性!$H$1083,1+INT(COUNTA($Q$11:Q267)/5),0),M267)</f>
        <v>exp_boost</v>
      </c>
      <c r="N268" s="76">
        <f ca="1">IF(MOD(COUNTIF($Q$11:Q267,Q267),5)=0,OFFSET(装备属性!$K$1083,1+INT(COUNTA($Q$11:Q267)/5),0),N267)</f>
        <v>0.2</v>
      </c>
      <c r="O268" s="76">
        <f ca="1">IF(MOD(COUNTIF($Q$11:Q267,Q267),5)=0,OFFSET(装备属性!$L$1083,1+INT(COUNTA($Q$11:Q267)/5),0),O267)</f>
        <v>0.2</v>
      </c>
      <c r="Q268" s="89" t="str">
        <f ca="1">IF(MOD(COUNTIF($Q$11:Q267,Q267),5)=0,OFFSET(装备属性!$M$1083,1+INT(COUNTA($Q$11:Q267)/5),0),Q267)</f>
        <v>稀有词条</v>
      </c>
      <c r="R268" s="83" t="e">
        <f ca="1">IF(MOD(COUNTIF($Q$11:Q267,Q267),5)=0,10000*SUBSTITUTE(SUBSTITUTE(OFFSET(装备属性!$F$1083,1+INT(COUNTA($Q$11:Q267)/5),0),"[",""),"]","")+_xlfn.XLOOKUP(C268,$M$3:$M$7,$N$3:$N$7)*100,R267)</f>
        <v>#N/A</v>
      </c>
    </row>
    <row r="269" customHeight="1" spans="1:18">
      <c r="A269" s="78" t="str">
        <f ca="1" t="shared" si="12"/>
        <v/>
      </c>
      <c r="B269" s="82" t="str">
        <f ca="1">IFERROR(R269+COUNTIFS($R$11:$R269,R269),"")</f>
        <v/>
      </c>
      <c r="C269" s="83">
        <f ca="1">IF(MOD(COUNTIF($Q$11:Q268,Q268),5)=0,OFFSET(装备属性!$D$1083,1+INT(COUNTA($Q$11:Q268)/5),0),C268)</f>
        <v>0</v>
      </c>
      <c r="D269" s="82">
        <f t="shared" si="11"/>
        <v>1500</v>
      </c>
      <c r="F269" s="82" t="str">
        <f ca="1" t="shared" si="13"/>
        <v/>
      </c>
      <c r="G269" s="78" t="str">
        <f ca="1">IF(AND(LEFT("[{"&amp;M269&amp;","&amp;CEILING(N269*10000+(O269-N269)/4*(COUNTIF($F$11:F269,F269)-1)*10000,10)&amp;"}]",7)="[{equip",MID("[{"&amp;M269&amp;","&amp;CEILING(N269*10000+(O269-N269)/4*(COUNTIF($F$11:F269,F269)-1)*10000,10)&amp;"}]",8,1)&lt;&gt;"_"),"[{"&amp;M269&amp;","&amp;1&amp;"}]","[{"&amp;M269&amp;","&amp;CEILING(N269*10000+(O269-N269)/4*(COUNTIF($F$11:F269,F269)-1)*10000,10)&amp;"}]")</f>
        <v>[{exp_boost,2000}]</v>
      </c>
      <c r="H269" s="82" t="s">
        <v>563</v>
      </c>
      <c r="J269" s="78">
        <f ca="1">IF(MOD(COUNTIF($Q$11:Q268,Q268),5)=0,OFFSET(装备属性!$P$1083,1+INT(COUNTA($Q$11:Q268)/5),0),J268)</f>
        <v>9</v>
      </c>
      <c r="K269" s="83" t="str">
        <f ca="1">IF(RIGHT(G269,13)="rune_slot,1}]",_xlfn.XLOOKUP(LEFT(SUBSTITUTE(G269,"[{",""),FIND(",",SUBSTITUTE(G269,"[{",""))-1),Sheet2!B:B,Sheet2!C:C)&amp;"+"&amp;1,_xlfn.XLOOKUP(LEFT(SUBSTITUTE(G269,"[{",""),FIND(",",SUBSTITUTE(G269,"[{",""))-1),Sheet2!B:B,Sheet2!C:C)&amp;"+"&amp;SUBSTITUTE(RIGHT(G269,LEN(G269)-FIND(",",G269)),"}]","")/100&amp;"%")</f>
        <v>经验加成+20%</v>
      </c>
      <c r="L269" s="83" t="str">
        <f ca="1">IF(MOD(COUNTIF($Q$11:Q268,Q268),5)=0,OFFSET(装备属性!$G$1083,1+INT(COUNTA($Q$11:Q268)/5),0),L268)</f>
        <v>涨见识</v>
      </c>
      <c r="M269" s="89" t="str">
        <f ca="1">IF(MOD(COUNTIF($Q$11:Q268,Q268),5)=0,OFFSET(装备属性!$H$1083,1+INT(COUNTA($Q$11:Q268)/5),0),M268)</f>
        <v>exp_boost</v>
      </c>
      <c r="N269" s="76">
        <f ca="1">IF(MOD(COUNTIF($Q$11:Q268,Q268),5)=0,OFFSET(装备属性!$K$1083,1+INT(COUNTA($Q$11:Q268)/5),0),N268)</f>
        <v>0.2</v>
      </c>
      <c r="O269" s="76">
        <f ca="1">IF(MOD(COUNTIF($Q$11:Q268,Q268),5)=0,OFFSET(装备属性!$L$1083,1+INT(COUNTA($Q$11:Q268)/5),0),O268)</f>
        <v>0.2</v>
      </c>
      <c r="Q269" s="89" t="str">
        <f ca="1">IF(MOD(COUNTIF($Q$11:Q268,Q268),5)=0,OFFSET(装备属性!$M$1083,1+INT(COUNTA($Q$11:Q268)/5),0),Q268)</f>
        <v>稀有词条</v>
      </c>
      <c r="R269" s="83" t="e">
        <f ca="1">IF(MOD(COUNTIF($Q$11:Q268,Q268),5)=0,10000*SUBSTITUTE(SUBSTITUTE(OFFSET(装备属性!$F$1083,1+INT(COUNTA($Q$11:Q268)/5),0),"[",""),"]","")+_xlfn.XLOOKUP(C269,$M$3:$M$7,$N$3:$N$7)*100,R268)</f>
        <v>#N/A</v>
      </c>
    </row>
    <row r="270" customHeight="1" spans="1:18">
      <c r="A270" s="78" t="str">
        <f ca="1" t="shared" si="12"/>
        <v/>
      </c>
      <c r="B270" s="82" t="str">
        <f ca="1">IFERROR(R270+COUNTIFS($R$11:$R270,R270),"")</f>
        <v/>
      </c>
      <c r="C270" s="83">
        <f ca="1">IF(MOD(COUNTIF($Q$11:Q269,Q269),5)=0,OFFSET(装备属性!$D$1083,1+INT(COUNTA($Q$11:Q269)/5),0),C269)</f>
        <v>0</v>
      </c>
      <c r="D270" s="82">
        <f t="shared" si="11"/>
        <v>1000</v>
      </c>
      <c r="F270" s="82" t="str">
        <f ca="1" t="shared" si="13"/>
        <v/>
      </c>
      <c r="G270" s="78" t="str">
        <f ca="1">IF(AND(LEFT("[{"&amp;M270&amp;","&amp;CEILING(N270*10000+(O270-N270)/4*(COUNTIF($F$11:F270,F270)-1)*10000,10)&amp;"}]",7)="[{equip",MID("[{"&amp;M270&amp;","&amp;CEILING(N270*10000+(O270-N270)/4*(COUNTIF($F$11:F270,F270)-1)*10000,10)&amp;"}]",8,1)&lt;&gt;"_"),"[{"&amp;M270&amp;","&amp;1&amp;"}]","[{"&amp;M270&amp;","&amp;CEILING(N270*10000+(O270-N270)/4*(COUNTIF($F$11:F270,F270)-1)*10000,10)&amp;"}]")</f>
        <v>[{exp_boost,2000}]</v>
      </c>
      <c r="H270" s="82" t="s">
        <v>563</v>
      </c>
      <c r="J270" s="78">
        <f ca="1">IF(MOD(COUNTIF($Q$11:Q269,Q269),5)=0,OFFSET(装备属性!$P$1083,1+INT(COUNTA($Q$11:Q269)/5),0),J269)</f>
        <v>9</v>
      </c>
      <c r="K270" s="83" t="str">
        <f ca="1">IF(RIGHT(G270,13)="rune_slot,1}]",_xlfn.XLOOKUP(LEFT(SUBSTITUTE(G270,"[{",""),FIND(",",SUBSTITUTE(G270,"[{",""))-1),Sheet2!B:B,Sheet2!C:C)&amp;"+"&amp;1,_xlfn.XLOOKUP(LEFT(SUBSTITUTE(G270,"[{",""),FIND(",",SUBSTITUTE(G270,"[{",""))-1),Sheet2!B:B,Sheet2!C:C)&amp;"+"&amp;SUBSTITUTE(RIGHT(G270,LEN(G270)-FIND(",",G270)),"}]","")/100&amp;"%")</f>
        <v>经验加成+20%</v>
      </c>
      <c r="L270" s="83" t="str">
        <f ca="1">IF(MOD(COUNTIF($Q$11:Q269,Q269),5)=0,OFFSET(装备属性!$G$1083,1+INT(COUNTA($Q$11:Q269)/5),0),L269)</f>
        <v>涨见识</v>
      </c>
      <c r="M270" s="89" t="str">
        <f ca="1">IF(MOD(COUNTIF($Q$11:Q269,Q269),5)=0,OFFSET(装备属性!$H$1083,1+INT(COUNTA($Q$11:Q269)/5),0),M269)</f>
        <v>exp_boost</v>
      </c>
      <c r="N270" s="76">
        <f ca="1">IF(MOD(COUNTIF($Q$11:Q269,Q269),5)=0,OFFSET(装备属性!$K$1083,1+INT(COUNTA($Q$11:Q269)/5),0),N269)</f>
        <v>0.2</v>
      </c>
      <c r="O270" s="76">
        <f ca="1">IF(MOD(COUNTIF($Q$11:Q269,Q269),5)=0,OFFSET(装备属性!$L$1083,1+INT(COUNTA($Q$11:Q269)/5),0),O269)</f>
        <v>0.2</v>
      </c>
      <c r="Q270" s="89" t="str">
        <f ca="1">IF(MOD(COUNTIF($Q$11:Q269,Q269),5)=0,OFFSET(装备属性!$M$1083,1+INT(COUNTA($Q$11:Q269)/5),0),Q269)</f>
        <v>稀有词条</v>
      </c>
      <c r="R270" s="83" t="e">
        <f ca="1">IF(MOD(COUNTIF($Q$11:Q269,Q269),5)=0,10000*SUBSTITUTE(SUBSTITUTE(OFFSET(装备属性!$F$1083,1+INT(COUNTA($Q$11:Q269)/5),0),"[",""),"]","")+_xlfn.XLOOKUP(C270,$M$3:$M$7,$N$3:$N$7)*100,R269)</f>
        <v>#N/A</v>
      </c>
    </row>
    <row r="271" customHeight="1" spans="1:18">
      <c r="A271" s="78">
        <f ca="1" t="shared" si="12"/>
        <v>10803</v>
      </c>
      <c r="B271" s="82">
        <f ca="1">IFERROR(R271+COUNTIFS($R$11:$R271,R271),"")</f>
        <v>10811</v>
      </c>
      <c r="C271" s="83" t="str">
        <f ca="1">IF(MOD(COUNTIF($Q$11:Q270,Q270),5)=0,OFFSET(装备属性!$D$1083,1+INT(COUNTA($Q$11:Q270)/5),0),C270)</f>
        <v>彩</v>
      </c>
      <c r="D271" s="82">
        <f t="shared" si="11"/>
        <v>3000</v>
      </c>
      <c r="F271" s="82">
        <f ca="1" t="shared" si="13"/>
        <v>10802</v>
      </c>
      <c r="G271" s="78" t="str">
        <f ca="1">IF(AND(LEFT("[{"&amp;M271&amp;","&amp;CEILING(N271*10000+(O271-N271)/4*(COUNTIF($F$11:F271,F271)-1)*10000,10)&amp;"}]",7)="[{equip",MID("[{"&amp;M271&amp;","&amp;CEILING(N271*10000+(O271-N271)/4*(COUNTIF($F$11:F271,F271)-1)*10000,10)&amp;"}]",8,1)&lt;&gt;"_"),"[{"&amp;M271&amp;","&amp;1&amp;"}]","[{"&amp;M271&amp;","&amp;CEILING(N271*10000+(O271-N271)/4*(COUNTIF($F$11:F271,F271)-1)*10000,10)&amp;"}]")</f>
        <v>[{equip_base_attr,2500}]</v>
      </c>
      <c r="H271" s="82" t="s">
        <v>563</v>
      </c>
      <c r="J271" s="78">
        <f ca="1">IF(MOD(COUNTIF($Q$11:Q270,Q270),5)=0,OFFSET(装备属性!$P$1083,1+INT(COUNTA($Q$11:Q270)/5),0),J270)</f>
        <v>7</v>
      </c>
      <c r="K271" s="83" t="str">
        <f ca="1">IF(RIGHT(G271,13)="rune_slot,1}]",_xlfn.XLOOKUP(LEFT(SUBSTITUTE(G271,"[{",""),FIND(",",SUBSTITUTE(G271,"[{",""))-1),Sheet2!B:B,Sheet2!C:C)&amp;"+"&amp;1,_xlfn.XLOOKUP(LEFT(SUBSTITUTE(G271,"[{",""),FIND(",",SUBSTITUTE(G271,"[{",""))-1),Sheet2!B:B,Sheet2!C:C)&amp;"+"&amp;SUBSTITUTE(RIGHT(G271,LEN(G271)-FIND(",",G271)),"}]","")/100&amp;"%")</f>
        <v>装备基础属性加成+25%</v>
      </c>
      <c r="L271" s="83" t="str">
        <f ca="1">IF(MOD(COUNTIF($Q$11:Q270,Q270),5)=0,OFFSET(装备属性!$G$1083,1+INT(COUNTA($Q$11:Q270)/5),0),L270)</f>
        <v>厚底子</v>
      </c>
      <c r="M271" s="89" t="str">
        <f ca="1">IF(MOD(COUNTIF($Q$11:Q270,Q270),5)=0,OFFSET(装备属性!$H$1083,1+INT(COUNTA($Q$11:Q270)/5),0),M270)</f>
        <v>equip_base_attr</v>
      </c>
      <c r="N271" s="76">
        <f ca="1">IF(MOD(COUNTIF($Q$11:Q270,Q270),5)=0,OFFSET(装备属性!$K$1083,1+INT(COUNTA($Q$11:Q270)/5),0),N270)</f>
        <v>0.25</v>
      </c>
      <c r="O271" s="76">
        <f ca="1">IF(MOD(COUNTIF($Q$11:Q270,Q270),5)=0,OFFSET(装备属性!$L$1083,1+INT(COUNTA($Q$11:Q270)/5),0),O270)</f>
        <v>0.25</v>
      </c>
      <c r="Q271" s="89" t="str">
        <f ca="1">IF(MOD(COUNTIF($Q$11:Q270,Q270),5)=0,OFFSET(装备属性!$M$1083,1+INT(COUNTA($Q$11:Q270)/5),0),Q270)</f>
        <v>稀有词条</v>
      </c>
      <c r="R271" s="83">
        <f ca="1">IF(MOD(COUNTIF($Q$11:Q270,Q270),5)=0,10000*SUBSTITUTE(SUBSTITUTE(OFFSET(装备属性!$F$1083,1+INT(COUNTA($Q$11:Q270)/5),0),"[",""),"]","")+_xlfn.XLOOKUP(C271,$M$3:$M$7,$N$3:$N$7)*100,R270)</f>
        <v>10800</v>
      </c>
    </row>
    <row r="272" customHeight="1" spans="1:18">
      <c r="A272" s="78">
        <f ca="1" t="shared" si="12"/>
        <v>10803</v>
      </c>
      <c r="B272" s="82">
        <f ca="1">IFERROR(R272+COUNTIFS($R$11:$R272,R272),"")</f>
        <v>10812</v>
      </c>
      <c r="C272" s="83" t="str">
        <f ca="1">IF(MOD(COUNTIF($Q$11:Q271,Q271),5)=0,OFFSET(装备属性!$D$1083,1+INT(COUNTA($Q$11:Q271)/5),0),C271)</f>
        <v>彩</v>
      </c>
      <c r="D272" s="82">
        <f t="shared" si="11"/>
        <v>2500</v>
      </c>
      <c r="F272" s="82">
        <f ca="1" t="shared" si="13"/>
        <v>10802</v>
      </c>
      <c r="G272" s="78" t="str">
        <f ca="1">IF(AND(LEFT("[{"&amp;M272&amp;","&amp;CEILING(N272*10000+(O272-N272)/4*(COUNTIF($F$11:F272,F272)-1)*10000,10)&amp;"}]",7)="[{equip",MID("[{"&amp;M272&amp;","&amp;CEILING(N272*10000+(O272-N272)/4*(COUNTIF($F$11:F272,F272)-1)*10000,10)&amp;"}]",8,1)&lt;&gt;"_"),"[{"&amp;M272&amp;","&amp;1&amp;"}]","[{"&amp;M272&amp;","&amp;CEILING(N272*10000+(O272-N272)/4*(COUNTIF($F$11:F272,F272)-1)*10000,10)&amp;"}]")</f>
        <v>[{equip_base_attr,2500}]</v>
      </c>
      <c r="H272" s="82" t="s">
        <v>563</v>
      </c>
      <c r="J272" s="78">
        <f ca="1">IF(MOD(COUNTIF($Q$11:Q271,Q271),5)=0,OFFSET(装备属性!$P$1083,1+INT(COUNTA($Q$11:Q271)/5),0),J271)</f>
        <v>7</v>
      </c>
      <c r="K272" s="83" t="str">
        <f ca="1">IF(RIGHT(G272,13)="rune_slot,1}]",_xlfn.XLOOKUP(LEFT(SUBSTITUTE(G272,"[{",""),FIND(",",SUBSTITUTE(G272,"[{",""))-1),Sheet2!B:B,Sheet2!C:C)&amp;"+"&amp;1,_xlfn.XLOOKUP(LEFT(SUBSTITUTE(G272,"[{",""),FIND(",",SUBSTITUTE(G272,"[{",""))-1),Sheet2!B:B,Sheet2!C:C)&amp;"+"&amp;SUBSTITUTE(RIGHT(G272,LEN(G272)-FIND(",",G272)),"}]","")/100&amp;"%")</f>
        <v>装备基础属性加成+25%</v>
      </c>
      <c r="L272" s="83" t="str">
        <f ca="1">IF(MOD(COUNTIF($Q$11:Q271,Q271),5)=0,OFFSET(装备属性!$G$1083,1+INT(COUNTA($Q$11:Q271)/5),0),L271)</f>
        <v>厚底子</v>
      </c>
      <c r="M272" s="89" t="str">
        <f ca="1">IF(MOD(COUNTIF($Q$11:Q271,Q271),5)=0,OFFSET(装备属性!$H$1083,1+INT(COUNTA($Q$11:Q271)/5),0),M271)</f>
        <v>equip_base_attr</v>
      </c>
      <c r="N272" s="76">
        <f ca="1">IF(MOD(COUNTIF($Q$11:Q271,Q271),5)=0,OFFSET(装备属性!$K$1083,1+INT(COUNTA($Q$11:Q271)/5),0),N271)</f>
        <v>0.25</v>
      </c>
      <c r="O272" s="76">
        <f ca="1">IF(MOD(COUNTIF($Q$11:Q271,Q271),5)=0,OFFSET(装备属性!$L$1083,1+INT(COUNTA($Q$11:Q271)/5),0),O271)</f>
        <v>0.25</v>
      </c>
      <c r="Q272" s="89" t="str">
        <f ca="1">IF(MOD(COUNTIF($Q$11:Q271,Q271),5)=0,OFFSET(装备属性!$M$1083,1+INT(COUNTA($Q$11:Q271)/5),0),Q271)</f>
        <v>稀有词条</v>
      </c>
      <c r="R272" s="83">
        <f ca="1">IF(MOD(COUNTIF($Q$11:Q271,Q271),5)=0,10000*SUBSTITUTE(SUBSTITUTE(OFFSET(装备属性!$F$1083,1+INT(COUNTA($Q$11:Q271)/5),0),"[",""),"]","")+_xlfn.XLOOKUP(C272,$M$3:$M$7,$N$3:$N$7)*100,R271)</f>
        <v>10800</v>
      </c>
    </row>
    <row r="273" customHeight="1" spans="1:18">
      <c r="A273" s="78">
        <f ca="1" t="shared" si="12"/>
        <v>10803</v>
      </c>
      <c r="B273" s="82">
        <f ca="1">IFERROR(R273+COUNTIFS($R$11:$R273,R273),"")</f>
        <v>10813</v>
      </c>
      <c r="C273" s="83" t="str">
        <f ca="1">IF(MOD(COUNTIF($Q$11:Q272,Q272),5)=0,OFFSET(装备属性!$D$1083,1+INT(COUNTA($Q$11:Q272)/5),0),C272)</f>
        <v>彩</v>
      </c>
      <c r="D273" s="82">
        <f t="shared" ref="D273:D336" si="14">D268</f>
        <v>2000</v>
      </c>
      <c r="F273" s="82">
        <f ca="1" t="shared" si="13"/>
        <v>10802</v>
      </c>
      <c r="G273" s="78" t="str">
        <f ca="1">IF(AND(LEFT("[{"&amp;M273&amp;","&amp;CEILING(N273*10000+(O273-N273)/4*(COUNTIF($F$11:F273,F273)-1)*10000,10)&amp;"}]",7)="[{equip",MID("[{"&amp;M273&amp;","&amp;CEILING(N273*10000+(O273-N273)/4*(COUNTIF($F$11:F273,F273)-1)*10000,10)&amp;"}]",8,1)&lt;&gt;"_"),"[{"&amp;M273&amp;","&amp;1&amp;"}]","[{"&amp;M273&amp;","&amp;CEILING(N273*10000+(O273-N273)/4*(COUNTIF($F$11:F273,F273)-1)*10000,10)&amp;"}]")</f>
        <v>[{equip_base_attr,2500}]</v>
      </c>
      <c r="H273" s="82" t="s">
        <v>563</v>
      </c>
      <c r="J273" s="78">
        <f ca="1">IF(MOD(COUNTIF($Q$11:Q272,Q272),5)=0,OFFSET(装备属性!$P$1083,1+INT(COUNTA($Q$11:Q272)/5),0),J272)</f>
        <v>7</v>
      </c>
      <c r="K273" s="83" t="str">
        <f ca="1">IF(RIGHT(G273,13)="rune_slot,1}]",_xlfn.XLOOKUP(LEFT(SUBSTITUTE(G273,"[{",""),FIND(",",SUBSTITUTE(G273,"[{",""))-1),Sheet2!B:B,Sheet2!C:C)&amp;"+"&amp;1,_xlfn.XLOOKUP(LEFT(SUBSTITUTE(G273,"[{",""),FIND(",",SUBSTITUTE(G273,"[{",""))-1),Sheet2!B:B,Sheet2!C:C)&amp;"+"&amp;SUBSTITUTE(RIGHT(G273,LEN(G273)-FIND(",",G273)),"}]","")/100&amp;"%")</f>
        <v>装备基础属性加成+25%</v>
      </c>
      <c r="L273" s="83" t="str">
        <f ca="1">IF(MOD(COUNTIF($Q$11:Q272,Q272),5)=0,OFFSET(装备属性!$G$1083,1+INT(COUNTA($Q$11:Q272)/5),0),L272)</f>
        <v>厚底子</v>
      </c>
      <c r="M273" s="89" t="str">
        <f ca="1">IF(MOD(COUNTIF($Q$11:Q272,Q272),5)=0,OFFSET(装备属性!$H$1083,1+INT(COUNTA($Q$11:Q272)/5),0),M272)</f>
        <v>equip_base_attr</v>
      </c>
      <c r="N273" s="76">
        <f ca="1">IF(MOD(COUNTIF($Q$11:Q272,Q272),5)=0,OFFSET(装备属性!$K$1083,1+INT(COUNTA($Q$11:Q272)/5),0),N272)</f>
        <v>0.25</v>
      </c>
      <c r="O273" s="76">
        <f ca="1">IF(MOD(COUNTIF($Q$11:Q272,Q272),5)=0,OFFSET(装备属性!$L$1083,1+INT(COUNTA($Q$11:Q272)/5),0),O272)</f>
        <v>0.25</v>
      </c>
      <c r="Q273" s="89" t="str">
        <f ca="1">IF(MOD(COUNTIF($Q$11:Q272,Q272),5)=0,OFFSET(装备属性!$M$1083,1+INT(COUNTA($Q$11:Q272)/5),0),Q272)</f>
        <v>稀有词条</v>
      </c>
      <c r="R273" s="83">
        <f ca="1">IF(MOD(COUNTIF($Q$11:Q272,Q272),5)=0,10000*SUBSTITUTE(SUBSTITUTE(OFFSET(装备属性!$F$1083,1+INT(COUNTA($Q$11:Q272)/5),0),"[",""),"]","")+_xlfn.XLOOKUP(C273,$M$3:$M$7,$N$3:$N$7)*100,R272)</f>
        <v>10800</v>
      </c>
    </row>
    <row r="274" customHeight="1" spans="1:18">
      <c r="A274" s="78">
        <f ca="1" t="shared" si="12"/>
        <v>10803</v>
      </c>
      <c r="B274" s="82">
        <f ca="1">IFERROR(R274+COUNTIFS($R$11:$R274,R274),"")</f>
        <v>10814</v>
      </c>
      <c r="C274" s="83" t="str">
        <f ca="1">IF(MOD(COUNTIF($Q$11:Q273,Q273),5)=0,OFFSET(装备属性!$D$1083,1+INT(COUNTA($Q$11:Q273)/5),0),C273)</f>
        <v>彩</v>
      </c>
      <c r="D274" s="82">
        <f t="shared" si="14"/>
        <v>1500</v>
      </c>
      <c r="F274" s="82">
        <f ca="1" t="shared" si="13"/>
        <v>10802</v>
      </c>
      <c r="G274" s="78" t="str">
        <f ca="1">IF(AND(LEFT("[{"&amp;M274&amp;","&amp;CEILING(N274*10000+(O274-N274)/4*(COUNTIF($F$11:F274,F274)-1)*10000,10)&amp;"}]",7)="[{equip",MID("[{"&amp;M274&amp;","&amp;CEILING(N274*10000+(O274-N274)/4*(COUNTIF($F$11:F274,F274)-1)*10000,10)&amp;"}]",8,1)&lt;&gt;"_"),"[{"&amp;M274&amp;","&amp;1&amp;"}]","[{"&amp;M274&amp;","&amp;CEILING(N274*10000+(O274-N274)/4*(COUNTIF($F$11:F274,F274)-1)*10000,10)&amp;"}]")</f>
        <v>[{equip_base_attr,2500}]</v>
      </c>
      <c r="H274" s="82" t="s">
        <v>563</v>
      </c>
      <c r="J274" s="78">
        <f ca="1">IF(MOD(COUNTIF($Q$11:Q273,Q273),5)=0,OFFSET(装备属性!$P$1083,1+INT(COUNTA($Q$11:Q273)/5),0),J273)</f>
        <v>7</v>
      </c>
      <c r="K274" s="83" t="str">
        <f ca="1">IF(RIGHT(G274,13)="rune_slot,1}]",_xlfn.XLOOKUP(LEFT(SUBSTITUTE(G274,"[{",""),FIND(",",SUBSTITUTE(G274,"[{",""))-1),Sheet2!B:B,Sheet2!C:C)&amp;"+"&amp;1,_xlfn.XLOOKUP(LEFT(SUBSTITUTE(G274,"[{",""),FIND(",",SUBSTITUTE(G274,"[{",""))-1),Sheet2!B:B,Sheet2!C:C)&amp;"+"&amp;SUBSTITUTE(RIGHT(G274,LEN(G274)-FIND(",",G274)),"}]","")/100&amp;"%")</f>
        <v>装备基础属性加成+25%</v>
      </c>
      <c r="L274" s="83" t="str">
        <f ca="1">IF(MOD(COUNTIF($Q$11:Q273,Q273),5)=0,OFFSET(装备属性!$G$1083,1+INT(COUNTA($Q$11:Q273)/5),0),L273)</f>
        <v>厚底子</v>
      </c>
      <c r="M274" s="89" t="str">
        <f ca="1">IF(MOD(COUNTIF($Q$11:Q273,Q273),5)=0,OFFSET(装备属性!$H$1083,1+INT(COUNTA($Q$11:Q273)/5),0),M273)</f>
        <v>equip_base_attr</v>
      </c>
      <c r="N274" s="76">
        <f ca="1">IF(MOD(COUNTIF($Q$11:Q273,Q273),5)=0,OFFSET(装备属性!$K$1083,1+INT(COUNTA($Q$11:Q273)/5),0),N273)</f>
        <v>0.25</v>
      </c>
      <c r="O274" s="76">
        <f ca="1">IF(MOD(COUNTIF($Q$11:Q273,Q273),5)=0,OFFSET(装备属性!$L$1083,1+INT(COUNTA($Q$11:Q273)/5),0),O273)</f>
        <v>0.25</v>
      </c>
      <c r="Q274" s="89" t="str">
        <f ca="1">IF(MOD(COUNTIF($Q$11:Q273,Q273),5)=0,OFFSET(装备属性!$M$1083,1+INT(COUNTA($Q$11:Q273)/5),0),Q273)</f>
        <v>稀有词条</v>
      </c>
      <c r="R274" s="83">
        <f ca="1">IF(MOD(COUNTIF($Q$11:Q273,Q273),5)=0,10000*SUBSTITUTE(SUBSTITUTE(OFFSET(装备属性!$F$1083,1+INT(COUNTA($Q$11:Q273)/5),0),"[",""),"]","")+_xlfn.XLOOKUP(C274,$M$3:$M$7,$N$3:$N$7)*100,R273)</f>
        <v>10800</v>
      </c>
    </row>
    <row r="275" customHeight="1" spans="1:18">
      <c r="A275" s="78">
        <f ca="1" t="shared" si="12"/>
        <v>10803</v>
      </c>
      <c r="B275" s="82">
        <f ca="1">IFERROR(R275+COUNTIFS($R$11:$R275,R275),"")</f>
        <v>10815</v>
      </c>
      <c r="C275" s="83" t="str">
        <f ca="1">IF(MOD(COUNTIF($Q$11:Q274,Q274),5)=0,OFFSET(装备属性!$D$1083,1+INT(COUNTA($Q$11:Q274)/5),0),C274)</f>
        <v>彩</v>
      </c>
      <c r="D275" s="82">
        <f t="shared" si="14"/>
        <v>1000</v>
      </c>
      <c r="F275" s="82">
        <f ca="1" t="shared" si="13"/>
        <v>10802</v>
      </c>
      <c r="G275" s="78" t="str">
        <f ca="1">IF(AND(LEFT("[{"&amp;M275&amp;","&amp;CEILING(N275*10000+(O275-N275)/4*(COUNTIF($F$11:F275,F275)-1)*10000,10)&amp;"}]",7)="[{equip",MID("[{"&amp;M275&amp;","&amp;CEILING(N275*10000+(O275-N275)/4*(COUNTIF($F$11:F275,F275)-1)*10000,10)&amp;"}]",8,1)&lt;&gt;"_"),"[{"&amp;M275&amp;","&amp;1&amp;"}]","[{"&amp;M275&amp;","&amp;CEILING(N275*10000+(O275-N275)/4*(COUNTIF($F$11:F275,F275)-1)*10000,10)&amp;"}]")</f>
        <v>[{equip_base_attr,2500}]</v>
      </c>
      <c r="H275" s="82" t="s">
        <v>563</v>
      </c>
      <c r="J275" s="78">
        <f ca="1">IF(MOD(COUNTIF($Q$11:Q274,Q274),5)=0,OFFSET(装备属性!$P$1083,1+INT(COUNTA($Q$11:Q274)/5),0),J274)</f>
        <v>7</v>
      </c>
      <c r="K275" s="83" t="str">
        <f ca="1">IF(RIGHT(G275,13)="rune_slot,1}]",_xlfn.XLOOKUP(LEFT(SUBSTITUTE(G275,"[{",""),FIND(",",SUBSTITUTE(G275,"[{",""))-1),Sheet2!B:B,Sheet2!C:C)&amp;"+"&amp;1,_xlfn.XLOOKUP(LEFT(SUBSTITUTE(G275,"[{",""),FIND(",",SUBSTITUTE(G275,"[{",""))-1),Sheet2!B:B,Sheet2!C:C)&amp;"+"&amp;SUBSTITUTE(RIGHT(G275,LEN(G275)-FIND(",",G275)),"}]","")/100&amp;"%")</f>
        <v>装备基础属性加成+25%</v>
      </c>
      <c r="L275" s="83" t="str">
        <f ca="1">IF(MOD(COUNTIF($Q$11:Q274,Q274),5)=0,OFFSET(装备属性!$G$1083,1+INT(COUNTA($Q$11:Q274)/5),0),L274)</f>
        <v>厚底子</v>
      </c>
      <c r="M275" s="89" t="str">
        <f ca="1">IF(MOD(COUNTIF($Q$11:Q274,Q274),5)=0,OFFSET(装备属性!$H$1083,1+INT(COUNTA($Q$11:Q274)/5),0),M274)</f>
        <v>equip_base_attr</v>
      </c>
      <c r="N275" s="76">
        <f ca="1">IF(MOD(COUNTIF($Q$11:Q274,Q274),5)=0,OFFSET(装备属性!$K$1083,1+INT(COUNTA($Q$11:Q274)/5),0),N274)</f>
        <v>0.25</v>
      </c>
      <c r="O275" s="76">
        <f ca="1">IF(MOD(COUNTIF($Q$11:Q274,Q274),5)=0,OFFSET(装备属性!$L$1083,1+INT(COUNTA($Q$11:Q274)/5),0),O274)</f>
        <v>0.25</v>
      </c>
      <c r="Q275" s="89" t="str">
        <f ca="1">IF(MOD(COUNTIF($Q$11:Q274,Q274),5)=0,OFFSET(装备属性!$M$1083,1+INT(COUNTA($Q$11:Q274)/5),0),Q274)</f>
        <v>稀有词条</v>
      </c>
      <c r="R275" s="83">
        <f ca="1">IF(MOD(COUNTIF($Q$11:Q274,Q274),5)=0,10000*SUBSTITUTE(SUBSTITUTE(OFFSET(装备属性!$F$1083,1+INT(COUNTA($Q$11:Q274)/5),0),"[",""),"]","")+_xlfn.XLOOKUP(C275,$M$3:$M$7,$N$3:$N$7)*100,R274)</f>
        <v>10800</v>
      </c>
    </row>
    <row r="276" customHeight="1" spans="1:18">
      <c r="A276" s="78">
        <f ca="1" t="shared" si="12"/>
        <v>10803</v>
      </c>
      <c r="B276" s="82">
        <f ca="1">IFERROR(R276+COUNTIFS($R$11:$R276,R276),"")</f>
        <v>10816</v>
      </c>
      <c r="C276" s="83" t="str">
        <f ca="1">IF(MOD(COUNTIF($Q$11:Q275,Q275),5)=0,OFFSET(装备属性!$D$1083,1+INT(COUNTA($Q$11:Q275)/5),0),C275)</f>
        <v>彩</v>
      </c>
      <c r="D276" s="82">
        <f t="shared" si="14"/>
        <v>3000</v>
      </c>
      <c r="F276" s="82">
        <f ca="1" t="shared" si="13"/>
        <v>10803</v>
      </c>
      <c r="G276" s="78" t="str">
        <f ca="1">IF(AND(LEFT("[{"&amp;M276&amp;","&amp;CEILING(N276*10000+(O276-N276)/4*(COUNTIF($F$11:F276,F276)-1)*10000,10)&amp;"}]",7)="[{equip",MID("[{"&amp;M276&amp;","&amp;CEILING(N276*10000+(O276-N276)/4*(COUNTIF($F$11:F276,F276)-1)*10000,10)&amp;"}]",8,1)&lt;&gt;"_"),"[{"&amp;M276&amp;","&amp;1&amp;"}]","[{"&amp;M276&amp;","&amp;CEILING(N276*10000+(O276-N276)/4*(COUNTIF($F$11:F276,F276)-1)*10000,10)&amp;"}]")</f>
        <v>[{equip_extra_attr,5000}]</v>
      </c>
      <c r="H276" s="82" t="s">
        <v>563</v>
      </c>
      <c r="J276" s="78">
        <f ca="1">IF(MOD(COUNTIF($Q$11:Q275,Q275),5)=0,OFFSET(装备属性!$P$1083,1+INT(COUNTA($Q$11:Q275)/5),0),J275)</f>
        <v>8</v>
      </c>
      <c r="K276" s="83" t="str">
        <f ca="1">IF(RIGHT(G276,13)="rune_slot,1}]",_xlfn.XLOOKUP(LEFT(SUBSTITUTE(G276,"[{",""),FIND(",",SUBSTITUTE(G276,"[{",""))-1),Sheet2!B:B,Sheet2!C:C)&amp;"+"&amp;1,_xlfn.XLOOKUP(LEFT(SUBSTITUTE(G276,"[{",""),FIND(",",SUBSTITUTE(G276,"[{",""))-1),Sheet2!B:B,Sheet2!C:C)&amp;"+"&amp;SUBSTITUTE(RIGHT(G276,LEN(G276)-FIND(",",G276)),"}]","")/100&amp;"%")</f>
        <v>装备附加属性加成+50%</v>
      </c>
      <c r="L276" s="83" t="str">
        <f ca="1">IF(MOD(COUNTIF($Q$11:Q275,Q275),5)=0,OFFSET(装备属性!$G$1083,1+INT(COUNTA($Q$11:Q275)/5),0),L275)</f>
        <v>提成色</v>
      </c>
      <c r="M276" s="89" t="str">
        <f ca="1">IF(MOD(COUNTIF($Q$11:Q275,Q275),5)=0,OFFSET(装备属性!$H$1083,1+INT(COUNTA($Q$11:Q275)/5),0),M275)</f>
        <v>equip_extra_attr</v>
      </c>
      <c r="N276" s="76">
        <f ca="1">IF(MOD(COUNTIF($Q$11:Q275,Q275),5)=0,OFFSET(装备属性!$K$1083,1+INT(COUNTA($Q$11:Q275)/5),0),N275)</f>
        <v>0.5</v>
      </c>
      <c r="O276" s="76">
        <f ca="1">IF(MOD(COUNTIF($Q$11:Q275,Q275),5)=0,OFFSET(装备属性!$L$1083,1+INT(COUNTA($Q$11:Q275)/5),0),O275)</f>
        <v>0.5</v>
      </c>
      <c r="Q276" s="89" t="str">
        <f ca="1">IF(MOD(COUNTIF($Q$11:Q275,Q275),5)=0,OFFSET(装备属性!$M$1083,1+INT(COUNTA($Q$11:Q275)/5),0),Q275)</f>
        <v>稀有词条</v>
      </c>
      <c r="R276" s="83">
        <f ca="1">IF(MOD(COUNTIF($Q$11:Q275,Q275),5)=0,10000*SUBSTITUTE(SUBSTITUTE(OFFSET(装备属性!$F$1083,1+INT(COUNTA($Q$11:Q275)/5),0),"[",""),"]","")+_xlfn.XLOOKUP(C276,$M$3:$M$7,$N$3:$N$7)*100,R275)</f>
        <v>10800</v>
      </c>
    </row>
    <row r="277" customHeight="1" spans="1:18">
      <c r="A277" s="78">
        <f ca="1" t="shared" si="12"/>
        <v>10803</v>
      </c>
      <c r="B277" s="82">
        <f ca="1">IFERROR(R277+COUNTIFS($R$11:$R277,R277),"")</f>
        <v>10817</v>
      </c>
      <c r="C277" s="83" t="str">
        <f ca="1">IF(MOD(COUNTIF($Q$11:Q276,Q276),5)=0,OFFSET(装备属性!$D$1083,1+INT(COUNTA($Q$11:Q276)/5),0),C276)</f>
        <v>彩</v>
      </c>
      <c r="D277" s="82">
        <f t="shared" si="14"/>
        <v>2500</v>
      </c>
      <c r="F277" s="82">
        <f ca="1" t="shared" si="13"/>
        <v>10803</v>
      </c>
      <c r="G277" s="78" t="str">
        <f ca="1">IF(AND(LEFT("[{"&amp;M277&amp;","&amp;CEILING(N277*10000+(O277-N277)/4*(COUNTIF($F$11:F277,F277)-1)*10000,10)&amp;"}]",7)="[{equip",MID("[{"&amp;M277&amp;","&amp;CEILING(N277*10000+(O277-N277)/4*(COUNTIF($F$11:F277,F277)-1)*10000,10)&amp;"}]",8,1)&lt;&gt;"_"),"[{"&amp;M277&amp;","&amp;1&amp;"}]","[{"&amp;M277&amp;","&amp;CEILING(N277*10000+(O277-N277)/4*(COUNTIF($F$11:F277,F277)-1)*10000,10)&amp;"}]")</f>
        <v>[{equip_extra_attr,5000}]</v>
      </c>
      <c r="H277" s="82" t="s">
        <v>563</v>
      </c>
      <c r="J277" s="78">
        <f ca="1">IF(MOD(COUNTIF($Q$11:Q276,Q276),5)=0,OFFSET(装备属性!$P$1083,1+INT(COUNTA($Q$11:Q276)/5),0),J276)</f>
        <v>8</v>
      </c>
      <c r="K277" s="83" t="str">
        <f ca="1">IF(RIGHT(G277,13)="rune_slot,1}]",_xlfn.XLOOKUP(LEFT(SUBSTITUTE(G277,"[{",""),FIND(",",SUBSTITUTE(G277,"[{",""))-1),Sheet2!B:B,Sheet2!C:C)&amp;"+"&amp;1,_xlfn.XLOOKUP(LEFT(SUBSTITUTE(G277,"[{",""),FIND(",",SUBSTITUTE(G277,"[{",""))-1),Sheet2!B:B,Sheet2!C:C)&amp;"+"&amp;SUBSTITUTE(RIGHT(G277,LEN(G277)-FIND(",",G277)),"}]","")/100&amp;"%")</f>
        <v>装备附加属性加成+50%</v>
      </c>
      <c r="L277" s="83" t="str">
        <f ca="1">IF(MOD(COUNTIF($Q$11:Q276,Q276),5)=0,OFFSET(装备属性!$G$1083,1+INT(COUNTA($Q$11:Q276)/5),0),L276)</f>
        <v>提成色</v>
      </c>
      <c r="M277" s="89" t="str">
        <f ca="1">IF(MOD(COUNTIF($Q$11:Q276,Q276),5)=0,OFFSET(装备属性!$H$1083,1+INT(COUNTA($Q$11:Q276)/5),0),M276)</f>
        <v>equip_extra_attr</v>
      </c>
      <c r="N277" s="76">
        <f ca="1">IF(MOD(COUNTIF($Q$11:Q276,Q276),5)=0,OFFSET(装备属性!$K$1083,1+INT(COUNTA($Q$11:Q276)/5),0),N276)</f>
        <v>0.5</v>
      </c>
      <c r="O277" s="76">
        <f ca="1">IF(MOD(COUNTIF($Q$11:Q276,Q276),5)=0,OFFSET(装备属性!$L$1083,1+INT(COUNTA($Q$11:Q276)/5),0),O276)</f>
        <v>0.5</v>
      </c>
      <c r="Q277" s="89" t="str">
        <f ca="1">IF(MOD(COUNTIF($Q$11:Q276,Q276),5)=0,OFFSET(装备属性!$M$1083,1+INT(COUNTA($Q$11:Q276)/5),0),Q276)</f>
        <v>稀有词条</v>
      </c>
      <c r="R277" s="83">
        <f ca="1">IF(MOD(COUNTIF($Q$11:Q276,Q276),5)=0,10000*SUBSTITUTE(SUBSTITUTE(OFFSET(装备属性!$F$1083,1+INT(COUNTA($Q$11:Q276)/5),0),"[",""),"]","")+_xlfn.XLOOKUP(C277,$M$3:$M$7,$N$3:$N$7)*100,R276)</f>
        <v>10800</v>
      </c>
    </row>
    <row r="278" customHeight="1" spans="1:18">
      <c r="A278" s="78">
        <f ca="1" t="shared" si="12"/>
        <v>10803</v>
      </c>
      <c r="B278" s="82">
        <f ca="1">IFERROR(R278+COUNTIFS($R$11:$R278,R278),"")</f>
        <v>10818</v>
      </c>
      <c r="C278" s="83" t="str">
        <f ca="1">IF(MOD(COUNTIF($Q$11:Q277,Q277),5)=0,OFFSET(装备属性!$D$1083,1+INT(COUNTA($Q$11:Q277)/5),0),C277)</f>
        <v>彩</v>
      </c>
      <c r="D278" s="82">
        <f t="shared" si="14"/>
        <v>2000</v>
      </c>
      <c r="F278" s="82">
        <f ca="1" t="shared" si="13"/>
        <v>10803</v>
      </c>
      <c r="G278" s="78" t="str">
        <f ca="1">IF(AND(LEFT("[{"&amp;M278&amp;","&amp;CEILING(N278*10000+(O278-N278)/4*(COUNTIF($F$11:F278,F278)-1)*10000,10)&amp;"}]",7)="[{equip",MID("[{"&amp;M278&amp;","&amp;CEILING(N278*10000+(O278-N278)/4*(COUNTIF($F$11:F278,F278)-1)*10000,10)&amp;"}]",8,1)&lt;&gt;"_"),"[{"&amp;M278&amp;","&amp;1&amp;"}]","[{"&amp;M278&amp;","&amp;CEILING(N278*10000+(O278-N278)/4*(COUNTIF($F$11:F278,F278)-1)*10000,10)&amp;"}]")</f>
        <v>[{equip_extra_attr,5000}]</v>
      </c>
      <c r="H278" s="82" t="s">
        <v>563</v>
      </c>
      <c r="J278" s="78">
        <f ca="1">IF(MOD(COUNTIF($Q$11:Q277,Q277),5)=0,OFFSET(装备属性!$P$1083,1+INT(COUNTA($Q$11:Q277)/5),0),J277)</f>
        <v>8</v>
      </c>
      <c r="K278" s="83" t="str">
        <f ca="1">IF(RIGHT(G278,13)="rune_slot,1}]",_xlfn.XLOOKUP(LEFT(SUBSTITUTE(G278,"[{",""),FIND(",",SUBSTITUTE(G278,"[{",""))-1),Sheet2!B:B,Sheet2!C:C)&amp;"+"&amp;1,_xlfn.XLOOKUP(LEFT(SUBSTITUTE(G278,"[{",""),FIND(",",SUBSTITUTE(G278,"[{",""))-1),Sheet2!B:B,Sheet2!C:C)&amp;"+"&amp;SUBSTITUTE(RIGHT(G278,LEN(G278)-FIND(",",G278)),"}]","")/100&amp;"%")</f>
        <v>装备附加属性加成+50%</v>
      </c>
      <c r="L278" s="83" t="str">
        <f ca="1">IF(MOD(COUNTIF($Q$11:Q277,Q277),5)=0,OFFSET(装备属性!$G$1083,1+INT(COUNTA($Q$11:Q277)/5),0),L277)</f>
        <v>提成色</v>
      </c>
      <c r="M278" s="89" t="str">
        <f ca="1">IF(MOD(COUNTIF($Q$11:Q277,Q277),5)=0,OFFSET(装备属性!$H$1083,1+INT(COUNTA($Q$11:Q277)/5),0),M277)</f>
        <v>equip_extra_attr</v>
      </c>
      <c r="N278" s="76">
        <f ca="1">IF(MOD(COUNTIF($Q$11:Q277,Q277),5)=0,OFFSET(装备属性!$K$1083,1+INT(COUNTA($Q$11:Q277)/5),0),N277)</f>
        <v>0.5</v>
      </c>
      <c r="O278" s="76">
        <f ca="1">IF(MOD(COUNTIF($Q$11:Q277,Q277),5)=0,OFFSET(装备属性!$L$1083,1+INT(COUNTA($Q$11:Q277)/5),0),O277)</f>
        <v>0.5</v>
      </c>
      <c r="Q278" s="89" t="str">
        <f ca="1">IF(MOD(COUNTIF($Q$11:Q277,Q277),5)=0,OFFSET(装备属性!$M$1083,1+INT(COUNTA($Q$11:Q277)/5),0),Q277)</f>
        <v>稀有词条</v>
      </c>
      <c r="R278" s="83">
        <f ca="1">IF(MOD(COUNTIF($Q$11:Q277,Q277),5)=0,10000*SUBSTITUTE(SUBSTITUTE(OFFSET(装备属性!$F$1083,1+INT(COUNTA($Q$11:Q277)/5),0),"[",""),"]","")+_xlfn.XLOOKUP(C278,$M$3:$M$7,$N$3:$N$7)*100,R277)</f>
        <v>10800</v>
      </c>
    </row>
    <row r="279" customHeight="1" spans="1:18">
      <c r="A279" s="78">
        <f ca="1" t="shared" si="12"/>
        <v>10803</v>
      </c>
      <c r="B279" s="82">
        <f ca="1">IFERROR(R279+COUNTIFS($R$11:$R279,R279),"")</f>
        <v>10819</v>
      </c>
      <c r="C279" s="83" t="str">
        <f ca="1">IF(MOD(COUNTIF($Q$11:Q278,Q278),5)=0,OFFSET(装备属性!$D$1083,1+INT(COUNTA($Q$11:Q278)/5),0),C278)</f>
        <v>彩</v>
      </c>
      <c r="D279" s="82">
        <f t="shared" si="14"/>
        <v>1500</v>
      </c>
      <c r="F279" s="82">
        <f ca="1" t="shared" si="13"/>
        <v>10803</v>
      </c>
      <c r="G279" s="78" t="str">
        <f ca="1">IF(AND(LEFT("[{"&amp;M279&amp;","&amp;CEILING(N279*10000+(O279-N279)/4*(COUNTIF($F$11:F279,F279)-1)*10000,10)&amp;"}]",7)="[{equip",MID("[{"&amp;M279&amp;","&amp;CEILING(N279*10000+(O279-N279)/4*(COUNTIF($F$11:F279,F279)-1)*10000,10)&amp;"}]",8,1)&lt;&gt;"_"),"[{"&amp;M279&amp;","&amp;1&amp;"}]","[{"&amp;M279&amp;","&amp;CEILING(N279*10000+(O279-N279)/4*(COUNTIF($F$11:F279,F279)-1)*10000,10)&amp;"}]")</f>
        <v>[{equip_extra_attr,5000}]</v>
      </c>
      <c r="H279" s="82" t="s">
        <v>563</v>
      </c>
      <c r="J279" s="78">
        <f ca="1">IF(MOD(COUNTIF($Q$11:Q278,Q278),5)=0,OFFSET(装备属性!$P$1083,1+INT(COUNTA($Q$11:Q278)/5),0),J278)</f>
        <v>8</v>
      </c>
      <c r="K279" s="83" t="str">
        <f ca="1">IF(RIGHT(G279,13)="rune_slot,1}]",_xlfn.XLOOKUP(LEFT(SUBSTITUTE(G279,"[{",""),FIND(",",SUBSTITUTE(G279,"[{",""))-1),Sheet2!B:B,Sheet2!C:C)&amp;"+"&amp;1,_xlfn.XLOOKUP(LEFT(SUBSTITUTE(G279,"[{",""),FIND(",",SUBSTITUTE(G279,"[{",""))-1),Sheet2!B:B,Sheet2!C:C)&amp;"+"&amp;SUBSTITUTE(RIGHT(G279,LEN(G279)-FIND(",",G279)),"}]","")/100&amp;"%")</f>
        <v>装备附加属性加成+50%</v>
      </c>
      <c r="L279" s="83" t="str">
        <f ca="1">IF(MOD(COUNTIF($Q$11:Q278,Q278),5)=0,OFFSET(装备属性!$G$1083,1+INT(COUNTA($Q$11:Q278)/5),0),L278)</f>
        <v>提成色</v>
      </c>
      <c r="M279" s="89" t="str">
        <f ca="1">IF(MOD(COUNTIF($Q$11:Q278,Q278),5)=0,OFFSET(装备属性!$H$1083,1+INT(COUNTA($Q$11:Q278)/5),0),M278)</f>
        <v>equip_extra_attr</v>
      </c>
      <c r="N279" s="76">
        <f ca="1">IF(MOD(COUNTIF($Q$11:Q278,Q278),5)=0,OFFSET(装备属性!$K$1083,1+INT(COUNTA($Q$11:Q278)/5),0),N278)</f>
        <v>0.5</v>
      </c>
      <c r="O279" s="76">
        <f ca="1">IF(MOD(COUNTIF($Q$11:Q278,Q278),5)=0,OFFSET(装备属性!$L$1083,1+INT(COUNTA($Q$11:Q278)/5),0),O278)</f>
        <v>0.5</v>
      </c>
      <c r="Q279" s="89" t="str">
        <f ca="1">IF(MOD(COUNTIF($Q$11:Q278,Q278),5)=0,OFFSET(装备属性!$M$1083,1+INT(COUNTA($Q$11:Q278)/5),0),Q278)</f>
        <v>稀有词条</v>
      </c>
      <c r="R279" s="83">
        <f ca="1">IF(MOD(COUNTIF($Q$11:Q278,Q278),5)=0,10000*SUBSTITUTE(SUBSTITUTE(OFFSET(装备属性!$F$1083,1+INT(COUNTA($Q$11:Q278)/5),0),"[",""),"]","")+_xlfn.XLOOKUP(C279,$M$3:$M$7,$N$3:$N$7)*100,R278)</f>
        <v>10800</v>
      </c>
    </row>
    <row r="280" customHeight="1" spans="1:18">
      <c r="A280" s="78">
        <f ca="1" t="shared" si="12"/>
        <v>10803</v>
      </c>
      <c r="B280" s="82">
        <f ca="1">IFERROR(R280+COUNTIFS($R$11:$R280,R280),"")</f>
        <v>10820</v>
      </c>
      <c r="C280" s="83" t="str">
        <f ca="1">IF(MOD(COUNTIF($Q$11:Q279,Q279),5)=0,OFFSET(装备属性!$D$1083,1+INT(COUNTA($Q$11:Q279)/5),0),C279)</f>
        <v>彩</v>
      </c>
      <c r="D280" s="82">
        <f t="shared" si="14"/>
        <v>1000</v>
      </c>
      <c r="F280" s="82">
        <f ca="1" t="shared" si="13"/>
        <v>10803</v>
      </c>
      <c r="G280" s="78" t="str">
        <f ca="1">IF(AND(LEFT("[{"&amp;M280&amp;","&amp;CEILING(N280*10000+(O280-N280)/4*(COUNTIF($F$11:F280,F280)-1)*10000,10)&amp;"}]",7)="[{equip",MID("[{"&amp;M280&amp;","&amp;CEILING(N280*10000+(O280-N280)/4*(COUNTIF($F$11:F280,F280)-1)*10000,10)&amp;"}]",8,1)&lt;&gt;"_"),"[{"&amp;M280&amp;","&amp;1&amp;"}]","[{"&amp;M280&amp;","&amp;CEILING(N280*10000+(O280-N280)/4*(COUNTIF($F$11:F280,F280)-1)*10000,10)&amp;"}]")</f>
        <v>[{equip_extra_attr,5000}]</v>
      </c>
      <c r="H280" s="82" t="s">
        <v>563</v>
      </c>
      <c r="J280" s="78">
        <f ca="1">IF(MOD(COUNTIF($Q$11:Q279,Q279),5)=0,OFFSET(装备属性!$P$1083,1+INT(COUNTA($Q$11:Q279)/5),0),J279)</f>
        <v>8</v>
      </c>
      <c r="K280" s="83" t="str">
        <f ca="1">IF(RIGHT(G280,13)="rune_slot,1}]",_xlfn.XLOOKUP(LEFT(SUBSTITUTE(G280,"[{",""),FIND(",",SUBSTITUTE(G280,"[{",""))-1),Sheet2!B:B,Sheet2!C:C)&amp;"+"&amp;1,_xlfn.XLOOKUP(LEFT(SUBSTITUTE(G280,"[{",""),FIND(",",SUBSTITUTE(G280,"[{",""))-1),Sheet2!B:B,Sheet2!C:C)&amp;"+"&amp;SUBSTITUTE(RIGHT(G280,LEN(G280)-FIND(",",G280)),"}]","")/100&amp;"%")</f>
        <v>装备附加属性加成+50%</v>
      </c>
      <c r="L280" s="83" t="str">
        <f ca="1">IF(MOD(COUNTIF($Q$11:Q279,Q279),5)=0,OFFSET(装备属性!$G$1083,1+INT(COUNTA($Q$11:Q279)/5),0),L279)</f>
        <v>提成色</v>
      </c>
      <c r="M280" s="89" t="str">
        <f ca="1">IF(MOD(COUNTIF($Q$11:Q279,Q279),5)=0,OFFSET(装备属性!$H$1083,1+INT(COUNTA($Q$11:Q279)/5),0),M279)</f>
        <v>equip_extra_attr</v>
      </c>
      <c r="N280" s="76">
        <f ca="1">IF(MOD(COUNTIF($Q$11:Q279,Q279),5)=0,OFFSET(装备属性!$K$1083,1+INT(COUNTA($Q$11:Q279)/5),0),N279)</f>
        <v>0.5</v>
      </c>
      <c r="O280" s="76">
        <f ca="1">IF(MOD(COUNTIF($Q$11:Q279,Q279),5)=0,OFFSET(装备属性!$L$1083,1+INT(COUNTA($Q$11:Q279)/5),0),O279)</f>
        <v>0.5</v>
      </c>
      <c r="Q280" s="89" t="str">
        <f ca="1">IF(MOD(COUNTIF($Q$11:Q279,Q279),5)=0,OFFSET(装备属性!$M$1083,1+INT(COUNTA($Q$11:Q279)/5),0),Q279)</f>
        <v>稀有词条</v>
      </c>
      <c r="R280" s="83">
        <f ca="1">IF(MOD(COUNTIF($Q$11:Q279,Q279),5)=0,10000*SUBSTITUTE(SUBSTITUTE(OFFSET(装备属性!$F$1083,1+INT(COUNTA($Q$11:Q279)/5),0),"[",""),"]","")+_xlfn.XLOOKUP(C280,$M$3:$M$7,$N$3:$N$7)*100,R279)</f>
        <v>10800</v>
      </c>
    </row>
    <row r="281" customHeight="1" spans="1:18">
      <c r="A281" s="78">
        <f ca="1" t="shared" si="12"/>
        <v>10802</v>
      </c>
      <c r="B281" s="82">
        <f ca="1">IFERROR(R281+COUNTIFS($R$11:$R281,R281),"")</f>
        <v>10821</v>
      </c>
      <c r="C281" s="83" t="str">
        <f ca="1">IF(MOD(COUNTIF($Q$11:Q280,Q280),5)=0,OFFSET(装备属性!$D$1083,1+INT(COUNTA($Q$11:Q280)/5),0),C280)</f>
        <v>彩</v>
      </c>
      <c r="D281" s="82">
        <f t="shared" si="14"/>
        <v>3000</v>
      </c>
      <c r="F281" s="82">
        <f ca="1" t="shared" si="13"/>
        <v>10804</v>
      </c>
      <c r="G281" s="78" t="str">
        <f ca="1">IF(AND(LEFT("[{"&amp;M281&amp;","&amp;CEILING(N281*10000+(O281-N281)/4*(COUNTIF($F$11:F281,F281)-1)*10000,10)&amp;"}]",7)="[{equip",MID("[{"&amp;M281&amp;","&amp;CEILING(N281*10000+(O281-N281)/4*(COUNTIF($F$11:F281,F281)-1)*10000,10)&amp;"}]",8,1)&lt;&gt;"_"),"[{"&amp;M281&amp;","&amp;1&amp;"}]","[{"&amp;M281&amp;","&amp;CEILING(N281*10000+(O281-N281)/4*(COUNTIF($F$11:F281,F281)-1)*10000,10)&amp;"}]")</f>
        <v>[{arena_pve_hit_rare,900}]</v>
      </c>
      <c r="H281" s="82" t="s">
        <v>563</v>
      </c>
      <c r="J281" s="78">
        <f ca="1">IF(MOD(COUNTIF($Q$11:Q280,Q280),5)=0,OFFSET(装备属性!$P$1083,1+INT(COUNTA($Q$11:Q280)/5),0),J280)</f>
        <v>1</v>
      </c>
      <c r="K281" s="83" t="str">
        <f ca="1">IF(RIGHT(G281,13)="rune_slot,1}]",_xlfn.XLOOKUP(LEFT(SUBSTITUTE(G281,"[{",""),FIND(",",SUBSTITUTE(G281,"[{",""))-1),Sheet2!B:B,Sheet2!C:C)&amp;"+"&amp;1,_xlfn.XLOOKUP(LEFT(SUBSTITUTE(G281,"[{",""),FIND(",",SUBSTITUTE(G281,"[{",""))-1),Sheet2!B:B,Sheet2!C:C)&amp;"+"&amp;SUBSTITUTE(RIGHT(G281,LEN(G281)-FIND(",",G281)),"}]","")/100&amp;"%")</f>
        <v>荧幕争锋增伤+9%</v>
      </c>
      <c r="L281" s="83" t="str">
        <f ca="1">IF(MOD(COUNTIF($Q$11:Q280,Q280),5)=0,OFFSET(装备属性!$G$1083,1+INT(COUNTA($Q$11:Q280)/5),0),L280)</f>
        <v>关键开团Ⅴ</v>
      </c>
      <c r="M281" s="89" t="str">
        <f ca="1">IF(MOD(COUNTIF($Q$11:Q280,Q280),5)=0,OFFSET(装备属性!$H$1083,1+INT(COUNTA($Q$11:Q280)/5),0),M280)</f>
        <v>arena_pve_hit_rare</v>
      </c>
      <c r="N281" s="76">
        <f ca="1">IF(MOD(COUNTIF($Q$11:Q280,Q280),5)=0,OFFSET(装备属性!$K$1083,1+INT(COUNTA($Q$11:Q280)/5),0),N280)</f>
        <v>0.09</v>
      </c>
      <c r="O281" s="76">
        <f ca="1">IF(MOD(COUNTIF($Q$11:Q280,Q280),5)=0,OFFSET(装备属性!$L$1083,1+INT(COUNTA($Q$11:Q280)/5),0),O280)</f>
        <v>0.1</v>
      </c>
      <c r="Q281" s="89" t="str">
        <f ca="1">IF(MOD(COUNTIF($Q$11:Q280,Q280),5)=0,OFFSET(装备属性!$M$1083,1+INT(COUNTA($Q$11:Q280)/5),0),Q280)</f>
        <v>玩法类</v>
      </c>
      <c r="R281" s="83">
        <f ca="1">IF(MOD(COUNTIF($Q$11:Q280,Q280),5)=0,10000*SUBSTITUTE(SUBSTITUTE(OFFSET(装备属性!$F$1083,1+INT(COUNTA($Q$11:Q280)/5),0),"[",""),"]","")+_xlfn.XLOOKUP(C281,$M$3:$M$7,$N$3:$N$7)*100,R280)</f>
        <v>10800</v>
      </c>
    </row>
    <row r="282" customHeight="1" spans="1:18">
      <c r="A282" s="78">
        <f ca="1" t="shared" si="12"/>
        <v>10802</v>
      </c>
      <c r="B282" s="82">
        <f ca="1">IFERROR(R282+COUNTIFS($R$11:$R282,R282),"")</f>
        <v>10822</v>
      </c>
      <c r="C282" s="83" t="str">
        <f ca="1">IF(MOD(COUNTIF($Q$11:Q281,Q281),5)=0,OFFSET(装备属性!$D$1083,1+INT(COUNTA($Q$11:Q281)/5),0),C281)</f>
        <v>彩</v>
      </c>
      <c r="D282" s="82">
        <f t="shared" si="14"/>
        <v>2500</v>
      </c>
      <c r="F282" s="82">
        <f ca="1" t="shared" si="13"/>
        <v>10804</v>
      </c>
      <c r="G282" s="78" t="str">
        <f ca="1">IF(AND(LEFT("[{"&amp;M282&amp;","&amp;CEILING(N282*10000+(O282-N282)/4*(COUNTIF($F$11:F282,F282)-1)*10000,10)&amp;"}]",7)="[{equip",MID("[{"&amp;M282&amp;","&amp;CEILING(N282*10000+(O282-N282)/4*(COUNTIF($F$11:F282,F282)-1)*10000,10)&amp;"}]",8,1)&lt;&gt;"_"),"[{"&amp;M282&amp;","&amp;1&amp;"}]","[{"&amp;M282&amp;","&amp;CEILING(N282*10000+(O282-N282)/4*(COUNTIF($F$11:F282,F282)-1)*10000,10)&amp;"}]")</f>
        <v>[{arena_pve_hit_rare,930}]</v>
      </c>
      <c r="H282" s="82" t="s">
        <v>563</v>
      </c>
      <c r="J282" s="78">
        <f ca="1">IF(MOD(COUNTIF($Q$11:Q281,Q281),5)=0,OFFSET(装备属性!$P$1083,1+INT(COUNTA($Q$11:Q281)/5),0),J281)</f>
        <v>1</v>
      </c>
      <c r="K282" s="83" t="str">
        <f ca="1">IF(RIGHT(G282,13)="rune_slot,1}]",_xlfn.XLOOKUP(LEFT(SUBSTITUTE(G282,"[{",""),FIND(",",SUBSTITUTE(G282,"[{",""))-1),Sheet2!B:B,Sheet2!C:C)&amp;"+"&amp;1,_xlfn.XLOOKUP(LEFT(SUBSTITUTE(G282,"[{",""),FIND(",",SUBSTITUTE(G282,"[{",""))-1),Sheet2!B:B,Sheet2!C:C)&amp;"+"&amp;SUBSTITUTE(RIGHT(G282,LEN(G282)-FIND(",",G282)),"}]","")/100&amp;"%")</f>
        <v>荧幕争锋增伤+9.3%</v>
      </c>
      <c r="L282" s="83" t="str">
        <f ca="1">IF(MOD(COUNTIF($Q$11:Q281,Q281),5)=0,OFFSET(装备属性!$G$1083,1+INT(COUNTA($Q$11:Q281)/5),0),L281)</f>
        <v>关键开团Ⅴ</v>
      </c>
      <c r="M282" s="89" t="str">
        <f ca="1">IF(MOD(COUNTIF($Q$11:Q281,Q281),5)=0,OFFSET(装备属性!$H$1083,1+INT(COUNTA($Q$11:Q281)/5),0),M281)</f>
        <v>arena_pve_hit_rare</v>
      </c>
      <c r="N282" s="76">
        <f ca="1">IF(MOD(COUNTIF($Q$11:Q281,Q281),5)=0,OFFSET(装备属性!$K$1083,1+INT(COUNTA($Q$11:Q281)/5),0),N281)</f>
        <v>0.09</v>
      </c>
      <c r="O282" s="76">
        <f ca="1">IF(MOD(COUNTIF($Q$11:Q281,Q281),5)=0,OFFSET(装备属性!$L$1083,1+INT(COUNTA($Q$11:Q281)/5),0),O281)</f>
        <v>0.1</v>
      </c>
      <c r="Q282" s="89" t="str">
        <f ca="1">IF(MOD(COUNTIF($Q$11:Q281,Q281),5)=0,OFFSET(装备属性!$M$1083,1+INT(COUNTA($Q$11:Q281)/5),0),Q281)</f>
        <v>玩法类</v>
      </c>
      <c r="R282" s="83">
        <f ca="1">IF(MOD(COUNTIF($Q$11:Q281,Q281),5)=0,10000*SUBSTITUTE(SUBSTITUTE(OFFSET(装备属性!$F$1083,1+INT(COUNTA($Q$11:Q281)/5),0),"[",""),"]","")+_xlfn.XLOOKUP(C282,$M$3:$M$7,$N$3:$N$7)*100,R281)</f>
        <v>10800</v>
      </c>
    </row>
    <row r="283" customHeight="1" spans="1:18">
      <c r="A283" s="78">
        <f ca="1" t="shared" si="12"/>
        <v>10802</v>
      </c>
      <c r="B283" s="82">
        <f ca="1">IFERROR(R283+COUNTIFS($R$11:$R283,R283),"")</f>
        <v>10823</v>
      </c>
      <c r="C283" s="83" t="str">
        <f ca="1">IF(MOD(COUNTIF($Q$11:Q282,Q282),5)=0,OFFSET(装备属性!$D$1083,1+INT(COUNTA($Q$11:Q282)/5),0),C282)</f>
        <v>彩</v>
      </c>
      <c r="D283" s="82">
        <f t="shared" si="14"/>
        <v>2000</v>
      </c>
      <c r="F283" s="82">
        <f ca="1" t="shared" si="13"/>
        <v>10804</v>
      </c>
      <c r="G283" s="78" t="str">
        <f ca="1">IF(AND(LEFT("[{"&amp;M283&amp;","&amp;CEILING(N283*10000+(O283-N283)/4*(COUNTIF($F$11:F283,F283)-1)*10000,10)&amp;"}]",7)="[{equip",MID("[{"&amp;M283&amp;","&amp;CEILING(N283*10000+(O283-N283)/4*(COUNTIF($F$11:F283,F283)-1)*10000,10)&amp;"}]",8,1)&lt;&gt;"_"),"[{"&amp;M283&amp;","&amp;1&amp;"}]","[{"&amp;M283&amp;","&amp;CEILING(N283*10000+(O283-N283)/4*(COUNTIF($F$11:F283,F283)-1)*10000,10)&amp;"}]")</f>
        <v>[{arena_pve_hit_rare,950}]</v>
      </c>
      <c r="H283" s="82" t="s">
        <v>563</v>
      </c>
      <c r="J283" s="78">
        <f ca="1">IF(MOD(COUNTIF($Q$11:Q282,Q282),5)=0,OFFSET(装备属性!$P$1083,1+INT(COUNTA($Q$11:Q282)/5),0),J282)</f>
        <v>1</v>
      </c>
      <c r="K283" s="83" t="str">
        <f ca="1">IF(RIGHT(G283,13)="rune_slot,1}]",_xlfn.XLOOKUP(LEFT(SUBSTITUTE(G283,"[{",""),FIND(",",SUBSTITUTE(G283,"[{",""))-1),Sheet2!B:B,Sheet2!C:C)&amp;"+"&amp;1,_xlfn.XLOOKUP(LEFT(SUBSTITUTE(G283,"[{",""),FIND(",",SUBSTITUTE(G283,"[{",""))-1),Sheet2!B:B,Sheet2!C:C)&amp;"+"&amp;SUBSTITUTE(RIGHT(G283,LEN(G283)-FIND(",",G283)),"}]","")/100&amp;"%")</f>
        <v>荧幕争锋增伤+9.5%</v>
      </c>
      <c r="L283" s="83" t="str">
        <f ca="1">IF(MOD(COUNTIF($Q$11:Q282,Q282),5)=0,OFFSET(装备属性!$G$1083,1+INT(COUNTA($Q$11:Q282)/5),0),L282)</f>
        <v>关键开团Ⅴ</v>
      </c>
      <c r="M283" s="89" t="str">
        <f ca="1">IF(MOD(COUNTIF($Q$11:Q282,Q282),5)=0,OFFSET(装备属性!$H$1083,1+INT(COUNTA($Q$11:Q282)/5),0),M282)</f>
        <v>arena_pve_hit_rare</v>
      </c>
      <c r="N283" s="76">
        <f ca="1">IF(MOD(COUNTIF($Q$11:Q282,Q282),5)=0,OFFSET(装备属性!$K$1083,1+INT(COUNTA($Q$11:Q282)/5),0),N282)</f>
        <v>0.09</v>
      </c>
      <c r="O283" s="76">
        <f ca="1">IF(MOD(COUNTIF($Q$11:Q282,Q282),5)=0,OFFSET(装备属性!$L$1083,1+INT(COUNTA($Q$11:Q282)/5),0),O282)</f>
        <v>0.1</v>
      </c>
      <c r="Q283" s="89" t="str">
        <f ca="1">IF(MOD(COUNTIF($Q$11:Q282,Q282),5)=0,OFFSET(装备属性!$M$1083,1+INT(COUNTA($Q$11:Q282)/5),0),Q282)</f>
        <v>玩法类</v>
      </c>
      <c r="R283" s="83">
        <f ca="1">IF(MOD(COUNTIF($Q$11:Q282,Q282),5)=0,10000*SUBSTITUTE(SUBSTITUTE(OFFSET(装备属性!$F$1083,1+INT(COUNTA($Q$11:Q282)/5),0),"[",""),"]","")+_xlfn.XLOOKUP(C283,$M$3:$M$7,$N$3:$N$7)*100,R282)</f>
        <v>10800</v>
      </c>
    </row>
    <row r="284" customHeight="1" spans="1:18">
      <c r="A284" s="78">
        <f ca="1" t="shared" si="12"/>
        <v>10802</v>
      </c>
      <c r="B284" s="82">
        <f ca="1">IFERROR(R284+COUNTIFS($R$11:$R284,R284),"")</f>
        <v>10824</v>
      </c>
      <c r="C284" s="83" t="str">
        <f ca="1">IF(MOD(COUNTIF($Q$11:Q283,Q283),5)=0,OFFSET(装备属性!$D$1083,1+INT(COUNTA($Q$11:Q283)/5),0),C283)</f>
        <v>彩</v>
      </c>
      <c r="D284" s="82">
        <f t="shared" si="14"/>
        <v>1500</v>
      </c>
      <c r="F284" s="82">
        <f ca="1" t="shared" si="13"/>
        <v>10804</v>
      </c>
      <c r="G284" s="78" t="str">
        <f ca="1">IF(AND(LEFT("[{"&amp;M284&amp;","&amp;CEILING(N284*10000+(O284-N284)/4*(COUNTIF($F$11:F284,F284)-1)*10000,10)&amp;"}]",7)="[{equip",MID("[{"&amp;M284&amp;","&amp;CEILING(N284*10000+(O284-N284)/4*(COUNTIF($F$11:F284,F284)-1)*10000,10)&amp;"}]",8,1)&lt;&gt;"_"),"[{"&amp;M284&amp;","&amp;1&amp;"}]","[{"&amp;M284&amp;","&amp;CEILING(N284*10000+(O284-N284)/4*(COUNTIF($F$11:F284,F284)-1)*10000,10)&amp;"}]")</f>
        <v>[{arena_pve_hit_rare,980}]</v>
      </c>
      <c r="H284" s="82" t="s">
        <v>563</v>
      </c>
      <c r="J284" s="78">
        <f ca="1">IF(MOD(COUNTIF($Q$11:Q283,Q283),5)=0,OFFSET(装备属性!$P$1083,1+INT(COUNTA($Q$11:Q283)/5),0),J283)</f>
        <v>1</v>
      </c>
      <c r="K284" s="83" t="str">
        <f ca="1">IF(RIGHT(G284,13)="rune_slot,1}]",_xlfn.XLOOKUP(LEFT(SUBSTITUTE(G284,"[{",""),FIND(",",SUBSTITUTE(G284,"[{",""))-1),Sheet2!B:B,Sheet2!C:C)&amp;"+"&amp;1,_xlfn.XLOOKUP(LEFT(SUBSTITUTE(G284,"[{",""),FIND(",",SUBSTITUTE(G284,"[{",""))-1),Sheet2!B:B,Sheet2!C:C)&amp;"+"&amp;SUBSTITUTE(RIGHT(G284,LEN(G284)-FIND(",",G284)),"}]","")/100&amp;"%")</f>
        <v>荧幕争锋增伤+9.8%</v>
      </c>
      <c r="L284" s="83" t="str">
        <f ca="1">IF(MOD(COUNTIF($Q$11:Q283,Q283),5)=0,OFFSET(装备属性!$G$1083,1+INT(COUNTA($Q$11:Q283)/5),0),L283)</f>
        <v>关键开团Ⅴ</v>
      </c>
      <c r="M284" s="89" t="str">
        <f ca="1">IF(MOD(COUNTIF($Q$11:Q283,Q283),5)=0,OFFSET(装备属性!$H$1083,1+INT(COUNTA($Q$11:Q283)/5),0),M283)</f>
        <v>arena_pve_hit_rare</v>
      </c>
      <c r="N284" s="76">
        <f ca="1">IF(MOD(COUNTIF($Q$11:Q283,Q283),5)=0,OFFSET(装备属性!$K$1083,1+INT(COUNTA($Q$11:Q283)/5),0),N283)</f>
        <v>0.09</v>
      </c>
      <c r="O284" s="76">
        <f ca="1">IF(MOD(COUNTIF($Q$11:Q283,Q283),5)=0,OFFSET(装备属性!$L$1083,1+INT(COUNTA($Q$11:Q283)/5),0),O283)</f>
        <v>0.1</v>
      </c>
      <c r="Q284" s="89" t="str">
        <f ca="1">IF(MOD(COUNTIF($Q$11:Q283,Q283),5)=0,OFFSET(装备属性!$M$1083,1+INT(COUNTA($Q$11:Q283)/5),0),Q283)</f>
        <v>玩法类</v>
      </c>
      <c r="R284" s="83">
        <f ca="1">IF(MOD(COUNTIF($Q$11:Q283,Q283),5)=0,10000*SUBSTITUTE(SUBSTITUTE(OFFSET(装备属性!$F$1083,1+INT(COUNTA($Q$11:Q283)/5),0),"[",""),"]","")+_xlfn.XLOOKUP(C284,$M$3:$M$7,$N$3:$N$7)*100,R283)</f>
        <v>10800</v>
      </c>
    </row>
    <row r="285" customHeight="1" spans="1:18">
      <c r="A285" s="78">
        <f ca="1" t="shared" si="12"/>
        <v>10802</v>
      </c>
      <c r="B285" s="82">
        <f ca="1">IFERROR(R285+COUNTIFS($R$11:$R285,R285),"")</f>
        <v>10825</v>
      </c>
      <c r="C285" s="83" t="str">
        <f ca="1">IF(MOD(COUNTIF($Q$11:Q284,Q284),5)=0,OFFSET(装备属性!$D$1083,1+INT(COUNTA($Q$11:Q284)/5),0),C284)</f>
        <v>彩</v>
      </c>
      <c r="D285" s="82">
        <f t="shared" si="14"/>
        <v>1000</v>
      </c>
      <c r="F285" s="82">
        <f ca="1" t="shared" si="13"/>
        <v>10804</v>
      </c>
      <c r="G285" s="78" t="str">
        <f ca="1">IF(AND(LEFT("[{"&amp;M285&amp;","&amp;CEILING(N285*10000+(O285-N285)/4*(COUNTIF($F$11:F285,F285)-1)*10000,10)&amp;"}]",7)="[{equip",MID("[{"&amp;M285&amp;","&amp;CEILING(N285*10000+(O285-N285)/4*(COUNTIF($F$11:F285,F285)-1)*10000,10)&amp;"}]",8,1)&lt;&gt;"_"),"[{"&amp;M285&amp;","&amp;1&amp;"}]","[{"&amp;M285&amp;","&amp;CEILING(N285*10000+(O285-N285)/4*(COUNTIF($F$11:F285,F285)-1)*10000,10)&amp;"}]")</f>
        <v>[{arena_pve_hit_rare,1000}]</v>
      </c>
      <c r="H285" s="82" t="s">
        <v>563</v>
      </c>
      <c r="J285" s="78">
        <f ca="1">IF(MOD(COUNTIF($Q$11:Q284,Q284),5)=0,OFFSET(装备属性!$P$1083,1+INT(COUNTA($Q$11:Q284)/5),0),J284)</f>
        <v>1</v>
      </c>
      <c r="K285" s="83" t="str">
        <f ca="1">IF(RIGHT(G285,13)="rune_slot,1}]",_xlfn.XLOOKUP(LEFT(SUBSTITUTE(G285,"[{",""),FIND(",",SUBSTITUTE(G285,"[{",""))-1),Sheet2!B:B,Sheet2!C:C)&amp;"+"&amp;1,_xlfn.XLOOKUP(LEFT(SUBSTITUTE(G285,"[{",""),FIND(",",SUBSTITUTE(G285,"[{",""))-1),Sheet2!B:B,Sheet2!C:C)&amp;"+"&amp;SUBSTITUTE(RIGHT(G285,LEN(G285)-FIND(",",G285)),"}]","")/100&amp;"%")</f>
        <v>荧幕争锋增伤+10%</v>
      </c>
      <c r="L285" s="83" t="str">
        <f ca="1">IF(MOD(COUNTIF($Q$11:Q284,Q284),5)=0,OFFSET(装备属性!$G$1083,1+INT(COUNTA($Q$11:Q284)/5),0),L284)</f>
        <v>关键开团Ⅴ</v>
      </c>
      <c r="M285" s="89" t="str">
        <f ca="1">IF(MOD(COUNTIF($Q$11:Q284,Q284),5)=0,OFFSET(装备属性!$H$1083,1+INT(COUNTA($Q$11:Q284)/5),0),M284)</f>
        <v>arena_pve_hit_rare</v>
      </c>
      <c r="N285" s="76">
        <f ca="1">IF(MOD(COUNTIF($Q$11:Q284,Q284),5)=0,OFFSET(装备属性!$K$1083,1+INT(COUNTA($Q$11:Q284)/5),0),N284)</f>
        <v>0.09</v>
      </c>
      <c r="O285" s="76">
        <f ca="1">IF(MOD(COUNTIF($Q$11:Q284,Q284),5)=0,OFFSET(装备属性!$L$1083,1+INT(COUNTA($Q$11:Q284)/5),0),O284)</f>
        <v>0.1</v>
      </c>
      <c r="Q285" s="89" t="str">
        <f ca="1">IF(MOD(COUNTIF($Q$11:Q284,Q284),5)=0,OFFSET(装备属性!$M$1083,1+INT(COUNTA($Q$11:Q284)/5),0),Q284)</f>
        <v>玩法类</v>
      </c>
      <c r="R285" s="83">
        <f ca="1">IF(MOD(COUNTIF($Q$11:Q284,Q284),5)=0,10000*SUBSTITUTE(SUBSTITUTE(OFFSET(装备属性!$F$1083,1+INT(COUNTA($Q$11:Q284)/5),0),"[",""),"]","")+_xlfn.XLOOKUP(C285,$M$3:$M$7,$N$3:$N$7)*100,R284)</f>
        <v>10800</v>
      </c>
    </row>
    <row r="286" customHeight="1" spans="1:18">
      <c r="A286" s="78">
        <f ca="1" t="shared" si="12"/>
        <v>10801</v>
      </c>
      <c r="B286" s="82">
        <f ca="1">IFERROR(R286+COUNTIFS($R$11:$R286,R286),"")</f>
        <v>10826</v>
      </c>
      <c r="C286" s="83" t="str">
        <f ca="1">IF(MOD(COUNTIF($Q$11:Q285,Q285),5)=0,OFFSET(装备属性!$D$1083,1+INT(COUNTA($Q$11:Q285)/5),0),C285)</f>
        <v>彩</v>
      </c>
      <c r="D286" s="82">
        <f t="shared" si="14"/>
        <v>3000</v>
      </c>
      <c r="F286" s="82">
        <f ca="1" t="shared" si="13"/>
        <v>10805</v>
      </c>
      <c r="G286" s="78" t="str">
        <f ca="1">IF(AND(LEFT("[{"&amp;M286&amp;","&amp;CEILING(N286*10000+(O286-N286)/4*(COUNTIF($F$11:F286,F286)-1)*10000,10)&amp;"}]",7)="[{equip",MID("[{"&amp;M286&amp;","&amp;CEILING(N286*10000+(O286-N286)/4*(COUNTIF($F$11:F286,F286)-1)*10000,10)&amp;"}]",8,1)&lt;&gt;"_"),"[{"&amp;M286&amp;","&amp;1&amp;"}]","[{"&amp;M286&amp;","&amp;CEILING(N286*10000+(O286-N286)/4*(COUNTIF($F$11:F286,F286)-1)*10000,10)&amp;"}]")</f>
        <v>[{warrior_dmg_red_rate,350}]</v>
      </c>
      <c r="H286" s="82" t="s">
        <v>563</v>
      </c>
      <c r="J286" s="78">
        <f ca="1">IF(MOD(COUNTIF($Q$11:Q285,Q285),5)=0,OFFSET(装备属性!$P$1083,1+INT(COUNTA($Q$11:Q285)/5),0),J285)</f>
        <v>6</v>
      </c>
      <c r="K286" s="83" t="str">
        <f ca="1">IF(RIGHT(G286,13)="rune_slot,1}]",_xlfn.XLOOKUP(LEFT(SUBSTITUTE(G286,"[{",""),FIND(",",SUBSTITUTE(G286,"[{",""))-1),Sheet2!B:B,Sheet2!C:C)&amp;"+"&amp;1,_xlfn.XLOOKUP(LEFT(SUBSTITUTE(G286,"[{",""),FIND(",",SUBSTITUTE(G286,"[{",""))-1),Sheet2!B:B,Sheet2!C:C)&amp;"+"&amp;SUBSTITUTE(RIGHT(G286,LEN(G286)-FIND(",",G286)),"}]","")/100&amp;"%")</f>
        <v>战士伤害减免+3.5%</v>
      </c>
      <c r="L286" s="83" t="str">
        <f ca="1">IF(MOD(COUNTIF($Q$11:Q285,Q285),5)=0,OFFSET(装备属性!$G$1083,1+INT(COUNTA($Q$11:Q285)/5),0),L285)</f>
        <v>猛男耐打Ⅴ</v>
      </c>
      <c r="M286" s="89" t="str">
        <f ca="1">IF(MOD(COUNTIF($Q$11:Q285,Q285),5)=0,OFFSET(装备属性!$H$1083,1+INT(COUNTA($Q$11:Q285)/5),0),M285)</f>
        <v>warrior_dmg_red_rate</v>
      </c>
      <c r="N286" s="76">
        <f ca="1">IF(MOD(COUNTIF($Q$11:Q285,Q285),5)=0,OFFSET(装备属性!$K$1083,1+INT(COUNTA($Q$11:Q285)/5),0),N285)</f>
        <v>0.035</v>
      </c>
      <c r="O286" s="76">
        <f ca="1">IF(MOD(COUNTIF($Q$11:Q285,Q285),5)=0,OFFSET(装备属性!$L$1083,1+INT(COUNTA($Q$11:Q285)/5),0),O285)</f>
        <v>0.039</v>
      </c>
      <c r="Q286" s="89" t="str">
        <f ca="1">IF(MOD(COUNTIF($Q$11:Q285,Q285),5)=0,OFFSET(装备属性!$M$1083,1+INT(COUNTA($Q$11:Q285)/5),0),Q285)</f>
        <v>通用属性</v>
      </c>
      <c r="R286" s="83">
        <f ca="1">IF(MOD(COUNTIF($Q$11:Q285,Q285),5)=0,10000*SUBSTITUTE(SUBSTITUTE(OFFSET(装备属性!$F$1083,1+INT(COUNTA($Q$11:Q285)/5),0),"[",""),"]","")+_xlfn.XLOOKUP(C286,$M$3:$M$7,$N$3:$N$7)*100,R285)</f>
        <v>10800</v>
      </c>
    </row>
    <row r="287" customHeight="1" spans="1:18">
      <c r="A287" s="78">
        <f ca="1" t="shared" si="12"/>
        <v>10801</v>
      </c>
      <c r="B287" s="82">
        <f ca="1">IFERROR(R287+COUNTIFS($R$11:$R287,R287),"")</f>
        <v>10827</v>
      </c>
      <c r="C287" s="83" t="str">
        <f ca="1">IF(MOD(COUNTIF($Q$11:Q286,Q286),5)=0,OFFSET(装备属性!$D$1083,1+INT(COUNTA($Q$11:Q286)/5),0),C286)</f>
        <v>彩</v>
      </c>
      <c r="D287" s="82">
        <f t="shared" si="14"/>
        <v>2500</v>
      </c>
      <c r="F287" s="82">
        <f ca="1" t="shared" si="13"/>
        <v>10805</v>
      </c>
      <c r="G287" s="78" t="str">
        <f ca="1">IF(AND(LEFT("[{"&amp;M287&amp;","&amp;CEILING(N287*10000+(O287-N287)/4*(COUNTIF($F$11:F287,F287)-1)*10000,10)&amp;"}]",7)="[{equip",MID("[{"&amp;M287&amp;","&amp;CEILING(N287*10000+(O287-N287)/4*(COUNTIF($F$11:F287,F287)-1)*10000,10)&amp;"}]",8,1)&lt;&gt;"_"),"[{"&amp;M287&amp;","&amp;1&amp;"}]","[{"&amp;M287&amp;","&amp;CEILING(N287*10000+(O287-N287)/4*(COUNTIF($F$11:F287,F287)-1)*10000,10)&amp;"}]")</f>
        <v>[{warrior_dmg_red_rate,360}]</v>
      </c>
      <c r="H287" s="82" t="s">
        <v>563</v>
      </c>
      <c r="J287" s="78">
        <f ca="1">IF(MOD(COUNTIF($Q$11:Q286,Q286),5)=0,OFFSET(装备属性!$P$1083,1+INT(COUNTA($Q$11:Q286)/5),0),J286)</f>
        <v>6</v>
      </c>
      <c r="K287" s="83" t="str">
        <f ca="1">IF(RIGHT(G287,13)="rune_slot,1}]",_xlfn.XLOOKUP(LEFT(SUBSTITUTE(G287,"[{",""),FIND(",",SUBSTITUTE(G287,"[{",""))-1),Sheet2!B:B,Sheet2!C:C)&amp;"+"&amp;1,_xlfn.XLOOKUP(LEFT(SUBSTITUTE(G287,"[{",""),FIND(",",SUBSTITUTE(G287,"[{",""))-1),Sheet2!B:B,Sheet2!C:C)&amp;"+"&amp;SUBSTITUTE(RIGHT(G287,LEN(G287)-FIND(",",G287)),"}]","")/100&amp;"%")</f>
        <v>战士伤害减免+3.6%</v>
      </c>
      <c r="L287" s="83" t="str">
        <f ca="1">IF(MOD(COUNTIF($Q$11:Q286,Q286),5)=0,OFFSET(装备属性!$G$1083,1+INT(COUNTA($Q$11:Q286)/5),0),L286)</f>
        <v>猛男耐打Ⅴ</v>
      </c>
      <c r="M287" s="89" t="str">
        <f ca="1">IF(MOD(COUNTIF($Q$11:Q286,Q286),5)=0,OFFSET(装备属性!$H$1083,1+INT(COUNTA($Q$11:Q286)/5),0),M286)</f>
        <v>warrior_dmg_red_rate</v>
      </c>
      <c r="N287" s="76">
        <f ca="1">IF(MOD(COUNTIF($Q$11:Q286,Q286),5)=0,OFFSET(装备属性!$K$1083,1+INT(COUNTA($Q$11:Q286)/5),0),N286)</f>
        <v>0.035</v>
      </c>
      <c r="O287" s="76">
        <f ca="1">IF(MOD(COUNTIF($Q$11:Q286,Q286),5)=0,OFFSET(装备属性!$L$1083,1+INT(COUNTA($Q$11:Q286)/5),0),O286)</f>
        <v>0.039</v>
      </c>
      <c r="Q287" s="89" t="str">
        <f ca="1">IF(MOD(COUNTIF($Q$11:Q286,Q286),5)=0,OFFSET(装备属性!$M$1083,1+INT(COUNTA($Q$11:Q286)/5),0),Q286)</f>
        <v>通用属性</v>
      </c>
      <c r="R287" s="83">
        <f ca="1">IF(MOD(COUNTIF($Q$11:Q286,Q286),5)=0,10000*SUBSTITUTE(SUBSTITUTE(OFFSET(装备属性!$F$1083,1+INT(COUNTA($Q$11:Q286)/5),0),"[",""),"]","")+_xlfn.XLOOKUP(C287,$M$3:$M$7,$N$3:$N$7)*100,R286)</f>
        <v>10800</v>
      </c>
    </row>
    <row r="288" customHeight="1" spans="1:18">
      <c r="A288" s="78">
        <f ca="1" t="shared" si="12"/>
        <v>10801</v>
      </c>
      <c r="B288" s="82">
        <f ca="1">IFERROR(R288+COUNTIFS($R$11:$R288,R288),"")</f>
        <v>10828</v>
      </c>
      <c r="C288" s="83" t="str">
        <f ca="1">IF(MOD(COUNTIF($Q$11:Q287,Q287),5)=0,OFFSET(装备属性!$D$1083,1+INT(COUNTA($Q$11:Q287)/5),0),C287)</f>
        <v>彩</v>
      </c>
      <c r="D288" s="82">
        <f t="shared" si="14"/>
        <v>2000</v>
      </c>
      <c r="F288" s="82">
        <f ca="1" t="shared" si="13"/>
        <v>10805</v>
      </c>
      <c r="G288" s="78" t="str">
        <f ca="1">IF(AND(LEFT("[{"&amp;M288&amp;","&amp;CEILING(N288*10000+(O288-N288)/4*(COUNTIF($F$11:F288,F288)-1)*10000,10)&amp;"}]",7)="[{equip",MID("[{"&amp;M288&amp;","&amp;CEILING(N288*10000+(O288-N288)/4*(COUNTIF($F$11:F288,F288)-1)*10000,10)&amp;"}]",8,1)&lt;&gt;"_"),"[{"&amp;M288&amp;","&amp;1&amp;"}]","[{"&amp;M288&amp;","&amp;CEILING(N288*10000+(O288-N288)/4*(COUNTIF($F$11:F288,F288)-1)*10000,10)&amp;"}]")</f>
        <v>[{warrior_dmg_red_rate,370}]</v>
      </c>
      <c r="H288" s="82" t="s">
        <v>563</v>
      </c>
      <c r="J288" s="78">
        <f ca="1">IF(MOD(COUNTIF($Q$11:Q287,Q287),5)=0,OFFSET(装备属性!$P$1083,1+INT(COUNTA($Q$11:Q287)/5),0),J287)</f>
        <v>6</v>
      </c>
      <c r="K288" s="83" t="str">
        <f ca="1">IF(RIGHT(G288,13)="rune_slot,1}]",_xlfn.XLOOKUP(LEFT(SUBSTITUTE(G288,"[{",""),FIND(",",SUBSTITUTE(G288,"[{",""))-1),Sheet2!B:B,Sheet2!C:C)&amp;"+"&amp;1,_xlfn.XLOOKUP(LEFT(SUBSTITUTE(G288,"[{",""),FIND(",",SUBSTITUTE(G288,"[{",""))-1),Sheet2!B:B,Sheet2!C:C)&amp;"+"&amp;SUBSTITUTE(RIGHT(G288,LEN(G288)-FIND(",",G288)),"}]","")/100&amp;"%")</f>
        <v>战士伤害减免+3.7%</v>
      </c>
      <c r="L288" s="83" t="str">
        <f ca="1">IF(MOD(COUNTIF($Q$11:Q287,Q287),5)=0,OFFSET(装备属性!$G$1083,1+INT(COUNTA($Q$11:Q287)/5),0),L287)</f>
        <v>猛男耐打Ⅴ</v>
      </c>
      <c r="M288" s="89" t="str">
        <f ca="1">IF(MOD(COUNTIF($Q$11:Q287,Q287),5)=0,OFFSET(装备属性!$H$1083,1+INT(COUNTA($Q$11:Q287)/5),0),M287)</f>
        <v>warrior_dmg_red_rate</v>
      </c>
      <c r="N288" s="76">
        <f ca="1">IF(MOD(COUNTIF($Q$11:Q287,Q287),5)=0,OFFSET(装备属性!$K$1083,1+INT(COUNTA($Q$11:Q287)/5),0),N287)</f>
        <v>0.035</v>
      </c>
      <c r="O288" s="76">
        <f ca="1">IF(MOD(COUNTIF($Q$11:Q287,Q287),5)=0,OFFSET(装备属性!$L$1083,1+INT(COUNTA($Q$11:Q287)/5),0),O287)</f>
        <v>0.039</v>
      </c>
      <c r="Q288" s="89" t="str">
        <f ca="1">IF(MOD(COUNTIF($Q$11:Q287,Q287),5)=0,OFFSET(装备属性!$M$1083,1+INT(COUNTA($Q$11:Q287)/5),0),Q287)</f>
        <v>通用属性</v>
      </c>
      <c r="R288" s="83">
        <f ca="1">IF(MOD(COUNTIF($Q$11:Q287,Q287),5)=0,10000*SUBSTITUTE(SUBSTITUTE(OFFSET(装备属性!$F$1083,1+INT(COUNTA($Q$11:Q287)/5),0),"[",""),"]","")+_xlfn.XLOOKUP(C288,$M$3:$M$7,$N$3:$N$7)*100,R287)</f>
        <v>10800</v>
      </c>
    </row>
    <row r="289" customHeight="1" spans="1:18">
      <c r="A289" s="78">
        <f ca="1" t="shared" si="12"/>
        <v>10801</v>
      </c>
      <c r="B289" s="82">
        <f ca="1">IFERROR(R289+COUNTIFS($R$11:$R289,R289),"")</f>
        <v>10829</v>
      </c>
      <c r="C289" s="83" t="str">
        <f ca="1">IF(MOD(COUNTIF($Q$11:Q288,Q288),5)=0,OFFSET(装备属性!$D$1083,1+INT(COUNTA($Q$11:Q288)/5),0),C288)</f>
        <v>彩</v>
      </c>
      <c r="D289" s="82">
        <f t="shared" si="14"/>
        <v>1500</v>
      </c>
      <c r="F289" s="82">
        <f ca="1" t="shared" si="13"/>
        <v>10805</v>
      </c>
      <c r="G289" s="78" t="str">
        <f ca="1">IF(AND(LEFT("[{"&amp;M289&amp;","&amp;CEILING(N289*10000+(O289-N289)/4*(COUNTIF($F$11:F289,F289)-1)*10000,10)&amp;"}]",7)="[{equip",MID("[{"&amp;M289&amp;","&amp;CEILING(N289*10000+(O289-N289)/4*(COUNTIF($F$11:F289,F289)-1)*10000,10)&amp;"}]",8,1)&lt;&gt;"_"),"[{"&amp;M289&amp;","&amp;1&amp;"}]","[{"&amp;M289&amp;","&amp;CEILING(N289*10000+(O289-N289)/4*(COUNTIF($F$11:F289,F289)-1)*10000,10)&amp;"}]")</f>
        <v>[{warrior_dmg_red_rate,380}]</v>
      </c>
      <c r="H289" s="82" t="s">
        <v>563</v>
      </c>
      <c r="J289" s="78">
        <f ca="1">IF(MOD(COUNTIF($Q$11:Q288,Q288),5)=0,OFFSET(装备属性!$P$1083,1+INT(COUNTA($Q$11:Q288)/5),0),J288)</f>
        <v>6</v>
      </c>
      <c r="K289" s="83" t="str">
        <f ca="1">IF(RIGHT(G289,13)="rune_slot,1}]",_xlfn.XLOOKUP(LEFT(SUBSTITUTE(G289,"[{",""),FIND(",",SUBSTITUTE(G289,"[{",""))-1),Sheet2!B:B,Sheet2!C:C)&amp;"+"&amp;1,_xlfn.XLOOKUP(LEFT(SUBSTITUTE(G289,"[{",""),FIND(",",SUBSTITUTE(G289,"[{",""))-1),Sheet2!B:B,Sheet2!C:C)&amp;"+"&amp;SUBSTITUTE(RIGHT(G289,LEN(G289)-FIND(",",G289)),"}]","")/100&amp;"%")</f>
        <v>战士伤害减免+3.8%</v>
      </c>
      <c r="L289" s="83" t="str">
        <f ca="1">IF(MOD(COUNTIF($Q$11:Q288,Q288),5)=0,OFFSET(装备属性!$G$1083,1+INT(COUNTA($Q$11:Q288)/5),0),L288)</f>
        <v>猛男耐打Ⅴ</v>
      </c>
      <c r="M289" s="89" t="str">
        <f ca="1">IF(MOD(COUNTIF($Q$11:Q288,Q288),5)=0,OFFSET(装备属性!$H$1083,1+INT(COUNTA($Q$11:Q288)/5),0),M288)</f>
        <v>warrior_dmg_red_rate</v>
      </c>
      <c r="N289" s="76">
        <f ca="1">IF(MOD(COUNTIF($Q$11:Q288,Q288),5)=0,OFFSET(装备属性!$K$1083,1+INT(COUNTA($Q$11:Q288)/5),0),N288)</f>
        <v>0.035</v>
      </c>
      <c r="O289" s="76">
        <f ca="1">IF(MOD(COUNTIF($Q$11:Q288,Q288),5)=0,OFFSET(装备属性!$L$1083,1+INT(COUNTA($Q$11:Q288)/5),0),O288)</f>
        <v>0.039</v>
      </c>
      <c r="Q289" s="89" t="str">
        <f ca="1">IF(MOD(COUNTIF($Q$11:Q288,Q288),5)=0,OFFSET(装备属性!$M$1083,1+INT(COUNTA($Q$11:Q288)/5),0),Q288)</f>
        <v>通用属性</v>
      </c>
      <c r="R289" s="83">
        <f ca="1">IF(MOD(COUNTIF($Q$11:Q288,Q288),5)=0,10000*SUBSTITUTE(SUBSTITUTE(OFFSET(装备属性!$F$1083,1+INT(COUNTA($Q$11:Q288)/5),0),"[",""),"]","")+_xlfn.XLOOKUP(C289,$M$3:$M$7,$N$3:$N$7)*100,R288)</f>
        <v>10800</v>
      </c>
    </row>
    <row r="290" customHeight="1" spans="1:18">
      <c r="A290" s="78">
        <f ca="1" t="shared" si="12"/>
        <v>10801</v>
      </c>
      <c r="B290" s="82">
        <f ca="1">IFERROR(R290+COUNTIFS($R$11:$R290,R290),"")</f>
        <v>10830</v>
      </c>
      <c r="C290" s="83" t="str">
        <f ca="1">IF(MOD(COUNTIF($Q$11:Q289,Q289),5)=0,OFFSET(装备属性!$D$1083,1+INT(COUNTA($Q$11:Q289)/5),0),C289)</f>
        <v>彩</v>
      </c>
      <c r="D290" s="82">
        <f t="shared" si="14"/>
        <v>1000</v>
      </c>
      <c r="F290" s="82">
        <f ca="1" t="shared" si="13"/>
        <v>10805</v>
      </c>
      <c r="G290" s="78" t="str">
        <f ca="1">IF(AND(LEFT("[{"&amp;M290&amp;","&amp;CEILING(N290*10000+(O290-N290)/4*(COUNTIF($F$11:F290,F290)-1)*10000,10)&amp;"}]",7)="[{equip",MID("[{"&amp;M290&amp;","&amp;CEILING(N290*10000+(O290-N290)/4*(COUNTIF($F$11:F290,F290)-1)*10000,10)&amp;"}]",8,1)&lt;&gt;"_"),"[{"&amp;M290&amp;","&amp;1&amp;"}]","[{"&amp;M290&amp;","&amp;CEILING(N290*10000+(O290-N290)/4*(COUNTIF($F$11:F290,F290)-1)*10000,10)&amp;"}]")</f>
        <v>[{warrior_dmg_red_rate,390}]</v>
      </c>
      <c r="H290" s="82" t="s">
        <v>563</v>
      </c>
      <c r="J290" s="78">
        <f ca="1">IF(MOD(COUNTIF($Q$11:Q289,Q289),5)=0,OFFSET(装备属性!$P$1083,1+INT(COUNTA($Q$11:Q289)/5),0),J289)</f>
        <v>6</v>
      </c>
      <c r="K290" s="83" t="str">
        <f ca="1">IF(RIGHT(G290,13)="rune_slot,1}]",_xlfn.XLOOKUP(LEFT(SUBSTITUTE(G290,"[{",""),FIND(",",SUBSTITUTE(G290,"[{",""))-1),Sheet2!B:B,Sheet2!C:C)&amp;"+"&amp;1,_xlfn.XLOOKUP(LEFT(SUBSTITUTE(G290,"[{",""),FIND(",",SUBSTITUTE(G290,"[{",""))-1),Sheet2!B:B,Sheet2!C:C)&amp;"+"&amp;SUBSTITUTE(RIGHT(G290,LEN(G290)-FIND(",",G290)),"}]","")/100&amp;"%")</f>
        <v>战士伤害减免+3.9%</v>
      </c>
      <c r="L290" s="83" t="str">
        <f ca="1">IF(MOD(COUNTIF($Q$11:Q289,Q289),5)=0,OFFSET(装备属性!$G$1083,1+INT(COUNTA($Q$11:Q289)/5),0),L289)</f>
        <v>猛男耐打Ⅴ</v>
      </c>
      <c r="M290" s="89" t="str">
        <f ca="1">IF(MOD(COUNTIF($Q$11:Q289,Q289),5)=0,OFFSET(装备属性!$H$1083,1+INT(COUNTA($Q$11:Q289)/5),0),M289)</f>
        <v>warrior_dmg_red_rate</v>
      </c>
      <c r="N290" s="76">
        <f ca="1">IF(MOD(COUNTIF($Q$11:Q289,Q289),5)=0,OFFSET(装备属性!$K$1083,1+INT(COUNTA($Q$11:Q289)/5),0),N289)</f>
        <v>0.035</v>
      </c>
      <c r="O290" s="76">
        <f ca="1">IF(MOD(COUNTIF($Q$11:Q289,Q289),5)=0,OFFSET(装备属性!$L$1083,1+INT(COUNTA($Q$11:Q289)/5),0),O289)</f>
        <v>0.039</v>
      </c>
      <c r="Q290" s="89" t="str">
        <f ca="1">IF(MOD(COUNTIF($Q$11:Q289,Q289),5)=0,OFFSET(装备属性!$M$1083,1+INT(COUNTA($Q$11:Q289)/5),0),Q289)</f>
        <v>通用属性</v>
      </c>
      <c r="R290" s="83">
        <f ca="1">IF(MOD(COUNTIF($Q$11:Q289,Q289),5)=0,10000*SUBSTITUTE(SUBSTITUTE(OFFSET(装备属性!$F$1083,1+INT(COUNTA($Q$11:Q289)/5),0),"[",""),"]","")+_xlfn.XLOOKUP(C290,$M$3:$M$7,$N$3:$N$7)*100,R289)</f>
        <v>10800</v>
      </c>
    </row>
    <row r="291" customHeight="1" spans="1:18">
      <c r="A291" s="78">
        <f ca="1" t="shared" si="12"/>
        <v>10801</v>
      </c>
      <c r="B291" s="82">
        <f ca="1">IFERROR(R291+COUNTIFS($R$11:$R291,R291),"")</f>
        <v>10831</v>
      </c>
      <c r="C291" s="83" t="str">
        <f ca="1">IF(MOD(COUNTIF($Q$11:Q290,Q290),5)=0,OFFSET(装备属性!$D$1083,1+INT(COUNTA($Q$11:Q290)/5),0),C290)</f>
        <v>彩</v>
      </c>
      <c r="D291" s="82">
        <f t="shared" si="14"/>
        <v>3000</v>
      </c>
      <c r="F291" s="82">
        <f ca="1" t="shared" si="13"/>
        <v>10806</v>
      </c>
      <c r="G291" s="78" t="str">
        <f ca="1">IF(AND(LEFT("[{"&amp;M291&amp;","&amp;CEILING(N291*10000+(O291-N291)/4*(COUNTIF($F$11:F291,F291)-1)*10000,10)&amp;"}]",7)="[{equip",MID("[{"&amp;M291&amp;","&amp;CEILING(N291*10000+(O291-N291)/4*(COUNTIF($F$11:F291,F291)-1)*10000,10)&amp;"}]",8,1)&lt;&gt;"_"),"[{"&amp;M291&amp;","&amp;1&amp;"}]","[{"&amp;M291&amp;","&amp;CEILING(N291*10000+(O291-N291)/4*(COUNTIF($F$11:F291,F291)-1)*10000,10)&amp;"}]")</f>
        <v>[{warrior_dmg_rate,900}]</v>
      </c>
      <c r="H291" s="82" t="s">
        <v>563</v>
      </c>
      <c r="J291" s="78">
        <f ca="1">IF(MOD(COUNTIF($Q$11:Q290,Q290),5)=0,OFFSET(装备属性!$P$1083,1+INT(COUNTA($Q$11:Q290)/5),0),J290)</f>
        <v>5</v>
      </c>
      <c r="K291" s="83" t="str">
        <f ca="1">IF(RIGHT(G291,13)="rune_slot,1}]",_xlfn.XLOOKUP(LEFT(SUBSTITUTE(G291,"[{",""),FIND(",",SUBSTITUTE(G291,"[{",""))-1),Sheet2!B:B,Sheet2!C:C)&amp;"+"&amp;1,_xlfn.XLOOKUP(LEFT(SUBSTITUTE(G291,"[{",""),FIND(",",SUBSTITUTE(G291,"[{",""))-1),Sheet2!B:B,Sheet2!C:C)&amp;"+"&amp;SUBSTITUTE(RIGHT(G291,LEN(G291)-FIND(",",G291)),"}]","")/100&amp;"%")</f>
        <v>战士伤害+9%</v>
      </c>
      <c r="L291" s="83" t="str">
        <f ca="1">IF(MOD(COUNTIF($Q$11:Q290,Q290),5)=0,OFFSET(装备属性!$G$1083,1+INT(COUNTA($Q$11:Q290)/5),0),L290)</f>
        <v>猛男加劲Ⅴ</v>
      </c>
      <c r="M291" s="89" t="str">
        <f ca="1">IF(MOD(COUNTIF($Q$11:Q290,Q290),5)=0,OFFSET(装备属性!$H$1083,1+INT(COUNTA($Q$11:Q290)/5),0),M290)</f>
        <v>warrior_dmg_rate</v>
      </c>
      <c r="N291" s="76">
        <f ca="1">IF(MOD(COUNTIF($Q$11:Q290,Q290),5)=0,OFFSET(装备属性!$K$1083,1+INT(COUNTA($Q$11:Q290)/5),0),N290)</f>
        <v>0.09</v>
      </c>
      <c r="O291" s="76">
        <f ca="1">IF(MOD(COUNTIF($Q$11:Q290,Q290),5)=0,OFFSET(装备属性!$L$1083,1+INT(COUNTA($Q$11:Q290)/5),0),O290)</f>
        <v>0.1</v>
      </c>
      <c r="Q291" s="89" t="str">
        <f ca="1">IF(MOD(COUNTIF($Q$11:Q290,Q290),5)=0,OFFSET(装备属性!$M$1083,1+INT(COUNTA($Q$11:Q290)/5),0),Q290)</f>
        <v>通用属性</v>
      </c>
      <c r="R291" s="83">
        <f ca="1">IF(MOD(COUNTIF($Q$11:Q290,Q290),5)=0,10000*SUBSTITUTE(SUBSTITUTE(OFFSET(装备属性!$F$1083,1+INT(COUNTA($Q$11:Q290)/5),0),"[",""),"]","")+_xlfn.XLOOKUP(C291,$M$3:$M$7,$N$3:$N$7)*100,R290)</f>
        <v>10800</v>
      </c>
    </row>
    <row r="292" customHeight="1" spans="1:18">
      <c r="A292" s="78">
        <f ca="1" t="shared" si="12"/>
        <v>10801</v>
      </c>
      <c r="B292" s="82">
        <f ca="1">IFERROR(R292+COUNTIFS($R$11:$R292,R292),"")</f>
        <v>10832</v>
      </c>
      <c r="C292" s="83" t="str">
        <f ca="1">IF(MOD(COUNTIF($Q$11:Q291,Q291),5)=0,OFFSET(装备属性!$D$1083,1+INT(COUNTA($Q$11:Q291)/5),0),C291)</f>
        <v>彩</v>
      </c>
      <c r="D292" s="82">
        <f t="shared" si="14"/>
        <v>2500</v>
      </c>
      <c r="F292" s="82">
        <f ca="1" t="shared" si="13"/>
        <v>10806</v>
      </c>
      <c r="G292" s="78" t="str">
        <f ca="1">IF(AND(LEFT("[{"&amp;M292&amp;","&amp;CEILING(N292*10000+(O292-N292)/4*(COUNTIF($F$11:F292,F292)-1)*10000,10)&amp;"}]",7)="[{equip",MID("[{"&amp;M292&amp;","&amp;CEILING(N292*10000+(O292-N292)/4*(COUNTIF($F$11:F292,F292)-1)*10000,10)&amp;"}]",8,1)&lt;&gt;"_"),"[{"&amp;M292&amp;","&amp;1&amp;"}]","[{"&amp;M292&amp;","&amp;CEILING(N292*10000+(O292-N292)/4*(COUNTIF($F$11:F292,F292)-1)*10000,10)&amp;"}]")</f>
        <v>[{warrior_dmg_rate,930}]</v>
      </c>
      <c r="H292" s="82" t="s">
        <v>563</v>
      </c>
      <c r="J292" s="78">
        <f ca="1">IF(MOD(COUNTIF($Q$11:Q291,Q291),5)=0,OFFSET(装备属性!$P$1083,1+INT(COUNTA($Q$11:Q291)/5),0),J291)</f>
        <v>5</v>
      </c>
      <c r="K292" s="83" t="str">
        <f ca="1">IF(RIGHT(G292,13)="rune_slot,1}]",_xlfn.XLOOKUP(LEFT(SUBSTITUTE(G292,"[{",""),FIND(",",SUBSTITUTE(G292,"[{",""))-1),Sheet2!B:B,Sheet2!C:C)&amp;"+"&amp;1,_xlfn.XLOOKUP(LEFT(SUBSTITUTE(G292,"[{",""),FIND(",",SUBSTITUTE(G292,"[{",""))-1),Sheet2!B:B,Sheet2!C:C)&amp;"+"&amp;SUBSTITUTE(RIGHT(G292,LEN(G292)-FIND(",",G292)),"}]","")/100&amp;"%")</f>
        <v>战士伤害+9.3%</v>
      </c>
      <c r="L292" s="83" t="str">
        <f ca="1">IF(MOD(COUNTIF($Q$11:Q291,Q291),5)=0,OFFSET(装备属性!$G$1083,1+INT(COUNTA($Q$11:Q291)/5),0),L291)</f>
        <v>猛男加劲Ⅴ</v>
      </c>
      <c r="M292" s="89" t="str">
        <f ca="1">IF(MOD(COUNTIF($Q$11:Q291,Q291),5)=0,OFFSET(装备属性!$H$1083,1+INT(COUNTA($Q$11:Q291)/5),0),M291)</f>
        <v>warrior_dmg_rate</v>
      </c>
      <c r="N292" s="76">
        <f ca="1">IF(MOD(COUNTIF($Q$11:Q291,Q291),5)=0,OFFSET(装备属性!$K$1083,1+INT(COUNTA($Q$11:Q291)/5),0),N291)</f>
        <v>0.09</v>
      </c>
      <c r="O292" s="76">
        <f ca="1">IF(MOD(COUNTIF($Q$11:Q291,Q291),5)=0,OFFSET(装备属性!$L$1083,1+INT(COUNTA($Q$11:Q291)/5),0),O291)</f>
        <v>0.1</v>
      </c>
      <c r="Q292" s="89" t="str">
        <f ca="1">IF(MOD(COUNTIF($Q$11:Q291,Q291),5)=0,OFFSET(装备属性!$M$1083,1+INT(COUNTA($Q$11:Q291)/5),0),Q291)</f>
        <v>通用属性</v>
      </c>
      <c r="R292" s="83">
        <f ca="1">IF(MOD(COUNTIF($Q$11:Q291,Q291),5)=0,10000*SUBSTITUTE(SUBSTITUTE(OFFSET(装备属性!$F$1083,1+INT(COUNTA($Q$11:Q291)/5),0),"[",""),"]","")+_xlfn.XLOOKUP(C292,$M$3:$M$7,$N$3:$N$7)*100,R291)</f>
        <v>10800</v>
      </c>
    </row>
    <row r="293" customHeight="1" spans="1:18">
      <c r="A293" s="78">
        <f ca="1" t="shared" si="12"/>
        <v>10801</v>
      </c>
      <c r="B293" s="82">
        <f ca="1">IFERROR(R293+COUNTIFS($R$11:$R293,R293),"")</f>
        <v>10833</v>
      </c>
      <c r="C293" s="83" t="str">
        <f ca="1">IF(MOD(COUNTIF($Q$11:Q292,Q292),5)=0,OFFSET(装备属性!$D$1083,1+INT(COUNTA($Q$11:Q292)/5),0),C292)</f>
        <v>彩</v>
      </c>
      <c r="D293" s="82">
        <f t="shared" si="14"/>
        <v>2000</v>
      </c>
      <c r="F293" s="82">
        <f ca="1" t="shared" si="13"/>
        <v>10806</v>
      </c>
      <c r="G293" s="78" t="str">
        <f ca="1">IF(AND(LEFT("[{"&amp;M293&amp;","&amp;CEILING(N293*10000+(O293-N293)/4*(COUNTIF($F$11:F293,F293)-1)*10000,10)&amp;"}]",7)="[{equip",MID("[{"&amp;M293&amp;","&amp;CEILING(N293*10000+(O293-N293)/4*(COUNTIF($F$11:F293,F293)-1)*10000,10)&amp;"}]",8,1)&lt;&gt;"_"),"[{"&amp;M293&amp;","&amp;1&amp;"}]","[{"&amp;M293&amp;","&amp;CEILING(N293*10000+(O293-N293)/4*(COUNTIF($F$11:F293,F293)-1)*10000,10)&amp;"}]")</f>
        <v>[{warrior_dmg_rate,950}]</v>
      </c>
      <c r="H293" s="82" t="s">
        <v>563</v>
      </c>
      <c r="J293" s="78">
        <f ca="1">IF(MOD(COUNTIF($Q$11:Q292,Q292),5)=0,OFFSET(装备属性!$P$1083,1+INT(COUNTA($Q$11:Q292)/5),0),J292)</f>
        <v>5</v>
      </c>
      <c r="K293" s="83" t="str">
        <f ca="1">IF(RIGHT(G293,13)="rune_slot,1}]",_xlfn.XLOOKUP(LEFT(SUBSTITUTE(G293,"[{",""),FIND(",",SUBSTITUTE(G293,"[{",""))-1),Sheet2!B:B,Sheet2!C:C)&amp;"+"&amp;1,_xlfn.XLOOKUP(LEFT(SUBSTITUTE(G293,"[{",""),FIND(",",SUBSTITUTE(G293,"[{",""))-1),Sheet2!B:B,Sheet2!C:C)&amp;"+"&amp;SUBSTITUTE(RIGHT(G293,LEN(G293)-FIND(",",G293)),"}]","")/100&amp;"%")</f>
        <v>战士伤害+9.5%</v>
      </c>
      <c r="L293" s="83" t="str">
        <f ca="1">IF(MOD(COUNTIF($Q$11:Q292,Q292),5)=0,OFFSET(装备属性!$G$1083,1+INT(COUNTA($Q$11:Q292)/5),0),L292)</f>
        <v>猛男加劲Ⅴ</v>
      </c>
      <c r="M293" s="89" t="str">
        <f ca="1">IF(MOD(COUNTIF($Q$11:Q292,Q292),5)=0,OFFSET(装备属性!$H$1083,1+INT(COUNTA($Q$11:Q292)/5),0),M292)</f>
        <v>warrior_dmg_rate</v>
      </c>
      <c r="N293" s="76">
        <f ca="1">IF(MOD(COUNTIF($Q$11:Q292,Q292),5)=0,OFFSET(装备属性!$K$1083,1+INT(COUNTA($Q$11:Q292)/5),0),N292)</f>
        <v>0.09</v>
      </c>
      <c r="O293" s="76">
        <f ca="1">IF(MOD(COUNTIF($Q$11:Q292,Q292),5)=0,OFFSET(装备属性!$L$1083,1+INT(COUNTA($Q$11:Q292)/5),0),O292)</f>
        <v>0.1</v>
      </c>
      <c r="Q293" s="89" t="str">
        <f ca="1">IF(MOD(COUNTIF($Q$11:Q292,Q292),5)=0,OFFSET(装备属性!$M$1083,1+INT(COUNTA($Q$11:Q292)/5),0),Q292)</f>
        <v>通用属性</v>
      </c>
      <c r="R293" s="83">
        <f ca="1">IF(MOD(COUNTIF($Q$11:Q292,Q292),5)=0,10000*SUBSTITUTE(SUBSTITUTE(OFFSET(装备属性!$F$1083,1+INT(COUNTA($Q$11:Q292)/5),0),"[",""),"]","")+_xlfn.XLOOKUP(C293,$M$3:$M$7,$N$3:$N$7)*100,R292)</f>
        <v>10800</v>
      </c>
    </row>
    <row r="294" customHeight="1" spans="1:18">
      <c r="A294" s="78">
        <f ca="1" t="shared" si="12"/>
        <v>10801</v>
      </c>
      <c r="B294" s="82">
        <f ca="1">IFERROR(R294+COUNTIFS($R$11:$R294,R294),"")</f>
        <v>10834</v>
      </c>
      <c r="C294" s="83" t="str">
        <f ca="1">IF(MOD(COUNTIF($Q$11:Q293,Q293),5)=0,OFFSET(装备属性!$D$1083,1+INT(COUNTA($Q$11:Q293)/5),0),C293)</f>
        <v>彩</v>
      </c>
      <c r="D294" s="82">
        <f t="shared" si="14"/>
        <v>1500</v>
      </c>
      <c r="F294" s="82">
        <f ca="1" t="shared" si="13"/>
        <v>10806</v>
      </c>
      <c r="G294" s="78" t="str">
        <f ca="1">IF(AND(LEFT("[{"&amp;M294&amp;","&amp;CEILING(N294*10000+(O294-N294)/4*(COUNTIF($F$11:F294,F294)-1)*10000,10)&amp;"}]",7)="[{equip",MID("[{"&amp;M294&amp;","&amp;CEILING(N294*10000+(O294-N294)/4*(COUNTIF($F$11:F294,F294)-1)*10000,10)&amp;"}]",8,1)&lt;&gt;"_"),"[{"&amp;M294&amp;","&amp;1&amp;"}]","[{"&amp;M294&amp;","&amp;CEILING(N294*10000+(O294-N294)/4*(COUNTIF($F$11:F294,F294)-1)*10000,10)&amp;"}]")</f>
        <v>[{warrior_dmg_rate,980}]</v>
      </c>
      <c r="H294" s="82" t="s">
        <v>563</v>
      </c>
      <c r="J294" s="78">
        <f ca="1">IF(MOD(COUNTIF($Q$11:Q293,Q293),5)=0,OFFSET(装备属性!$P$1083,1+INT(COUNTA($Q$11:Q293)/5),0),J293)</f>
        <v>5</v>
      </c>
      <c r="K294" s="83" t="str">
        <f ca="1">IF(RIGHT(G294,13)="rune_slot,1}]",_xlfn.XLOOKUP(LEFT(SUBSTITUTE(G294,"[{",""),FIND(",",SUBSTITUTE(G294,"[{",""))-1),Sheet2!B:B,Sheet2!C:C)&amp;"+"&amp;1,_xlfn.XLOOKUP(LEFT(SUBSTITUTE(G294,"[{",""),FIND(",",SUBSTITUTE(G294,"[{",""))-1),Sheet2!B:B,Sheet2!C:C)&amp;"+"&amp;SUBSTITUTE(RIGHT(G294,LEN(G294)-FIND(",",G294)),"}]","")/100&amp;"%")</f>
        <v>战士伤害+9.8%</v>
      </c>
      <c r="L294" s="83" t="str">
        <f ca="1">IF(MOD(COUNTIF($Q$11:Q293,Q293),5)=0,OFFSET(装备属性!$G$1083,1+INT(COUNTA($Q$11:Q293)/5),0),L293)</f>
        <v>猛男加劲Ⅴ</v>
      </c>
      <c r="M294" s="89" t="str">
        <f ca="1">IF(MOD(COUNTIF($Q$11:Q293,Q293),5)=0,OFFSET(装备属性!$H$1083,1+INT(COUNTA($Q$11:Q293)/5),0),M293)</f>
        <v>warrior_dmg_rate</v>
      </c>
      <c r="N294" s="76">
        <f ca="1">IF(MOD(COUNTIF($Q$11:Q293,Q293),5)=0,OFFSET(装备属性!$K$1083,1+INT(COUNTA($Q$11:Q293)/5),0),N293)</f>
        <v>0.09</v>
      </c>
      <c r="O294" s="76">
        <f ca="1">IF(MOD(COUNTIF($Q$11:Q293,Q293),5)=0,OFFSET(装备属性!$L$1083,1+INT(COUNTA($Q$11:Q293)/5),0),O293)</f>
        <v>0.1</v>
      </c>
      <c r="Q294" s="89" t="str">
        <f ca="1">IF(MOD(COUNTIF($Q$11:Q293,Q293),5)=0,OFFSET(装备属性!$M$1083,1+INT(COUNTA($Q$11:Q293)/5),0),Q293)</f>
        <v>通用属性</v>
      </c>
      <c r="R294" s="83">
        <f ca="1">IF(MOD(COUNTIF($Q$11:Q293,Q293),5)=0,10000*SUBSTITUTE(SUBSTITUTE(OFFSET(装备属性!$F$1083,1+INT(COUNTA($Q$11:Q293)/5),0),"[",""),"]","")+_xlfn.XLOOKUP(C294,$M$3:$M$7,$N$3:$N$7)*100,R293)</f>
        <v>10800</v>
      </c>
    </row>
    <row r="295" customHeight="1" spans="1:18">
      <c r="A295" s="78">
        <f ca="1" t="shared" si="12"/>
        <v>10801</v>
      </c>
      <c r="B295" s="82">
        <f ca="1">IFERROR(R295+COUNTIFS($R$11:$R295,R295),"")</f>
        <v>10835</v>
      </c>
      <c r="C295" s="83" t="str">
        <f ca="1">IF(MOD(COUNTIF($Q$11:Q294,Q294),5)=0,OFFSET(装备属性!$D$1083,1+INT(COUNTA($Q$11:Q294)/5),0),C294)</f>
        <v>彩</v>
      </c>
      <c r="D295" s="82">
        <f t="shared" si="14"/>
        <v>1000</v>
      </c>
      <c r="F295" s="82">
        <f ca="1" t="shared" si="13"/>
        <v>10806</v>
      </c>
      <c r="G295" s="78" t="str">
        <f ca="1">IF(AND(LEFT("[{"&amp;M295&amp;","&amp;CEILING(N295*10000+(O295-N295)/4*(COUNTIF($F$11:F295,F295)-1)*10000,10)&amp;"}]",7)="[{equip",MID("[{"&amp;M295&amp;","&amp;CEILING(N295*10000+(O295-N295)/4*(COUNTIF($F$11:F295,F295)-1)*10000,10)&amp;"}]",8,1)&lt;&gt;"_"),"[{"&amp;M295&amp;","&amp;1&amp;"}]","[{"&amp;M295&amp;","&amp;CEILING(N295*10000+(O295-N295)/4*(COUNTIF($F$11:F295,F295)-1)*10000,10)&amp;"}]")</f>
        <v>[{warrior_dmg_rate,1000}]</v>
      </c>
      <c r="H295" s="82" t="s">
        <v>563</v>
      </c>
      <c r="J295" s="78">
        <f ca="1">IF(MOD(COUNTIF($Q$11:Q294,Q294),5)=0,OFFSET(装备属性!$P$1083,1+INT(COUNTA($Q$11:Q294)/5),0),J294)</f>
        <v>5</v>
      </c>
      <c r="K295" s="83" t="str">
        <f ca="1">IF(RIGHT(G295,13)="rune_slot,1}]",_xlfn.XLOOKUP(LEFT(SUBSTITUTE(G295,"[{",""),FIND(",",SUBSTITUTE(G295,"[{",""))-1),Sheet2!B:B,Sheet2!C:C)&amp;"+"&amp;1,_xlfn.XLOOKUP(LEFT(SUBSTITUTE(G295,"[{",""),FIND(",",SUBSTITUTE(G295,"[{",""))-1),Sheet2!B:B,Sheet2!C:C)&amp;"+"&amp;SUBSTITUTE(RIGHT(G295,LEN(G295)-FIND(",",G295)),"}]","")/100&amp;"%")</f>
        <v>战士伤害+10%</v>
      </c>
      <c r="L295" s="83" t="str">
        <f ca="1">IF(MOD(COUNTIF($Q$11:Q294,Q294),5)=0,OFFSET(装备属性!$G$1083,1+INT(COUNTA($Q$11:Q294)/5),0),L294)</f>
        <v>猛男加劲Ⅴ</v>
      </c>
      <c r="M295" s="89" t="str">
        <f ca="1">IF(MOD(COUNTIF($Q$11:Q294,Q294),5)=0,OFFSET(装备属性!$H$1083,1+INT(COUNTA($Q$11:Q294)/5),0),M294)</f>
        <v>warrior_dmg_rate</v>
      </c>
      <c r="N295" s="76">
        <f ca="1">IF(MOD(COUNTIF($Q$11:Q294,Q294),5)=0,OFFSET(装备属性!$K$1083,1+INT(COUNTA($Q$11:Q294)/5),0),N294)</f>
        <v>0.09</v>
      </c>
      <c r="O295" s="76">
        <f ca="1">IF(MOD(COUNTIF($Q$11:Q294,Q294),5)=0,OFFSET(装备属性!$L$1083,1+INT(COUNTA($Q$11:Q294)/5),0),O294)</f>
        <v>0.1</v>
      </c>
      <c r="Q295" s="89" t="str">
        <f ca="1">IF(MOD(COUNTIF($Q$11:Q294,Q294),5)=0,OFFSET(装备属性!$M$1083,1+INT(COUNTA($Q$11:Q294)/5),0),Q294)</f>
        <v>通用属性</v>
      </c>
      <c r="R295" s="83">
        <f ca="1">IF(MOD(COUNTIF($Q$11:Q294,Q294),5)=0,10000*SUBSTITUTE(SUBSTITUTE(OFFSET(装备属性!$F$1083,1+INT(COUNTA($Q$11:Q294)/5),0),"[",""),"]","")+_xlfn.XLOOKUP(C295,$M$3:$M$7,$N$3:$N$7)*100,R294)</f>
        <v>10800</v>
      </c>
    </row>
    <row r="296" customHeight="1" spans="1:18">
      <c r="A296" s="78">
        <f ca="1" t="shared" si="12"/>
        <v>10801</v>
      </c>
      <c r="B296" s="82">
        <f ca="1">IFERROR(R296+COUNTIFS($R$11:$R296,R296),"")</f>
        <v>10836</v>
      </c>
      <c r="C296" s="83" t="str">
        <f ca="1">IF(MOD(COUNTIF($Q$11:Q295,Q295),5)=0,OFFSET(装备属性!$D$1083,1+INT(COUNTA($Q$11:Q295)/5),0),C295)</f>
        <v>彩</v>
      </c>
      <c r="D296" s="82">
        <f t="shared" si="14"/>
        <v>3000</v>
      </c>
      <c r="F296" s="82">
        <f ca="1" t="shared" si="13"/>
        <v>10807</v>
      </c>
      <c r="G296" s="78" t="str">
        <f ca="1">IF(AND(LEFT("[{"&amp;M296&amp;","&amp;CEILING(N296*10000+(O296-N296)/4*(COUNTIF($F$11:F296,F296)-1)*10000,10)&amp;"}]",7)="[{equip",MID("[{"&amp;M296&amp;","&amp;CEILING(N296*10000+(O296-N296)/4*(COUNTIF($F$11:F296,F296)-1)*10000,10)&amp;"}]",8,1)&lt;&gt;"_"),"[{"&amp;M296&amp;","&amp;1&amp;"}]","[{"&amp;M296&amp;","&amp;CEILING(N296*10000+(O296-N296)/4*(COUNTIF($F$11:F296,F296)-1)*10000,10)&amp;"}]")</f>
        <v>[{warrior_class_dmg_rate,1300}]</v>
      </c>
      <c r="H296" s="82" t="s">
        <v>563</v>
      </c>
      <c r="J296" s="78">
        <f ca="1">IF(MOD(COUNTIF($Q$11:Q295,Q295),5)=0,OFFSET(装备属性!$P$1083,1+INT(COUNTA($Q$11:Q295)/5),0),J295)</f>
        <v>3</v>
      </c>
      <c r="K296" s="83" t="str">
        <f ca="1">IF(RIGHT(G296,13)="rune_slot,1}]",_xlfn.XLOOKUP(LEFT(SUBSTITUTE(G296,"[{",""),FIND(",",SUBSTITUTE(G296,"[{",""))-1),Sheet2!B:B,Sheet2!C:C)&amp;"+"&amp;1,_xlfn.XLOOKUP(LEFT(SUBSTITUTE(G296,"[{",""),FIND(",",SUBSTITUTE(G296,"[{",""))-1),Sheet2!B:B,Sheet2!C:C)&amp;"+"&amp;SUBSTITUTE(RIGHT(G296,LEN(G296)-FIND(",",G296)),"}]","")/100&amp;"%")</f>
        <v>上阵两个战士职业增伤+13%</v>
      </c>
      <c r="L296" s="83" t="str">
        <f ca="1">IF(MOD(COUNTIF($Q$11:Q295,Q295),5)=0,OFFSET(装备属性!$G$1083,1+INT(COUNTA($Q$11:Q295)/5),0),L295)</f>
        <v>猛男小队Ⅴ</v>
      </c>
      <c r="M296" s="89" t="str">
        <f ca="1">IF(MOD(COUNTIF($Q$11:Q295,Q295),5)=0,OFFSET(装备属性!$H$1083,1+INT(COUNTA($Q$11:Q295)/5),0),M295)</f>
        <v>warrior_class_dmg_rate</v>
      </c>
      <c r="N296" s="76">
        <f ca="1">IF(MOD(COUNTIF($Q$11:Q295,Q295),5)=0,OFFSET(装备属性!$K$1083,1+INT(COUNTA($Q$11:Q295)/5),0),N295)</f>
        <v>0.13</v>
      </c>
      <c r="O296" s="76">
        <f ca="1">IF(MOD(COUNTIF($Q$11:Q295,Q295),5)=0,OFFSET(装备属性!$L$1083,1+INT(COUNTA($Q$11:Q295)/5),0),O295)</f>
        <v>0.15</v>
      </c>
      <c r="Q296" s="89" t="str">
        <f ca="1">IF(MOD(COUNTIF($Q$11:Q295,Q295),5)=0,OFFSET(装备属性!$M$1083,1+INT(COUNTA($Q$11:Q295)/5),0),Q295)</f>
        <v>通用属性</v>
      </c>
      <c r="R296" s="83">
        <f ca="1">IF(MOD(COUNTIF($Q$11:Q295,Q295),5)=0,10000*SUBSTITUTE(SUBSTITUTE(OFFSET(装备属性!$F$1083,1+INT(COUNTA($Q$11:Q295)/5),0),"[",""),"]","")+_xlfn.XLOOKUP(C296,$M$3:$M$7,$N$3:$N$7)*100,R295)</f>
        <v>10800</v>
      </c>
    </row>
    <row r="297" customHeight="1" spans="1:18">
      <c r="A297" s="78">
        <f ca="1" t="shared" si="12"/>
        <v>10801</v>
      </c>
      <c r="B297" s="82">
        <f ca="1">IFERROR(R297+COUNTIFS($R$11:$R297,R297),"")</f>
        <v>10837</v>
      </c>
      <c r="C297" s="83" t="str">
        <f ca="1">IF(MOD(COUNTIF($Q$11:Q296,Q296),5)=0,OFFSET(装备属性!$D$1083,1+INT(COUNTA($Q$11:Q296)/5),0),C296)</f>
        <v>彩</v>
      </c>
      <c r="D297" s="82">
        <f t="shared" si="14"/>
        <v>2500</v>
      </c>
      <c r="F297" s="82">
        <f ca="1" t="shared" si="13"/>
        <v>10807</v>
      </c>
      <c r="G297" s="78" t="str">
        <f ca="1">IF(AND(LEFT("[{"&amp;M297&amp;","&amp;CEILING(N297*10000+(O297-N297)/4*(COUNTIF($F$11:F297,F297)-1)*10000,10)&amp;"}]",7)="[{equip",MID("[{"&amp;M297&amp;","&amp;CEILING(N297*10000+(O297-N297)/4*(COUNTIF($F$11:F297,F297)-1)*10000,10)&amp;"}]",8,1)&lt;&gt;"_"),"[{"&amp;M297&amp;","&amp;1&amp;"}]","[{"&amp;M297&amp;","&amp;CEILING(N297*10000+(O297-N297)/4*(COUNTIF($F$11:F297,F297)-1)*10000,10)&amp;"}]")</f>
        <v>[{warrior_class_dmg_rate,1350}]</v>
      </c>
      <c r="H297" s="82" t="s">
        <v>563</v>
      </c>
      <c r="J297" s="78">
        <f ca="1">IF(MOD(COUNTIF($Q$11:Q296,Q296),5)=0,OFFSET(装备属性!$P$1083,1+INT(COUNTA($Q$11:Q296)/5),0),J296)</f>
        <v>3</v>
      </c>
      <c r="K297" s="83" t="str">
        <f ca="1">IF(RIGHT(G297,13)="rune_slot,1}]",_xlfn.XLOOKUP(LEFT(SUBSTITUTE(G297,"[{",""),FIND(",",SUBSTITUTE(G297,"[{",""))-1),Sheet2!B:B,Sheet2!C:C)&amp;"+"&amp;1,_xlfn.XLOOKUP(LEFT(SUBSTITUTE(G297,"[{",""),FIND(",",SUBSTITUTE(G297,"[{",""))-1),Sheet2!B:B,Sheet2!C:C)&amp;"+"&amp;SUBSTITUTE(RIGHT(G297,LEN(G297)-FIND(",",G297)),"}]","")/100&amp;"%")</f>
        <v>上阵两个战士职业增伤+13.5%</v>
      </c>
      <c r="L297" s="83" t="str">
        <f ca="1">IF(MOD(COUNTIF($Q$11:Q296,Q296),5)=0,OFFSET(装备属性!$G$1083,1+INT(COUNTA($Q$11:Q296)/5),0),L296)</f>
        <v>猛男小队Ⅴ</v>
      </c>
      <c r="M297" s="89" t="str">
        <f ca="1">IF(MOD(COUNTIF($Q$11:Q296,Q296),5)=0,OFFSET(装备属性!$H$1083,1+INT(COUNTA($Q$11:Q296)/5),0),M296)</f>
        <v>warrior_class_dmg_rate</v>
      </c>
      <c r="N297" s="76">
        <f ca="1">IF(MOD(COUNTIF($Q$11:Q296,Q296),5)=0,OFFSET(装备属性!$K$1083,1+INT(COUNTA($Q$11:Q296)/5),0),N296)</f>
        <v>0.13</v>
      </c>
      <c r="O297" s="76">
        <f ca="1">IF(MOD(COUNTIF($Q$11:Q296,Q296),5)=0,OFFSET(装备属性!$L$1083,1+INT(COUNTA($Q$11:Q296)/5),0),O296)</f>
        <v>0.15</v>
      </c>
      <c r="Q297" s="89" t="str">
        <f ca="1">IF(MOD(COUNTIF($Q$11:Q296,Q296),5)=0,OFFSET(装备属性!$M$1083,1+INT(COUNTA($Q$11:Q296)/5),0),Q296)</f>
        <v>通用属性</v>
      </c>
      <c r="R297" s="83">
        <f ca="1">IF(MOD(COUNTIF($Q$11:Q296,Q296),5)=0,10000*SUBSTITUTE(SUBSTITUTE(OFFSET(装备属性!$F$1083,1+INT(COUNTA($Q$11:Q296)/5),0),"[",""),"]","")+_xlfn.XLOOKUP(C297,$M$3:$M$7,$N$3:$N$7)*100,R296)</f>
        <v>10800</v>
      </c>
    </row>
    <row r="298" customHeight="1" spans="1:18">
      <c r="A298" s="78">
        <f ca="1" t="shared" si="12"/>
        <v>10801</v>
      </c>
      <c r="B298" s="82">
        <f ca="1">IFERROR(R298+COUNTIFS($R$11:$R298,R298),"")</f>
        <v>10838</v>
      </c>
      <c r="C298" s="83" t="str">
        <f ca="1">IF(MOD(COUNTIF($Q$11:Q297,Q297),5)=0,OFFSET(装备属性!$D$1083,1+INT(COUNTA($Q$11:Q297)/5),0),C297)</f>
        <v>彩</v>
      </c>
      <c r="D298" s="82">
        <f t="shared" si="14"/>
        <v>2000</v>
      </c>
      <c r="F298" s="82">
        <f ca="1" t="shared" si="13"/>
        <v>10807</v>
      </c>
      <c r="G298" s="78" t="str">
        <f ca="1">IF(AND(LEFT("[{"&amp;M298&amp;","&amp;CEILING(N298*10000+(O298-N298)/4*(COUNTIF($F$11:F298,F298)-1)*10000,10)&amp;"}]",7)="[{equip",MID("[{"&amp;M298&amp;","&amp;CEILING(N298*10000+(O298-N298)/4*(COUNTIF($F$11:F298,F298)-1)*10000,10)&amp;"}]",8,1)&lt;&gt;"_"),"[{"&amp;M298&amp;","&amp;1&amp;"}]","[{"&amp;M298&amp;","&amp;CEILING(N298*10000+(O298-N298)/4*(COUNTIF($F$11:F298,F298)-1)*10000,10)&amp;"}]")</f>
        <v>[{warrior_class_dmg_rate,1400}]</v>
      </c>
      <c r="H298" s="82" t="s">
        <v>563</v>
      </c>
      <c r="J298" s="78">
        <f ca="1">IF(MOD(COUNTIF($Q$11:Q297,Q297),5)=0,OFFSET(装备属性!$P$1083,1+INT(COUNTA($Q$11:Q297)/5),0),J297)</f>
        <v>3</v>
      </c>
      <c r="K298" s="83" t="str">
        <f ca="1">IF(RIGHT(G298,13)="rune_slot,1}]",_xlfn.XLOOKUP(LEFT(SUBSTITUTE(G298,"[{",""),FIND(",",SUBSTITUTE(G298,"[{",""))-1),Sheet2!B:B,Sheet2!C:C)&amp;"+"&amp;1,_xlfn.XLOOKUP(LEFT(SUBSTITUTE(G298,"[{",""),FIND(",",SUBSTITUTE(G298,"[{",""))-1),Sheet2!B:B,Sheet2!C:C)&amp;"+"&amp;SUBSTITUTE(RIGHT(G298,LEN(G298)-FIND(",",G298)),"}]","")/100&amp;"%")</f>
        <v>上阵两个战士职业增伤+14%</v>
      </c>
      <c r="L298" s="83" t="str">
        <f ca="1">IF(MOD(COUNTIF($Q$11:Q297,Q297),5)=0,OFFSET(装备属性!$G$1083,1+INT(COUNTA($Q$11:Q297)/5),0),L297)</f>
        <v>猛男小队Ⅴ</v>
      </c>
      <c r="M298" s="89" t="str">
        <f ca="1">IF(MOD(COUNTIF($Q$11:Q297,Q297),5)=0,OFFSET(装备属性!$H$1083,1+INT(COUNTA($Q$11:Q297)/5),0),M297)</f>
        <v>warrior_class_dmg_rate</v>
      </c>
      <c r="N298" s="76">
        <f ca="1">IF(MOD(COUNTIF($Q$11:Q297,Q297),5)=0,OFFSET(装备属性!$K$1083,1+INT(COUNTA($Q$11:Q297)/5),0),N297)</f>
        <v>0.13</v>
      </c>
      <c r="O298" s="76">
        <f ca="1">IF(MOD(COUNTIF($Q$11:Q297,Q297),5)=0,OFFSET(装备属性!$L$1083,1+INT(COUNTA($Q$11:Q297)/5),0),O297)</f>
        <v>0.15</v>
      </c>
      <c r="Q298" s="89" t="str">
        <f ca="1">IF(MOD(COUNTIF($Q$11:Q297,Q297),5)=0,OFFSET(装备属性!$M$1083,1+INT(COUNTA($Q$11:Q297)/5),0),Q297)</f>
        <v>通用属性</v>
      </c>
      <c r="R298" s="83">
        <f ca="1">IF(MOD(COUNTIF($Q$11:Q297,Q297),5)=0,10000*SUBSTITUTE(SUBSTITUTE(OFFSET(装备属性!$F$1083,1+INT(COUNTA($Q$11:Q297)/5),0),"[",""),"]","")+_xlfn.XLOOKUP(C298,$M$3:$M$7,$N$3:$N$7)*100,R297)</f>
        <v>10800</v>
      </c>
    </row>
    <row r="299" customHeight="1" spans="1:18">
      <c r="A299" s="78">
        <f ca="1" t="shared" si="12"/>
        <v>10801</v>
      </c>
      <c r="B299" s="82">
        <f ca="1">IFERROR(R299+COUNTIFS($R$11:$R299,R299),"")</f>
        <v>10839</v>
      </c>
      <c r="C299" s="83" t="str">
        <f ca="1">IF(MOD(COUNTIF($Q$11:Q298,Q298),5)=0,OFFSET(装备属性!$D$1083,1+INT(COUNTA($Q$11:Q298)/5),0),C298)</f>
        <v>彩</v>
      </c>
      <c r="D299" s="82">
        <f t="shared" si="14"/>
        <v>1500</v>
      </c>
      <c r="F299" s="82">
        <f ca="1" t="shared" si="13"/>
        <v>10807</v>
      </c>
      <c r="G299" s="78" t="str">
        <f ca="1">IF(AND(LEFT("[{"&amp;M299&amp;","&amp;CEILING(N299*10000+(O299-N299)/4*(COUNTIF($F$11:F299,F299)-1)*10000,10)&amp;"}]",7)="[{equip",MID("[{"&amp;M299&amp;","&amp;CEILING(N299*10000+(O299-N299)/4*(COUNTIF($F$11:F299,F299)-1)*10000,10)&amp;"}]",8,1)&lt;&gt;"_"),"[{"&amp;M299&amp;","&amp;1&amp;"}]","[{"&amp;M299&amp;","&amp;CEILING(N299*10000+(O299-N299)/4*(COUNTIF($F$11:F299,F299)-1)*10000,10)&amp;"}]")</f>
        <v>[{warrior_class_dmg_rate,1450}]</v>
      </c>
      <c r="H299" s="82" t="s">
        <v>563</v>
      </c>
      <c r="J299" s="78">
        <f ca="1">IF(MOD(COUNTIF($Q$11:Q298,Q298),5)=0,OFFSET(装备属性!$P$1083,1+INT(COUNTA($Q$11:Q298)/5),0),J298)</f>
        <v>3</v>
      </c>
      <c r="K299" s="83" t="str">
        <f ca="1">IF(RIGHT(G299,13)="rune_slot,1}]",_xlfn.XLOOKUP(LEFT(SUBSTITUTE(G299,"[{",""),FIND(",",SUBSTITUTE(G299,"[{",""))-1),Sheet2!B:B,Sheet2!C:C)&amp;"+"&amp;1,_xlfn.XLOOKUP(LEFT(SUBSTITUTE(G299,"[{",""),FIND(",",SUBSTITUTE(G299,"[{",""))-1),Sheet2!B:B,Sheet2!C:C)&amp;"+"&amp;SUBSTITUTE(RIGHT(G299,LEN(G299)-FIND(",",G299)),"}]","")/100&amp;"%")</f>
        <v>上阵两个战士职业增伤+14.5%</v>
      </c>
      <c r="L299" s="83" t="str">
        <f ca="1">IF(MOD(COUNTIF($Q$11:Q298,Q298),5)=0,OFFSET(装备属性!$G$1083,1+INT(COUNTA($Q$11:Q298)/5),0),L298)</f>
        <v>猛男小队Ⅴ</v>
      </c>
      <c r="M299" s="89" t="str">
        <f ca="1">IF(MOD(COUNTIF($Q$11:Q298,Q298),5)=0,OFFSET(装备属性!$H$1083,1+INT(COUNTA($Q$11:Q298)/5),0),M298)</f>
        <v>warrior_class_dmg_rate</v>
      </c>
      <c r="N299" s="76">
        <f ca="1">IF(MOD(COUNTIF($Q$11:Q298,Q298),5)=0,OFFSET(装备属性!$K$1083,1+INT(COUNTA($Q$11:Q298)/5),0),N298)</f>
        <v>0.13</v>
      </c>
      <c r="O299" s="76">
        <f ca="1">IF(MOD(COUNTIF($Q$11:Q298,Q298),5)=0,OFFSET(装备属性!$L$1083,1+INT(COUNTA($Q$11:Q298)/5),0),O298)</f>
        <v>0.15</v>
      </c>
      <c r="Q299" s="89" t="str">
        <f ca="1">IF(MOD(COUNTIF($Q$11:Q298,Q298),5)=0,OFFSET(装备属性!$M$1083,1+INT(COUNTA($Q$11:Q298)/5),0),Q298)</f>
        <v>通用属性</v>
      </c>
      <c r="R299" s="83">
        <f ca="1">IF(MOD(COUNTIF($Q$11:Q298,Q298),5)=0,10000*SUBSTITUTE(SUBSTITUTE(OFFSET(装备属性!$F$1083,1+INT(COUNTA($Q$11:Q298)/5),0),"[",""),"]","")+_xlfn.XLOOKUP(C299,$M$3:$M$7,$N$3:$N$7)*100,R298)</f>
        <v>10800</v>
      </c>
    </row>
    <row r="300" customHeight="1" spans="1:18">
      <c r="A300" s="78">
        <f ca="1" t="shared" si="12"/>
        <v>10801</v>
      </c>
      <c r="B300" s="82">
        <f ca="1">IFERROR(R300+COUNTIFS($R$11:$R300,R300),"")</f>
        <v>10840</v>
      </c>
      <c r="C300" s="83" t="str">
        <f ca="1">IF(MOD(COUNTIF($Q$11:Q299,Q299),5)=0,OFFSET(装备属性!$D$1083,1+INT(COUNTA($Q$11:Q299)/5),0),C299)</f>
        <v>彩</v>
      </c>
      <c r="D300" s="82">
        <f t="shared" si="14"/>
        <v>1000</v>
      </c>
      <c r="F300" s="82">
        <f ca="1" t="shared" si="13"/>
        <v>10807</v>
      </c>
      <c r="G300" s="78" t="str">
        <f ca="1">IF(AND(LEFT("[{"&amp;M300&amp;","&amp;CEILING(N300*10000+(O300-N300)/4*(COUNTIF($F$11:F300,F300)-1)*10000,10)&amp;"}]",7)="[{equip",MID("[{"&amp;M300&amp;","&amp;CEILING(N300*10000+(O300-N300)/4*(COUNTIF($F$11:F300,F300)-1)*10000,10)&amp;"}]",8,1)&lt;&gt;"_"),"[{"&amp;M300&amp;","&amp;1&amp;"}]","[{"&amp;M300&amp;","&amp;CEILING(N300*10000+(O300-N300)/4*(COUNTIF($F$11:F300,F300)-1)*10000,10)&amp;"}]")</f>
        <v>[{warrior_class_dmg_rate,1500}]</v>
      </c>
      <c r="H300" s="82" t="s">
        <v>563</v>
      </c>
      <c r="J300" s="78">
        <f ca="1">IF(MOD(COUNTIF($Q$11:Q299,Q299),5)=0,OFFSET(装备属性!$P$1083,1+INT(COUNTA($Q$11:Q299)/5),0),J299)</f>
        <v>3</v>
      </c>
      <c r="K300" s="83" t="str">
        <f ca="1">IF(RIGHT(G300,13)="rune_slot,1}]",_xlfn.XLOOKUP(LEFT(SUBSTITUTE(G300,"[{",""),FIND(",",SUBSTITUTE(G300,"[{",""))-1),Sheet2!B:B,Sheet2!C:C)&amp;"+"&amp;1,_xlfn.XLOOKUP(LEFT(SUBSTITUTE(G300,"[{",""),FIND(",",SUBSTITUTE(G300,"[{",""))-1),Sheet2!B:B,Sheet2!C:C)&amp;"+"&amp;SUBSTITUTE(RIGHT(G300,LEN(G300)-FIND(",",G300)),"}]","")/100&amp;"%")</f>
        <v>上阵两个战士职业增伤+15%</v>
      </c>
      <c r="L300" s="83" t="str">
        <f ca="1">IF(MOD(COUNTIF($Q$11:Q299,Q299),5)=0,OFFSET(装备属性!$G$1083,1+INT(COUNTA($Q$11:Q299)/5),0),L299)</f>
        <v>猛男小队Ⅴ</v>
      </c>
      <c r="M300" s="89" t="str">
        <f ca="1">IF(MOD(COUNTIF($Q$11:Q299,Q299),5)=0,OFFSET(装备属性!$H$1083,1+INT(COUNTA($Q$11:Q299)/5),0),M299)</f>
        <v>warrior_class_dmg_rate</v>
      </c>
      <c r="N300" s="76">
        <f ca="1">IF(MOD(COUNTIF($Q$11:Q299,Q299),5)=0,OFFSET(装备属性!$K$1083,1+INT(COUNTA($Q$11:Q299)/5),0),N299)</f>
        <v>0.13</v>
      </c>
      <c r="O300" s="76">
        <f ca="1">IF(MOD(COUNTIF($Q$11:Q299,Q299),5)=0,OFFSET(装备属性!$L$1083,1+INT(COUNTA($Q$11:Q299)/5),0),O299)</f>
        <v>0.15</v>
      </c>
      <c r="Q300" s="89" t="str">
        <f ca="1">IF(MOD(COUNTIF($Q$11:Q299,Q299),5)=0,OFFSET(装备属性!$M$1083,1+INT(COUNTA($Q$11:Q299)/5),0),Q299)</f>
        <v>通用属性</v>
      </c>
      <c r="R300" s="83">
        <f ca="1">IF(MOD(COUNTIF($Q$11:Q299,Q299),5)=0,10000*SUBSTITUTE(SUBSTITUTE(OFFSET(装备属性!$F$1083,1+INT(COUNTA($Q$11:Q299)/5),0),"[",""),"]","")+_xlfn.XLOOKUP(C300,$M$3:$M$7,$N$3:$N$7)*100,R299)</f>
        <v>10800</v>
      </c>
    </row>
    <row r="301" customHeight="1" spans="1:18">
      <c r="A301" s="78">
        <f ca="1" t="shared" si="12"/>
        <v>10801</v>
      </c>
      <c r="B301" s="82">
        <f ca="1">IFERROR(R301+COUNTIFS($R$11:$R301,R301),"")</f>
        <v>10841</v>
      </c>
      <c r="C301" s="83" t="str">
        <f ca="1">IF(MOD(COUNTIF($Q$11:Q300,Q300),5)=0,OFFSET(装备属性!$D$1083,1+INT(COUNTA($Q$11:Q300)/5),0),C300)</f>
        <v>彩</v>
      </c>
      <c r="D301" s="82">
        <f t="shared" si="14"/>
        <v>3000</v>
      </c>
      <c r="F301" s="82">
        <f ca="1" t="shared" si="13"/>
        <v>10808</v>
      </c>
      <c r="G301" s="78" t="str">
        <f ca="1">IF(AND(LEFT("[{"&amp;M301&amp;","&amp;CEILING(N301*10000+(O301-N301)/4*(COUNTIF($F$11:F301,F301)-1)*10000,10)&amp;"}]",7)="[{equip",MID("[{"&amp;M301&amp;","&amp;CEILING(N301*10000+(O301-N301)/4*(COUNTIF($F$11:F301,F301)-1)*10000,10)&amp;"}]",8,1)&lt;&gt;"_"),"[{"&amp;M301&amp;","&amp;1&amp;"}]","[{"&amp;M301&amp;","&amp;CEILING(N301*10000+(O301-N301)/4*(COUNTIF($F$11:F301,F301)-1)*10000,10)&amp;"}]")</f>
        <v>[{warrior_crit_dmg,3900}]</v>
      </c>
      <c r="H301" s="82" t="s">
        <v>563</v>
      </c>
      <c r="J301" s="78">
        <f ca="1">IF(MOD(COUNTIF($Q$11:Q300,Q300),5)=0,OFFSET(装备属性!$P$1083,1+INT(COUNTA($Q$11:Q300)/5),0),J300)</f>
        <v>4</v>
      </c>
      <c r="K301" s="83" t="str">
        <f ca="1">IF(RIGHT(G301,13)="rune_slot,1}]",_xlfn.XLOOKUP(LEFT(SUBSTITUTE(G301,"[{",""),FIND(",",SUBSTITUTE(G301,"[{",""))-1),Sheet2!B:B,Sheet2!C:C)&amp;"+"&amp;1,_xlfn.XLOOKUP(LEFT(SUBSTITUTE(G301,"[{",""),FIND(",",SUBSTITUTE(G301,"[{",""))-1),Sheet2!B:B,Sheet2!C:C)&amp;"+"&amp;SUBSTITUTE(RIGHT(G301,LEN(G301)-FIND(",",G301)),"}]","")/100&amp;"%")</f>
        <v>战士暴击伤害+39%</v>
      </c>
      <c r="L301" s="83" t="str">
        <f ca="1">IF(MOD(COUNTIF($Q$11:Q300,Q300),5)=0,OFFSET(装备属性!$G$1083,1+INT(COUNTA($Q$11:Q300)/5),0),L300)</f>
        <v>暴走猛男Ⅴ</v>
      </c>
      <c r="M301" s="89" t="str">
        <f ca="1">IF(MOD(COUNTIF($Q$11:Q300,Q300),5)=0,OFFSET(装备属性!$H$1083,1+INT(COUNTA($Q$11:Q300)/5),0),M300)</f>
        <v>warrior_crit_dmg</v>
      </c>
      <c r="N301" s="76">
        <f ca="1">IF(MOD(COUNTIF($Q$11:Q300,Q300),5)=0,OFFSET(装备属性!$K$1083,1+INT(COUNTA($Q$11:Q300)/5),0),N300)</f>
        <v>0.39</v>
      </c>
      <c r="O301" s="76">
        <f ca="1">IF(MOD(COUNTIF($Q$11:Q300,Q300),5)=0,OFFSET(装备属性!$L$1083,1+INT(COUNTA($Q$11:Q300)/5),0),O300)</f>
        <v>0.45</v>
      </c>
      <c r="Q301" s="89" t="str">
        <f ca="1">IF(MOD(COUNTIF($Q$11:Q300,Q300),5)=0,OFFSET(装备属性!$M$1083,1+INT(COUNTA($Q$11:Q300)/5),0),Q300)</f>
        <v>通用属性</v>
      </c>
      <c r="R301" s="83">
        <f ca="1">IF(MOD(COUNTIF($Q$11:Q300,Q300),5)=0,10000*SUBSTITUTE(SUBSTITUTE(OFFSET(装备属性!$F$1083,1+INT(COUNTA($Q$11:Q300)/5),0),"[",""),"]","")+_xlfn.XLOOKUP(C301,$M$3:$M$7,$N$3:$N$7)*100,R300)</f>
        <v>10800</v>
      </c>
    </row>
    <row r="302" customHeight="1" spans="1:18">
      <c r="A302" s="78">
        <f ca="1" t="shared" si="12"/>
        <v>10801</v>
      </c>
      <c r="B302" s="82">
        <f ca="1">IFERROR(R302+COUNTIFS($R$11:$R302,R302),"")</f>
        <v>10842</v>
      </c>
      <c r="C302" s="83" t="str">
        <f ca="1">IF(MOD(COUNTIF($Q$11:Q301,Q301),5)=0,OFFSET(装备属性!$D$1083,1+INT(COUNTA($Q$11:Q301)/5),0),C301)</f>
        <v>彩</v>
      </c>
      <c r="D302" s="82">
        <f t="shared" si="14"/>
        <v>2500</v>
      </c>
      <c r="F302" s="82">
        <f ca="1" t="shared" si="13"/>
        <v>10808</v>
      </c>
      <c r="G302" s="78" t="str">
        <f ca="1">IF(AND(LEFT("[{"&amp;M302&amp;","&amp;CEILING(N302*10000+(O302-N302)/4*(COUNTIF($F$11:F302,F302)-1)*10000,10)&amp;"}]",7)="[{equip",MID("[{"&amp;M302&amp;","&amp;CEILING(N302*10000+(O302-N302)/4*(COUNTIF($F$11:F302,F302)-1)*10000,10)&amp;"}]",8,1)&lt;&gt;"_"),"[{"&amp;M302&amp;","&amp;1&amp;"}]","[{"&amp;M302&amp;","&amp;CEILING(N302*10000+(O302-N302)/4*(COUNTIF($F$11:F302,F302)-1)*10000,10)&amp;"}]")</f>
        <v>[{warrior_crit_dmg,4050}]</v>
      </c>
      <c r="H302" s="82" t="s">
        <v>563</v>
      </c>
      <c r="J302" s="78">
        <f ca="1">IF(MOD(COUNTIF($Q$11:Q301,Q301),5)=0,OFFSET(装备属性!$P$1083,1+INT(COUNTA($Q$11:Q301)/5),0),J301)</f>
        <v>4</v>
      </c>
      <c r="K302" s="83" t="str">
        <f ca="1">IF(RIGHT(G302,13)="rune_slot,1}]",_xlfn.XLOOKUP(LEFT(SUBSTITUTE(G302,"[{",""),FIND(",",SUBSTITUTE(G302,"[{",""))-1),Sheet2!B:B,Sheet2!C:C)&amp;"+"&amp;1,_xlfn.XLOOKUP(LEFT(SUBSTITUTE(G302,"[{",""),FIND(",",SUBSTITUTE(G302,"[{",""))-1),Sheet2!B:B,Sheet2!C:C)&amp;"+"&amp;SUBSTITUTE(RIGHT(G302,LEN(G302)-FIND(",",G302)),"}]","")/100&amp;"%")</f>
        <v>战士暴击伤害+40.5%</v>
      </c>
      <c r="L302" s="83" t="str">
        <f ca="1">IF(MOD(COUNTIF($Q$11:Q301,Q301),5)=0,OFFSET(装备属性!$G$1083,1+INT(COUNTA($Q$11:Q301)/5),0),L301)</f>
        <v>暴走猛男Ⅴ</v>
      </c>
      <c r="M302" s="89" t="str">
        <f ca="1">IF(MOD(COUNTIF($Q$11:Q301,Q301),5)=0,OFFSET(装备属性!$H$1083,1+INT(COUNTA($Q$11:Q301)/5),0),M301)</f>
        <v>warrior_crit_dmg</v>
      </c>
      <c r="N302" s="76">
        <f ca="1">IF(MOD(COUNTIF($Q$11:Q301,Q301),5)=0,OFFSET(装备属性!$K$1083,1+INT(COUNTA($Q$11:Q301)/5),0),N301)</f>
        <v>0.39</v>
      </c>
      <c r="O302" s="76">
        <f ca="1">IF(MOD(COUNTIF($Q$11:Q301,Q301),5)=0,OFFSET(装备属性!$L$1083,1+INT(COUNTA($Q$11:Q301)/5),0),O301)</f>
        <v>0.45</v>
      </c>
      <c r="Q302" s="89" t="str">
        <f ca="1">IF(MOD(COUNTIF($Q$11:Q301,Q301),5)=0,OFFSET(装备属性!$M$1083,1+INT(COUNTA($Q$11:Q301)/5),0),Q301)</f>
        <v>通用属性</v>
      </c>
      <c r="R302" s="83">
        <f ca="1">IF(MOD(COUNTIF($Q$11:Q301,Q301),5)=0,10000*SUBSTITUTE(SUBSTITUTE(OFFSET(装备属性!$F$1083,1+INT(COUNTA($Q$11:Q301)/5),0),"[",""),"]","")+_xlfn.XLOOKUP(C302,$M$3:$M$7,$N$3:$N$7)*100,R301)</f>
        <v>10800</v>
      </c>
    </row>
    <row r="303" customHeight="1" spans="1:18">
      <c r="A303" s="78">
        <f ca="1" t="shared" si="12"/>
        <v>10801</v>
      </c>
      <c r="B303" s="82">
        <f ca="1">IFERROR(R303+COUNTIFS($R$11:$R303,R303),"")</f>
        <v>10843</v>
      </c>
      <c r="C303" s="83" t="str">
        <f ca="1">IF(MOD(COUNTIF($Q$11:Q302,Q302),5)=0,OFFSET(装备属性!$D$1083,1+INT(COUNTA($Q$11:Q302)/5),0),C302)</f>
        <v>彩</v>
      </c>
      <c r="D303" s="82">
        <f t="shared" si="14"/>
        <v>2000</v>
      </c>
      <c r="F303" s="82">
        <f ca="1" t="shared" si="13"/>
        <v>10808</v>
      </c>
      <c r="G303" s="78" t="str">
        <f ca="1">IF(AND(LEFT("[{"&amp;M303&amp;","&amp;CEILING(N303*10000+(O303-N303)/4*(COUNTIF($F$11:F303,F303)-1)*10000,10)&amp;"}]",7)="[{equip",MID("[{"&amp;M303&amp;","&amp;CEILING(N303*10000+(O303-N303)/4*(COUNTIF($F$11:F303,F303)-1)*10000,10)&amp;"}]",8,1)&lt;&gt;"_"),"[{"&amp;M303&amp;","&amp;1&amp;"}]","[{"&amp;M303&amp;","&amp;CEILING(N303*10000+(O303-N303)/4*(COUNTIF($F$11:F303,F303)-1)*10000,10)&amp;"}]")</f>
        <v>[{warrior_crit_dmg,4200}]</v>
      </c>
      <c r="H303" s="82" t="s">
        <v>563</v>
      </c>
      <c r="J303" s="78">
        <f ca="1">IF(MOD(COUNTIF($Q$11:Q302,Q302),5)=0,OFFSET(装备属性!$P$1083,1+INT(COUNTA($Q$11:Q302)/5),0),J302)</f>
        <v>4</v>
      </c>
      <c r="K303" s="83" t="str">
        <f ca="1">IF(RIGHT(G303,13)="rune_slot,1}]",_xlfn.XLOOKUP(LEFT(SUBSTITUTE(G303,"[{",""),FIND(",",SUBSTITUTE(G303,"[{",""))-1),Sheet2!B:B,Sheet2!C:C)&amp;"+"&amp;1,_xlfn.XLOOKUP(LEFT(SUBSTITUTE(G303,"[{",""),FIND(",",SUBSTITUTE(G303,"[{",""))-1),Sheet2!B:B,Sheet2!C:C)&amp;"+"&amp;SUBSTITUTE(RIGHT(G303,LEN(G303)-FIND(",",G303)),"}]","")/100&amp;"%")</f>
        <v>战士暴击伤害+42%</v>
      </c>
      <c r="L303" s="83" t="str">
        <f ca="1">IF(MOD(COUNTIF($Q$11:Q302,Q302),5)=0,OFFSET(装备属性!$G$1083,1+INT(COUNTA($Q$11:Q302)/5),0),L302)</f>
        <v>暴走猛男Ⅴ</v>
      </c>
      <c r="M303" s="89" t="str">
        <f ca="1">IF(MOD(COUNTIF($Q$11:Q302,Q302),5)=0,OFFSET(装备属性!$H$1083,1+INT(COUNTA($Q$11:Q302)/5),0),M302)</f>
        <v>warrior_crit_dmg</v>
      </c>
      <c r="N303" s="76">
        <f ca="1">IF(MOD(COUNTIF($Q$11:Q302,Q302),5)=0,OFFSET(装备属性!$K$1083,1+INT(COUNTA($Q$11:Q302)/5),0),N302)</f>
        <v>0.39</v>
      </c>
      <c r="O303" s="76">
        <f ca="1">IF(MOD(COUNTIF($Q$11:Q302,Q302),5)=0,OFFSET(装备属性!$L$1083,1+INT(COUNTA($Q$11:Q302)/5),0),O302)</f>
        <v>0.45</v>
      </c>
      <c r="Q303" s="89" t="str">
        <f ca="1">IF(MOD(COUNTIF($Q$11:Q302,Q302),5)=0,OFFSET(装备属性!$M$1083,1+INT(COUNTA($Q$11:Q302)/5),0),Q302)</f>
        <v>通用属性</v>
      </c>
      <c r="R303" s="83">
        <f ca="1">IF(MOD(COUNTIF($Q$11:Q302,Q302),5)=0,10000*SUBSTITUTE(SUBSTITUTE(OFFSET(装备属性!$F$1083,1+INT(COUNTA($Q$11:Q302)/5),0),"[",""),"]","")+_xlfn.XLOOKUP(C303,$M$3:$M$7,$N$3:$N$7)*100,R302)</f>
        <v>10800</v>
      </c>
    </row>
    <row r="304" customHeight="1" spans="1:18">
      <c r="A304" s="78">
        <f ca="1" t="shared" si="12"/>
        <v>10801</v>
      </c>
      <c r="B304" s="82">
        <f ca="1">IFERROR(R304+COUNTIFS($R$11:$R304,R304),"")</f>
        <v>10844</v>
      </c>
      <c r="C304" s="83" t="str">
        <f ca="1">IF(MOD(COUNTIF($Q$11:Q303,Q303),5)=0,OFFSET(装备属性!$D$1083,1+INT(COUNTA($Q$11:Q303)/5),0),C303)</f>
        <v>彩</v>
      </c>
      <c r="D304" s="82">
        <f t="shared" si="14"/>
        <v>1500</v>
      </c>
      <c r="F304" s="82">
        <f ca="1" t="shared" si="13"/>
        <v>10808</v>
      </c>
      <c r="G304" s="78" t="str">
        <f ca="1">IF(AND(LEFT("[{"&amp;M304&amp;","&amp;CEILING(N304*10000+(O304-N304)/4*(COUNTIF($F$11:F304,F304)-1)*10000,10)&amp;"}]",7)="[{equip",MID("[{"&amp;M304&amp;","&amp;CEILING(N304*10000+(O304-N304)/4*(COUNTIF($F$11:F304,F304)-1)*10000,10)&amp;"}]",8,1)&lt;&gt;"_"),"[{"&amp;M304&amp;","&amp;1&amp;"}]","[{"&amp;M304&amp;","&amp;CEILING(N304*10000+(O304-N304)/4*(COUNTIF($F$11:F304,F304)-1)*10000,10)&amp;"}]")</f>
        <v>[{warrior_crit_dmg,4350}]</v>
      </c>
      <c r="H304" s="82" t="s">
        <v>563</v>
      </c>
      <c r="J304" s="78">
        <f ca="1">IF(MOD(COUNTIF($Q$11:Q303,Q303),5)=0,OFFSET(装备属性!$P$1083,1+INT(COUNTA($Q$11:Q303)/5),0),J303)</f>
        <v>4</v>
      </c>
      <c r="K304" s="83" t="str">
        <f ca="1">IF(RIGHT(G304,13)="rune_slot,1}]",_xlfn.XLOOKUP(LEFT(SUBSTITUTE(G304,"[{",""),FIND(",",SUBSTITUTE(G304,"[{",""))-1),Sheet2!B:B,Sheet2!C:C)&amp;"+"&amp;1,_xlfn.XLOOKUP(LEFT(SUBSTITUTE(G304,"[{",""),FIND(",",SUBSTITUTE(G304,"[{",""))-1),Sheet2!B:B,Sheet2!C:C)&amp;"+"&amp;SUBSTITUTE(RIGHT(G304,LEN(G304)-FIND(",",G304)),"}]","")/100&amp;"%")</f>
        <v>战士暴击伤害+43.5%</v>
      </c>
      <c r="L304" s="83" t="str">
        <f ca="1">IF(MOD(COUNTIF($Q$11:Q303,Q303),5)=0,OFFSET(装备属性!$G$1083,1+INT(COUNTA($Q$11:Q303)/5),0),L303)</f>
        <v>暴走猛男Ⅴ</v>
      </c>
      <c r="M304" s="89" t="str">
        <f ca="1">IF(MOD(COUNTIF($Q$11:Q303,Q303),5)=0,OFFSET(装备属性!$H$1083,1+INT(COUNTA($Q$11:Q303)/5),0),M303)</f>
        <v>warrior_crit_dmg</v>
      </c>
      <c r="N304" s="76">
        <f ca="1">IF(MOD(COUNTIF($Q$11:Q303,Q303),5)=0,OFFSET(装备属性!$K$1083,1+INT(COUNTA($Q$11:Q303)/5),0),N303)</f>
        <v>0.39</v>
      </c>
      <c r="O304" s="76">
        <f ca="1">IF(MOD(COUNTIF($Q$11:Q303,Q303),5)=0,OFFSET(装备属性!$L$1083,1+INT(COUNTA($Q$11:Q303)/5),0),O303)</f>
        <v>0.45</v>
      </c>
      <c r="Q304" s="89" t="str">
        <f ca="1">IF(MOD(COUNTIF($Q$11:Q303,Q303),5)=0,OFFSET(装备属性!$M$1083,1+INT(COUNTA($Q$11:Q303)/5),0),Q303)</f>
        <v>通用属性</v>
      </c>
      <c r="R304" s="83">
        <f ca="1">IF(MOD(COUNTIF($Q$11:Q303,Q303),5)=0,10000*SUBSTITUTE(SUBSTITUTE(OFFSET(装备属性!$F$1083,1+INT(COUNTA($Q$11:Q303)/5),0),"[",""),"]","")+_xlfn.XLOOKUP(C304,$M$3:$M$7,$N$3:$N$7)*100,R303)</f>
        <v>10800</v>
      </c>
    </row>
    <row r="305" customHeight="1" spans="1:18">
      <c r="A305" s="78">
        <f ca="1" t="shared" si="12"/>
        <v>10801</v>
      </c>
      <c r="B305" s="82">
        <f ca="1">IFERROR(R305+COUNTIFS($R$11:$R305,R305),"")</f>
        <v>10845</v>
      </c>
      <c r="C305" s="83" t="str">
        <f ca="1">IF(MOD(COUNTIF($Q$11:Q304,Q304),5)=0,OFFSET(装备属性!$D$1083,1+INT(COUNTA($Q$11:Q304)/5),0),C304)</f>
        <v>彩</v>
      </c>
      <c r="D305" s="82">
        <f t="shared" si="14"/>
        <v>1000</v>
      </c>
      <c r="F305" s="82">
        <f ca="1" t="shared" si="13"/>
        <v>10808</v>
      </c>
      <c r="G305" s="78" t="str">
        <f ca="1">IF(AND(LEFT("[{"&amp;M305&amp;","&amp;CEILING(N305*10000+(O305-N305)/4*(COUNTIF($F$11:F305,F305)-1)*10000,10)&amp;"}]",7)="[{equip",MID("[{"&amp;M305&amp;","&amp;CEILING(N305*10000+(O305-N305)/4*(COUNTIF($F$11:F305,F305)-1)*10000,10)&amp;"}]",8,1)&lt;&gt;"_"),"[{"&amp;M305&amp;","&amp;1&amp;"}]","[{"&amp;M305&amp;","&amp;CEILING(N305*10000+(O305-N305)/4*(COUNTIF($F$11:F305,F305)-1)*10000,10)&amp;"}]")</f>
        <v>[{warrior_crit_dmg,4500}]</v>
      </c>
      <c r="H305" s="82" t="s">
        <v>563</v>
      </c>
      <c r="J305" s="78">
        <f ca="1">IF(MOD(COUNTIF($Q$11:Q304,Q304),5)=0,OFFSET(装备属性!$P$1083,1+INT(COUNTA($Q$11:Q304)/5),0),J304)</f>
        <v>4</v>
      </c>
      <c r="K305" s="83" t="str">
        <f ca="1">IF(RIGHT(G305,13)="rune_slot,1}]",_xlfn.XLOOKUP(LEFT(SUBSTITUTE(G305,"[{",""),FIND(",",SUBSTITUTE(G305,"[{",""))-1),Sheet2!B:B,Sheet2!C:C)&amp;"+"&amp;1,_xlfn.XLOOKUP(LEFT(SUBSTITUTE(G305,"[{",""),FIND(",",SUBSTITUTE(G305,"[{",""))-1),Sheet2!B:B,Sheet2!C:C)&amp;"+"&amp;SUBSTITUTE(RIGHT(G305,LEN(G305)-FIND(",",G305)),"}]","")/100&amp;"%")</f>
        <v>战士暴击伤害+45%</v>
      </c>
      <c r="L305" s="83" t="str">
        <f ca="1">IF(MOD(COUNTIF($Q$11:Q304,Q304),5)=0,OFFSET(装备属性!$G$1083,1+INT(COUNTA($Q$11:Q304)/5),0),L304)</f>
        <v>暴走猛男Ⅴ</v>
      </c>
      <c r="M305" s="89" t="str">
        <f ca="1">IF(MOD(COUNTIF($Q$11:Q304,Q304),5)=0,OFFSET(装备属性!$H$1083,1+INT(COUNTA($Q$11:Q304)/5),0),M304)</f>
        <v>warrior_crit_dmg</v>
      </c>
      <c r="N305" s="76">
        <f ca="1">IF(MOD(COUNTIF($Q$11:Q304,Q304),5)=0,OFFSET(装备属性!$K$1083,1+INT(COUNTA($Q$11:Q304)/5),0),N304)</f>
        <v>0.39</v>
      </c>
      <c r="O305" s="76">
        <f ca="1">IF(MOD(COUNTIF($Q$11:Q304,Q304),5)=0,OFFSET(装备属性!$L$1083,1+INT(COUNTA($Q$11:Q304)/5),0),O304)</f>
        <v>0.45</v>
      </c>
      <c r="Q305" s="89" t="str">
        <f ca="1">IF(MOD(COUNTIF($Q$11:Q304,Q304),5)=0,OFFSET(装备属性!$M$1083,1+INT(COUNTA($Q$11:Q304)/5),0),Q304)</f>
        <v>通用属性</v>
      </c>
      <c r="R305" s="83">
        <f ca="1">IF(MOD(COUNTIF($Q$11:Q304,Q304),5)=0,10000*SUBSTITUTE(SUBSTITUTE(OFFSET(装备属性!$F$1083,1+INT(COUNTA($Q$11:Q304)/5),0),"[",""),"]","")+_xlfn.XLOOKUP(C305,$M$3:$M$7,$N$3:$N$7)*100,R304)</f>
        <v>10800</v>
      </c>
    </row>
    <row r="306" customHeight="1" spans="1:18">
      <c r="A306" s="78">
        <f ca="1" t="shared" si="12"/>
        <v>10803</v>
      </c>
      <c r="B306" s="82">
        <f ca="1">IFERROR(R306+COUNTIFS($R$11:$R306,R306),"")</f>
        <v>10846</v>
      </c>
      <c r="C306" s="83" t="str">
        <f ca="1">IF(MOD(COUNTIF($Q$11:Q305,Q305),5)=0,OFFSET(装备属性!$D$1083,1+INT(COUNTA($Q$11:Q305)/5),0),C305)</f>
        <v>彩</v>
      </c>
      <c r="D306" s="82">
        <f t="shared" si="14"/>
        <v>3000</v>
      </c>
      <c r="F306" s="82">
        <f ca="1" t="shared" si="13"/>
        <v>10809</v>
      </c>
      <c r="G306" s="78" t="str">
        <f ca="1">IF(AND(LEFT("[{"&amp;M306&amp;","&amp;CEILING(N306*10000+(O306-N306)/4*(COUNTIF($F$11:F306,F306)-1)*10000,10)&amp;"}]",7)="[{equip",MID("[{"&amp;M306&amp;","&amp;CEILING(N306*10000+(O306-N306)/4*(COUNTIF($F$11:F306,F306)-1)*10000,10)&amp;"}]",8,1)&lt;&gt;"_"),"[{"&amp;M306&amp;","&amp;1&amp;"}]","[{"&amp;M306&amp;","&amp;CEILING(N306*10000+(O306-N306)/4*(COUNTIF($F$11:F306,F306)-1)*10000,10)&amp;"}]")</f>
        <v>[{equip6_rune_slot,1}]</v>
      </c>
      <c r="H306" s="82" t="s">
        <v>563</v>
      </c>
      <c r="J306" s="78">
        <f ca="1">IF(MOD(COUNTIF($Q$11:Q305,Q305),5)=0,OFFSET(装备属性!$P$1083,1+INT(COUNTA($Q$11:Q305)/5),0),J305)</f>
        <v>10</v>
      </c>
      <c r="K306" s="83" t="str">
        <f ca="1">IF(RIGHT(G306,13)="rune_slot,1}]",_xlfn.XLOOKUP(LEFT(SUBSTITUTE(G306,"[{",""),FIND(",",SUBSTITUTE(G306,"[{",""))-1),Sheet2!B:B,Sheet2!C:C)&amp;"+"&amp;1,_xlfn.XLOOKUP(LEFT(SUBSTITUTE(G306,"[{",""),FIND(",",SUBSTITUTE(G306,"[{",""))-1),Sheet2!B:B,Sheet2!C:C)&amp;"+"&amp;SUBSTITUTE(RIGHT(G306,LEN(G306)-FIND(",",G306)),"}]","")/100&amp;"%")</f>
        <v>头盔符文孔位+1</v>
      </c>
      <c r="L306" s="83" t="str">
        <f ca="1">IF(MOD(COUNTIF($Q$11:Q305,Q305),5)=0,OFFSET(装备属性!$G$1083,1+INT(COUNTA($Q$11:Q305)/5),0),L305)</f>
        <v>扩符槽</v>
      </c>
      <c r="M306" s="89" t="str">
        <f ca="1">IF(MOD(COUNTIF($Q$11:Q305,Q305),5)=0,OFFSET(装备属性!$H$1083,1+INT(COUNTA($Q$11:Q305)/5),0),M305)</f>
        <v>equip6_rune_slot</v>
      </c>
      <c r="N306" s="76">
        <f ca="1">IF(MOD(COUNTIF($Q$11:Q305,Q305),5)=0,OFFSET(装备属性!$K$1083,1+INT(COUNTA($Q$11:Q305)/5),0),N305)</f>
        <v>1</v>
      </c>
      <c r="O306" s="76">
        <f ca="1">IF(MOD(COUNTIF($Q$11:Q305,Q305),5)=0,OFFSET(装备属性!$L$1083,1+INT(COUNTA($Q$11:Q305)/5),0),O305)</f>
        <v>1</v>
      </c>
      <c r="Q306" s="89" t="str">
        <f ca="1">IF(MOD(COUNTIF($Q$11:Q305,Q305),5)=0,OFFSET(装备属性!$M$1083,1+INT(COUNTA($Q$11:Q305)/5),0),Q305)</f>
        <v>稀有词条</v>
      </c>
      <c r="R306" s="83">
        <f ca="1">IF(MOD(COUNTIF($Q$11:Q305,Q305),5)=0,10000*SUBSTITUTE(SUBSTITUTE(OFFSET(装备属性!$F$1083,1+INT(COUNTA($Q$11:Q305)/5),0),"[",""),"]","")+_xlfn.XLOOKUP(C306,$M$3:$M$7,$N$3:$N$7)*100,R305)</f>
        <v>10800</v>
      </c>
    </row>
    <row r="307" customHeight="1" spans="1:18">
      <c r="A307" s="78">
        <f ca="1" t="shared" si="12"/>
        <v>10803</v>
      </c>
      <c r="B307" s="82">
        <f ca="1">IFERROR(R307+COUNTIFS($R$11:$R307,R307),"")</f>
        <v>10847</v>
      </c>
      <c r="C307" s="83" t="str">
        <f ca="1">IF(MOD(COUNTIF($Q$11:Q306,Q306),5)=0,OFFSET(装备属性!$D$1083,1+INT(COUNTA($Q$11:Q306)/5),0),C306)</f>
        <v>彩</v>
      </c>
      <c r="D307" s="82">
        <f t="shared" si="14"/>
        <v>2500</v>
      </c>
      <c r="F307" s="82">
        <f ca="1" t="shared" si="13"/>
        <v>10809</v>
      </c>
      <c r="G307" s="78" t="str">
        <f ca="1">IF(AND(LEFT("[{"&amp;M307&amp;","&amp;CEILING(N307*10000+(O307-N307)/4*(COUNTIF($F$11:F307,F307)-1)*10000,10)&amp;"}]",7)="[{equip",MID("[{"&amp;M307&amp;","&amp;CEILING(N307*10000+(O307-N307)/4*(COUNTIF($F$11:F307,F307)-1)*10000,10)&amp;"}]",8,1)&lt;&gt;"_"),"[{"&amp;M307&amp;","&amp;1&amp;"}]","[{"&amp;M307&amp;","&amp;CEILING(N307*10000+(O307-N307)/4*(COUNTIF($F$11:F307,F307)-1)*10000,10)&amp;"}]")</f>
        <v>[{equip6_rune_slot,1}]</v>
      </c>
      <c r="H307" s="82" t="s">
        <v>563</v>
      </c>
      <c r="J307" s="78">
        <f ca="1">IF(MOD(COUNTIF($Q$11:Q306,Q306),5)=0,OFFSET(装备属性!$P$1083,1+INT(COUNTA($Q$11:Q306)/5),0),J306)</f>
        <v>10</v>
      </c>
      <c r="K307" s="83" t="str">
        <f ca="1">IF(RIGHT(G307,13)="rune_slot,1}]",_xlfn.XLOOKUP(LEFT(SUBSTITUTE(G307,"[{",""),FIND(",",SUBSTITUTE(G307,"[{",""))-1),Sheet2!B:B,Sheet2!C:C)&amp;"+"&amp;1,_xlfn.XLOOKUP(LEFT(SUBSTITUTE(G307,"[{",""),FIND(",",SUBSTITUTE(G307,"[{",""))-1),Sheet2!B:B,Sheet2!C:C)&amp;"+"&amp;SUBSTITUTE(RIGHT(G307,LEN(G307)-FIND(",",G307)),"}]","")/100&amp;"%")</f>
        <v>头盔符文孔位+1</v>
      </c>
      <c r="L307" s="83" t="str">
        <f ca="1">IF(MOD(COUNTIF($Q$11:Q306,Q306),5)=0,OFFSET(装备属性!$G$1083,1+INT(COUNTA($Q$11:Q306)/5),0),L306)</f>
        <v>扩符槽</v>
      </c>
      <c r="M307" s="89" t="str">
        <f ca="1">IF(MOD(COUNTIF($Q$11:Q306,Q306),5)=0,OFFSET(装备属性!$H$1083,1+INT(COUNTA($Q$11:Q306)/5),0),M306)</f>
        <v>equip6_rune_slot</v>
      </c>
      <c r="N307" s="76">
        <f ca="1">IF(MOD(COUNTIF($Q$11:Q306,Q306),5)=0,OFFSET(装备属性!$K$1083,1+INT(COUNTA($Q$11:Q306)/5),0),N306)</f>
        <v>1</v>
      </c>
      <c r="O307" s="76">
        <f ca="1">IF(MOD(COUNTIF($Q$11:Q306,Q306),5)=0,OFFSET(装备属性!$L$1083,1+INT(COUNTA($Q$11:Q306)/5),0),O306)</f>
        <v>1</v>
      </c>
      <c r="Q307" s="89" t="str">
        <f ca="1">IF(MOD(COUNTIF($Q$11:Q306,Q306),5)=0,OFFSET(装备属性!$M$1083,1+INT(COUNTA($Q$11:Q306)/5),0),Q306)</f>
        <v>稀有词条</v>
      </c>
      <c r="R307" s="83">
        <f ca="1">IF(MOD(COUNTIF($Q$11:Q306,Q306),5)=0,10000*SUBSTITUTE(SUBSTITUTE(OFFSET(装备属性!$F$1083,1+INT(COUNTA($Q$11:Q306)/5),0),"[",""),"]","")+_xlfn.XLOOKUP(C307,$M$3:$M$7,$N$3:$N$7)*100,R306)</f>
        <v>10800</v>
      </c>
    </row>
    <row r="308" customHeight="1" spans="1:18">
      <c r="A308" s="78">
        <f ca="1" t="shared" si="12"/>
        <v>10803</v>
      </c>
      <c r="B308" s="82">
        <f ca="1">IFERROR(R308+COUNTIFS($R$11:$R308,R308),"")</f>
        <v>10848</v>
      </c>
      <c r="C308" s="83" t="str">
        <f ca="1">IF(MOD(COUNTIF($Q$11:Q307,Q307),5)=0,OFFSET(装备属性!$D$1083,1+INT(COUNTA($Q$11:Q307)/5),0),C307)</f>
        <v>彩</v>
      </c>
      <c r="D308" s="82">
        <f t="shared" si="14"/>
        <v>2000</v>
      </c>
      <c r="F308" s="82">
        <f ca="1" t="shared" si="13"/>
        <v>10809</v>
      </c>
      <c r="G308" s="78" t="str">
        <f ca="1">IF(AND(LEFT("[{"&amp;M308&amp;","&amp;CEILING(N308*10000+(O308-N308)/4*(COUNTIF($F$11:F308,F308)-1)*10000,10)&amp;"}]",7)="[{equip",MID("[{"&amp;M308&amp;","&amp;CEILING(N308*10000+(O308-N308)/4*(COUNTIF($F$11:F308,F308)-1)*10000,10)&amp;"}]",8,1)&lt;&gt;"_"),"[{"&amp;M308&amp;","&amp;1&amp;"}]","[{"&amp;M308&amp;","&amp;CEILING(N308*10000+(O308-N308)/4*(COUNTIF($F$11:F308,F308)-1)*10000,10)&amp;"}]")</f>
        <v>[{equip6_rune_slot,1}]</v>
      </c>
      <c r="H308" s="82" t="s">
        <v>563</v>
      </c>
      <c r="J308" s="78">
        <f ca="1">IF(MOD(COUNTIF($Q$11:Q307,Q307),5)=0,OFFSET(装备属性!$P$1083,1+INT(COUNTA($Q$11:Q307)/5),0),J307)</f>
        <v>10</v>
      </c>
      <c r="K308" s="83" t="str">
        <f ca="1">IF(RIGHT(G308,13)="rune_slot,1}]",_xlfn.XLOOKUP(LEFT(SUBSTITUTE(G308,"[{",""),FIND(",",SUBSTITUTE(G308,"[{",""))-1),Sheet2!B:B,Sheet2!C:C)&amp;"+"&amp;1,_xlfn.XLOOKUP(LEFT(SUBSTITUTE(G308,"[{",""),FIND(",",SUBSTITUTE(G308,"[{",""))-1),Sheet2!B:B,Sheet2!C:C)&amp;"+"&amp;SUBSTITUTE(RIGHT(G308,LEN(G308)-FIND(",",G308)),"}]","")/100&amp;"%")</f>
        <v>头盔符文孔位+1</v>
      </c>
      <c r="L308" s="83" t="str">
        <f ca="1">IF(MOD(COUNTIF($Q$11:Q307,Q307),5)=0,OFFSET(装备属性!$G$1083,1+INT(COUNTA($Q$11:Q307)/5),0),L307)</f>
        <v>扩符槽</v>
      </c>
      <c r="M308" s="89" t="str">
        <f ca="1">IF(MOD(COUNTIF($Q$11:Q307,Q307),5)=0,OFFSET(装备属性!$H$1083,1+INT(COUNTA($Q$11:Q307)/5),0),M307)</f>
        <v>equip6_rune_slot</v>
      </c>
      <c r="N308" s="76">
        <f ca="1">IF(MOD(COUNTIF($Q$11:Q307,Q307),5)=0,OFFSET(装备属性!$K$1083,1+INT(COUNTA($Q$11:Q307)/5),0),N307)</f>
        <v>1</v>
      </c>
      <c r="O308" s="76">
        <f ca="1">IF(MOD(COUNTIF($Q$11:Q307,Q307),5)=0,OFFSET(装备属性!$L$1083,1+INT(COUNTA($Q$11:Q307)/5),0),O307)</f>
        <v>1</v>
      </c>
      <c r="Q308" s="89" t="str">
        <f ca="1">IF(MOD(COUNTIF($Q$11:Q307,Q307),5)=0,OFFSET(装备属性!$M$1083,1+INT(COUNTA($Q$11:Q307)/5),0),Q307)</f>
        <v>稀有词条</v>
      </c>
      <c r="R308" s="83">
        <f ca="1">IF(MOD(COUNTIF($Q$11:Q307,Q307),5)=0,10000*SUBSTITUTE(SUBSTITUTE(OFFSET(装备属性!$F$1083,1+INT(COUNTA($Q$11:Q307)/5),0),"[",""),"]","")+_xlfn.XLOOKUP(C308,$M$3:$M$7,$N$3:$N$7)*100,R307)</f>
        <v>10800</v>
      </c>
    </row>
    <row r="309" customHeight="1" spans="1:18">
      <c r="A309" s="78">
        <f ca="1" t="shared" si="12"/>
        <v>10803</v>
      </c>
      <c r="B309" s="82">
        <f ca="1">IFERROR(R309+COUNTIFS($R$11:$R309,R309),"")</f>
        <v>10849</v>
      </c>
      <c r="C309" s="83" t="str">
        <f ca="1">IF(MOD(COUNTIF($Q$11:Q308,Q308),5)=0,OFFSET(装备属性!$D$1083,1+INT(COUNTA($Q$11:Q308)/5),0),C308)</f>
        <v>彩</v>
      </c>
      <c r="D309" s="82">
        <f t="shared" si="14"/>
        <v>1500</v>
      </c>
      <c r="F309" s="82">
        <f ca="1" t="shared" si="13"/>
        <v>10809</v>
      </c>
      <c r="G309" s="78" t="str">
        <f ca="1">IF(AND(LEFT("[{"&amp;M309&amp;","&amp;CEILING(N309*10000+(O309-N309)/4*(COUNTIF($F$11:F309,F309)-1)*10000,10)&amp;"}]",7)="[{equip",MID("[{"&amp;M309&amp;","&amp;CEILING(N309*10000+(O309-N309)/4*(COUNTIF($F$11:F309,F309)-1)*10000,10)&amp;"}]",8,1)&lt;&gt;"_"),"[{"&amp;M309&amp;","&amp;1&amp;"}]","[{"&amp;M309&amp;","&amp;CEILING(N309*10000+(O309-N309)/4*(COUNTIF($F$11:F309,F309)-1)*10000,10)&amp;"}]")</f>
        <v>[{equip6_rune_slot,1}]</v>
      </c>
      <c r="H309" s="82" t="s">
        <v>563</v>
      </c>
      <c r="J309" s="78">
        <f ca="1">IF(MOD(COUNTIF($Q$11:Q308,Q308),5)=0,OFFSET(装备属性!$P$1083,1+INT(COUNTA($Q$11:Q308)/5),0),J308)</f>
        <v>10</v>
      </c>
      <c r="K309" s="83" t="str">
        <f ca="1">IF(RIGHT(G309,13)="rune_slot,1}]",_xlfn.XLOOKUP(LEFT(SUBSTITUTE(G309,"[{",""),FIND(",",SUBSTITUTE(G309,"[{",""))-1),Sheet2!B:B,Sheet2!C:C)&amp;"+"&amp;1,_xlfn.XLOOKUP(LEFT(SUBSTITUTE(G309,"[{",""),FIND(",",SUBSTITUTE(G309,"[{",""))-1),Sheet2!B:B,Sheet2!C:C)&amp;"+"&amp;SUBSTITUTE(RIGHT(G309,LEN(G309)-FIND(",",G309)),"}]","")/100&amp;"%")</f>
        <v>头盔符文孔位+1</v>
      </c>
      <c r="L309" s="83" t="str">
        <f ca="1">IF(MOD(COUNTIF($Q$11:Q308,Q308),5)=0,OFFSET(装备属性!$G$1083,1+INT(COUNTA($Q$11:Q308)/5),0),L308)</f>
        <v>扩符槽</v>
      </c>
      <c r="M309" s="89" t="str">
        <f ca="1">IF(MOD(COUNTIF($Q$11:Q308,Q308),5)=0,OFFSET(装备属性!$H$1083,1+INT(COUNTA($Q$11:Q308)/5),0),M308)</f>
        <v>equip6_rune_slot</v>
      </c>
      <c r="N309" s="76">
        <f ca="1">IF(MOD(COUNTIF($Q$11:Q308,Q308),5)=0,OFFSET(装备属性!$K$1083,1+INT(COUNTA($Q$11:Q308)/5),0),N308)</f>
        <v>1</v>
      </c>
      <c r="O309" s="76">
        <f ca="1">IF(MOD(COUNTIF($Q$11:Q308,Q308),5)=0,OFFSET(装备属性!$L$1083,1+INT(COUNTA($Q$11:Q308)/5),0),O308)</f>
        <v>1</v>
      </c>
      <c r="Q309" s="89" t="str">
        <f ca="1">IF(MOD(COUNTIF($Q$11:Q308,Q308),5)=0,OFFSET(装备属性!$M$1083,1+INT(COUNTA($Q$11:Q308)/5),0),Q308)</f>
        <v>稀有词条</v>
      </c>
      <c r="R309" s="83">
        <f ca="1">IF(MOD(COUNTIF($Q$11:Q308,Q308),5)=0,10000*SUBSTITUTE(SUBSTITUTE(OFFSET(装备属性!$F$1083,1+INT(COUNTA($Q$11:Q308)/5),0),"[",""),"]","")+_xlfn.XLOOKUP(C309,$M$3:$M$7,$N$3:$N$7)*100,R308)</f>
        <v>10800</v>
      </c>
    </row>
    <row r="310" customHeight="1" spans="1:18">
      <c r="A310" s="78">
        <f ca="1" t="shared" si="12"/>
        <v>10803</v>
      </c>
      <c r="B310" s="82">
        <f ca="1">IFERROR(R310+COUNTIFS($R$11:$R310,R310),"")</f>
        <v>10850</v>
      </c>
      <c r="C310" s="83" t="str">
        <f ca="1">IF(MOD(COUNTIF($Q$11:Q309,Q309),5)=0,OFFSET(装备属性!$D$1083,1+INT(COUNTA($Q$11:Q309)/5),0),C309)</f>
        <v>彩</v>
      </c>
      <c r="D310" s="82">
        <f t="shared" si="14"/>
        <v>1000</v>
      </c>
      <c r="F310" s="82">
        <f ca="1" t="shared" si="13"/>
        <v>10809</v>
      </c>
      <c r="G310" s="78" t="str">
        <f ca="1">IF(AND(LEFT("[{"&amp;M310&amp;","&amp;CEILING(N310*10000+(O310-N310)/4*(COUNTIF($F$11:F310,F310)-1)*10000,10)&amp;"}]",7)="[{equip",MID("[{"&amp;M310&amp;","&amp;CEILING(N310*10000+(O310-N310)/4*(COUNTIF($F$11:F310,F310)-1)*10000,10)&amp;"}]",8,1)&lt;&gt;"_"),"[{"&amp;M310&amp;","&amp;1&amp;"}]","[{"&amp;M310&amp;","&amp;CEILING(N310*10000+(O310-N310)/4*(COUNTIF($F$11:F310,F310)-1)*10000,10)&amp;"}]")</f>
        <v>[{equip6_rune_slot,1}]</v>
      </c>
      <c r="H310" s="82" t="s">
        <v>563</v>
      </c>
      <c r="J310" s="78">
        <f ca="1">IF(MOD(COUNTIF($Q$11:Q309,Q309),5)=0,OFFSET(装备属性!$P$1083,1+INT(COUNTA($Q$11:Q309)/5),0),J309)</f>
        <v>10</v>
      </c>
      <c r="K310" s="83" t="str">
        <f ca="1">IF(RIGHT(G310,13)="rune_slot,1}]",_xlfn.XLOOKUP(LEFT(SUBSTITUTE(G310,"[{",""),FIND(",",SUBSTITUTE(G310,"[{",""))-1),Sheet2!B:B,Sheet2!C:C)&amp;"+"&amp;1,_xlfn.XLOOKUP(LEFT(SUBSTITUTE(G310,"[{",""),FIND(",",SUBSTITUTE(G310,"[{",""))-1),Sheet2!B:B,Sheet2!C:C)&amp;"+"&amp;SUBSTITUTE(RIGHT(G310,LEN(G310)-FIND(",",G310)),"}]","")/100&amp;"%")</f>
        <v>头盔符文孔位+1</v>
      </c>
      <c r="L310" s="83" t="str">
        <f ca="1">IF(MOD(COUNTIF($Q$11:Q309,Q309),5)=0,OFFSET(装备属性!$G$1083,1+INT(COUNTA($Q$11:Q309)/5),0),L309)</f>
        <v>扩符槽</v>
      </c>
      <c r="M310" s="89" t="str">
        <f ca="1">IF(MOD(COUNTIF($Q$11:Q309,Q309),5)=0,OFFSET(装备属性!$H$1083,1+INT(COUNTA($Q$11:Q309)/5),0),M309)</f>
        <v>equip6_rune_slot</v>
      </c>
      <c r="N310" s="76">
        <f ca="1">IF(MOD(COUNTIF($Q$11:Q309,Q309),5)=0,OFFSET(装备属性!$K$1083,1+INT(COUNTA($Q$11:Q309)/5),0),N309)</f>
        <v>1</v>
      </c>
      <c r="O310" s="76">
        <f ca="1">IF(MOD(COUNTIF($Q$11:Q309,Q309),5)=0,OFFSET(装备属性!$L$1083,1+INT(COUNTA($Q$11:Q309)/5),0),O309)</f>
        <v>1</v>
      </c>
      <c r="Q310" s="89" t="str">
        <f ca="1">IF(MOD(COUNTIF($Q$11:Q309,Q309),5)=0,OFFSET(装备属性!$M$1083,1+INT(COUNTA($Q$11:Q309)/5),0),Q309)</f>
        <v>稀有词条</v>
      </c>
      <c r="R310" s="83">
        <f ca="1">IF(MOD(COUNTIF($Q$11:Q309,Q309),5)=0,10000*SUBSTITUTE(SUBSTITUTE(OFFSET(装备属性!$F$1083,1+INT(COUNTA($Q$11:Q309)/5),0),"[",""),"]","")+_xlfn.XLOOKUP(C310,$M$3:$M$7,$N$3:$N$7)*100,R309)</f>
        <v>10800</v>
      </c>
    </row>
    <row r="311" customHeight="1" spans="1:18">
      <c r="A311" s="78" t="str">
        <f ca="1" t="shared" si="12"/>
        <v/>
      </c>
      <c r="B311" s="82" t="str">
        <f ca="1">IFERROR(R311+COUNTIFS($R$11:$R311,R311),"")</f>
        <v/>
      </c>
      <c r="C311" s="83">
        <f ca="1">IF(MOD(COUNTIF($Q$11:Q310,Q310),5)=0,OFFSET(装备属性!$D$1083,1+INT(COUNTA($Q$11:Q310)/5),0),C310)</f>
        <v>0</v>
      </c>
      <c r="D311" s="82">
        <f t="shared" si="14"/>
        <v>3000</v>
      </c>
      <c r="F311" s="82" t="str">
        <f ca="1" t="shared" si="13"/>
        <v/>
      </c>
      <c r="G311" s="78" t="str">
        <f ca="1">IF(AND(LEFT("[{"&amp;M311&amp;","&amp;CEILING(N311*10000+(O311-N311)/4*(COUNTIF($F$11:F311,F311)-1)*10000,10)&amp;"}]",7)="[{equip",MID("[{"&amp;M311&amp;","&amp;CEILING(N311*10000+(O311-N311)/4*(COUNTIF($F$11:F311,F311)-1)*10000,10)&amp;"}]",8,1)&lt;&gt;"_"),"[{"&amp;M311&amp;","&amp;1&amp;"}]","[{"&amp;M311&amp;","&amp;CEILING(N311*10000+(O311-N311)/4*(COUNTIF($F$11:F311,F311)-1)*10000,10)&amp;"}]")</f>
        <v>[{global_dmg_rate,3750}]</v>
      </c>
      <c r="H311" s="82" t="s">
        <v>563</v>
      </c>
      <c r="J311" s="78">
        <f ca="1">IF(MOD(COUNTIF($Q$11:Q310,Q310),5)=0,OFFSET(装备属性!$P$1083,1+INT(COUNTA($Q$11:Q310)/5),0),J310)</f>
        <v>2</v>
      </c>
      <c r="K311" s="83" t="str">
        <f ca="1">IF(RIGHT(G311,13)="rune_slot,1}]",_xlfn.XLOOKUP(LEFT(SUBSTITUTE(G311,"[{",""),FIND(",",SUBSTITUTE(G311,"[{",""))-1),Sheet2!B:B,Sheet2!C:C)&amp;"+"&amp;1,_xlfn.XLOOKUP(LEFT(SUBSTITUTE(G311,"[{",""),FIND(",",SUBSTITUTE(G311,"[{",""))-1),Sheet2!B:B,Sheet2!C:C)&amp;"+"&amp;SUBSTITUTE(RIGHT(G311,LEN(G311)-FIND(",",G311)),"}]","")/100&amp;"%")</f>
        <v>伤害加成+37.5%</v>
      </c>
      <c r="L311" s="83" t="str">
        <f ca="1">IF(MOD(COUNTIF($Q$11:Q310,Q310),5)=0,OFFSET(装备属性!$G$1083,1+INT(COUNTA($Q$11:Q310)/5),0),L310)</f>
        <v>全职小队Ⅰ</v>
      </c>
      <c r="M311" s="89" t="str">
        <f ca="1">IF(MOD(COUNTIF($Q$11:Q310,Q310),5)=0,OFFSET(装备属性!$H$1083,1+INT(COUNTA($Q$11:Q310)/5),0),M310)</f>
        <v>global_dmg_rate</v>
      </c>
      <c r="N311" s="76">
        <f ca="1">IF(MOD(COUNTIF($Q$11:Q310,Q310),5)=0,OFFSET(装备属性!$K$1083,1+INT(COUNTA($Q$11:Q310)/5),0),N310)</f>
        <v>0.03</v>
      </c>
      <c r="O311" s="76">
        <f ca="1">IF(MOD(COUNTIF($Q$11:Q310,Q310),5)=0,OFFSET(装备属性!$L$1083,1+INT(COUNTA($Q$11:Q310)/5),0),O310)</f>
        <v>0.042</v>
      </c>
      <c r="Q311" s="89" t="str">
        <f ca="1">IF(MOD(COUNTIF($Q$11:Q310,Q310),5)=0,OFFSET(装备属性!$M$1083,1+INT(COUNTA($Q$11:Q310)/5),0),Q310)</f>
        <v>通用属性</v>
      </c>
      <c r="R311" s="83" t="e">
        <f ca="1">IF(MOD(COUNTIF($Q$11:Q310,Q310),5)=0,10000*SUBSTITUTE(SUBSTITUTE(OFFSET(装备属性!$F$1083,1+INT(COUNTA($Q$11:Q310)/5),0),"[",""),"]","")+_xlfn.XLOOKUP(C311,$M$3:$M$7,$N$3:$N$7)*100,R310)</f>
        <v>#N/A</v>
      </c>
    </row>
    <row r="312" customHeight="1" spans="1:18">
      <c r="A312" s="78" t="str">
        <f ca="1" t="shared" si="12"/>
        <v/>
      </c>
      <c r="B312" s="82" t="str">
        <f ca="1">IFERROR(R312+COUNTIFS($R$11:$R312,R312),"")</f>
        <v/>
      </c>
      <c r="C312" s="83">
        <f ca="1">IF(MOD(COUNTIF($Q$11:Q311,Q311),5)=0,OFFSET(装备属性!$D$1083,1+INT(COUNTA($Q$11:Q311)/5),0),C311)</f>
        <v>0</v>
      </c>
      <c r="D312" s="82">
        <f t="shared" si="14"/>
        <v>2500</v>
      </c>
      <c r="F312" s="82" t="str">
        <f ca="1" t="shared" si="13"/>
        <v/>
      </c>
      <c r="G312" s="78" t="str">
        <f ca="1">IF(AND(LEFT("[{"&amp;M312&amp;","&amp;CEILING(N312*10000+(O312-N312)/4*(COUNTIF($F$11:F312,F312)-1)*10000,10)&amp;"}]",7)="[{equip",MID("[{"&amp;M312&amp;","&amp;CEILING(N312*10000+(O312-N312)/4*(COUNTIF($F$11:F312,F312)-1)*10000,10)&amp;"}]",8,1)&lt;&gt;"_"),"[{"&amp;M312&amp;","&amp;1&amp;"}]","[{"&amp;M312&amp;","&amp;CEILING(N312*10000+(O312-N312)/4*(COUNTIF($F$11:F312,F312)-1)*10000,10)&amp;"}]")</f>
        <v>[{global_dmg_rate,3780}]</v>
      </c>
      <c r="H312" s="82" t="s">
        <v>563</v>
      </c>
      <c r="J312" s="78">
        <f ca="1">IF(MOD(COUNTIF($Q$11:Q311,Q311),5)=0,OFFSET(装备属性!$P$1083,1+INT(COUNTA($Q$11:Q311)/5),0),J311)</f>
        <v>2</v>
      </c>
      <c r="K312" s="83" t="str">
        <f ca="1">IF(RIGHT(G312,13)="rune_slot,1}]",_xlfn.XLOOKUP(LEFT(SUBSTITUTE(G312,"[{",""),FIND(",",SUBSTITUTE(G312,"[{",""))-1),Sheet2!B:B,Sheet2!C:C)&amp;"+"&amp;1,_xlfn.XLOOKUP(LEFT(SUBSTITUTE(G312,"[{",""),FIND(",",SUBSTITUTE(G312,"[{",""))-1),Sheet2!B:B,Sheet2!C:C)&amp;"+"&amp;SUBSTITUTE(RIGHT(G312,LEN(G312)-FIND(",",G312)),"}]","")/100&amp;"%")</f>
        <v>伤害加成+37.8%</v>
      </c>
      <c r="L312" s="83" t="str">
        <f ca="1">IF(MOD(COUNTIF($Q$11:Q311,Q311),5)=0,OFFSET(装备属性!$G$1083,1+INT(COUNTA($Q$11:Q311)/5),0),L311)</f>
        <v>全职小队Ⅰ</v>
      </c>
      <c r="M312" s="89" t="str">
        <f ca="1">IF(MOD(COUNTIF($Q$11:Q311,Q311),5)=0,OFFSET(装备属性!$H$1083,1+INT(COUNTA($Q$11:Q311)/5),0),M311)</f>
        <v>global_dmg_rate</v>
      </c>
      <c r="N312" s="76">
        <f ca="1">IF(MOD(COUNTIF($Q$11:Q311,Q311),5)=0,OFFSET(装备属性!$K$1083,1+INT(COUNTA($Q$11:Q311)/5),0),N311)</f>
        <v>0.03</v>
      </c>
      <c r="O312" s="76">
        <f ca="1">IF(MOD(COUNTIF($Q$11:Q311,Q311),5)=0,OFFSET(装备属性!$L$1083,1+INT(COUNTA($Q$11:Q311)/5),0),O311)</f>
        <v>0.042</v>
      </c>
      <c r="Q312" s="89" t="str">
        <f ca="1">IF(MOD(COUNTIF($Q$11:Q311,Q311),5)=0,OFFSET(装备属性!$M$1083,1+INT(COUNTA($Q$11:Q311)/5),0),Q311)</f>
        <v>通用属性</v>
      </c>
      <c r="R312" s="83" t="e">
        <f ca="1">IF(MOD(COUNTIF($Q$11:Q311,Q311),5)=0,10000*SUBSTITUTE(SUBSTITUTE(OFFSET(装备属性!$F$1083,1+INT(COUNTA($Q$11:Q311)/5),0),"[",""),"]","")+_xlfn.XLOOKUP(C312,$M$3:$M$7,$N$3:$N$7)*100,R311)</f>
        <v>#N/A</v>
      </c>
    </row>
    <row r="313" customHeight="1" spans="1:18">
      <c r="A313" s="78" t="str">
        <f ca="1" t="shared" si="12"/>
        <v/>
      </c>
      <c r="B313" s="82" t="str">
        <f ca="1">IFERROR(R313+COUNTIFS($R$11:$R313,R313),"")</f>
        <v/>
      </c>
      <c r="C313" s="83">
        <f ca="1">IF(MOD(COUNTIF($Q$11:Q312,Q312),5)=0,OFFSET(装备属性!$D$1083,1+INT(COUNTA($Q$11:Q312)/5),0),C312)</f>
        <v>0</v>
      </c>
      <c r="D313" s="82">
        <f t="shared" si="14"/>
        <v>2000</v>
      </c>
      <c r="F313" s="82" t="str">
        <f ca="1" t="shared" si="13"/>
        <v/>
      </c>
      <c r="G313" s="78" t="str">
        <f ca="1">IF(AND(LEFT("[{"&amp;M313&amp;","&amp;CEILING(N313*10000+(O313-N313)/4*(COUNTIF($F$11:F313,F313)-1)*10000,10)&amp;"}]",7)="[{equip",MID("[{"&amp;M313&amp;","&amp;CEILING(N313*10000+(O313-N313)/4*(COUNTIF($F$11:F313,F313)-1)*10000,10)&amp;"}]",8,1)&lt;&gt;"_"),"[{"&amp;M313&amp;","&amp;1&amp;"}]","[{"&amp;M313&amp;","&amp;CEILING(N313*10000+(O313-N313)/4*(COUNTIF($F$11:F313,F313)-1)*10000,10)&amp;"}]")</f>
        <v>[{global_dmg_rate,3810}]</v>
      </c>
      <c r="H313" s="82" t="s">
        <v>563</v>
      </c>
      <c r="J313" s="78">
        <f ca="1">IF(MOD(COUNTIF($Q$11:Q312,Q312),5)=0,OFFSET(装备属性!$P$1083,1+INT(COUNTA($Q$11:Q312)/5),0),J312)</f>
        <v>2</v>
      </c>
      <c r="K313" s="83" t="str">
        <f ca="1">IF(RIGHT(G313,13)="rune_slot,1}]",_xlfn.XLOOKUP(LEFT(SUBSTITUTE(G313,"[{",""),FIND(",",SUBSTITUTE(G313,"[{",""))-1),Sheet2!B:B,Sheet2!C:C)&amp;"+"&amp;1,_xlfn.XLOOKUP(LEFT(SUBSTITUTE(G313,"[{",""),FIND(",",SUBSTITUTE(G313,"[{",""))-1),Sheet2!B:B,Sheet2!C:C)&amp;"+"&amp;SUBSTITUTE(RIGHT(G313,LEN(G313)-FIND(",",G313)),"}]","")/100&amp;"%")</f>
        <v>伤害加成+38.1%</v>
      </c>
      <c r="L313" s="83" t="str">
        <f ca="1">IF(MOD(COUNTIF($Q$11:Q312,Q312),5)=0,OFFSET(装备属性!$G$1083,1+INT(COUNTA($Q$11:Q312)/5),0),L312)</f>
        <v>全职小队Ⅰ</v>
      </c>
      <c r="M313" s="89" t="str">
        <f ca="1">IF(MOD(COUNTIF($Q$11:Q312,Q312),5)=0,OFFSET(装备属性!$H$1083,1+INT(COUNTA($Q$11:Q312)/5),0),M312)</f>
        <v>global_dmg_rate</v>
      </c>
      <c r="N313" s="76">
        <f ca="1">IF(MOD(COUNTIF($Q$11:Q312,Q312),5)=0,OFFSET(装备属性!$K$1083,1+INT(COUNTA($Q$11:Q312)/5),0),N312)</f>
        <v>0.03</v>
      </c>
      <c r="O313" s="76">
        <f ca="1">IF(MOD(COUNTIF($Q$11:Q312,Q312),5)=0,OFFSET(装备属性!$L$1083,1+INT(COUNTA($Q$11:Q312)/5),0),O312)</f>
        <v>0.042</v>
      </c>
      <c r="Q313" s="89" t="str">
        <f ca="1">IF(MOD(COUNTIF($Q$11:Q312,Q312),5)=0,OFFSET(装备属性!$M$1083,1+INT(COUNTA($Q$11:Q312)/5),0),Q312)</f>
        <v>通用属性</v>
      </c>
      <c r="R313" s="83" t="e">
        <f ca="1">IF(MOD(COUNTIF($Q$11:Q312,Q312),5)=0,10000*SUBSTITUTE(SUBSTITUTE(OFFSET(装备属性!$F$1083,1+INT(COUNTA($Q$11:Q312)/5),0),"[",""),"]","")+_xlfn.XLOOKUP(C313,$M$3:$M$7,$N$3:$N$7)*100,R312)</f>
        <v>#N/A</v>
      </c>
    </row>
    <row r="314" customHeight="1" spans="1:18">
      <c r="A314" s="78" t="str">
        <f ca="1" t="shared" si="12"/>
        <v/>
      </c>
      <c r="B314" s="82" t="str">
        <f ca="1">IFERROR(R314+COUNTIFS($R$11:$R314,R314),"")</f>
        <v/>
      </c>
      <c r="C314" s="83">
        <f ca="1">IF(MOD(COUNTIF($Q$11:Q313,Q313),5)=0,OFFSET(装备属性!$D$1083,1+INT(COUNTA($Q$11:Q313)/5),0),C313)</f>
        <v>0</v>
      </c>
      <c r="D314" s="82">
        <f t="shared" si="14"/>
        <v>1500</v>
      </c>
      <c r="F314" s="82" t="str">
        <f ca="1" t="shared" si="13"/>
        <v/>
      </c>
      <c r="G314" s="78" t="str">
        <f ca="1">IF(AND(LEFT("[{"&amp;M314&amp;","&amp;CEILING(N314*10000+(O314-N314)/4*(COUNTIF($F$11:F314,F314)-1)*10000,10)&amp;"}]",7)="[{equip",MID("[{"&amp;M314&amp;","&amp;CEILING(N314*10000+(O314-N314)/4*(COUNTIF($F$11:F314,F314)-1)*10000,10)&amp;"}]",8,1)&lt;&gt;"_"),"[{"&amp;M314&amp;","&amp;1&amp;"}]","[{"&amp;M314&amp;","&amp;CEILING(N314*10000+(O314-N314)/4*(COUNTIF($F$11:F314,F314)-1)*10000,10)&amp;"}]")</f>
        <v>[{global_dmg_rate,3840}]</v>
      </c>
      <c r="H314" s="82" t="s">
        <v>563</v>
      </c>
      <c r="J314" s="78">
        <f ca="1">IF(MOD(COUNTIF($Q$11:Q313,Q313),5)=0,OFFSET(装备属性!$P$1083,1+INT(COUNTA($Q$11:Q313)/5),0),J313)</f>
        <v>2</v>
      </c>
      <c r="K314" s="83" t="str">
        <f ca="1">IF(RIGHT(G314,13)="rune_slot,1}]",_xlfn.XLOOKUP(LEFT(SUBSTITUTE(G314,"[{",""),FIND(",",SUBSTITUTE(G314,"[{",""))-1),Sheet2!B:B,Sheet2!C:C)&amp;"+"&amp;1,_xlfn.XLOOKUP(LEFT(SUBSTITUTE(G314,"[{",""),FIND(",",SUBSTITUTE(G314,"[{",""))-1),Sheet2!B:B,Sheet2!C:C)&amp;"+"&amp;SUBSTITUTE(RIGHT(G314,LEN(G314)-FIND(",",G314)),"}]","")/100&amp;"%")</f>
        <v>伤害加成+38.4%</v>
      </c>
      <c r="L314" s="83" t="str">
        <f ca="1">IF(MOD(COUNTIF($Q$11:Q313,Q313),5)=0,OFFSET(装备属性!$G$1083,1+INT(COUNTA($Q$11:Q313)/5),0),L313)</f>
        <v>全职小队Ⅰ</v>
      </c>
      <c r="M314" s="89" t="str">
        <f ca="1">IF(MOD(COUNTIF($Q$11:Q313,Q313),5)=0,OFFSET(装备属性!$H$1083,1+INT(COUNTA($Q$11:Q313)/5),0),M313)</f>
        <v>global_dmg_rate</v>
      </c>
      <c r="N314" s="76">
        <f ca="1">IF(MOD(COUNTIF($Q$11:Q313,Q313),5)=0,OFFSET(装备属性!$K$1083,1+INT(COUNTA($Q$11:Q313)/5),0),N313)</f>
        <v>0.03</v>
      </c>
      <c r="O314" s="76">
        <f ca="1">IF(MOD(COUNTIF($Q$11:Q313,Q313),5)=0,OFFSET(装备属性!$L$1083,1+INT(COUNTA($Q$11:Q313)/5),0),O313)</f>
        <v>0.042</v>
      </c>
      <c r="Q314" s="89" t="str">
        <f ca="1">IF(MOD(COUNTIF($Q$11:Q313,Q313),5)=0,OFFSET(装备属性!$M$1083,1+INT(COUNTA($Q$11:Q313)/5),0),Q313)</f>
        <v>通用属性</v>
      </c>
      <c r="R314" s="83" t="e">
        <f ca="1">IF(MOD(COUNTIF($Q$11:Q313,Q313),5)=0,10000*SUBSTITUTE(SUBSTITUTE(OFFSET(装备属性!$F$1083,1+INT(COUNTA($Q$11:Q313)/5),0),"[",""),"]","")+_xlfn.XLOOKUP(C314,$M$3:$M$7,$N$3:$N$7)*100,R313)</f>
        <v>#N/A</v>
      </c>
    </row>
    <row r="315" customHeight="1" spans="1:18">
      <c r="A315" s="78" t="str">
        <f ca="1" t="shared" si="12"/>
        <v/>
      </c>
      <c r="B315" s="82" t="str">
        <f ca="1">IFERROR(R315+COUNTIFS($R$11:$R315,R315),"")</f>
        <v/>
      </c>
      <c r="C315" s="83">
        <f ca="1">IF(MOD(COUNTIF($Q$11:Q314,Q314),5)=0,OFFSET(装备属性!$D$1083,1+INT(COUNTA($Q$11:Q314)/5),0),C314)</f>
        <v>0</v>
      </c>
      <c r="D315" s="82">
        <f t="shared" si="14"/>
        <v>1000</v>
      </c>
      <c r="F315" s="82" t="str">
        <f ca="1" t="shared" si="13"/>
        <v/>
      </c>
      <c r="G315" s="78" t="str">
        <f ca="1">IF(AND(LEFT("[{"&amp;M315&amp;","&amp;CEILING(N315*10000+(O315-N315)/4*(COUNTIF($F$11:F315,F315)-1)*10000,10)&amp;"}]",7)="[{equip",MID("[{"&amp;M315&amp;","&amp;CEILING(N315*10000+(O315-N315)/4*(COUNTIF($F$11:F315,F315)-1)*10000,10)&amp;"}]",8,1)&lt;&gt;"_"),"[{"&amp;M315&amp;","&amp;1&amp;"}]","[{"&amp;M315&amp;","&amp;CEILING(N315*10000+(O315-N315)/4*(COUNTIF($F$11:F315,F315)-1)*10000,10)&amp;"}]")</f>
        <v>[{global_dmg_rate,3870}]</v>
      </c>
      <c r="H315" s="82" t="s">
        <v>563</v>
      </c>
      <c r="J315" s="78">
        <f ca="1">IF(MOD(COUNTIF($Q$11:Q314,Q314),5)=0,OFFSET(装备属性!$P$1083,1+INT(COUNTA($Q$11:Q314)/5),0),J314)</f>
        <v>2</v>
      </c>
      <c r="K315" s="83" t="str">
        <f ca="1">IF(RIGHT(G315,13)="rune_slot,1}]",_xlfn.XLOOKUP(LEFT(SUBSTITUTE(G315,"[{",""),FIND(",",SUBSTITUTE(G315,"[{",""))-1),Sheet2!B:B,Sheet2!C:C)&amp;"+"&amp;1,_xlfn.XLOOKUP(LEFT(SUBSTITUTE(G315,"[{",""),FIND(",",SUBSTITUTE(G315,"[{",""))-1),Sheet2!B:B,Sheet2!C:C)&amp;"+"&amp;SUBSTITUTE(RIGHT(G315,LEN(G315)-FIND(",",G315)),"}]","")/100&amp;"%")</f>
        <v>伤害加成+38.7%</v>
      </c>
      <c r="L315" s="83" t="str">
        <f ca="1">IF(MOD(COUNTIF($Q$11:Q314,Q314),5)=0,OFFSET(装备属性!$G$1083,1+INT(COUNTA($Q$11:Q314)/5),0),L314)</f>
        <v>全职小队Ⅰ</v>
      </c>
      <c r="M315" s="89" t="str">
        <f ca="1">IF(MOD(COUNTIF($Q$11:Q314,Q314),5)=0,OFFSET(装备属性!$H$1083,1+INT(COUNTA($Q$11:Q314)/5),0),M314)</f>
        <v>global_dmg_rate</v>
      </c>
      <c r="N315" s="76">
        <f ca="1">IF(MOD(COUNTIF($Q$11:Q314,Q314),5)=0,OFFSET(装备属性!$K$1083,1+INT(COUNTA($Q$11:Q314)/5),0),N314)</f>
        <v>0.03</v>
      </c>
      <c r="O315" s="76">
        <f ca="1">IF(MOD(COUNTIF($Q$11:Q314,Q314),5)=0,OFFSET(装备属性!$L$1083,1+INT(COUNTA($Q$11:Q314)/5),0),O314)</f>
        <v>0.042</v>
      </c>
      <c r="Q315" s="89" t="str">
        <f ca="1">IF(MOD(COUNTIF($Q$11:Q314,Q314),5)=0,OFFSET(装备属性!$M$1083,1+INT(COUNTA($Q$11:Q314)/5),0),Q314)</f>
        <v>通用属性</v>
      </c>
      <c r="R315" s="83" t="e">
        <f ca="1">IF(MOD(COUNTIF($Q$11:Q314,Q314),5)=0,10000*SUBSTITUTE(SUBSTITUTE(OFFSET(装备属性!$F$1083,1+INT(COUNTA($Q$11:Q314)/5),0),"[",""),"]","")+_xlfn.XLOOKUP(C315,$M$3:$M$7,$N$3:$N$7)*100,R314)</f>
        <v>#N/A</v>
      </c>
    </row>
    <row r="316" customHeight="1" spans="1:18">
      <c r="A316" s="78">
        <f ca="1" t="shared" si="12"/>
        <v>20401</v>
      </c>
      <c r="B316" s="82">
        <f ca="1">IFERROR(R316+COUNTIFS($R$11:$R316,R316),"")</f>
        <v>20401</v>
      </c>
      <c r="C316" s="83" t="str">
        <f ca="1">IF(MOD(COUNTIF($Q$11:Q315,Q315),5)=0,OFFSET(装备属性!$D$1083,1+INT(COUNTA($Q$11:Q315)/5),0),C315)</f>
        <v>紫</v>
      </c>
      <c r="D316" s="82">
        <f t="shared" si="14"/>
        <v>3000</v>
      </c>
      <c r="F316" s="82">
        <f ca="1" t="shared" si="13"/>
        <v>20400</v>
      </c>
      <c r="G316" s="78" t="str">
        <f ca="1">IF(AND(LEFT("[{"&amp;M316&amp;","&amp;CEILING(N316*10000+(O316-N316)/4*(COUNTIF($F$11:F316,F316)-1)*10000,10)&amp;"}]",7)="[{equip",MID("[{"&amp;M316&amp;","&amp;CEILING(N316*10000+(O316-N316)/4*(COUNTIF($F$11:F316,F316)-1)*10000,10)&amp;"}]",8,1)&lt;&gt;"_"),"[{"&amp;M316&amp;","&amp;1&amp;"}]","[{"&amp;M316&amp;","&amp;CEILING(N316*10000+(O316-N316)/4*(COUNTIF($F$11:F316,F316)-1)*10000,10)&amp;"}]")</f>
        <v>[{dmg_red_rate,100}]</v>
      </c>
      <c r="H316" s="82" t="s">
        <v>563</v>
      </c>
      <c r="J316" s="78">
        <f ca="1">IF(MOD(COUNTIF($Q$11:Q315,Q315),5)=0,OFFSET(装备属性!$P$1083,1+INT(COUNTA($Q$11:Q315)/5),0),J315)</f>
        <v>6</v>
      </c>
      <c r="K316" s="83" t="str">
        <f ca="1">IF(RIGHT(G316,13)="rune_slot,1}]",_xlfn.XLOOKUP(LEFT(SUBSTITUTE(G316,"[{",""),FIND(",",SUBSTITUTE(G316,"[{",""))-1),Sheet2!B:B,Sheet2!C:C)&amp;"+"&amp;1,_xlfn.XLOOKUP(LEFT(SUBSTITUTE(G316,"[{",""),FIND(",",SUBSTITUTE(G316,"[{",""))-1),Sheet2!B:B,Sheet2!C:C)&amp;"+"&amp;SUBSTITUTE(RIGHT(G316,LEN(G316)-FIND(",",G316)),"}]","")/100&amp;"%")</f>
        <v>伤害减免+1%</v>
      </c>
      <c r="L316" s="83" t="str">
        <f ca="1">IF(MOD(COUNTIF($Q$11:Q315,Q315),5)=0,OFFSET(装备属性!$G$1083,1+INT(COUNTA($Q$11:Q315)/5),0),L315)</f>
        <v>全员抗揍Ⅰ</v>
      </c>
      <c r="M316" s="89" t="str">
        <f ca="1">IF(MOD(COUNTIF($Q$11:Q315,Q315),5)=0,OFFSET(装备属性!$H$1083,1+INT(COUNTA($Q$11:Q315)/5),0),M315)</f>
        <v>dmg_red_rate</v>
      </c>
      <c r="N316" s="76">
        <f ca="1">IF(MOD(COUNTIF($Q$11:Q315,Q315),5)=0,OFFSET(装备属性!$K$1083,1+INT(COUNTA($Q$11:Q315)/5),0),N315)</f>
        <v>0.01</v>
      </c>
      <c r="O316" s="76">
        <f ca="1">IF(MOD(COUNTIF($Q$11:Q315,Q315),5)=0,OFFSET(装备属性!$L$1083,1+INT(COUNTA($Q$11:Q315)/5),0),O315)</f>
        <v>0.014</v>
      </c>
      <c r="Q316" s="89" t="str">
        <f ca="1">IF(MOD(COUNTIF($Q$11:Q315,Q315),5)=0,OFFSET(装备属性!$M$1083,1+INT(COUNTA($Q$11:Q315)/5),0),Q315)</f>
        <v>通用属性</v>
      </c>
      <c r="R316" s="83">
        <f ca="1">IF(MOD(COUNTIF($Q$11:Q315,Q315),5)=0,10000*SUBSTITUTE(SUBSTITUTE(OFFSET(装备属性!$F$1083,1+INT(COUNTA($Q$11:Q315)/5),0),"[",""),"]","")+_xlfn.XLOOKUP(C316,$M$3:$M$7,$N$3:$N$7)*100,R315)</f>
        <v>20400</v>
      </c>
    </row>
    <row r="317" customHeight="1" spans="1:18">
      <c r="A317" s="78">
        <f ca="1" t="shared" si="12"/>
        <v>20401</v>
      </c>
      <c r="B317" s="82">
        <f ca="1">IFERROR(R317+COUNTIFS($R$11:$R317,R317),"")</f>
        <v>20402</v>
      </c>
      <c r="C317" s="83" t="str">
        <f ca="1">IF(MOD(COUNTIF($Q$11:Q316,Q316),5)=0,OFFSET(装备属性!$D$1083,1+INT(COUNTA($Q$11:Q316)/5),0),C316)</f>
        <v>紫</v>
      </c>
      <c r="D317" s="82">
        <f t="shared" si="14"/>
        <v>2500</v>
      </c>
      <c r="F317" s="82">
        <f ca="1" t="shared" si="13"/>
        <v>20400</v>
      </c>
      <c r="G317" s="78" t="str">
        <f ca="1">IF(AND(LEFT("[{"&amp;M317&amp;","&amp;CEILING(N317*10000+(O317-N317)/4*(COUNTIF($F$11:F317,F317)-1)*10000,10)&amp;"}]",7)="[{equip",MID("[{"&amp;M317&amp;","&amp;CEILING(N317*10000+(O317-N317)/4*(COUNTIF($F$11:F317,F317)-1)*10000,10)&amp;"}]",8,1)&lt;&gt;"_"),"[{"&amp;M317&amp;","&amp;1&amp;"}]","[{"&amp;M317&amp;","&amp;CEILING(N317*10000+(O317-N317)/4*(COUNTIF($F$11:F317,F317)-1)*10000,10)&amp;"}]")</f>
        <v>[{dmg_red_rate,110}]</v>
      </c>
      <c r="H317" s="82" t="s">
        <v>563</v>
      </c>
      <c r="J317" s="78">
        <f ca="1">IF(MOD(COUNTIF($Q$11:Q316,Q316),5)=0,OFFSET(装备属性!$P$1083,1+INT(COUNTA($Q$11:Q316)/5),0),J316)</f>
        <v>6</v>
      </c>
      <c r="K317" s="83" t="str">
        <f ca="1">IF(RIGHT(G317,13)="rune_slot,1}]",_xlfn.XLOOKUP(LEFT(SUBSTITUTE(G317,"[{",""),FIND(",",SUBSTITUTE(G317,"[{",""))-1),Sheet2!B:B,Sheet2!C:C)&amp;"+"&amp;1,_xlfn.XLOOKUP(LEFT(SUBSTITUTE(G317,"[{",""),FIND(",",SUBSTITUTE(G317,"[{",""))-1),Sheet2!B:B,Sheet2!C:C)&amp;"+"&amp;SUBSTITUTE(RIGHT(G317,LEN(G317)-FIND(",",G317)),"}]","")/100&amp;"%")</f>
        <v>伤害减免+1.1%</v>
      </c>
      <c r="L317" s="83" t="str">
        <f ca="1">IF(MOD(COUNTIF($Q$11:Q316,Q316),5)=0,OFFSET(装备属性!$G$1083,1+INT(COUNTA($Q$11:Q316)/5),0),L316)</f>
        <v>全员抗揍Ⅰ</v>
      </c>
      <c r="M317" s="89" t="str">
        <f ca="1">IF(MOD(COUNTIF($Q$11:Q316,Q316),5)=0,OFFSET(装备属性!$H$1083,1+INT(COUNTA($Q$11:Q316)/5),0),M316)</f>
        <v>dmg_red_rate</v>
      </c>
      <c r="N317" s="76">
        <f ca="1">IF(MOD(COUNTIF($Q$11:Q316,Q316),5)=0,OFFSET(装备属性!$K$1083,1+INT(COUNTA($Q$11:Q316)/5),0),N316)</f>
        <v>0.01</v>
      </c>
      <c r="O317" s="76">
        <f ca="1">IF(MOD(COUNTIF($Q$11:Q316,Q316),5)=0,OFFSET(装备属性!$L$1083,1+INT(COUNTA($Q$11:Q316)/5),0),O316)</f>
        <v>0.014</v>
      </c>
      <c r="Q317" s="89" t="str">
        <f ca="1">IF(MOD(COUNTIF($Q$11:Q316,Q316),5)=0,OFFSET(装备属性!$M$1083,1+INT(COUNTA($Q$11:Q316)/5),0),Q316)</f>
        <v>通用属性</v>
      </c>
      <c r="R317" s="83">
        <f ca="1">IF(MOD(COUNTIF($Q$11:Q316,Q316),5)=0,10000*SUBSTITUTE(SUBSTITUTE(OFFSET(装备属性!$F$1083,1+INT(COUNTA($Q$11:Q316)/5),0),"[",""),"]","")+_xlfn.XLOOKUP(C317,$M$3:$M$7,$N$3:$N$7)*100,R316)</f>
        <v>20400</v>
      </c>
    </row>
    <row r="318" customHeight="1" spans="1:18">
      <c r="A318" s="78">
        <f ca="1" t="shared" si="12"/>
        <v>20401</v>
      </c>
      <c r="B318" s="82">
        <f ca="1">IFERROR(R318+COUNTIFS($R$11:$R318,R318),"")</f>
        <v>20403</v>
      </c>
      <c r="C318" s="83" t="str">
        <f ca="1">IF(MOD(COUNTIF($Q$11:Q317,Q317),5)=0,OFFSET(装备属性!$D$1083,1+INT(COUNTA($Q$11:Q317)/5),0),C317)</f>
        <v>紫</v>
      </c>
      <c r="D318" s="82">
        <f t="shared" si="14"/>
        <v>2000</v>
      </c>
      <c r="F318" s="82">
        <f ca="1" t="shared" si="13"/>
        <v>20400</v>
      </c>
      <c r="G318" s="78" t="str">
        <f ca="1">IF(AND(LEFT("[{"&amp;M318&amp;","&amp;CEILING(N318*10000+(O318-N318)/4*(COUNTIF($F$11:F318,F318)-1)*10000,10)&amp;"}]",7)="[{equip",MID("[{"&amp;M318&amp;","&amp;CEILING(N318*10000+(O318-N318)/4*(COUNTIF($F$11:F318,F318)-1)*10000,10)&amp;"}]",8,1)&lt;&gt;"_"),"[{"&amp;M318&amp;","&amp;1&amp;"}]","[{"&amp;M318&amp;","&amp;CEILING(N318*10000+(O318-N318)/4*(COUNTIF($F$11:F318,F318)-1)*10000,10)&amp;"}]")</f>
        <v>[{dmg_red_rate,120}]</v>
      </c>
      <c r="H318" s="82" t="s">
        <v>563</v>
      </c>
      <c r="J318" s="78">
        <f ca="1">IF(MOD(COUNTIF($Q$11:Q317,Q317),5)=0,OFFSET(装备属性!$P$1083,1+INT(COUNTA($Q$11:Q317)/5),0),J317)</f>
        <v>6</v>
      </c>
      <c r="K318" s="83" t="str">
        <f ca="1">IF(RIGHT(G318,13)="rune_slot,1}]",_xlfn.XLOOKUP(LEFT(SUBSTITUTE(G318,"[{",""),FIND(",",SUBSTITUTE(G318,"[{",""))-1),Sheet2!B:B,Sheet2!C:C)&amp;"+"&amp;1,_xlfn.XLOOKUP(LEFT(SUBSTITUTE(G318,"[{",""),FIND(",",SUBSTITUTE(G318,"[{",""))-1),Sheet2!B:B,Sheet2!C:C)&amp;"+"&amp;SUBSTITUTE(RIGHT(G318,LEN(G318)-FIND(",",G318)),"}]","")/100&amp;"%")</f>
        <v>伤害减免+1.2%</v>
      </c>
      <c r="L318" s="83" t="str">
        <f ca="1">IF(MOD(COUNTIF($Q$11:Q317,Q317),5)=0,OFFSET(装备属性!$G$1083,1+INT(COUNTA($Q$11:Q317)/5),0),L317)</f>
        <v>全员抗揍Ⅰ</v>
      </c>
      <c r="M318" s="89" t="str">
        <f ca="1">IF(MOD(COUNTIF($Q$11:Q317,Q317),5)=0,OFFSET(装备属性!$H$1083,1+INT(COUNTA($Q$11:Q317)/5),0),M317)</f>
        <v>dmg_red_rate</v>
      </c>
      <c r="N318" s="76">
        <f ca="1">IF(MOD(COUNTIF($Q$11:Q317,Q317),5)=0,OFFSET(装备属性!$K$1083,1+INT(COUNTA($Q$11:Q317)/5),0),N317)</f>
        <v>0.01</v>
      </c>
      <c r="O318" s="76">
        <f ca="1">IF(MOD(COUNTIF($Q$11:Q317,Q317),5)=0,OFFSET(装备属性!$L$1083,1+INT(COUNTA($Q$11:Q317)/5),0),O317)</f>
        <v>0.014</v>
      </c>
      <c r="Q318" s="89" t="str">
        <f ca="1">IF(MOD(COUNTIF($Q$11:Q317,Q317),5)=0,OFFSET(装备属性!$M$1083,1+INT(COUNTA($Q$11:Q317)/5),0),Q317)</f>
        <v>通用属性</v>
      </c>
      <c r="R318" s="83">
        <f ca="1">IF(MOD(COUNTIF($Q$11:Q317,Q317),5)=0,10000*SUBSTITUTE(SUBSTITUTE(OFFSET(装备属性!$F$1083,1+INT(COUNTA($Q$11:Q317)/5),0),"[",""),"]","")+_xlfn.XLOOKUP(C318,$M$3:$M$7,$N$3:$N$7)*100,R317)</f>
        <v>20400</v>
      </c>
    </row>
    <row r="319" customHeight="1" spans="1:18">
      <c r="A319" s="78">
        <f ca="1" t="shared" si="12"/>
        <v>20401</v>
      </c>
      <c r="B319" s="82">
        <f ca="1">IFERROR(R319+COUNTIFS($R$11:$R319,R319),"")</f>
        <v>20404</v>
      </c>
      <c r="C319" s="83" t="str">
        <f ca="1">IF(MOD(COUNTIF($Q$11:Q318,Q318),5)=0,OFFSET(装备属性!$D$1083,1+INT(COUNTA($Q$11:Q318)/5),0),C318)</f>
        <v>紫</v>
      </c>
      <c r="D319" s="82">
        <f t="shared" si="14"/>
        <v>1500</v>
      </c>
      <c r="F319" s="82">
        <f ca="1" t="shared" si="13"/>
        <v>20400</v>
      </c>
      <c r="G319" s="78" t="str">
        <f ca="1">IF(AND(LEFT("[{"&amp;M319&amp;","&amp;CEILING(N319*10000+(O319-N319)/4*(COUNTIF($F$11:F319,F319)-1)*10000,10)&amp;"}]",7)="[{equip",MID("[{"&amp;M319&amp;","&amp;CEILING(N319*10000+(O319-N319)/4*(COUNTIF($F$11:F319,F319)-1)*10000,10)&amp;"}]",8,1)&lt;&gt;"_"),"[{"&amp;M319&amp;","&amp;1&amp;"}]","[{"&amp;M319&amp;","&amp;CEILING(N319*10000+(O319-N319)/4*(COUNTIF($F$11:F319,F319)-1)*10000,10)&amp;"}]")</f>
        <v>[{dmg_red_rate,130}]</v>
      </c>
      <c r="H319" s="82" t="s">
        <v>563</v>
      </c>
      <c r="J319" s="78">
        <f ca="1">IF(MOD(COUNTIF($Q$11:Q318,Q318),5)=0,OFFSET(装备属性!$P$1083,1+INT(COUNTA($Q$11:Q318)/5),0),J318)</f>
        <v>6</v>
      </c>
      <c r="K319" s="83" t="str">
        <f ca="1">IF(RIGHT(G319,13)="rune_slot,1}]",_xlfn.XLOOKUP(LEFT(SUBSTITUTE(G319,"[{",""),FIND(",",SUBSTITUTE(G319,"[{",""))-1),Sheet2!B:B,Sheet2!C:C)&amp;"+"&amp;1,_xlfn.XLOOKUP(LEFT(SUBSTITUTE(G319,"[{",""),FIND(",",SUBSTITUTE(G319,"[{",""))-1),Sheet2!B:B,Sheet2!C:C)&amp;"+"&amp;SUBSTITUTE(RIGHT(G319,LEN(G319)-FIND(",",G319)),"}]","")/100&amp;"%")</f>
        <v>伤害减免+1.3%</v>
      </c>
      <c r="L319" s="83" t="str">
        <f ca="1">IF(MOD(COUNTIF($Q$11:Q318,Q318),5)=0,OFFSET(装备属性!$G$1083,1+INT(COUNTA($Q$11:Q318)/5),0),L318)</f>
        <v>全员抗揍Ⅰ</v>
      </c>
      <c r="M319" s="89" t="str">
        <f ca="1">IF(MOD(COUNTIF($Q$11:Q318,Q318),5)=0,OFFSET(装备属性!$H$1083,1+INT(COUNTA($Q$11:Q318)/5),0),M318)</f>
        <v>dmg_red_rate</v>
      </c>
      <c r="N319" s="76">
        <f ca="1">IF(MOD(COUNTIF($Q$11:Q318,Q318),5)=0,OFFSET(装备属性!$K$1083,1+INT(COUNTA($Q$11:Q318)/5),0),N318)</f>
        <v>0.01</v>
      </c>
      <c r="O319" s="76">
        <f ca="1">IF(MOD(COUNTIF($Q$11:Q318,Q318),5)=0,OFFSET(装备属性!$L$1083,1+INT(COUNTA($Q$11:Q318)/5),0),O318)</f>
        <v>0.014</v>
      </c>
      <c r="Q319" s="89" t="str">
        <f ca="1">IF(MOD(COUNTIF($Q$11:Q318,Q318),5)=0,OFFSET(装备属性!$M$1083,1+INT(COUNTA($Q$11:Q318)/5),0),Q318)</f>
        <v>通用属性</v>
      </c>
      <c r="R319" s="83">
        <f ca="1">IF(MOD(COUNTIF($Q$11:Q318,Q318),5)=0,10000*SUBSTITUTE(SUBSTITUTE(OFFSET(装备属性!$F$1083,1+INT(COUNTA($Q$11:Q318)/5),0),"[",""),"]","")+_xlfn.XLOOKUP(C319,$M$3:$M$7,$N$3:$N$7)*100,R318)</f>
        <v>20400</v>
      </c>
    </row>
    <row r="320" customHeight="1" spans="1:18">
      <c r="A320" s="78">
        <f ca="1" t="shared" si="12"/>
        <v>20401</v>
      </c>
      <c r="B320" s="82">
        <f ca="1">IFERROR(R320+COUNTIFS($R$11:$R320,R320),"")</f>
        <v>20405</v>
      </c>
      <c r="C320" s="83" t="str">
        <f ca="1">IF(MOD(COUNTIF($Q$11:Q319,Q319),5)=0,OFFSET(装备属性!$D$1083,1+INT(COUNTA($Q$11:Q319)/5),0),C319)</f>
        <v>紫</v>
      </c>
      <c r="D320" s="82">
        <f t="shared" si="14"/>
        <v>1000</v>
      </c>
      <c r="F320" s="82">
        <f ca="1" t="shared" si="13"/>
        <v>20400</v>
      </c>
      <c r="G320" s="78" t="str">
        <f ca="1">IF(AND(LEFT("[{"&amp;M320&amp;","&amp;CEILING(N320*10000+(O320-N320)/4*(COUNTIF($F$11:F320,F320)-1)*10000,10)&amp;"}]",7)="[{equip",MID("[{"&amp;M320&amp;","&amp;CEILING(N320*10000+(O320-N320)/4*(COUNTIF($F$11:F320,F320)-1)*10000,10)&amp;"}]",8,1)&lt;&gt;"_"),"[{"&amp;M320&amp;","&amp;1&amp;"}]","[{"&amp;M320&amp;","&amp;CEILING(N320*10000+(O320-N320)/4*(COUNTIF($F$11:F320,F320)-1)*10000,10)&amp;"}]")</f>
        <v>[{dmg_red_rate,140}]</v>
      </c>
      <c r="H320" s="82" t="s">
        <v>563</v>
      </c>
      <c r="J320" s="78">
        <f ca="1">IF(MOD(COUNTIF($Q$11:Q319,Q319),5)=0,OFFSET(装备属性!$P$1083,1+INT(COUNTA($Q$11:Q319)/5),0),J319)</f>
        <v>6</v>
      </c>
      <c r="K320" s="83" t="str">
        <f ca="1">IF(RIGHT(G320,13)="rune_slot,1}]",_xlfn.XLOOKUP(LEFT(SUBSTITUTE(G320,"[{",""),FIND(",",SUBSTITUTE(G320,"[{",""))-1),Sheet2!B:B,Sheet2!C:C)&amp;"+"&amp;1,_xlfn.XLOOKUP(LEFT(SUBSTITUTE(G320,"[{",""),FIND(",",SUBSTITUTE(G320,"[{",""))-1),Sheet2!B:B,Sheet2!C:C)&amp;"+"&amp;SUBSTITUTE(RIGHT(G320,LEN(G320)-FIND(",",G320)),"}]","")/100&amp;"%")</f>
        <v>伤害减免+1.4%</v>
      </c>
      <c r="L320" s="83" t="str">
        <f ca="1">IF(MOD(COUNTIF($Q$11:Q319,Q319),5)=0,OFFSET(装备属性!$G$1083,1+INT(COUNTA($Q$11:Q319)/5),0),L319)</f>
        <v>全员抗揍Ⅰ</v>
      </c>
      <c r="M320" s="89" t="str">
        <f ca="1">IF(MOD(COUNTIF($Q$11:Q319,Q319),5)=0,OFFSET(装备属性!$H$1083,1+INT(COUNTA($Q$11:Q319)/5),0),M319)</f>
        <v>dmg_red_rate</v>
      </c>
      <c r="N320" s="76">
        <f ca="1">IF(MOD(COUNTIF($Q$11:Q319,Q319),5)=0,OFFSET(装备属性!$K$1083,1+INT(COUNTA($Q$11:Q319)/5),0),N319)</f>
        <v>0.01</v>
      </c>
      <c r="O320" s="76">
        <f ca="1">IF(MOD(COUNTIF($Q$11:Q319,Q319),5)=0,OFFSET(装备属性!$L$1083,1+INT(COUNTA($Q$11:Q319)/5),0),O319)</f>
        <v>0.014</v>
      </c>
      <c r="Q320" s="89" t="str">
        <f ca="1">IF(MOD(COUNTIF($Q$11:Q319,Q319),5)=0,OFFSET(装备属性!$M$1083,1+INT(COUNTA($Q$11:Q319)/5),0),Q319)</f>
        <v>通用属性</v>
      </c>
      <c r="R320" s="83">
        <f ca="1">IF(MOD(COUNTIF($Q$11:Q319,Q319),5)=0,10000*SUBSTITUTE(SUBSTITUTE(OFFSET(装备属性!$F$1083,1+INT(COUNTA($Q$11:Q319)/5),0),"[",""),"]","")+_xlfn.XLOOKUP(C320,$M$3:$M$7,$N$3:$N$7)*100,R319)</f>
        <v>20400</v>
      </c>
    </row>
    <row r="321" customHeight="1" spans="1:18">
      <c r="A321" s="78">
        <f ca="1" t="shared" si="12"/>
        <v>20401</v>
      </c>
      <c r="B321" s="82">
        <f ca="1">IFERROR(R321+COUNTIFS($R$11:$R321,R321),"")</f>
        <v>20406</v>
      </c>
      <c r="C321" s="83" t="str">
        <f ca="1">IF(MOD(COUNTIF($Q$11:Q320,Q320),5)=0,OFFSET(装备属性!$D$1083,1+INT(COUNTA($Q$11:Q320)/5),0),C320)</f>
        <v>紫</v>
      </c>
      <c r="D321" s="82">
        <f t="shared" si="14"/>
        <v>3000</v>
      </c>
      <c r="F321" s="82">
        <f ca="1" t="shared" si="13"/>
        <v>20401</v>
      </c>
      <c r="G321" s="78" t="str">
        <f ca="1">IF(AND(LEFT("[{"&amp;M321&amp;","&amp;CEILING(N321*10000+(O321-N321)/4*(COUNTIF($F$11:F321,F321)-1)*10000,10)&amp;"}]",7)="[{equip",MID("[{"&amp;M321&amp;","&amp;CEILING(N321*10000+(O321-N321)/4*(COUNTIF($F$11:F321,F321)-1)*10000,10)&amp;"}]",8,1)&lt;&gt;"_"),"[{"&amp;M321&amp;","&amp;1&amp;"}]","[{"&amp;M321&amp;","&amp;CEILING(N321*10000+(O321-N321)/4*(COUNTIF($F$11:F321,F321)-1)*10000,10)&amp;"}]")</f>
        <v>[{all_class_dmg,300}]</v>
      </c>
      <c r="H321" s="82" t="s">
        <v>563</v>
      </c>
      <c r="J321" s="78">
        <f ca="1">IF(MOD(COUNTIF($Q$11:Q320,Q320),5)=0,OFFSET(装备属性!$P$1083,1+INT(COUNTA($Q$11:Q320)/5),0),J320)</f>
        <v>2</v>
      </c>
      <c r="K321" s="83" t="str">
        <f ca="1">IF(RIGHT(G321,13)="rune_slot,1}]",_xlfn.XLOOKUP(LEFT(SUBSTITUTE(G321,"[{",""),FIND(",",SUBSTITUTE(G321,"[{",""))-1),Sheet2!B:B,Sheet2!C:C)&amp;"+"&amp;1,_xlfn.XLOOKUP(LEFT(SUBSTITUTE(G321,"[{",""),FIND(",",SUBSTITUTE(G321,"[{",""))-1),Sheet2!B:B,Sheet2!C:C)&amp;"+"&amp;SUBSTITUTE(RIGHT(G321,LEN(G321)-FIND(",",G321)),"}]","")/100&amp;"%")</f>
        <v>上阵五个不同职业增伤+3%</v>
      </c>
      <c r="L321" s="83" t="str">
        <f ca="1">IF(MOD(COUNTIF($Q$11:Q320,Q320),5)=0,OFFSET(装备属性!$G$1083,1+INT(COUNTA($Q$11:Q320)/5),0),L320)</f>
        <v>全员出力Ⅰ</v>
      </c>
      <c r="M321" s="89" t="str">
        <f ca="1">IF(MOD(COUNTIF($Q$11:Q320,Q320),5)=0,OFFSET(装备属性!$H$1083,1+INT(COUNTA($Q$11:Q320)/5),0),M320)</f>
        <v>all_class_dmg</v>
      </c>
      <c r="N321" s="76">
        <f ca="1">IF(MOD(COUNTIF($Q$11:Q320,Q320),5)=0,OFFSET(装备属性!$K$1083,1+INT(COUNTA($Q$11:Q320)/5),0),N320)</f>
        <v>0.03</v>
      </c>
      <c r="O321" s="76">
        <f ca="1">IF(MOD(COUNTIF($Q$11:Q320,Q320),5)=0,OFFSET(装备属性!$L$1083,1+INT(COUNTA($Q$11:Q320)/5),0),O320)</f>
        <v>0.042</v>
      </c>
      <c r="Q321" s="89" t="str">
        <f ca="1">IF(MOD(COUNTIF($Q$11:Q320,Q320),5)=0,OFFSET(装备属性!$M$1083,1+INT(COUNTA($Q$11:Q320)/5),0),Q320)</f>
        <v>通用属性</v>
      </c>
      <c r="R321" s="83">
        <f ca="1">IF(MOD(COUNTIF($Q$11:Q320,Q320),5)=0,10000*SUBSTITUTE(SUBSTITUTE(OFFSET(装备属性!$F$1083,1+INT(COUNTA($Q$11:Q320)/5),0),"[",""),"]","")+_xlfn.XLOOKUP(C321,$M$3:$M$7,$N$3:$N$7)*100,R320)</f>
        <v>20400</v>
      </c>
    </row>
    <row r="322" customHeight="1" spans="1:18">
      <c r="A322" s="78">
        <f ca="1" t="shared" si="12"/>
        <v>20401</v>
      </c>
      <c r="B322" s="82">
        <f ca="1">IFERROR(R322+COUNTIFS($R$11:$R322,R322),"")</f>
        <v>20407</v>
      </c>
      <c r="C322" s="83" t="str">
        <f ca="1">IF(MOD(COUNTIF($Q$11:Q321,Q321),5)=0,OFFSET(装备属性!$D$1083,1+INT(COUNTA($Q$11:Q321)/5),0),C321)</f>
        <v>紫</v>
      </c>
      <c r="D322" s="82">
        <f t="shared" si="14"/>
        <v>2500</v>
      </c>
      <c r="F322" s="82">
        <f ca="1" t="shared" si="13"/>
        <v>20401</v>
      </c>
      <c r="G322" s="78" t="str">
        <f ca="1">IF(AND(LEFT("[{"&amp;M322&amp;","&amp;CEILING(N322*10000+(O322-N322)/4*(COUNTIF($F$11:F322,F322)-1)*10000,10)&amp;"}]",7)="[{equip",MID("[{"&amp;M322&amp;","&amp;CEILING(N322*10000+(O322-N322)/4*(COUNTIF($F$11:F322,F322)-1)*10000,10)&amp;"}]",8,1)&lt;&gt;"_"),"[{"&amp;M322&amp;","&amp;1&amp;"}]","[{"&amp;M322&amp;","&amp;CEILING(N322*10000+(O322-N322)/4*(COUNTIF($F$11:F322,F322)-1)*10000,10)&amp;"}]")</f>
        <v>[{all_class_dmg,330}]</v>
      </c>
      <c r="H322" s="82" t="s">
        <v>563</v>
      </c>
      <c r="J322" s="78">
        <f ca="1">IF(MOD(COUNTIF($Q$11:Q321,Q321),5)=0,OFFSET(装备属性!$P$1083,1+INT(COUNTA($Q$11:Q321)/5),0),J321)</f>
        <v>2</v>
      </c>
      <c r="K322" s="83" t="str">
        <f ca="1">IF(RIGHT(G322,13)="rune_slot,1}]",_xlfn.XLOOKUP(LEFT(SUBSTITUTE(G322,"[{",""),FIND(",",SUBSTITUTE(G322,"[{",""))-1),Sheet2!B:B,Sheet2!C:C)&amp;"+"&amp;1,_xlfn.XLOOKUP(LEFT(SUBSTITUTE(G322,"[{",""),FIND(",",SUBSTITUTE(G322,"[{",""))-1),Sheet2!B:B,Sheet2!C:C)&amp;"+"&amp;SUBSTITUTE(RIGHT(G322,LEN(G322)-FIND(",",G322)),"}]","")/100&amp;"%")</f>
        <v>上阵五个不同职业增伤+3.3%</v>
      </c>
      <c r="L322" s="83" t="str">
        <f ca="1">IF(MOD(COUNTIF($Q$11:Q321,Q321),5)=0,OFFSET(装备属性!$G$1083,1+INT(COUNTA($Q$11:Q321)/5),0),L321)</f>
        <v>全员出力Ⅰ</v>
      </c>
      <c r="M322" s="89" t="str">
        <f ca="1">IF(MOD(COUNTIF($Q$11:Q321,Q321),5)=0,OFFSET(装备属性!$H$1083,1+INT(COUNTA($Q$11:Q321)/5),0),M321)</f>
        <v>all_class_dmg</v>
      </c>
      <c r="N322" s="76">
        <f ca="1">IF(MOD(COUNTIF($Q$11:Q321,Q321),5)=0,OFFSET(装备属性!$K$1083,1+INT(COUNTA($Q$11:Q321)/5),0),N321)</f>
        <v>0.03</v>
      </c>
      <c r="O322" s="76">
        <f ca="1">IF(MOD(COUNTIF($Q$11:Q321,Q321),5)=0,OFFSET(装备属性!$L$1083,1+INT(COUNTA($Q$11:Q321)/5),0),O321)</f>
        <v>0.042</v>
      </c>
      <c r="Q322" s="89" t="str">
        <f ca="1">IF(MOD(COUNTIF($Q$11:Q321,Q321),5)=0,OFFSET(装备属性!$M$1083,1+INT(COUNTA($Q$11:Q321)/5),0),Q321)</f>
        <v>通用属性</v>
      </c>
      <c r="R322" s="83">
        <f ca="1">IF(MOD(COUNTIF($Q$11:Q321,Q321),5)=0,10000*SUBSTITUTE(SUBSTITUTE(OFFSET(装备属性!$F$1083,1+INT(COUNTA($Q$11:Q321)/5),0),"[",""),"]","")+_xlfn.XLOOKUP(C322,$M$3:$M$7,$N$3:$N$7)*100,R321)</f>
        <v>20400</v>
      </c>
    </row>
    <row r="323" customHeight="1" spans="1:18">
      <c r="A323" s="78">
        <f ca="1" t="shared" si="12"/>
        <v>20401</v>
      </c>
      <c r="B323" s="82">
        <f ca="1">IFERROR(R323+COUNTIFS($R$11:$R323,R323),"")</f>
        <v>20408</v>
      </c>
      <c r="C323" s="83" t="str">
        <f ca="1">IF(MOD(COUNTIF($Q$11:Q322,Q322),5)=0,OFFSET(装备属性!$D$1083,1+INT(COUNTA($Q$11:Q322)/5),0),C322)</f>
        <v>紫</v>
      </c>
      <c r="D323" s="82">
        <f t="shared" si="14"/>
        <v>2000</v>
      </c>
      <c r="F323" s="82">
        <f ca="1" t="shared" si="13"/>
        <v>20401</v>
      </c>
      <c r="G323" s="78" t="str">
        <f ca="1">IF(AND(LEFT("[{"&amp;M323&amp;","&amp;CEILING(N323*10000+(O323-N323)/4*(COUNTIF($F$11:F323,F323)-1)*10000,10)&amp;"}]",7)="[{equip",MID("[{"&amp;M323&amp;","&amp;CEILING(N323*10000+(O323-N323)/4*(COUNTIF($F$11:F323,F323)-1)*10000,10)&amp;"}]",8,1)&lt;&gt;"_"),"[{"&amp;M323&amp;","&amp;1&amp;"}]","[{"&amp;M323&amp;","&amp;CEILING(N323*10000+(O323-N323)/4*(COUNTIF($F$11:F323,F323)-1)*10000,10)&amp;"}]")</f>
        <v>[{all_class_dmg,360}]</v>
      </c>
      <c r="H323" s="82" t="s">
        <v>563</v>
      </c>
      <c r="J323" s="78">
        <f ca="1">IF(MOD(COUNTIF($Q$11:Q322,Q322),5)=0,OFFSET(装备属性!$P$1083,1+INT(COUNTA($Q$11:Q322)/5),0),J322)</f>
        <v>2</v>
      </c>
      <c r="K323" s="83" t="str">
        <f ca="1">IF(RIGHT(G323,13)="rune_slot,1}]",_xlfn.XLOOKUP(LEFT(SUBSTITUTE(G323,"[{",""),FIND(",",SUBSTITUTE(G323,"[{",""))-1),Sheet2!B:B,Sheet2!C:C)&amp;"+"&amp;1,_xlfn.XLOOKUP(LEFT(SUBSTITUTE(G323,"[{",""),FIND(",",SUBSTITUTE(G323,"[{",""))-1),Sheet2!B:B,Sheet2!C:C)&amp;"+"&amp;SUBSTITUTE(RIGHT(G323,LEN(G323)-FIND(",",G323)),"}]","")/100&amp;"%")</f>
        <v>上阵五个不同职业增伤+3.6%</v>
      </c>
      <c r="L323" s="83" t="str">
        <f ca="1">IF(MOD(COUNTIF($Q$11:Q322,Q322),5)=0,OFFSET(装备属性!$G$1083,1+INT(COUNTA($Q$11:Q322)/5),0),L322)</f>
        <v>全员出力Ⅰ</v>
      </c>
      <c r="M323" s="89" t="str">
        <f ca="1">IF(MOD(COUNTIF($Q$11:Q322,Q322),5)=0,OFFSET(装备属性!$H$1083,1+INT(COUNTA($Q$11:Q322)/5),0),M322)</f>
        <v>all_class_dmg</v>
      </c>
      <c r="N323" s="76">
        <f ca="1">IF(MOD(COUNTIF($Q$11:Q322,Q322),5)=0,OFFSET(装备属性!$K$1083,1+INT(COUNTA($Q$11:Q322)/5),0),N322)</f>
        <v>0.03</v>
      </c>
      <c r="O323" s="76">
        <f ca="1">IF(MOD(COUNTIF($Q$11:Q322,Q322),5)=0,OFFSET(装备属性!$L$1083,1+INT(COUNTA($Q$11:Q322)/5),0),O322)</f>
        <v>0.042</v>
      </c>
      <c r="Q323" s="89" t="str">
        <f ca="1">IF(MOD(COUNTIF($Q$11:Q322,Q322),5)=0,OFFSET(装备属性!$M$1083,1+INT(COUNTA($Q$11:Q322)/5),0),Q322)</f>
        <v>通用属性</v>
      </c>
      <c r="R323" s="83">
        <f ca="1">IF(MOD(COUNTIF($Q$11:Q322,Q322),5)=0,10000*SUBSTITUTE(SUBSTITUTE(OFFSET(装备属性!$F$1083,1+INT(COUNTA($Q$11:Q322)/5),0),"[",""),"]","")+_xlfn.XLOOKUP(C323,$M$3:$M$7,$N$3:$N$7)*100,R322)</f>
        <v>20400</v>
      </c>
    </row>
    <row r="324" customHeight="1" spans="1:18">
      <c r="A324" s="78">
        <f ca="1" t="shared" si="12"/>
        <v>20401</v>
      </c>
      <c r="B324" s="82">
        <f ca="1">IFERROR(R324+COUNTIFS($R$11:$R324,R324),"")</f>
        <v>20409</v>
      </c>
      <c r="C324" s="83" t="str">
        <f ca="1">IF(MOD(COUNTIF($Q$11:Q323,Q323),5)=0,OFFSET(装备属性!$D$1083,1+INT(COUNTA($Q$11:Q323)/5),0),C323)</f>
        <v>紫</v>
      </c>
      <c r="D324" s="82">
        <f t="shared" si="14"/>
        <v>1500</v>
      </c>
      <c r="F324" s="82">
        <f ca="1" t="shared" si="13"/>
        <v>20401</v>
      </c>
      <c r="G324" s="78" t="str">
        <f ca="1">IF(AND(LEFT("[{"&amp;M324&amp;","&amp;CEILING(N324*10000+(O324-N324)/4*(COUNTIF($F$11:F324,F324)-1)*10000,10)&amp;"}]",7)="[{equip",MID("[{"&amp;M324&amp;","&amp;CEILING(N324*10000+(O324-N324)/4*(COUNTIF($F$11:F324,F324)-1)*10000,10)&amp;"}]",8,1)&lt;&gt;"_"),"[{"&amp;M324&amp;","&amp;1&amp;"}]","[{"&amp;M324&amp;","&amp;CEILING(N324*10000+(O324-N324)/4*(COUNTIF($F$11:F324,F324)-1)*10000,10)&amp;"}]")</f>
        <v>[{all_class_dmg,390}]</v>
      </c>
      <c r="H324" s="82" t="s">
        <v>563</v>
      </c>
      <c r="J324" s="78">
        <f ca="1">IF(MOD(COUNTIF($Q$11:Q323,Q323),5)=0,OFFSET(装备属性!$P$1083,1+INT(COUNTA($Q$11:Q323)/5),0),J323)</f>
        <v>2</v>
      </c>
      <c r="K324" s="83" t="str">
        <f ca="1">IF(RIGHT(G324,13)="rune_slot,1}]",_xlfn.XLOOKUP(LEFT(SUBSTITUTE(G324,"[{",""),FIND(",",SUBSTITUTE(G324,"[{",""))-1),Sheet2!B:B,Sheet2!C:C)&amp;"+"&amp;1,_xlfn.XLOOKUP(LEFT(SUBSTITUTE(G324,"[{",""),FIND(",",SUBSTITUTE(G324,"[{",""))-1),Sheet2!B:B,Sheet2!C:C)&amp;"+"&amp;SUBSTITUTE(RIGHT(G324,LEN(G324)-FIND(",",G324)),"}]","")/100&amp;"%")</f>
        <v>上阵五个不同职业增伤+3.9%</v>
      </c>
      <c r="L324" s="83" t="str">
        <f ca="1">IF(MOD(COUNTIF($Q$11:Q323,Q323),5)=0,OFFSET(装备属性!$G$1083,1+INT(COUNTA($Q$11:Q323)/5),0),L323)</f>
        <v>全员出力Ⅰ</v>
      </c>
      <c r="M324" s="89" t="str">
        <f ca="1">IF(MOD(COUNTIF($Q$11:Q323,Q323),5)=0,OFFSET(装备属性!$H$1083,1+INT(COUNTA($Q$11:Q323)/5),0),M323)</f>
        <v>all_class_dmg</v>
      </c>
      <c r="N324" s="76">
        <f ca="1">IF(MOD(COUNTIF($Q$11:Q323,Q323),5)=0,OFFSET(装备属性!$K$1083,1+INT(COUNTA($Q$11:Q323)/5),0),N323)</f>
        <v>0.03</v>
      </c>
      <c r="O324" s="76">
        <f ca="1">IF(MOD(COUNTIF($Q$11:Q323,Q323),5)=0,OFFSET(装备属性!$L$1083,1+INT(COUNTA($Q$11:Q323)/5),0),O323)</f>
        <v>0.042</v>
      </c>
      <c r="Q324" s="89" t="str">
        <f ca="1">IF(MOD(COUNTIF($Q$11:Q323,Q323),5)=0,OFFSET(装备属性!$M$1083,1+INT(COUNTA($Q$11:Q323)/5),0),Q323)</f>
        <v>通用属性</v>
      </c>
      <c r="R324" s="83">
        <f ca="1">IF(MOD(COUNTIF($Q$11:Q323,Q323),5)=0,10000*SUBSTITUTE(SUBSTITUTE(OFFSET(装备属性!$F$1083,1+INT(COUNTA($Q$11:Q323)/5),0),"[",""),"]","")+_xlfn.XLOOKUP(C324,$M$3:$M$7,$N$3:$N$7)*100,R323)</f>
        <v>20400</v>
      </c>
    </row>
    <row r="325" customHeight="1" spans="1:18">
      <c r="A325" s="78">
        <f ca="1" t="shared" si="12"/>
        <v>20401</v>
      </c>
      <c r="B325" s="82">
        <f ca="1">IFERROR(R325+COUNTIFS($R$11:$R325,R325),"")</f>
        <v>20410</v>
      </c>
      <c r="C325" s="83" t="str">
        <f ca="1">IF(MOD(COUNTIF($Q$11:Q324,Q324),5)=0,OFFSET(装备属性!$D$1083,1+INT(COUNTA($Q$11:Q324)/5),0),C324)</f>
        <v>紫</v>
      </c>
      <c r="D325" s="82">
        <f t="shared" si="14"/>
        <v>1000</v>
      </c>
      <c r="F325" s="82">
        <f ca="1" t="shared" si="13"/>
        <v>20401</v>
      </c>
      <c r="G325" s="78" t="str">
        <f ca="1">IF(AND(LEFT("[{"&amp;M325&amp;","&amp;CEILING(N325*10000+(O325-N325)/4*(COUNTIF($F$11:F325,F325)-1)*10000,10)&amp;"}]",7)="[{equip",MID("[{"&amp;M325&amp;","&amp;CEILING(N325*10000+(O325-N325)/4*(COUNTIF($F$11:F325,F325)-1)*10000,10)&amp;"}]",8,1)&lt;&gt;"_"),"[{"&amp;M325&amp;","&amp;1&amp;"}]","[{"&amp;M325&amp;","&amp;CEILING(N325*10000+(O325-N325)/4*(COUNTIF($F$11:F325,F325)-1)*10000,10)&amp;"}]")</f>
        <v>[{all_class_dmg,420}]</v>
      </c>
      <c r="H325" s="82" t="s">
        <v>563</v>
      </c>
      <c r="J325" s="78">
        <f ca="1">IF(MOD(COUNTIF($Q$11:Q324,Q324),5)=0,OFFSET(装备属性!$P$1083,1+INT(COUNTA($Q$11:Q324)/5),0),J324)</f>
        <v>2</v>
      </c>
      <c r="K325" s="83" t="str">
        <f ca="1">IF(RIGHT(G325,13)="rune_slot,1}]",_xlfn.XLOOKUP(LEFT(SUBSTITUTE(G325,"[{",""),FIND(",",SUBSTITUTE(G325,"[{",""))-1),Sheet2!B:B,Sheet2!C:C)&amp;"+"&amp;1,_xlfn.XLOOKUP(LEFT(SUBSTITUTE(G325,"[{",""),FIND(",",SUBSTITUTE(G325,"[{",""))-1),Sheet2!B:B,Sheet2!C:C)&amp;"+"&amp;SUBSTITUTE(RIGHT(G325,LEN(G325)-FIND(",",G325)),"}]","")/100&amp;"%")</f>
        <v>上阵五个不同职业增伤+4.2%</v>
      </c>
      <c r="L325" s="83" t="str">
        <f ca="1">IF(MOD(COUNTIF($Q$11:Q324,Q324),5)=0,OFFSET(装备属性!$G$1083,1+INT(COUNTA($Q$11:Q324)/5),0),L324)</f>
        <v>全员出力Ⅰ</v>
      </c>
      <c r="M325" s="89" t="str">
        <f ca="1">IF(MOD(COUNTIF($Q$11:Q324,Q324),5)=0,OFFSET(装备属性!$H$1083,1+INT(COUNTA($Q$11:Q324)/5),0),M324)</f>
        <v>all_class_dmg</v>
      </c>
      <c r="N325" s="76">
        <f ca="1">IF(MOD(COUNTIF($Q$11:Q324,Q324),5)=0,OFFSET(装备属性!$K$1083,1+INT(COUNTA($Q$11:Q324)/5),0),N324)</f>
        <v>0.03</v>
      </c>
      <c r="O325" s="76">
        <f ca="1">IF(MOD(COUNTIF($Q$11:Q324,Q324),5)=0,OFFSET(装备属性!$L$1083,1+INT(COUNTA($Q$11:Q324)/5),0),O324)</f>
        <v>0.042</v>
      </c>
      <c r="Q325" s="89" t="str">
        <f ca="1">IF(MOD(COUNTIF($Q$11:Q324,Q324),5)=0,OFFSET(装备属性!$M$1083,1+INT(COUNTA($Q$11:Q324)/5),0),Q324)</f>
        <v>通用属性</v>
      </c>
      <c r="R325" s="83">
        <f ca="1">IF(MOD(COUNTIF($Q$11:Q324,Q324),5)=0,10000*SUBSTITUTE(SUBSTITUTE(OFFSET(装备属性!$F$1083,1+INT(COUNTA($Q$11:Q324)/5),0),"[",""),"]","")+_xlfn.XLOOKUP(C325,$M$3:$M$7,$N$3:$N$7)*100,R324)</f>
        <v>20400</v>
      </c>
    </row>
    <row r="326" customHeight="1" spans="1:18">
      <c r="A326" s="78" t="str">
        <f ca="1" t="shared" si="12"/>
        <v/>
      </c>
      <c r="B326" s="82" t="str">
        <f ca="1">IFERROR(R326+COUNTIFS($R$11:$R326,R326),"")</f>
        <v/>
      </c>
      <c r="C326" s="83">
        <f ca="1">IF(MOD(COUNTIF($Q$11:Q325,Q325),5)=0,OFFSET(装备属性!$D$1083,1+INT(COUNTA($Q$11:Q325)/5),0),C325)</f>
        <v>0</v>
      </c>
      <c r="D326" s="82">
        <f t="shared" si="14"/>
        <v>3000</v>
      </c>
      <c r="F326" s="82" t="str">
        <f ca="1" t="shared" si="13"/>
        <v/>
      </c>
      <c r="G326" s="78" t="str">
        <f ca="1">IF(AND(LEFT("[{"&amp;M326&amp;","&amp;CEILING(N326*10000+(O326-N326)/4*(COUNTIF($F$11:F326,F326)-1)*10000,10)&amp;"}]",7)="[{equip",MID("[{"&amp;M326&amp;","&amp;CEILING(N326*10000+(O326-N326)/4*(COUNTIF($F$11:F326,F326)-1)*10000,10)&amp;"}]",8,1)&lt;&gt;"_"),"[{"&amp;M326&amp;","&amp;1&amp;"}]","[{"&amp;M326&amp;","&amp;CEILING(N326*10000+(O326-N326)/4*(COUNTIF($F$11:F326,F326)-1)*10000,10)&amp;"}]")</f>
        <v>[{exp_boost,2000}]</v>
      </c>
      <c r="H326" s="82" t="s">
        <v>563</v>
      </c>
      <c r="J326" s="78">
        <f ca="1">IF(MOD(COUNTIF($Q$11:Q325,Q325),5)=0,OFFSET(装备属性!$P$1083,1+INT(COUNTA($Q$11:Q325)/5),0),J325)</f>
        <v>9</v>
      </c>
      <c r="K326" s="83" t="str">
        <f ca="1">IF(RIGHT(G326,13)="rune_slot,1}]",_xlfn.XLOOKUP(LEFT(SUBSTITUTE(G326,"[{",""),FIND(",",SUBSTITUTE(G326,"[{",""))-1),Sheet2!B:B,Sheet2!C:C)&amp;"+"&amp;1,_xlfn.XLOOKUP(LEFT(SUBSTITUTE(G326,"[{",""),FIND(",",SUBSTITUTE(G326,"[{",""))-1),Sheet2!B:B,Sheet2!C:C)&amp;"+"&amp;SUBSTITUTE(RIGHT(G326,LEN(G326)-FIND(",",G326)),"}]","")/100&amp;"%")</f>
        <v>经验加成+20%</v>
      </c>
      <c r="L326" s="83" t="str">
        <f ca="1">IF(MOD(COUNTIF($Q$11:Q325,Q325),5)=0,OFFSET(装备属性!$G$1083,1+INT(COUNTA($Q$11:Q325)/5),0),L325)</f>
        <v>涨见识</v>
      </c>
      <c r="M326" s="89" t="str">
        <f ca="1">IF(MOD(COUNTIF($Q$11:Q325,Q325),5)=0,OFFSET(装备属性!$H$1083,1+INT(COUNTA($Q$11:Q325)/5),0),M325)</f>
        <v>exp_boost</v>
      </c>
      <c r="N326" s="76">
        <f ca="1">IF(MOD(COUNTIF($Q$11:Q325,Q325),5)=0,OFFSET(装备属性!$K$1083,1+INT(COUNTA($Q$11:Q325)/5),0),N325)</f>
        <v>0.2</v>
      </c>
      <c r="O326" s="76">
        <f ca="1">IF(MOD(COUNTIF($Q$11:Q325,Q325),5)=0,OFFSET(装备属性!$L$1083,1+INT(COUNTA($Q$11:Q325)/5),0),O325)</f>
        <v>0.2</v>
      </c>
      <c r="Q326" s="89" t="str">
        <f ca="1">IF(MOD(COUNTIF($Q$11:Q325,Q325),5)=0,OFFSET(装备属性!$M$1083,1+INT(COUNTA($Q$11:Q325)/5),0),Q325)</f>
        <v>稀有词条</v>
      </c>
      <c r="R326" s="83" t="e">
        <f ca="1">IF(MOD(COUNTIF($Q$11:Q325,Q325),5)=0,10000*SUBSTITUTE(SUBSTITUTE(OFFSET(装备属性!$F$1083,1+INT(COUNTA($Q$11:Q325)/5),0),"[",""),"]","")+_xlfn.XLOOKUP(C326,$M$3:$M$7,$N$3:$N$7)*100,R325)</f>
        <v>#N/A</v>
      </c>
    </row>
    <row r="327" customHeight="1" spans="1:18">
      <c r="A327" s="78" t="str">
        <f ca="1" t="shared" si="12"/>
        <v/>
      </c>
      <c r="B327" s="82" t="str">
        <f ca="1">IFERROR(R327+COUNTIFS($R$11:$R327,R327),"")</f>
        <v/>
      </c>
      <c r="C327" s="83">
        <f ca="1">IF(MOD(COUNTIF($Q$11:Q326,Q326),5)=0,OFFSET(装备属性!$D$1083,1+INT(COUNTA($Q$11:Q326)/5),0),C326)</f>
        <v>0</v>
      </c>
      <c r="D327" s="82">
        <f t="shared" si="14"/>
        <v>2500</v>
      </c>
      <c r="F327" s="82" t="str">
        <f ca="1" t="shared" si="13"/>
        <v/>
      </c>
      <c r="G327" s="78" t="str">
        <f ca="1">IF(AND(LEFT("[{"&amp;M327&amp;","&amp;CEILING(N327*10000+(O327-N327)/4*(COUNTIF($F$11:F327,F327)-1)*10000,10)&amp;"}]",7)="[{equip",MID("[{"&amp;M327&amp;","&amp;CEILING(N327*10000+(O327-N327)/4*(COUNTIF($F$11:F327,F327)-1)*10000,10)&amp;"}]",8,1)&lt;&gt;"_"),"[{"&amp;M327&amp;","&amp;1&amp;"}]","[{"&amp;M327&amp;","&amp;CEILING(N327*10000+(O327-N327)/4*(COUNTIF($F$11:F327,F327)-1)*10000,10)&amp;"}]")</f>
        <v>[{exp_boost,2000}]</v>
      </c>
      <c r="H327" s="82" t="s">
        <v>563</v>
      </c>
      <c r="J327" s="78">
        <f ca="1">IF(MOD(COUNTIF($Q$11:Q326,Q326),5)=0,OFFSET(装备属性!$P$1083,1+INT(COUNTA($Q$11:Q326)/5),0),J326)</f>
        <v>9</v>
      </c>
      <c r="K327" s="83" t="str">
        <f ca="1">IF(RIGHT(G327,13)="rune_slot,1}]",_xlfn.XLOOKUP(LEFT(SUBSTITUTE(G327,"[{",""),FIND(",",SUBSTITUTE(G327,"[{",""))-1),Sheet2!B:B,Sheet2!C:C)&amp;"+"&amp;1,_xlfn.XLOOKUP(LEFT(SUBSTITUTE(G327,"[{",""),FIND(",",SUBSTITUTE(G327,"[{",""))-1),Sheet2!B:B,Sheet2!C:C)&amp;"+"&amp;SUBSTITUTE(RIGHT(G327,LEN(G327)-FIND(",",G327)),"}]","")/100&amp;"%")</f>
        <v>经验加成+20%</v>
      </c>
      <c r="L327" s="83" t="str">
        <f ca="1">IF(MOD(COUNTIF($Q$11:Q326,Q326),5)=0,OFFSET(装备属性!$G$1083,1+INT(COUNTA($Q$11:Q326)/5),0),L326)</f>
        <v>涨见识</v>
      </c>
      <c r="M327" s="89" t="str">
        <f ca="1">IF(MOD(COUNTIF($Q$11:Q326,Q326),5)=0,OFFSET(装备属性!$H$1083,1+INT(COUNTA($Q$11:Q326)/5),0),M326)</f>
        <v>exp_boost</v>
      </c>
      <c r="N327" s="76">
        <f ca="1">IF(MOD(COUNTIF($Q$11:Q326,Q326),5)=0,OFFSET(装备属性!$K$1083,1+INT(COUNTA($Q$11:Q326)/5),0),N326)</f>
        <v>0.2</v>
      </c>
      <c r="O327" s="76">
        <f ca="1">IF(MOD(COUNTIF($Q$11:Q326,Q326),5)=0,OFFSET(装备属性!$L$1083,1+INT(COUNTA($Q$11:Q326)/5),0),O326)</f>
        <v>0.2</v>
      </c>
      <c r="Q327" s="89" t="str">
        <f ca="1">IF(MOD(COUNTIF($Q$11:Q326,Q326),5)=0,OFFSET(装备属性!$M$1083,1+INT(COUNTA($Q$11:Q326)/5),0),Q326)</f>
        <v>稀有词条</v>
      </c>
      <c r="R327" s="83" t="e">
        <f ca="1">IF(MOD(COUNTIF($Q$11:Q326,Q326),5)=0,10000*SUBSTITUTE(SUBSTITUTE(OFFSET(装备属性!$F$1083,1+INT(COUNTA($Q$11:Q326)/5),0),"[",""),"]","")+_xlfn.XLOOKUP(C327,$M$3:$M$7,$N$3:$N$7)*100,R326)</f>
        <v>#N/A</v>
      </c>
    </row>
    <row r="328" customHeight="1" spans="1:18">
      <c r="A328" s="78" t="str">
        <f ca="1" t="shared" si="12"/>
        <v/>
      </c>
      <c r="B328" s="82" t="str">
        <f ca="1">IFERROR(R328+COUNTIFS($R$11:$R328,R328),"")</f>
        <v/>
      </c>
      <c r="C328" s="83">
        <f ca="1">IF(MOD(COUNTIF($Q$11:Q327,Q327),5)=0,OFFSET(装备属性!$D$1083,1+INT(COUNTA($Q$11:Q327)/5),0),C327)</f>
        <v>0</v>
      </c>
      <c r="D328" s="82">
        <f t="shared" si="14"/>
        <v>2000</v>
      </c>
      <c r="F328" s="82" t="str">
        <f ca="1" t="shared" si="13"/>
        <v/>
      </c>
      <c r="G328" s="78" t="str">
        <f ca="1">IF(AND(LEFT("[{"&amp;M328&amp;","&amp;CEILING(N328*10000+(O328-N328)/4*(COUNTIF($F$11:F328,F328)-1)*10000,10)&amp;"}]",7)="[{equip",MID("[{"&amp;M328&amp;","&amp;CEILING(N328*10000+(O328-N328)/4*(COUNTIF($F$11:F328,F328)-1)*10000,10)&amp;"}]",8,1)&lt;&gt;"_"),"[{"&amp;M328&amp;","&amp;1&amp;"}]","[{"&amp;M328&amp;","&amp;CEILING(N328*10000+(O328-N328)/4*(COUNTIF($F$11:F328,F328)-1)*10000,10)&amp;"}]")</f>
        <v>[{exp_boost,2000}]</v>
      </c>
      <c r="H328" s="82" t="s">
        <v>563</v>
      </c>
      <c r="J328" s="78">
        <f ca="1">IF(MOD(COUNTIF($Q$11:Q327,Q327),5)=0,OFFSET(装备属性!$P$1083,1+INT(COUNTA($Q$11:Q327)/5),0),J327)</f>
        <v>9</v>
      </c>
      <c r="K328" s="83" t="str">
        <f ca="1">IF(RIGHT(G328,13)="rune_slot,1}]",_xlfn.XLOOKUP(LEFT(SUBSTITUTE(G328,"[{",""),FIND(",",SUBSTITUTE(G328,"[{",""))-1),Sheet2!B:B,Sheet2!C:C)&amp;"+"&amp;1,_xlfn.XLOOKUP(LEFT(SUBSTITUTE(G328,"[{",""),FIND(",",SUBSTITUTE(G328,"[{",""))-1),Sheet2!B:B,Sheet2!C:C)&amp;"+"&amp;SUBSTITUTE(RIGHT(G328,LEN(G328)-FIND(",",G328)),"}]","")/100&amp;"%")</f>
        <v>经验加成+20%</v>
      </c>
      <c r="L328" s="83" t="str">
        <f ca="1">IF(MOD(COUNTIF($Q$11:Q327,Q327),5)=0,OFFSET(装备属性!$G$1083,1+INT(COUNTA($Q$11:Q327)/5),0),L327)</f>
        <v>涨见识</v>
      </c>
      <c r="M328" s="89" t="str">
        <f ca="1">IF(MOD(COUNTIF($Q$11:Q327,Q327),5)=0,OFFSET(装备属性!$H$1083,1+INT(COUNTA($Q$11:Q327)/5),0),M327)</f>
        <v>exp_boost</v>
      </c>
      <c r="N328" s="76">
        <f ca="1">IF(MOD(COUNTIF($Q$11:Q327,Q327),5)=0,OFFSET(装备属性!$K$1083,1+INT(COUNTA($Q$11:Q327)/5),0),N327)</f>
        <v>0.2</v>
      </c>
      <c r="O328" s="76">
        <f ca="1">IF(MOD(COUNTIF($Q$11:Q327,Q327),5)=0,OFFSET(装备属性!$L$1083,1+INT(COUNTA($Q$11:Q327)/5),0),O327)</f>
        <v>0.2</v>
      </c>
      <c r="Q328" s="89" t="str">
        <f ca="1">IF(MOD(COUNTIF($Q$11:Q327,Q327),5)=0,OFFSET(装备属性!$M$1083,1+INT(COUNTA($Q$11:Q327)/5),0),Q327)</f>
        <v>稀有词条</v>
      </c>
      <c r="R328" s="83" t="e">
        <f ca="1">IF(MOD(COUNTIF($Q$11:Q327,Q327),5)=0,10000*SUBSTITUTE(SUBSTITUTE(OFFSET(装备属性!$F$1083,1+INT(COUNTA($Q$11:Q327)/5),0),"[",""),"]","")+_xlfn.XLOOKUP(C328,$M$3:$M$7,$N$3:$N$7)*100,R327)</f>
        <v>#N/A</v>
      </c>
    </row>
    <row r="329" customHeight="1" spans="1:18">
      <c r="A329" s="78" t="str">
        <f ca="1" t="shared" si="12"/>
        <v/>
      </c>
      <c r="B329" s="82" t="str">
        <f ca="1">IFERROR(R329+COUNTIFS($R$11:$R329,R329),"")</f>
        <v/>
      </c>
      <c r="C329" s="83">
        <f ca="1">IF(MOD(COUNTIF($Q$11:Q328,Q328),5)=0,OFFSET(装备属性!$D$1083,1+INT(COUNTA($Q$11:Q328)/5),0),C328)</f>
        <v>0</v>
      </c>
      <c r="D329" s="82">
        <f t="shared" si="14"/>
        <v>1500</v>
      </c>
      <c r="F329" s="82" t="str">
        <f ca="1" t="shared" si="13"/>
        <v/>
      </c>
      <c r="G329" s="78" t="str">
        <f ca="1">IF(AND(LEFT("[{"&amp;M329&amp;","&amp;CEILING(N329*10000+(O329-N329)/4*(COUNTIF($F$11:F329,F329)-1)*10000,10)&amp;"}]",7)="[{equip",MID("[{"&amp;M329&amp;","&amp;CEILING(N329*10000+(O329-N329)/4*(COUNTIF($F$11:F329,F329)-1)*10000,10)&amp;"}]",8,1)&lt;&gt;"_"),"[{"&amp;M329&amp;","&amp;1&amp;"}]","[{"&amp;M329&amp;","&amp;CEILING(N329*10000+(O329-N329)/4*(COUNTIF($F$11:F329,F329)-1)*10000,10)&amp;"}]")</f>
        <v>[{exp_boost,2000}]</v>
      </c>
      <c r="H329" s="82" t="s">
        <v>563</v>
      </c>
      <c r="J329" s="78">
        <f ca="1">IF(MOD(COUNTIF($Q$11:Q328,Q328),5)=0,OFFSET(装备属性!$P$1083,1+INT(COUNTA($Q$11:Q328)/5),0),J328)</f>
        <v>9</v>
      </c>
      <c r="K329" s="83" t="str">
        <f ca="1">IF(RIGHT(G329,13)="rune_slot,1}]",_xlfn.XLOOKUP(LEFT(SUBSTITUTE(G329,"[{",""),FIND(",",SUBSTITUTE(G329,"[{",""))-1),Sheet2!B:B,Sheet2!C:C)&amp;"+"&amp;1,_xlfn.XLOOKUP(LEFT(SUBSTITUTE(G329,"[{",""),FIND(",",SUBSTITUTE(G329,"[{",""))-1),Sheet2!B:B,Sheet2!C:C)&amp;"+"&amp;SUBSTITUTE(RIGHT(G329,LEN(G329)-FIND(",",G329)),"}]","")/100&amp;"%")</f>
        <v>经验加成+20%</v>
      </c>
      <c r="L329" s="83" t="str">
        <f ca="1">IF(MOD(COUNTIF($Q$11:Q328,Q328),5)=0,OFFSET(装备属性!$G$1083,1+INT(COUNTA($Q$11:Q328)/5),0),L328)</f>
        <v>涨见识</v>
      </c>
      <c r="M329" s="89" t="str">
        <f ca="1">IF(MOD(COUNTIF($Q$11:Q328,Q328),5)=0,OFFSET(装备属性!$H$1083,1+INT(COUNTA($Q$11:Q328)/5),0),M328)</f>
        <v>exp_boost</v>
      </c>
      <c r="N329" s="76">
        <f ca="1">IF(MOD(COUNTIF($Q$11:Q328,Q328),5)=0,OFFSET(装备属性!$K$1083,1+INT(COUNTA($Q$11:Q328)/5),0),N328)</f>
        <v>0.2</v>
      </c>
      <c r="O329" s="76">
        <f ca="1">IF(MOD(COUNTIF($Q$11:Q328,Q328),5)=0,OFFSET(装备属性!$L$1083,1+INT(COUNTA($Q$11:Q328)/5),0),O328)</f>
        <v>0.2</v>
      </c>
      <c r="Q329" s="89" t="str">
        <f ca="1">IF(MOD(COUNTIF($Q$11:Q328,Q328),5)=0,OFFSET(装备属性!$M$1083,1+INT(COUNTA($Q$11:Q328)/5),0),Q328)</f>
        <v>稀有词条</v>
      </c>
      <c r="R329" s="83" t="e">
        <f ca="1">IF(MOD(COUNTIF($Q$11:Q328,Q328),5)=0,10000*SUBSTITUTE(SUBSTITUTE(OFFSET(装备属性!$F$1083,1+INT(COUNTA($Q$11:Q328)/5),0),"[",""),"]","")+_xlfn.XLOOKUP(C329,$M$3:$M$7,$N$3:$N$7)*100,R328)</f>
        <v>#N/A</v>
      </c>
    </row>
    <row r="330" customHeight="1" spans="1:18">
      <c r="A330" s="78" t="str">
        <f ca="1" t="shared" si="12"/>
        <v/>
      </c>
      <c r="B330" s="82" t="str">
        <f ca="1">IFERROR(R330+COUNTIFS($R$11:$R330,R330),"")</f>
        <v/>
      </c>
      <c r="C330" s="83">
        <f ca="1">IF(MOD(COUNTIF($Q$11:Q329,Q329),5)=0,OFFSET(装备属性!$D$1083,1+INT(COUNTA($Q$11:Q329)/5),0),C329)</f>
        <v>0</v>
      </c>
      <c r="D330" s="82">
        <f t="shared" si="14"/>
        <v>1000</v>
      </c>
      <c r="F330" s="82" t="str">
        <f ca="1" t="shared" si="13"/>
        <v/>
      </c>
      <c r="G330" s="78" t="str">
        <f ca="1">IF(AND(LEFT("[{"&amp;M330&amp;","&amp;CEILING(N330*10000+(O330-N330)/4*(COUNTIF($F$11:F330,F330)-1)*10000,10)&amp;"}]",7)="[{equip",MID("[{"&amp;M330&amp;","&amp;CEILING(N330*10000+(O330-N330)/4*(COUNTIF($F$11:F330,F330)-1)*10000,10)&amp;"}]",8,1)&lt;&gt;"_"),"[{"&amp;M330&amp;","&amp;1&amp;"}]","[{"&amp;M330&amp;","&amp;CEILING(N330*10000+(O330-N330)/4*(COUNTIF($F$11:F330,F330)-1)*10000,10)&amp;"}]")</f>
        <v>[{exp_boost,2000}]</v>
      </c>
      <c r="H330" s="82" t="s">
        <v>563</v>
      </c>
      <c r="J330" s="78">
        <f ca="1">IF(MOD(COUNTIF($Q$11:Q329,Q329),5)=0,OFFSET(装备属性!$P$1083,1+INT(COUNTA($Q$11:Q329)/5),0),J329)</f>
        <v>9</v>
      </c>
      <c r="K330" s="83" t="str">
        <f ca="1">IF(RIGHT(G330,13)="rune_slot,1}]",_xlfn.XLOOKUP(LEFT(SUBSTITUTE(G330,"[{",""),FIND(",",SUBSTITUTE(G330,"[{",""))-1),Sheet2!B:B,Sheet2!C:C)&amp;"+"&amp;1,_xlfn.XLOOKUP(LEFT(SUBSTITUTE(G330,"[{",""),FIND(",",SUBSTITUTE(G330,"[{",""))-1),Sheet2!B:B,Sheet2!C:C)&amp;"+"&amp;SUBSTITUTE(RIGHT(G330,LEN(G330)-FIND(",",G330)),"}]","")/100&amp;"%")</f>
        <v>经验加成+20%</v>
      </c>
      <c r="L330" s="83" t="str">
        <f ca="1">IF(MOD(COUNTIF($Q$11:Q329,Q329),5)=0,OFFSET(装备属性!$G$1083,1+INT(COUNTA($Q$11:Q329)/5),0),L329)</f>
        <v>涨见识</v>
      </c>
      <c r="M330" s="89" t="str">
        <f ca="1">IF(MOD(COUNTIF($Q$11:Q329,Q329),5)=0,OFFSET(装备属性!$H$1083,1+INT(COUNTA($Q$11:Q329)/5),0),M329)</f>
        <v>exp_boost</v>
      </c>
      <c r="N330" s="76">
        <f ca="1">IF(MOD(COUNTIF($Q$11:Q329,Q329),5)=0,OFFSET(装备属性!$K$1083,1+INT(COUNTA($Q$11:Q329)/5),0),N329)</f>
        <v>0.2</v>
      </c>
      <c r="O330" s="76">
        <f ca="1">IF(MOD(COUNTIF($Q$11:Q329,Q329),5)=0,OFFSET(装备属性!$L$1083,1+INT(COUNTA($Q$11:Q329)/5),0),O329)</f>
        <v>0.2</v>
      </c>
      <c r="Q330" s="89" t="str">
        <f ca="1">IF(MOD(COUNTIF($Q$11:Q329,Q329),5)=0,OFFSET(装备属性!$M$1083,1+INT(COUNTA($Q$11:Q329)/5),0),Q329)</f>
        <v>稀有词条</v>
      </c>
      <c r="R330" s="83" t="e">
        <f ca="1">IF(MOD(COUNTIF($Q$11:Q329,Q329),5)=0,10000*SUBSTITUTE(SUBSTITUTE(OFFSET(装备属性!$F$1083,1+INT(COUNTA($Q$11:Q329)/5),0),"[",""),"]","")+_xlfn.XLOOKUP(C330,$M$3:$M$7,$N$3:$N$7)*100,R329)</f>
        <v>#N/A</v>
      </c>
    </row>
    <row r="331" customHeight="1" spans="1:18">
      <c r="A331" s="78" t="str">
        <f ca="1" t="shared" si="12"/>
        <v/>
      </c>
      <c r="B331" s="82" t="str">
        <f ca="1">IFERROR(R331+COUNTIFS($R$11:$R331,R331),"")</f>
        <v/>
      </c>
      <c r="C331" s="83">
        <f ca="1">IF(MOD(COUNTIF($Q$11:Q330,Q330),5)=0,OFFSET(装备属性!$D$1083,1+INT(COUNTA($Q$11:Q330)/5),0),C330)</f>
        <v>0</v>
      </c>
      <c r="D331" s="82">
        <f t="shared" si="14"/>
        <v>3000</v>
      </c>
      <c r="F331" s="82" t="str">
        <f ca="1" t="shared" si="13"/>
        <v/>
      </c>
      <c r="G331" s="78" t="str">
        <f ca="1">IF(AND(LEFT("[{"&amp;M331&amp;","&amp;CEILING(N331*10000+(O331-N331)/4*(COUNTIF($F$11:F331,F331)-1)*10000,10)&amp;"}]",7)="[{equip",MID("[{"&amp;M331&amp;","&amp;CEILING(N331*10000+(O331-N331)/4*(COUNTIF($F$11:F331,F331)-1)*10000,10)&amp;"}]",8,1)&lt;&gt;"_"),"[{"&amp;M331&amp;","&amp;1&amp;"}]","[{"&amp;M331&amp;","&amp;CEILING(N331*10000+(O331-N331)/4*(COUNTIF($F$11:F331,F331)-1)*10000,10)&amp;"}]")</f>
        <v>[{equip_base_attr,2500}]</v>
      </c>
      <c r="H331" s="82" t="s">
        <v>563</v>
      </c>
      <c r="J331" s="78">
        <f ca="1">IF(MOD(COUNTIF($Q$11:Q330,Q330),5)=0,OFFSET(装备属性!$P$1083,1+INT(COUNTA($Q$11:Q330)/5),0),J330)</f>
        <v>7</v>
      </c>
      <c r="K331" s="83" t="str">
        <f ca="1">IF(RIGHT(G331,13)="rune_slot,1}]",_xlfn.XLOOKUP(LEFT(SUBSTITUTE(G331,"[{",""),FIND(",",SUBSTITUTE(G331,"[{",""))-1),Sheet2!B:B,Sheet2!C:C)&amp;"+"&amp;1,_xlfn.XLOOKUP(LEFT(SUBSTITUTE(G331,"[{",""),FIND(",",SUBSTITUTE(G331,"[{",""))-1),Sheet2!B:B,Sheet2!C:C)&amp;"+"&amp;SUBSTITUTE(RIGHT(G331,LEN(G331)-FIND(",",G331)),"}]","")/100&amp;"%")</f>
        <v>装备基础属性加成+25%</v>
      </c>
      <c r="L331" s="83" t="str">
        <f ca="1">IF(MOD(COUNTIF($Q$11:Q330,Q330),5)=0,OFFSET(装备属性!$G$1083,1+INT(COUNTA($Q$11:Q330)/5),0),L330)</f>
        <v>厚底子</v>
      </c>
      <c r="M331" s="89" t="str">
        <f ca="1">IF(MOD(COUNTIF($Q$11:Q330,Q330),5)=0,OFFSET(装备属性!$H$1083,1+INT(COUNTA($Q$11:Q330)/5),0),M330)</f>
        <v>equip_base_attr</v>
      </c>
      <c r="N331" s="76">
        <f ca="1">IF(MOD(COUNTIF($Q$11:Q330,Q330),5)=0,OFFSET(装备属性!$K$1083,1+INT(COUNTA($Q$11:Q330)/5),0),N330)</f>
        <v>0.25</v>
      </c>
      <c r="O331" s="76">
        <f ca="1">IF(MOD(COUNTIF($Q$11:Q330,Q330),5)=0,OFFSET(装备属性!$L$1083,1+INT(COUNTA($Q$11:Q330)/5),0),O330)</f>
        <v>0.25</v>
      </c>
      <c r="Q331" s="89" t="str">
        <f ca="1">IF(MOD(COUNTIF($Q$11:Q330,Q330),5)=0,OFFSET(装备属性!$M$1083,1+INT(COUNTA($Q$11:Q330)/5),0),Q330)</f>
        <v>稀有词条</v>
      </c>
      <c r="R331" s="83" t="e">
        <f ca="1">IF(MOD(COUNTIF($Q$11:Q330,Q330),5)=0,10000*SUBSTITUTE(SUBSTITUTE(OFFSET(装备属性!$F$1083,1+INT(COUNTA($Q$11:Q330)/5),0),"[",""),"]","")+_xlfn.XLOOKUP(C331,$M$3:$M$7,$N$3:$N$7)*100,R330)</f>
        <v>#N/A</v>
      </c>
    </row>
    <row r="332" customHeight="1" spans="1:18">
      <c r="A332" s="78" t="str">
        <f ca="1" t="shared" ref="A332:A395" si="15">IFERROR(R332+IF(Q332="通用属性",1,IF(Q332="玩法类",2,IF(Q332="稀有词条",3,0))),"")</f>
        <v/>
      </c>
      <c r="B332" s="82" t="str">
        <f ca="1">IFERROR(R332+COUNTIFS($R$11:$R332,R332),"")</f>
        <v/>
      </c>
      <c r="C332" s="83">
        <f ca="1">IF(MOD(COUNTIF($Q$11:Q331,Q331),5)=0,OFFSET(装备属性!$D$1083,1+INT(COUNTA($Q$11:Q331)/5),0),C331)</f>
        <v>0</v>
      </c>
      <c r="D332" s="82">
        <f t="shared" si="14"/>
        <v>2500</v>
      </c>
      <c r="F332" s="82" t="str">
        <f ca="1" t="shared" ref="F332:F395" si="16">IFERROR(R332+INT((B332-R332-1)/5),"")</f>
        <v/>
      </c>
      <c r="G332" s="78" t="str">
        <f ca="1">IF(AND(LEFT("[{"&amp;M332&amp;","&amp;CEILING(N332*10000+(O332-N332)/4*(COUNTIF($F$11:F332,F332)-1)*10000,10)&amp;"}]",7)="[{equip",MID("[{"&amp;M332&amp;","&amp;CEILING(N332*10000+(O332-N332)/4*(COUNTIF($F$11:F332,F332)-1)*10000,10)&amp;"}]",8,1)&lt;&gt;"_"),"[{"&amp;M332&amp;","&amp;1&amp;"}]","[{"&amp;M332&amp;","&amp;CEILING(N332*10000+(O332-N332)/4*(COUNTIF($F$11:F332,F332)-1)*10000,10)&amp;"}]")</f>
        <v>[{equip_base_attr,2500}]</v>
      </c>
      <c r="H332" s="82" t="s">
        <v>563</v>
      </c>
      <c r="J332" s="78">
        <f ca="1">IF(MOD(COUNTIF($Q$11:Q331,Q331),5)=0,OFFSET(装备属性!$P$1083,1+INT(COUNTA($Q$11:Q331)/5),0),J331)</f>
        <v>7</v>
      </c>
      <c r="K332" s="83" t="str">
        <f ca="1">IF(RIGHT(G332,13)="rune_slot,1}]",_xlfn.XLOOKUP(LEFT(SUBSTITUTE(G332,"[{",""),FIND(",",SUBSTITUTE(G332,"[{",""))-1),Sheet2!B:B,Sheet2!C:C)&amp;"+"&amp;1,_xlfn.XLOOKUP(LEFT(SUBSTITUTE(G332,"[{",""),FIND(",",SUBSTITUTE(G332,"[{",""))-1),Sheet2!B:B,Sheet2!C:C)&amp;"+"&amp;SUBSTITUTE(RIGHT(G332,LEN(G332)-FIND(",",G332)),"}]","")/100&amp;"%")</f>
        <v>装备基础属性加成+25%</v>
      </c>
      <c r="L332" s="83" t="str">
        <f ca="1">IF(MOD(COUNTIF($Q$11:Q331,Q331),5)=0,OFFSET(装备属性!$G$1083,1+INT(COUNTA($Q$11:Q331)/5),0),L331)</f>
        <v>厚底子</v>
      </c>
      <c r="M332" s="89" t="str">
        <f ca="1">IF(MOD(COUNTIF($Q$11:Q331,Q331),5)=0,OFFSET(装备属性!$H$1083,1+INT(COUNTA($Q$11:Q331)/5),0),M331)</f>
        <v>equip_base_attr</v>
      </c>
      <c r="N332" s="76">
        <f ca="1">IF(MOD(COUNTIF($Q$11:Q331,Q331),5)=0,OFFSET(装备属性!$K$1083,1+INT(COUNTA($Q$11:Q331)/5),0),N331)</f>
        <v>0.25</v>
      </c>
      <c r="O332" s="76">
        <f ca="1">IF(MOD(COUNTIF($Q$11:Q331,Q331),5)=0,OFFSET(装备属性!$L$1083,1+INT(COUNTA($Q$11:Q331)/5),0),O331)</f>
        <v>0.25</v>
      </c>
      <c r="Q332" s="89" t="str">
        <f ca="1">IF(MOD(COUNTIF($Q$11:Q331,Q331),5)=0,OFFSET(装备属性!$M$1083,1+INT(COUNTA($Q$11:Q331)/5),0),Q331)</f>
        <v>稀有词条</v>
      </c>
      <c r="R332" s="83" t="e">
        <f ca="1">IF(MOD(COUNTIF($Q$11:Q331,Q331),5)=0,10000*SUBSTITUTE(SUBSTITUTE(OFFSET(装备属性!$F$1083,1+INT(COUNTA($Q$11:Q331)/5),0),"[",""),"]","")+_xlfn.XLOOKUP(C332,$M$3:$M$7,$N$3:$N$7)*100,R331)</f>
        <v>#N/A</v>
      </c>
    </row>
    <row r="333" customHeight="1" spans="1:18">
      <c r="A333" s="78" t="str">
        <f ca="1" t="shared" si="15"/>
        <v/>
      </c>
      <c r="B333" s="82" t="str">
        <f ca="1">IFERROR(R333+COUNTIFS($R$11:$R333,R333),"")</f>
        <v/>
      </c>
      <c r="C333" s="83">
        <f ca="1">IF(MOD(COUNTIF($Q$11:Q332,Q332),5)=0,OFFSET(装备属性!$D$1083,1+INT(COUNTA($Q$11:Q332)/5),0),C332)</f>
        <v>0</v>
      </c>
      <c r="D333" s="82">
        <f t="shared" si="14"/>
        <v>2000</v>
      </c>
      <c r="F333" s="82" t="str">
        <f ca="1" t="shared" si="16"/>
        <v/>
      </c>
      <c r="G333" s="78" t="str">
        <f ca="1">IF(AND(LEFT("[{"&amp;M333&amp;","&amp;CEILING(N333*10000+(O333-N333)/4*(COUNTIF($F$11:F333,F333)-1)*10000,10)&amp;"}]",7)="[{equip",MID("[{"&amp;M333&amp;","&amp;CEILING(N333*10000+(O333-N333)/4*(COUNTIF($F$11:F333,F333)-1)*10000,10)&amp;"}]",8,1)&lt;&gt;"_"),"[{"&amp;M333&amp;","&amp;1&amp;"}]","[{"&amp;M333&amp;","&amp;CEILING(N333*10000+(O333-N333)/4*(COUNTIF($F$11:F333,F333)-1)*10000,10)&amp;"}]")</f>
        <v>[{equip_base_attr,2500}]</v>
      </c>
      <c r="H333" s="82" t="s">
        <v>563</v>
      </c>
      <c r="J333" s="78">
        <f ca="1">IF(MOD(COUNTIF($Q$11:Q332,Q332),5)=0,OFFSET(装备属性!$P$1083,1+INT(COUNTA($Q$11:Q332)/5),0),J332)</f>
        <v>7</v>
      </c>
      <c r="K333" s="83" t="str">
        <f ca="1">IF(RIGHT(G333,13)="rune_slot,1}]",_xlfn.XLOOKUP(LEFT(SUBSTITUTE(G333,"[{",""),FIND(",",SUBSTITUTE(G333,"[{",""))-1),Sheet2!B:B,Sheet2!C:C)&amp;"+"&amp;1,_xlfn.XLOOKUP(LEFT(SUBSTITUTE(G333,"[{",""),FIND(",",SUBSTITUTE(G333,"[{",""))-1),Sheet2!B:B,Sheet2!C:C)&amp;"+"&amp;SUBSTITUTE(RIGHT(G333,LEN(G333)-FIND(",",G333)),"}]","")/100&amp;"%")</f>
        <v>装备基础属性加成+25%</v>
      </c>
      <c r="L333" s="83" t="str">
        <f ca="1">IF(MOD(COUNTIF($Q$11:Q332,Q332),5)=0,OFFSET(装备属性!$G$1083,1+INT(COUNTA($Q$11:Q332)/5),0),L332)</f>
        <v>厚底子</v>
      </c>
      <c r="M333" s="89" t="str">
        <f ca="1">IF(MOD(COUNTIF($Q$11:Q332,Q332),5)=0,OFFSET(装备属性!$H$1083,1+INT(COUNTA($Q$11:Q332)/5),0),M332)</f>
        <v>equip_base_attr</v>
      </c>
      <c r="N333" s="76">
        <f ca="1">IF(MOD(COUNTIF($Q$11:Q332,Q332),5)=0,OFFSET(装备属性!$K$1083,1+INT(COUNTA($Q$11:Q332)/5),0),N332)</f>
        <v>0.25</v>
      </c>
      <c r="O333" s="76">
        <f ca="1">IF(MOD(COUNTIF($Q$11:Q332,Q332),5)=0,OFFSET(装备属性!$L$1083,1+INT(COUNTA($Q$11:Q332)/5),0),O332)</f>
        <v>0.25</v>
      </c>
      <c r="Q333" s="89" t="str">
        <f ca="1">IF(MOD(COUNTIF($Q$11:Q332,Q332),5)=0,OFFSET(装备属性!$M$1083,1+INT(COUNTA($Q$11:Q332)/5),0),Q332)</f>
        <v>稀有词条</v>
      </c>
      <c r="R333" s="83" t="e">
        <f ca="1">IF(MOD(COUNTIF($Q$11:Q332,Q332),5)=0,10000*SUBSTITUTE(SUBSTITUTE(OFFSET(装备属性!$F$1083,1+INT(COUNTA($Q$11:Q332)/5),0),"[",""),"]","")+_xlfn.XLOOKUP(C333,$M$3:$M$7,$N$3:$N$7)*100,R332)</f>
        <v>#N/A</v>
      </c>
    </row>
    <row r="334" customHeight="1" spans="1:18">
      <c r="A334" s="78" t="str">
        <f ca="1" t="shared" si="15"/>
        <v/>
      </c>
      <c r="B334" s="82" t="str">
        <f ca="1">IFERROR(R334+COUNTIFS($R$11:$R334,R334),"")</f>
        <v/>
      </c>
      <c r="C334" s="83">
        <f ca="1">IF(MOD(COUNTIF($Q$11:Q333,Q333),5)=0,OFFSET(装备属性!$D$1083,1+INT(COUNTA($Q$11:Q333)/5),0),C333)</f>
        <v>0</v>
      </c>
      <c r="D334" s="82">
        <f t="shared" si="14"/>
        <v>1500</v>
      </c>
      <c r="F334" s="82" t="str">
        <f ca="1" t="shared" si="16"/>
        <v/>
      </c>
      <c r="G334" s="78" t="str">
        <f ca="1">IF(AND(LEFT("[{"&amp;M334&amp;","&amp;CEILING(N334*10000+(O334-N334)/4*(COUNTIF($F$11:F334,F334)-1)*10000,10)&amp;"}]",7)="[{equip",MID("[{"&amp;M334&amp;","&amp;CEILING(N334*10000+(O334-N334)/4*(COUNTIF($F$11:F334,F334)-1)*10000,10)&amp;"}]",8,1)&lt;&gt;"_"),"[{"&amp;M334&amp;","&amp;1&amp;"}]","[{"&amp;M334&amp;","&amp;CEILING(N334*10000+(O334-N334)/4*(COUNTIF($F$11:F334,F334)-1)*10000,10)&amp;"}]")</f>
        <v>[{equip_base_attr,2500}]</v>
      </c>
      <c r="H334" s="82" t="s">
        <v>563</v>
      </c>
      <c r="J334" s="78">
        <f ca="1">IF(MOD(COUNTIF($Q$11:Q333,Q333),5)=0,OFFSET(装备属性!$P$1083,1+INT(COUNTA($Q$11:Q333)/5),0),J333)</f>
        <v>7</v>
      </c>
      <c r="K334" s="83" t="str">
        <f ca="1">IF(RIGHT(G334,13)="rune_slot,1}]",_xlfn.XLOOKUP(LEFT(SUBSTITUTE(G334,"[{",""),FIND(",",SUBSTITUTE(G334,"[{",""))-1),Sheet2!B:B,Sheet2!C:C)&amp;"+"&amp;1,_xlfn.XLOOKUP(LEFT(SUBSTITUTE(G334,"[{",""),FIND(",",SUBSTITUTE(G334,"[{",""))-1),Sheet2!B:B,Sheet2!C:C)&amp;"+"&amp;SUBSTITUTE(RIGHT(G334,LEN(G334)-FIND(",",G334)),"}]","")/100&amp;"%")</f>
        <v>装备基础属性加成+25%</v>
      </c>
      <c r="L334" s="83" t="str">
        <f ca="1">IF(MOD(COUNTIF($Q$11:Q333,Q333),5)=0,OFFSET(装备属性!$G$1083,1+INT(COUNTA($Q$11:Q333)/5),0),L333)</f>
        <v>厚底子</v>
      </c>
      <c r="M334" s="89" t="str">
        <f ca="1">IF(MOD(COUNTIF($Q$11:Q333,Q333),5)=0,OFFSET(装备属性!$H$1083,1+INT(COUNTA($Q$11:Q333)/5),0),M333)</f>
        <v>equip_base_attr</v>
      </c>
      <c r="N334" s="76">
        <f ca="1">IF(MOD(COUNTIF($Q$11:Q333,Q333),5)=0,OFFSET(装备属性!$K$1083,1+INT(COUNTA($Q$11:Q333)/5),0),N333)</f>
        <v>0.25</v>
      </c>
      <c r="O334" s="76">
        <f ca="1">IF(MOD(COUNTIF($Q$11:Q333,Q333),5)=0,OFFSET(装备属性!$L$1083,1+INT(COUNTA($Q$11:Q333)/5),0),O333)</f>
        <v>0.25</v>
      </c>
      <c r="Q334" s="89" t="str">
        <f ca="1">IF(MOD(COUNTIF($Q$11:Q333,Q333),5)=0,OFFSET(装备属性!$M$1083,1+INT(COUNTA($Q$11:Q333)/5),0),Q333)</f>
        <v>稀有词条</v>
      </c>
      <c r="R334" s="83" t="e">
        <f ca="1">IF(MOD(COUNTIF($Q$11:Q333,Q333),5)=0,10000*SUBSTITUTE(SUBSTITUTE(OFFSET(装备属性!$F$1083,1+INT(COUNTA($Q$11:Q333)/5),0),"[",""),"]","")+_xlfn.XLOOKUP(C334,$M$3:$M$7,$N$3:$N$7)*100,R333)</f>
        <v>#N/A</v>
      </c>
    </row>
    <row r="335" customHeight="1" spans="1:18">
      <c r="A335" s="78" t="str">
        <f ca="1" t="shared" si="15"/>
        <v/>
      </c>
      <c r="B335" s="82" t="str">
        <f ca="1">IFERROR(R335+COUNTIFS($R$11:$R335,R335),"")</f>
        <v/>
      </c>
      <c r="C335" s="83">
        <f ca="1">IF(MOD(COUNTIF($Q$11:Q334,Q334),5)=0,OFFSET(装备属性!$D$1083,1+INT(COUNTA($Q$11:Q334)/5),0),C334)</f>
        <v>0</v>
      </c>
      <c r="D335" s="82">
        <f t="shared" si="14"/>
        <v>1000</v>
      </c>
      <c r="F335" s="82" t="str">
        <f ca="1" t="shared" si="16"/>
        <v/>
      </c>
      <c r="G335" s="78" t="str">
        <f ca="1">IF(AND(LEFT("[{"&amp;M335&amp;","&amp;CEILING(N335*10000+(O335-N335)/4*(COUNTIF($F$11:F335,F335)-1)*10000,10)&amp;"}]",7)="[{equip",MID("[{"&amp;M335&amp;","&amp;CEILING(N335*10000+(O335-N335)/4*(COUNTIF($F$11:F335,F335)-1)*10000,10)&amp;"}]",8,1)&lt;&gt;"_"),"[{"&amp;M335&amp;","&amp;1&amp;"}]","[{"&amp;M335&amp;","&amp;CEILING(N335*10000+(O335-N335)/4*(COUNTIF($F$11:F335,F335)-1)*10000,10)&amp;"}]")</f>
        <v>[{equip_base_attr,2500}]</v>
      </c>
      <c r="H335" s="82" t="s">
        <v>563</v>
      </c>
      <c r="J335" s="78">
        <f ca="1">IF(MOD(COUNTIF($Q$11:Q334,Q334),5)=0,OFFSET(装备属性!$P$1083,1+INT(COUNTA($Q$11:Q334)/5),0),J334)</f>
        <v>7</v>
      </c>
      <c r="K335" s="83" t="str">
        <f ca="1">IF(RIGHT(G335,13)="rune_slot,1}]",_xlfn.XLOOKUP(LEFT(SUBSTITUTE(G335,"[{",""),FIND(",",SUBSTITUTE(G335,"[{",""))-1),Sheet2!B:B,Sheet2!C:C)&amp;"+"&amp;1,_xlfn.XLOOKUP(LEFT(SUBSTITUTE(G335,"[{",""),FIND(",",SUBSTITUTE(G335,"[{",""))-1),Sheet2!B:B,Sheet2!C:C)&amp;"+"&amp;SUBSTITUTE(RIGHT(G335,LEN(G335)-FIND(",",G335)),"}]","")/100&amp;"%")</f>
        <v>装备基础属性加成+25%</v>
      </c>
      <c r="L335" s="83" t="str">
        <f ca="1">IF(MOD(COUNTIF($Q$11:Q334,Q334),5)=0,OFFSET(装备属性!$G$1083,1+INT(COUNTA($Q$11:Q334)/5),0),L334)</f>
        <v>厚底子</v>
      </c>
      <c r="M335" s="89" t="str">
        <f ca="1">IF(MOD(COUNTIF($Q$11:Q334,Q334),5)=0,OFFSET(装备属性!$H$1083,1+INT(COUNTA($Q$11:Q334)/5),0),M334)</f>
        <v>equip_base_attr</v>
      </c>
      <c r="N335" s="76">
        <f ca="1">IF(MOD(COUNTIF($Q$11:Q334,Q334),5)=0,OFFSET(装备属性!$K$1083,1+INT(COUNTA($Q$11:Q334)/5),0),N334)</f>
        <v>0.25</v>
      </c>
      <c r="O335" s="76">
        <f ca="1">IF(MOD(COUNTIF($Q$11:Q334,Q334),5)=0,OFFSET(装备属性!$L$1083,1+INT(COUNTA($Q$11:Q334)/5),0),O334)</f>
        <v>0.25</v>
      </c>
      <c r="Q335" s="89" t="str">
        <f ca="1">IF(MOD(COUNTIF($Q$11:Q334,Q334),5)=0,OFFSET(装备属性!$M$1083,1+INT(COUNTA($Q$11:Q334)/5),0),Q334)</f>
        <v>稀有词条</v>
      </c>
      <c r="R335" s="83" t="e">
        <f ca="1">IF(MOD(COUNTIF($Q$11:Q334,Q334),5)=0,10000*SUBSTITUTE(SUBSTITUTE(OFFSET(装备属性!$F$1083,1+INT(COUNTA($Q$11:Q334)/5),0),"[",""),"]","")+_xlfn.XLOOKUP(C335,$M$3:$M$7,$N$3:$N$7)*100,R334)</f>
        <v>#N/A</v>
      </c>
    </row>
    <row r="336" customHeight="1" spans="1:18">
      <c r="A336" s="78" t="str">
        <f ca="1" t="shared" si="15"/>
        <v/>
      </c>
      <c r="B336" s="82" t="str">
        <f ca="1">IFERROR(R336+COUNTIFS($R$11:$R336,R336),"")</f>
        <v/>
      </c>
      <c r="C336" s="83">
        <f ca="1">IF(MOD(COUNTIF($Q$11:Q335,Q335),5)=0,OFFSET(装备属性!$D$1083,1+INT(COUNTA($Q$11:Q335)/5),0),C335)</f>
        <v>0</v>
      </c>
      <c r="D336" s="82">
        <f t="shared" si="14"/>
        <v>3000</v>
      </c>
      <c r="F336" s="82" t="str">
        <f ca="1" t="shared" si="16"/>
        <v/>
      </c>
      <c r="G336" s="78" t="str">
        <f ca="1">IF(AND(LEFT("[{"&amp;M336&amp;","&amp;CEILING(N336*10000+(O336-N336)/4*(COUNTIF($F$11:F336,F336)-1)*10000,10)&amp;"}]",7)="[{equip",MID("[{"&amp;M336&amp;","&amp;CEILING(N336*10000+(O336-N336)/4*(COUNTIF($F$11:F336,F336)-1)*10000,10)&amp;"}]",8,1)&lt;&gt;"_"),"[{"&amp;M336&amp;","&amp;1&amp;"}]","[{"&amp;M336&amp;","&amp;CEILING(N336*10000+(O336-N336)/4*(COUNTIF($F$11:F336,F336)-1)*10000,10)&amp;"}]")</f>
        <v>[{equip_extra_attr,5000}]</v>
      </c>
      <c r="H336" s="82" t="s">
        <v>563</v>
      </c>
      <c r="J336" s="78">
        <f ca="1">IF(MOD(COUNTIF($Q$11:Q335,Q335),5)=0,OFFSET(装备属性!$P$1083,1+INT(COUNTA($Q$11:Q335)/5),0),J335)</f>
        <v>8</v>
      </c>
      <c r="K336" s="83" t="str">
        <f ca="1">IF(RIGHT(G336,13)="rune_slot,1}]",_xlfn.XLOOKUP(LEFT(SUBSTITUTE(G336,"[{",""),FIND(",",SUBSTITUTE(G336,"[{",""))-1),Sheet2!B:B,Sheet2!C:C)&amp;"+"&amp;1,_xlfn.XLOOKUP(LEFT(SUBSTITUTE(G336,"[{",""),FIND(",",SUBSTITUTE(G336,"[{",""))-1),Sheet2!B:B,Sheet2!C:C)&amp;"+"&amp;SUBSTITUTE(RIGHT(G336,LEN(G336)-FIND(",",G336)),"}]","")/100&amp;"%")</f>
        <v>装备附加属性加成+50%</v>
      </c>
      <c r="L336" s="83" t="str">
        <f ca="1">IF(MOD(COUNTIF($Q$11:Q335,Q335),5)=0,OFFSET(装备属性!$G$1083,1+INT(COUNTA($Q$11:Q335)/5),0),L335)</f>
        <v>提成色</v>
      </c>
      <c r="M336" s="89" t="str">
        <f ca="1">IF(MOD(COUNTIF($Q$11:Q335,Q335),5)=0,OFFSET(装备属性!$H$1083,1+INT(COUNTA($Q$11:Q335)/5),0),M335)</f>
        <v>equip_extra_attr</v>
      </c>
      <c r="N336" s="76">
        <f ca="1">IF(MOD(COUNTIF($Q$11:Q335,Q335),5)=0,OFFSET(装备属性!$K$1083,1+INT(COUNTA($Q$11:Q335)/5),0),N335)</f>
        <v>0.5</v>
      </c>
      <c r="O336" s="76">
        <f ca="1">IF(MOD(COUNTIF($Q$11:Q335,Q335),5)=0,OFFSET(装备属性!$L$1083,1+INT(COUNTA($Q$11:Q335)/5),0),O335)</f>
        <v>0.5</v>
      </c>
      <c r="Q336" s="89" t="str">
        <f ca="1">IF(MOD(COUNTIF($Q$11:Q335,Q335),5)=0,OFFSET(装备属性!$M$1083,1+INT(COUNTA($Q$11:Q335)/5),0),Q335)</f>
        <v>稀有词条</v>
      </c>
      <c r="R336" s="83" t="e">
        <f ca="1">IF(MOD(COUNTIF($Q$11:Q335,Q335),5)=0,10000*SUBSTITUTE(SUBSTITUTE(OFFSET(装备属性!$F$1083,1+INT(COUNTA($Q$11:Q335)/5),0),"[",""),"]","")+_xlfn.XLOOKUP(C336,$M$3:$M$7,$N$3:$N$7)*100,R335)</f>
        <v>#N/A</v>
      </c>
    </row>
    <row r="337" customHeight="1" spans="1:18">
      <c r="A337" s="78" t="str">
        <f ca="1" t="shared" si="15"/>
        <v/>
      </c>
      <c r="B337" s="82" t="str">
        <f ca="1">IFERROR(R337+COUNTIFS($R$11:$R337,R337),"")</f>
        <v/>
      </c>
      <c r="C337" s="83">
        <f ca="1">IF(MOD(COUNTIF($Q$11:Q336,Q336),5)=0,OFFSET(装备属性!$D$1083,1+INT(COUNTA($Q$11:Q336)/5),0),C336)</f>
        <v>0</v>
      </c>
      <c r="D337" s="82">
        <f t="shared" ref="D337:D400" si="17">D332</f>
        <v>2500</v>
      </c>
      <c r="F337" s="82" t="str">
        <f ca="1" t="shared" si="16"/>
        <v/>
      </c>
      <c r="G337" s="78" t="str">
        <f ca="1">IF(AND(LEFT("[{"&amp;M337&amp;","&amp;CEILING(N337*10000+(O337-N337)/4*(COUNTIF($F$11:F337,F337)-1)*10000,10)&amp;"}]",7)="[{equip",MID("[{"&amp;M337&amp;","&amp;CEILING(N337*10000+(O337-N337)/4*(COUNTIF($F$11:F337,F337)-1)*10000,10)&amp;"}]",8,1)&lt;&gt;"_"),"[{"&amp;M337&amp;","&amp;1&amp;"}]","[{"&amp;M337&amp;","&amp;CEILING(N337*10000+(O337-N337)/4*(COUNTIF($F$11:F337,F337)-1)*10000,10)&amp;"}]")</f>
        <v>[{equip_extra_attr,5000}]</v>
      </c>
      <c r="H337" s="82" t="s">
        <v>563</v>
      </c>
      <c r="J337" s="78">
        <f ca="1">IF(MOD(COUNTIF($Q$11:Q336,Q336),5)=0,OFFSET(装备属性!$P$1083,1+INT(COUNTA($Q$11:Q336)/5),0),J336)</f>
        <v>8</v>
      </c>
      <c r="K337" s="83" t="str">
        <f ca="1">IF(RIGHT(G337,13)="rune_slot,1}]",_xlfn.XLOOKUP(LEFT(SUBSTITUTE(G337,"[{",""),FIND(",",SUBSTITUTE(G337,"[{",""))-1),Sheet2!B:B,Sheet2!C:C)&amp;"+"&amp;1,_xlfn.XLOOKUP(LEFT(SUBSTITUTE(G337,"[{",""),FIND(",",SUBSTITUTE(G337,"[{",""))-1),Sheet2!B:B,Sheet2!C:C)&amp;"+"&amp;SUBSTITUTE(RIGHT(G337,LEN(G337)-FIND(",",G337)),"}]","")/100&amp;"%")</f>
        <v>装备附加属性加成+50%</v>
      </c>
      <c r="L337" s="83" t="str">
        <f ca="1">IF(MOD(COUNTIF($Q$11:Q336,Q336),5)=0,OFFSET(装备属性!$G$1083,1+INT(COUNTA($Q$11:Q336)/5),0),L336)</f>
        <v>提成色</v>
      </c>
      <c r="M337" s="89" t="str">
        <f ca="1">IF(MOD(COUNTIF($Q$11:Q336,Q336),5)=0,OFFSET(装备属性!$H$1083,1+INT(COUNTA($Q$11:Q336)/5),0),M336)</f>
        <v>equip_extra_attr</v>
      </c>
      <c r="N337" s="76">
        <f ca="1">IF(MOD(COUNTIF($Q$11:Q336,Q336),5)=0,OFFSET(装备属性!$K$1083,1+INT(COUNTA($Q$11:Q336)/5),0),N336)</f>
        <v>0.5</v>
      </c>
      <c r="O337" s="76">
        <f ca="1">IF(MOD(COUNTIF($Q$11:Q336,Q336),5)=0,OFFSET(装备属性!$L$1083,1+INT(COUNTA($Q$11:Q336)/5),0),O336)</f>
        <v>0.5</v>
      </c>
      <c r="Q337" s="89" t="str">
        <f ca="1">IF(MOD(COUNTIF($Q$11:Q336,Q336),5)=0,OFFSET(装备属性!$M$1083,1+INT(COUNTA($Q$11:Q336)/5),0),Q336)</f>
        <v>稀有词条</v>
      </c>
      <c r="R337" s="83" t="e">
        <f ca="1">IF(MOD(COUNTIF($Q$11:Q336,Q336),5)=0,10000*SUBSTITUTE(SUBSTITUTE(OFFSET(装备属性!$F$1083,1+INT(COUNTA($Q$11:Q336)/5),0),"[",""),"]","")+_xlfn.XLOOKUP(C337,$M$3:$M$7,$N$3:$N$7)*100,R336)</f>
        <v>#N/A</v>
      </c>
    </row>
    <row r="338" customHeight="1" spans="1:18">
      <c r="A338" s="78" t="str">
        <f ca="1" t="shared" si="15"/>
        <v/>
      </c>
      <c r="B338" s="82" t="str">
        <f ca="1">IFERROR(R338+COUNTIFS($R$11:$R338,R338),"")</f>
        <v/>
      </c>
      <c r="C338" s="83">
        <f ca="1">IF(MOD(COUNTIF($Q$11:Q337,Q337),5)=0,OFFSET(装备属性!$D$1083,1+INT(COUNTA($Q$11:Q337)/5),0),C337)</f>
        <v>0</v>
      </c>
      <c r="D338" s="82">
        <f t="shared" si="17"/>
        <v>2000</v>
      </c>
      <c r="F338" s="82" t="str">
        <f ca="1" t="shared" si="16"/>
        <v/>
      </c>
      <c r="G338" s="78" t="str">
        <f ca="1">IF(AND(LEFT("[{"&amp;M338&amp;","&amp;CEILING(N338*10000+(O338-N338)/4*(COUNTIF($F$11:F338,F338)-1)*10000,10)&amp;"}]",7)="[{equip",MID("[{"&amp;M338&amp;","&amp;CEILING(N338*10000+(O338-N338)/4*(COUNTIF($F$11:F338,F338)-1)*10000,10)&amp;"}]",8,1)&lt;&gt;"_"),"[{"&amp;M338&amp;","&amp;1&amp;"}]","[{"&amp;M338&amp;","&amp;CEILING(N338*10000+(O338-N338)/4*(COUNTIF($F$11:F338,F338)-1)*10000,10)&amp;"}]")</f>
        <v>[{equip_extra_attr,5000}]</v>
      </c>
      <c r="H338" s="82" t="s">
        <v>563</v>
      </c>
      <c r="J338" s="78">
        <f ca="1">IF(MOD(COUNTIF($Q$11:Q337,Q337),5)=0,OFFSET(装备属性!$P$1083,1+INT(COUNTA($Q$11:Q337)/5),0),J337)</f>
        <v>8</v>
      </c>
      <c r="K338" s="83" t="str">
        <f ca="1">IF(RIGHT(G338,13)="rune_slot,1}]",_xlfn.XLOOKUP(LEFT(SUBSTITUTE(G338,"[{",""),FIND(",",SUBSTITUTE(G338,"[{",""))-1),Sheet2!B:B,Sheet2!C:C)&amp;"+"&amp;1,_xlfn.XLOOKUP(LEFT(SUBSTITUTE(G338,"[{",""),FIND(",",SUBSTITUTE(G338,"[{",""))-1),Sheet2!B:B,Sheet2!C:C)&amp;"+"&amp;SUBSTITUTE(RIGHT(G338,LEN(G338)-FIND(",",G338)),"}]","")/100&amp;"%")</f>
        <v>装备附加属性加成+50%</v>
      </c>
      <c r="L338" s="83" t="str">
        <f ca="1">IF(MOD(COUNTIF($Q$11:Q337,Q337),5)=0,OFFSET(装备属性!$G$1083,1+INT(COUNTA($Q$11:Q337)/5),0),L337)</f>
        <v>提成色</v>
      </c>
      <c r="M338" s="89" t="str">
        <f ca="1">IF(MOD(COUNTIF($Q$11:Q337,Q337),5)=0,OFFSET(装备属性!$H$1083,1+INT(COUNTA($Q$11:Q337)/5),0),M337)</f>
        <v>equip_extra_attr</v>
      </c>
      <c r="N338" s="76">
        <f ca="1">IF(MOD(COUNTIF($Q$11:Q337,Q337),5)=0,OFFSET(装备属性!$K$1083,1+INT(COUNTA($Q$11:Q337)/5),0),N337)</f>
        <v>0.5</v>
      </c>
      <c r="O338" s="76">
        <f ca="1">IF(MOD(COUNTIF($Q$11:Q337,Q337),5)=0,OFFSET(装备属性!$L$1083,1+INT(COUNTA($Q$11:Q337)/5),0),O337)</f>
        <v>0.5</v>
      </c>
      <c r="Q338" s="89" t="str">
        <f ca="1">IF(MOD(COUNTIF($Q$11:Q337,Q337),5)=0,OFFSET(装备属性!$M$1083,1+INT(COUNTA($Q$11:Q337)/5),0),Q337)</f>
        <v>稀有词条</v>
      </c>
      <c r="R338" s="83" t="e">
        <f ca="1">IF(MOD(COUNTIF($Q$11:Q337,Q337),5)=0,10000*SUBSTITUTE(SUBSTITUTE(OFFSET(装备属性!$F$1083,1+INT(COUNTA($Q$11:Q337)/5),0),"[",""),"]","")+_xlfn.XLOOKUP(C338,$M$3:$M$7,$N$3:$N$7)*100,R337)</f>
        <v>#N/A</v>
      </c>
    </row>
    <row r="339" customHeight="1" spans="1:18">
      <c r="A339" s="78" t="str">
        <f ca="1" t="shared" si="15"/>
        <v/>
      </c>
      <c r="B339" s="82" t="str">
        <f ca="1">IFERROR(R339+COUNTIFS($R$11:$R339,R339),"")</f>
        <v/>
      </c>
      <c r="C339" s="83">
        <f ca="1">IF(MOD(COUNTIF($Q$11:Q338,Q338),5)=0,OFFSET(装备属性!$D$1083,1+INT(COUNTA($Q$11:Q338)/5),0),C338)</f>
        <v>0</v>
      </c>
      <c r="D339" s="82">
        <f t="shared" si="17"/>
        <v>1500</v>
      </c>
      <c r="F339" s="82" t="str">
        <f ca="1" t="shared" si="16"/>
        <v/>
      </c>
      <c r="G339" s="78" t="str">
        <f ca="1">IF(AND(LEFT("[{"&amp;M339&amp;","&amp;CEILING(N339*10000+(O339-N339)/4*(COUNTIF($F$11:F339,F339)-1)*10000,10)&amp;"}]",7)="[{equip",MID("[{"&amp;M339&amp;","&amp;CEILING(N339*10000+(O339-N339)/4*(COUNTIF($F$11:F339,F339)-1)*10000,10)&amp;"}]",8,1)&lt;&gt;"_"),"[{"&amp;M339&amp;","&amp;1&amp;"}]","[{"&amp;M339&amp;","&amp;CEILING(N339*10000+(O339-N339)/4*(COUNTIF($F$11:F339,F339)-1)*10000,10)&amp;"}]")</f>
        <v>[{equip_extra_attr,5000}]</v>
      </c>
      <c r="H339" s="82" t="s">
        <v>563</v>
      </c>
      <c r="J339" s="78">
        <f ca="1">IF(MOD(COUNTIF($Q$11:Q338,Q338),5)=0,OFFSET(装备属性!$P$1083,1+INT(COUNTA($Q$11:Q338)/5),0),J338)</f>
        <v>8</v>
      </c>
      <c r="K339" s="83" t="str">
        <f ca="1">IF(RIGHT(G339,13)="rune_slot,1}]",_xlfn.XLOOKUP(LEFT(SUBSTITUTE(G339,"[{",""),FIND(",",SUBSTITUTE(G339,"[{",""))-1),Sheet2!B:B,Sheet2!C:C)&amp;"+"&amp;1,_xlfn.XLOOKUP(LEFT(SUBSTITUTE(G339,"[{",""),FIND(",",SUBSTITUTE(G339,"[{",""))-1),Sheet2!B:B,Sheet2!C:C)&amp;"+"&amp;SUBSTITUTE(RIGHT(G339,LEN(G339)-FIND(",",G339)),"}]","")/100&amp;"%")</f>
        <v>装备附加属性加成+50%</v>
      </c>
      <c r="L339" s="83" t="str">
        <f ca="1">IF(MOD(COUNTIF($Q$11:Q338,Q338),5)=0,OFFSET(装备属性!$G$1083,1+INT(COUNTA($Q$11:Q338)/5),0),L338)</f>
        <v>提成色</v>
      </c>
      <c r="M339" s="89" t="str">
        <f ca="1">IF(MOD(COUNTIF($Q$11:Q338,Q338),5)=0,OFFSET(装备属性!$H$1083,1+INT(COUNTA($Q$11:Q338)/5),0),M338)</f>
        <v>equip_extra_attr</v>
      </c>
      <c r="N339" s="76">
        <f ca="1">IF(MOD(COUNTIF($Q$11:Q338,Q338),5)=0,OFFSET(装备属性!$K$1083,1+INT(COUNTA($Q$11:Q338)/5),0),N338)</f>
        <v>0.5</v>
      </c>
      <c r="O339" s="76">
        <f ca="1">IF(MOD(COUNTIF($Q$11:Q338,Q338),5)=0,OFFSET(装备属性!$L$1083,1+INT(COUNTA($Q$11:Q338)/5),0),O338)</f>
        <v>0.5</v>
      </c>
      <c r="Q339" s="89" t="str">
        <f ca="1">IF(MOD(COUNTIF($Q$11:Q338,Q338),5)=0,OFFSET(装备属性!$M$1083,1+INT(COUNTA($Q$11:Q338)/5),0),Q338)</f>
        <v>稀有词条</v>
      </c>
      <c r="R339" s="83" t="e">
        <f ca="1">IF(MOD(COUNTIF($Q$11:Q338,Q338),5)=0,10000*SUBSTITUTE(SUBSTITUTE(OFFSET(装备属性!$F$1083,1+INT(COUNTA($Q$11:Q338)/5),0),"[",""),"]","")+_xlfn.XLOOKUP(C339,$M$3:$M$7,$N$3:$N$7)*100,R338)</f>
        <v>#N/A</v>
      </c>
    </row>
    <row r="340" customHeight="1" spans="1:18">
      <c r="A340" s="78" t="str">
        <f ca="1" t="shared" si="15"/>
        <v/>
      </c>
      <c r="B340" s="82" t="str">
        <f ca="1">IFERROR(R340+COUNTIFS($R$11:$R340,R340),"")</f>
        <v/>
      </c>
      <c r="C340" s="83">
        <f ca="1">IF(MOD(COUNTIF($Q$11:Q339,Q339),5)=0,OFFSET(装备属性!$D$1083,1+INT(COUNTA($Q$11:Q339)/5),0),C339)</f>
        <v>0</v>
      </c>
      <c r="D340" s="82">
        <f t="shared" si="17"/>
        <v>1000</v>
      </c>
      <c r="F340" s="82" t="str">
        <f ca="1" t="shared" si="16"/>
        <v/>
      </c>
      <c r="G340" s="78" t="str">
        <f ca="1">IF(AND(LEFT("[{"&amp;M340&amp;","&amp;CEILING(N340*10000+(O340-N340)/4*(COUNTIF($F$11:F340,F340)-1)*10000,10)&amp;"}]",7)="[{equip",MID("[{"&amp;M340&amp;","&amp;CEILING(N340*10000+(O340-N340)/4*(COUNTIF($F$11:F340,F340)-1)*10000,10)&amp;"}]",8,1)&lt;&gt;"_"),"[{"&amp;M340&amp;","&amp;1&amp;"}]","[{"&amp;M340&amp;","&amp;CEILING(N340*10000+(O340-N340)/4*(COUNTIF($F$11:F340,F340)-1)*10000,10)&amp;"}]")</f>
        <v>[{equip_extra_attr,5000}]</v>
      </c>
      <c r="H340" s="82" t="s">
        <v>563</v>
      </c>
      <c r="J340" s="78">
        <f ca="1">IF(MOD(COUNTIF($Q$11:Q339,Q339),5)=0,OFFSET(装备属性!$P$1083,1+INT(COUNTA($Q$11:Q339)/5),0),J339)</f>
        <v>8</v>
      </c>
      <c r="K340" s="83" t="str">
        <f ca="1">IF(RIGHT(G340,13)="rune_slot,1}]",_xlfn.XLOOKUP(LEFT(SUBSTITUTE(G340,"[{",""),FIND(",",SUBSTITUTE(G340,"[{",""))-1),Sheet2!B:B,Sheet2!C:C)&amp;"+"&amp;1,_xlfn.XLOOKUP(LEFT(SUBSTITUTE(G340,"[{",""),FIND(",",SUBSTITUTE(G340,"[{",""))-1),Sheet2!B:B,Sheet2!C:C)&amp;"+"&amp;SUBSTITUTE(RIGHT(G340,LEN(G340)-FIND(",",G340)),"}]","")/100&amp;"%")</f>
        <v>装备附加属性加成+50%</v>
      </c>
      <c r="L340" s="83" t="str">
        <f ca="1">IF(MOD(COUNTIF($Q$11:Q339,Q339),5)=0,OFFSET(装备属性!$G$1083,1+INT(COUNTA($Q$11:Q339)/5),0),L339)</f>
        <v>提成色</v>
      </c>
      <c r="M340" s="89" t="str">
        <f ca="1">IF(MOD(COUNTIF($Q$11:Q339,Q339),5)=0,OFFSET(装备属性!$H$1083,1+INT(COUNTA($Q$11:Q339)/5),0),M339)</f>
        <v>equip_extra_attr</v>
      </c>
      <c r="N340" s="76">
        <f ca="1">IF(MOD(COUNTIF($Q$11:Q339,Q339),5)=0,OFFSET(装备属性!$K$1083,1+INT(COUNTA($Q$11:Q339)/5),0),N339)</f>
        <v>0.5</v>
      </c>
      <c r="O340" s="76">
        <f ca="1">IF(MOD(COUNTIF($Q$11:Q339,Q339),5)=0,OFFSET(装备属性!$L$1083,1+INT(COUNTA($Q$11:Q339)/5),0),O339)</f>
        <v>0.5</v>
      </c>
      <c r="Q340" s="89" t="str">
        <f ca="1">IF(MOD(COUNTIF($Q$11:Q339,Q339),5)=0,OFFSET(装备属性!$M$1083,1+INT(COUNTA($Q$11:Q339)/5),0),Q339)</f>
        <v>稀有词条</v>
      </c>
      <c r="R340" s="83" t="e">
        <f ca="1">IF(MOD(COUNTIF($Q$11:Q339,Q339),5)=0,10000*SUBSTITUTE(SUBSTITUTE(OFFSET(装备属性!$F$1083,1+INT(COUNTA($Q$11:Q339)/5),0),"[",""),"]","")+_xlfn.XLOOKUP(C340,$M$3:$M$7,$N$3:$N$7)*100,R339)</f>
        <v>#N/A</v>
      </c>
    </row>
    <row r="341" customHeight="1" spans="1:18">
      <c r="A341" s="78" t="str">
        <f ca="1" t="shared" si="15"/>
        <v/>
      </c>
      <c r="B341" s="82" t="str">
        <f ca="1">IFERROR(R341+COUNTIFS($R$11:$R341,R341),"")</f>
        <v/>
      </c>
      <c r="C341" s="83">
        <f ca="1">IF(MOD(COUNTIF($Q$11:Q340,Q340),5)=0,OFFSET(装备属性!$D$1083,1+INT(COUNTA($Q$11:Q340)/5),0),C340)</f>
        <v>0</v>
      </c>
      <c r="D341" s="82">
        <f t="shared" si="17"/>
        <v>3000</v>
      </c>
      <c r="F341" s="82" t="str">
        <f ca="1" t="shared" si="16"/>
        <v/>
      </c>
      <c r="G341" s="78" t="str">
        <f ca="1">IF(AND(LEFT("[{"&amp;M341&amp;","&amp;CEILING(N341*10000+(O341-N341)/4*(COUNTIF($F$11:F341,F341)-1)*10000,10)&amp;"}]",7)="[{equip",MID("[{"&amp;M341&amp;","&amp;CEILING(N341*10000+(O341-N341)/4*(COUNTIF($F$11:F341,F341)-1)*10000,10)&amp;"}]",8,1)&lt;&gt;"_"),"[{"&amp;M341&amp;","&amp;1&amp;"}]","[{"&amp;M341&amp;","&amp;CEILING(N341*10000+(O341-N341)/4*(COUNTIF($F$11:F341,F341)-1)*10000,10)&amp;"}]")</f>
        <v>[{equip1_rune_slot,1}]</v>
      </c>
      <c r="H341" s="82" t="s">
        <v>563</v>
      </c>
      <c r="J341" s="78">
        <f ca="1">IF(MOD(COUNTIF($Q$11:Q340,Q340),5)=0,OFFSET(装备属性!$P$1083,1+INT(COUNTA($Q$11:Q340)/5),0),J340)</f>
        <v>1</v>
      </c>
      <c r="K341" s="83" t="str">
        <f ca="1">IF(RIGHT(G341,13)="rune_slot,1}]",_xlfn.XLOOKUP(LEFT(SUBSTITUTE(G341,"[{",""),FIND(",",SUBSTITUTE(G341,"[{",""))-1),Sheet2!B:B,Sheet2!C:C)&amp;"+"&amp;1,_xlfn.XLOOKUP(LEFT(SUBSTITUTE(G341,"[{",""),FIND(",",SUBSTITUTE(G341,"[{",""))-1),Sheet2!B:B,Sheet2!C:C)&amp;"+"&amp;SUBSTITUTE(RIGHT(G341,LEN(G341)-FIND(",",G341)),"}]","")/100&amp;"%")</f>
        <v>衣服符文孔位+1</v>
      </c>
      <c r="L341" s="83" t="str">
        <f ca="1">IF(MOD(COUNTIF($Q$11:Q340,Q340),5)=0,OFFSET(装备属性!$G$1083,1+INT(COUNTA($Q$11:Q340)/5),0),L340)</f>
        <v>扩符槽</v>
      </c>
      <c r="M341" s="89" t="str">
        <f ca="1">IF(MOD(COUNTIF($Q$11:Q340,Q340),5)=0,OFFSET(装备属性!$H$1083,1+INT(COUNTA($Q$11:Q340)/5),0),M340)</f>
        <v>equip1_rune_slot</v>
      </c>
      <c r="N341" s="76">
        <f ca="1">IF(MOD(COUNTIF($Q$11:Q340,Q340),5)=0,OFFSET(装备属性!$K$1083,1+INT(COUNTA($Q$11:Q340)/5),0),N340)</f>
        <v>1</v>
      </c>
      <c r="O341" s="76">
        <f ca="1">IF(MOD(COUNTIF($Q$11:Q340,Q340),5)=0,OFFSET(装备属性!$L$1083,1+INT(COUNTA($Q$11:Q340)/5),0),O340)</f>
        <v>1</v>
      </c>
      <c r="Q341" s="89" t="str">
        <f ca="1">IF(MOD(COUNTIF($Q$11:Q340,Q340),5)=0,OFFSET(装备属性!$M$1083,1+INT(COUNTA($Q$11:Q340)/5),0),Q340)</f>
        <v>稀有词条</v>
      </c>
      <c r="R341" s="83" t="e">
        <f ca="1">IF(MOD(COUNTIF($Q$11:Q340,Q340),5)=0,10000*SUBSTITUTE(SUBSTITUTE(OFFSET(装备属性!$F$1083,1+INT(COUNTA($Q$11:Q340)/5),0),"[",""),"]","")+_xlfn.XLOOKUP(C341,$M$3:$M$7,$N$3:$N$7)*100,R340)</f>
        <v>#N/A</v>
      </c>
    </row>
    <row r="342" customHeight="1" spans="1:18">
      <c r="A342" s="78" t="str">
        <f ca="1" t="shared" si="15"/>
        <v/>
      </c>
      <c r="B342" s="82" t="str">
        <f ca="1">IFERROR(R342+COUNTIFS($R$11:$R342,R342),"")</f>
        <v/>
      </c>
      <c r="C342" s="83">
        <f ca="1">IF(MOD(COUNTIF($Q$11:Q341,Q341),5)=0,OFFSET(装备属性!$D$1083,1+INT(COUNTA($Q$11:Q341)/5),0),C341)</f>
        <v>0</v>
      </c>
      <c r="D342" s="82">
        <f t="shared" si="17"/>
        <v>2500</v>
      </c>
      <c r="F342" s="82" t="str">
        <f ca="1" t="shared" si="16"/>
        <v/>
      </c>
      <c r="G342" s="78" t="str">
        <f ca="1">IF(AND(LEFT("[{"&amp;M342&amp;","&amp;CEILING(N342*10000+(O342-N342)/4*(COUNTIF($F$11:F342,F342)-1)*10000,10)&amp;"}]",7)="[{equip",MID("[{"&amp;M342&amp;","&amp;CEILING(N342*10000+(O342-N342)/4*(COUNTIF($F$11:F342,F342)-1)*10000,10)&amp;"}]",8,1)&lt;&gt;"_"),"[{"&amp;M342&amp;","&amp;1&amp;"}]","[{"&amp;M342&amp;","&amp;CEILING(N342*10000+(O342-N342)/4*(COUNTIF($F$11:F342,F342)-1)*10000,10)&amp;"}]")</f>
        <v>[{equip1_rune_slot,1}]</v>
      </c>
      <c r="H342" s="82" t="s">
        <v>563</v>
      </c>
      <c r="J342" s="78">
        <f ca="1">IF(MOD(COUNTIF($Q$11:Q341,Q341),5)=0,OFFSET(装备属性!$P$1083,1+INT(COUNTA($Q$11:Q341)/5),0),J341)</f>
        <v>1</v>
      </c>
      <c r="K342" s="83" t="str">
        <f ca="1">IF(RIGHT(G342,13)="rune_slot,1}]",_xlfn.XLOOKUP(LEFT(SUBSTITUTE(G342,"[{",""),FIND(",",SUBSTITUTE(G342,"[{",""))-1),Sheet2!B:B,Sheet2!C:C)&amp;"+"&amp;1,_xlfn.XLOOKUP(LEFT(SUBSTITUTE(G342,"[{",""),FIND(",",SUBSTITUTE(G342,"[{",""))-1),Sheet2!B:B,Sheet2!C:C)&amp;"+"&amp;SUBSTITUTE(RIGHT(G342,LEN(G342)-FIND(",",G342)),"}]","")/100&amp;"%")</f>
        <v>衣服符文孔位+1</v>
      </c>
      <c r="L342" s="83" t="str">
        <f ca="1">IF(MOD(COUNTIF($Q$11:Q341,Q341),5)=0,OFFSET(装备属性!$G$1083,1+INT(COUNTA($Q$11:Q341)/5),0),L341)</f>
        <v>扩符槽</v>
      </c>
      <c r="M342" s="89" t="str">
        <f ca="1">IF(MOD(COUNTIF($Q$11:Q341,Q341),5)=0,OFFSET(装备属性!$H$1083,1+INT(COUNTA($Q$11:Q341)/5),0),M341)</f>
        <v>equip1_rune_slot</v>
      </c>
      <c r="N342" s="76">
        <f ca="1">IF(MOD(COUNTIF($Q$11:Q341,Q341),5)=0,OFFSET(装备属性!$K$1083,1+INT(COUNTA($Q$11:Q341)/5),0),N341)</f>
        <v>1</v>
      </c>
      <c r="O342" s="76">
        <f ca="1">IF(MOD(COUNTIF($Q$11:Q341,Q341),5)=0,OFFSET(装备属性!$L$1083,1+INT(COUNTA($Q$11:Q341)/5),0),O341)</f>
        <v>1</v>
      </c>
      <c r="Q342" s="89" t="str">
        <f ca="1">IF(MOD(COUNTIF($Q$11:Q341,Q341),5)=0,OFFSET(装备属性!$M$1083,1+INT(COUNTA($Q$11:Q341)/5),0),Q341)</f>
        <v>稀有词条</v>
      </c>
      <c r="R342" s="83" t="e">
        <f ca="1">IF(MOD(COUNTIF($Q$11:Q341,Q341),5)=0,10000*SUBSTITUTE(SUBSTITUTE(OFFSET(装备属性!$F$1083,1+INT(COUNTA($Q$11:Q341)/5),0),"[",""),"]","")+_xlfn.XLOOKUP(C342,$M$3:$M$7,$N$3:$N$7)*100,R341)</f>
        <v>#N/A</v>
      </c>
    </row>
    <row r="343" customHeight="1" spans="1:18">
      <c r="A343" s="78" t="str">
        <f ca="1" t="shared" si="15"/>
        <v/>
      </c>
      <c r="B343" s="82" t="str">
        <f ca="1">IFERROR(R343+COUNTIFS($R$11:$R343,R343),"")</f>
        <v/>
      </c>
      <c r="C343" s="83">
        <f ca="1">IF(MOD(COUNTIF($Q$11:Q342,Q342),5)=0,OFFSET(装备属性!$D$1083,1+INT(COUNTA($Q$11:Q342)/5),0),C342)</f>
        <v>0</v>
      </c>
      <c r="D343" s="82">
        <f t="shared" si="17"/>
        <v>2000</v>
      </c>
      <c r="F343" s="82" t="str">
        <f ca="1" t="shared" si="16"/>
        <v/>
      </c>
      <c r="G343" s="78" t="str">
        <f ca="1">IF(AND(LEFT("[{"&amp;M343&amp;","&amp;CEILING(N343*10000+(O343-N343)/4*(COUNTIF($F$11:F343,F343)-1)*10000,10)&amp;"}]",7)="[{equip",MID("[{"&amp;M343&amp;","&amp;CEILING(N343*10000+(O343-N343)/4*(COUNTIF($F$11:F343,F343)-1)*10000,10)&amp;"}]",8,1)&lt;&gt;"_"),"[{"&amp;M343&amp;","&amp;1&amp;"}]","[{"&amp;M343&amp;","&amp;CEILING(N343*10000+(O343-N343)/4*(COUNTIF($F$11:F343,F343)-1)*10000,10)&amp;"}]")</f>
        <v>[{equip1_rune_slot,1}]</v>
      </c>
      <c r="H343" s="82" t="s">
        <v>563</v>
      </c>
      <c r="J343" s="78">
        <f ca="1">IF(MOD(COUNTIF($Q$11:Q342,Q342),5)=0,OFFSET(装备属性!$P$1083,1+INT(COUNTA($Q$11:Q342)/5),0),J342)</f>
        <v>1</v>
      </c>
      <c r="K343" s="83" t="str">
        <f ca="1">IF(RIGHT(G343,13)="rune_slot,1}]",_xlfn.XLOOKUP(LEFT(SUBSTITUTE(G343,"[{",""),FIND(",",SUBSTITUTE(G343,"[{",""))-1),Sheet2!B:B,Sheet2!C:C)&amp;"+"&amp;1,_xlfn.XLOOKUP(LEFT(SUBSTITUTE(G343,"[{",""),FIND(",",SUBSTITUTE(G343,"[{",""))-1),Sheet2!B:B,Sheet2!C:C)&amp;"+"&amp;SUBSTITUTE(RIGHT(G343,LEN(G343)-FIND(",",G343)),"}]","")/100&amp;"%")</f>
        <v>衣服符文孔位+1</v>
      </c>
      <c r="L343" s="83" t="str">
        <f ca="1">IF(MOD(COUNTIF($Q$11:Q342,Q342),5)=0,OFFSET(装备属性!$G$1083,1+INT(COUNTA($Q$11:Q342)/5),0),L342)</f>
        <v>扩符槽</v>
      </c>
      <c r="M343" s="89" t="str">
        <f ca="1">IF(MOD(COUNTIF($Q$11:Q342,Q342),5)=0,OFFSET(装备属性!$H$1083,1+INT(COUNTA($Q$11:Q342)/5),0),M342)</f>
        <v>equip1_rune_slot</v>
      </c>
      <c r="N343" s="76">
        <f ca="1">IF(MOD(COUNTIF($Q$11:Q342,Q342),5)=0,OFFSET(装备属性!$K$1083,1+INT(COUNTA($Q$11:Q342)/5),0),N342)</f>
        <v>1</v>
      </c>
      <c r="O343" s="76">
        <f ca="1">IF(MOD(COUNTIF($Q$11:Q342,Q342),5)=0,OFFSET(装备属性!$L$1083,1+INT(COUNTA($Q$11:Q342)/5),0),O342)</f>
        <v>1</v>
      </c>
      <c r="Q343" s="89" t="str">
        <f ca="1">IF(MOD(COUNTIF($Q$11:Q342,Q342),5)=0,OFFSET(装备属性!$M$1083,1+INT(COUNTA($Q$11:Q342)/5),0),Q342)</f>
        <v>稀有词条</v>
      </c>
      <c r="R343" s="83" t="e">
        <f ca="1">IF(MOD(COUNTIF($Q$11:Q342,Q342),5)=0,10000*SUBSTITUTE(SUBSTITUTE(OFFSET(装备属性!$F$1083,1+INT(COUNTA($Q$11:Q342)/5),0),"[",""),"]","")+_xlfn.XLOOKUP(C343,$M$3:$M$7,$N$3:$N$7)*100,R342)</f>
        <v>#N/A</v>
      </c>
    </row>
    <row r="344" customHeight="1" spans="1:18">
      <c r="A344" s="78" t="str">
        <f ca="1" t="shared" si="15"/>
        <v/>
      </c>
      <c r="B344" s="82" t="str">
        <f ca="1">IFERROR(R344+COUNTIFS($R$11:$R344,R344),"")</f>
        <v/>
      </c>
      <c r="C344" s="83">
        <f ca="1">IF(MOD(COUNTIF($Q$11:Q343,Q343),5)=0,OFFSET(装备属性!$D$1083,1+INT(COUNTA($Q$11:Q343)/5),0),C343)</f>
        <v>0</v>
      </c>
      <c r="D344" s="82">
        <f t="shared" si="17"/>
        <v>1500</v>
      </c>
      <c r="F344" s="82" t="str">
        <f ca="1" t="shared" si="16"/>
        <v/>
      </c>
      <c r="G344" s="78" t="str">
        <f ca="1">IF(AND(LEFT("[{"&amp;M344&amp;","&amp;CEILING(N344*10000+(O344-N344)/4*(COUNTIF($F$11:F344,F344)-1)*10000,10)&amp;"}]",7)="[{equip",MID("[{"&amp;M344&amp;","&amp;CEILING(N344*10000+(O344-N344)/4*(COUNTIF($F$11:F344,F344)-1)*10000,10)&amp;"}]",8,1)&lt;&gt;"_"),"[{"&amp;M344&amp;","&amp;1&amp;"}]","[{"&amp;M344&amp;","&amp;CEILING(N344*10000+(O344-N344)/4*(COUNTIF($F$11:F344,F344)-1)*10000,10)&amp;"}]")</f>
        <v>[{equip1_rune_slot,1}]</v>
      </c>
      <c r="H344" s="82" t="s">
        <v>563</v>
      </c>
      <c r="J344" s="78">
        <f ca="1">IF(MOD(COUNTIF($Q$11:Q343,Q343),5)=0,OFFSET(装备属性!$P$1083,1+INT(COUNTA($Q$11:Q343)/5),0),J343)</f>
        <v>1</v>
      </c>
      <c r="K344" s="83" t="str">
        <f ca="1">IF(RIGHT(G344,13)="rune_slot,1}]",_xlfn.XLOOKUP(LEFT(SUBSTITUTE(G344,"[{",""),FIND(",",SUBSTITUTE(G344,"[{",""))-1),Sheet2!B:B,Sheet2!C:C)&amp;"+"&amp;1,_xlfn.XLOOKUP(LEFT(SUBSTITUTE(G344,"[{",""),FIND(",",SUBSTITUTE(G344,"[{",""))-1),Sheet2!B:B,Sheet2!C:C)&amp;"+"&amp;SUBSTITUTE(RIGHT(G344,LEN(G344)-FIND(",",G344)),"}]","")/100&amp;"%")</f>
        <v>衣服符文孔位+1</v>
      </c>
      <c r="L344" s="83" t="str">
        <f ca="1">IF(MOD(COUNTIF($Q$11:Q343,Q343),5)=0,OFFSET(装备属性!$G$1083,1+INT(COUNTA($Q$11:Q343)/5),0),L343)</f>
        <v>扩符槽</v>
      </c>
      <c r="M344" s="89" t="str">
        <f ca="1">IF(MOD(COUNTIF($Q$11:Q343,Q343),5)=0,OFFSET(装备属性!$H$1083,1+INT(COUNTA($Q$11:Q343)/5),0),M343)</f>
        <v>equip1_rune_slot</v>
      </c>
      <c r="N344" s="76">
        <f ca="1">IF(MOD(COUNTIF($Q$11:Q343,Q343),5)=0,OFFSET(装备属性!$K$1083,1+INT(COUNTA($Q$11:Q343)/5),0),N343)</f>
        <v>1</v>
      </c>
      <c r="O344" s="76">
        <f ca="1">IF(MOD(COUNTIF($Q$11:Q343,Q343),5)=0,OFFSET(装备属性!$L$1083,1+INT(COUNTA($Q$11:Q343)/5),0),O343)</f>
        <v>1</v>
      </c>
      <c r="Q344" s="89" t="str">
        <f ca="1">IF(MOD(COUNTIF($Q$11:Q343,Q343),5)=0,OFFSET(装备属性!$M$1083,1+INT(COUNTA($Q$11:Q343)/5),0),Q343)</f>
        <v>稀有词条</v>
      </c>
      <c r="R344" s="83" t="e">
        <f ca="1">IF(MOD(COUNTIF($Q$11:Q343,Q343),5)=0,10000*SUBSTITUTE(SUBSTITUTE(OFFSET(装备属性!$F$1083,1+INT(COUNTA($Q$11:Q343)/5),0),"[",""),"]","")+_xlfn.XLOOKUP(C344,$M$3:$M$7,$N$3:$N$7)*100,R343)</f>
        <v>#N/A</v>
      </c>
    </row>
    <row r="345" customHeight="1" spans="1:18">
      <c r="A345" s="78" t="str">
        <f ca="1" t="shared" si="15"/>
        <v/>
      </c>
      <c r="B345" s="82" t="str">
        <f ca="1">IFERROR(R345+COUNTIFS($R$11:$R345,R345),"")</f>
        <v/>
      </c>
      <c r="C345" s="83">
        <f ca="1">IF(MOD(COUNTIF($Q$11:Q344,Q344),5)=0,OFFSET(装备属性!$D$1083,1+INT(COUNTA($Q$11:Q344)/5),0),C344)</f>
        <v>0</v>
      </c>
      <c r="D345" s="82">
        <f t="shared" si="17"/>
        <v>1000</v>
      </c>
      <c r="F345" s="82" t="str">
        <f ca="1" t="shared" si="16"/>
        <v/>
      </c>
      <c r="G345" s="78" t="str">
        <f ca="1">IF(AND(LEFT("[{"&amp;M345&amp;","&amp;CEILING(N345*10000+(O345-N345)/4*(COUNTIF($F$11:F345,F345)-1)*10000,10)&amp;"}]",7)="[{equip",MID("[{"&amp;M345&amp;","&amp;CEILING(N345*10000+(O345-N345)/4*(COUNTIF($F$11:F345,F345)-1)*10000,10)&amp;"}]",8,1)&lt;&gt;"_"),"[{"&amp;M345&amp;","&amp;1&amp;"}]","[{"&amp;M345&amp;","&amp;CEILING(N345*10000+(O345-N345)/4*(COUNTIF($F$11:F345,F345)-1)*10000,10)&amp;"}]")</f>
        <v>[{equip1_rune_slot,1}]</v>
      </c>
      <c r="H345" s="82" t="s">
        <v>563</v>
      </c>
      <c r="J345" s="78">
        <f ca="1">IF(MOD(COUNTIF($Q$11:Q344,Q344),5)=0,OFFSET(装备属性!$P$1083,1+INT(COUNTA($Q$11:Q344)/5),0),J344)</f>
        <v>1</v>
      </c>
      <c r="K345" s="83" t="str">
        <f ca="1">IF(RIGHT(G345,13)="rune_slot,1}]",_xlfn.XLOOKUP(LEFT(SUBSTITUTE(G345,"[{",""),FIND(",",SUBSTITUTE(G345,"[{",""))-1),Sheet2!B:B,Sheet2!C:C)&amp;"+"&amp;1,_xlfn.XLOOKUP(LEFT(SUBSTITUTE(G345,"[{",""),FIND(",",SUBSTITUTE(G345,"[{",""))-1),Sheet2!B:B,Sheet2!C:C)&amp;"+"&amp;SUBSTITUTE(RIGHT(G345,LEN(G345)-FIND(",",G345)),"}]","")/100&amp;"%")</f>
        <v>衣服符文孔位+1</v>
      </c>
      <c r="L345" s="83" t="str">
        <f ca="1">IF(MOD(COUNTIF($Q$11:Q344,Q344),5)=0,OFFSET(装备属性!$G$1083,1+INT(COUNTA($Q$11:Q344)/5),0),L344)</f>
        <v>扩符槽</v>
      </c>
      <c r="M345" s="89" t="str">
        <f ca="1">IF(MOD(COUNTIF($Q$11:Q344,Q344),5)=0,OFFSET(装备属性!$H$1083,1+INT(COUNTA($Q$11:Q344)/5),0),M344)</f>
        <v>equip1_rune_slot</v>
      </c>
      <c r="N345" s="76">
        <f ca="1">IF(MOD(COUNTIF($Q$11:Q344,Q344),5)=0,OFFSET(装备属性!$K$1083,1+INT(COUNTA($Q$11:Q344)/5),0),N344)</f>
        <v>1</v>
      </c>
      <c r="O345" s="76">
        <f ca="1">IF(MOD(COUNTIF($Q$11:Q344,Q344),5)=0,OFFSET(装备属性!$L$1083,1+INT(COUNTA($Q$11:Q344)/5),0),O344)</f>
        <v>1</v>
      </c>
      <c r="Q345" s="89" t="str">
        <f ca="1">IF(MOD(COUNTIF($Q$11:Q344,Q344),5)=0,OFFSET(装备属性!$M$1083,1+INT(COUNTA($Q$11:Q344)/5),0),Q344)</f>
        <v>稀有词条</v>
      </c>
      <c r="R345" s="83" t="e">
        <f ca="1">IF(MOD(COUNTIF($Q$11:Q344,Q344),5)=0,10000*SUBSTITUTE(SUBSTITUTE(OFFSET(装备属性!$F$1083,1+INT(COUNTA($Q$11:Q344)/5),0),"[",""),"]","")+_xlfn.XLOOKUP(C345,$M$3:$M$7,$N$3:$N$7)*100,R344)</f>
        <v>#N/A</v>
      </c>
    </row>
    <row r="346" customHeight="1" spans="1:18">
      <c r="A346" s="78" t="str">
        <f ca="1" t="shared" si="15"/>
        <v/>
      </c>
      <c r="B346" s="82" t="str">
        <f ca="1">IFERROR(R346+COUNTIFS($R$11:$R346,R346),"")</f>
        <v/>
      </c>
      <c r="C346" s="83">
        <f ca="1">IF(MOD(COUNTIF($Q$11:Q345,Q345),5)=0,OFFSET(装备属性!$D$1083,1+INT(COUNTA($Q$11:Q345)/5),0),C345)</f>
        <v>0</v>
      </c>
      <c r="D346" s="82">
        <f t="shared" si="17"/>
        <v>3000</v>
      </c>
      <c r="F346" s="82" t="str">
        <f ca="1" t="shared" si="16"/>
        <v/>
      </c>
      <c r="G346" s="78" t="str">
        <f ca="1">IF(AND(LEFT("[{"&amp;M346&amp;","&amp;CEILING(N346*10000+(O346-N346)/4*(COUNTIF($F$11:F346,F346)-1)*10000,10)&amp;"}]",7)="[{equip",MID("[{"&amp;M346&amp;","&amp;CEILING(N346*10000+(O346-N346)/4*(COUNTIF($F$11:F346,F346)-1)*10000,10)&amp;"}]",8,1)&lt;&gt;"_"),"[{"&amp;M346&amp;","&amp;1&amp;"}]","[{"&amp;M346&amp;","&amp;CEILING(N346*10000+(O346-N346)/4*(COUNTIF($F$11:F346,F346)-1)*10000,10)&amp;"}]")</f>
        <v>[{chapter_pve_hit_rate,5340}]</v>
      </c>
      <c r="H346" s="82" t="s">
        <v>563</v>
      </c>
      <c r="J346" s="78">
        <f ca="1">IF(MOD(COUNTIF($Q$11:Q345,Q345),5)=0,OFFSET(装备属性!$P$1083,1+INT(COUNTA($Q$11:Q345)/5),0),J345)</f>
        <v>6</v>
      </c>
      <c r="K346" s="83" t="str">
        <f ca="1">IF(RIGHT(G346,13)="rune_slot,1}]",_xlfn.XLOOKUP(LEFT(SUBSTITUTE(G346,"[{",""),FIND(",",SUBSTITUTE(G346,"[{",""))-1),Sheet2!B:B,Sheet2!C:C)&amp;"+"&amp;1,_xlfn.XLOOKUP(LEFT(SUBSTITUTE(G346,"[{",""),FIND(",",SUBSTITUTE(G346,"[{",""))-1),Sheet2!B:B,Sheet2!C:C)&amp;"+"&amp;SUBSTITUTE(RIGHT(G346,LEN(G346)-FIND(",",G346)),"}]","")/100&amp;"%")</f>
        <v>主线挑战增伤+53.4%</v>
      </c>
      <c r="L346" s="83" t="str">
        <f ca="1">IF(MOD(COUNTIF($Q$11:Q345,Q345),5)=0,OFFSET(装备属性!$G$1083,1+INT(COUNTA($Q$11:Q345)/5),0),L345)</f>
        <v>主线清场Ⅰ</v>
      </c>
      <c r="M346" s="89" t="str">
        <f ca="1">IF(MOD(COUNTIF($Q$11:Q345,Q345),5)=0,OFFSET(装备属性!$H$1083,1+INT(COUNTA($Q$11:Q345)/5),0),M345)</f>
        <v>chapter_pve_hit_rate</v>
      </c>
      <c r="N346" s="76">
        <f ca="1">IF(MOD(COUNTIF($Q$11:Q345,Q345),5)=0,OFFSET(装备属性!$K$1083,1+INT(COUNTA($Q$11:Q345)/5),0),N345)</f>
        <v>0.044</v>
      </c>
      <c r="O346" s="76">
        <f ca="1">IF(MOD(COUNTIF($Q$11:Q345,Q345),5)=0,OFFSET(装备属性!$L$1083,1+INT(COUNTA($Q$11:Q345)/5),0),O345)</f>
        <v>0.058</v>
      </c>
      <c r="Q346" s="89" t="str">
        <f ca="1">IF(MOD(COUNTIF($Q$11:Q345,Q345),5)=0,OFFSET(装备属性!$M$1083,1+INT(COUNTA($Q$11:Q345)/5),0),Q345)</f>
        <v>玩法类</v>
      </c>
      <c r="R346" s="83" t="e">
        <f ca="1">IF(MOD(COUNTIF($Q$11:Q345,Q345),5)=0,10000*SUBSTITUTE(SUBSTITUTE(OFFSET(装备属性!$F$1083,1+INT(COUNTA($Q$11:Q345)/5),0),"[",""),"]","")+_xlfn.XLOOKUP(C346,$M$3:$M$7,$N$3:$N$7)*100,R345)</f>
        <v>#N/A</v>
      </c>
    </row>
    <row r="347" customHeight="1" spans="1:18">
      <c r="A347" s="78" t="str">
        <f ca="1" t="shared" si="15"/>
        <v/>
      </c>
      <c r="B347" s="82" t="str">
        <f ca="1">IFERROR(R347+COUNTIFS($R$11:$R347,R347),"")</f>
        <v/>
      </c>
      <c r="C347" s="83">
        <f ca="1">IF(MOD(COUNTIF($Q$11:Q346,Q346),5)=0,OFFSET(装备属性!$D$1083,1+INT(COUNTA($Q$11:Q346)/5),0),C346)</f>
        <v>0</v>
      </c>
      <c r="D347" s="82">
        <f t="shared" si="17"/>
        <v>2500</v>
      </c>
      <c r="F347" s="82" t="str">
        <f ca="1" t="shared" si="16"/>
        <v/>
      </c>
      <c r="G347" s="78" t="str">
        <f ca="1">IF(AND(LEFT("[{"&amp;M347&amp;","&amp;CEILING(N347*10000+(O347-N347)/4*(COUNTIF($F$11:F347,F347)-1)*10000,10)&amp;"}]",7)="[{equip",MID("[{"&amp;M347&amp;","&amp;CEILING(N347*10000+(O347-N347)/4*(COUNTIF($F$11:F347,F347)-1)*10000,10)&amp;"}]",8,1)&lt;&gt;"_"),"[{"&amp;M347&amp;","&amp;1&amp;"}]","[{"&amp;M347&amp;","&amp;CEILING(N347*10000+(O347-N347)/4*(COUNTIF($F$11:F347,F347)-1)*10000,10)&amp;"}]")</f>
        <v>[{chapter_pve_hit_rate,5380}]</v>
      </c>
      <c r="H347" s="82" t="s">
        <v>563</v>
      </c>
      <c r="J347" s="78">
        <f ca="1">IF(MOD(COUNTIF($Q$11:Q346,Q346),5)=0,OFFSET(装备属性!$P$1083,1+INT(COUNTA($Q$11:Q346)/5),0),J346)</f>
        <v>6</v>
      </c>
      <c r="K347" s="83" t="str">
        <f ca="1">IF(RIGHT(G347,13)="rune_slot,1}]",_xlfn.XLOOKUP(LEFT(SUBSTITUTE(G347,"[{",""),FIND(",",SUBSTITUTE(G347,"[{",""))-1),Sheet2!B:B,Sheet2!C:C)&amp;"+"&amp;1,_xlfn.XLOOKUP(LEFT(SUBSTITUTE(G347,"[{",""),FIND(",",SUBSTITUTE(G347,"[{",""))-1),Sheet2!B:B,Sheet2!C:C)&amp;"+"&amp;SUBSTITUTE(RIGHT(G347,LEN(G347)-FIND(",",G347)),"}]","")/100&amp;"%")</f>
        <v>主线挑战增伤+53.8%</v>
      </c>
      <c r="L347" s="83" t="str">
        <f ca="1">IF(MOD(COUNTIF($Q$11:Q346,Q346),5)=0,OFFSET(装备属性!$G$1083,1+INT(COUNTA($Q$11:Q346)/5),0),L346)</f>
        <v>主线清场Ⅰ</v>
      </c>
      <c r="M347" s="89" t="str">
        <f ca="1">IF(MOD(COUNTIF($Q$11:Q346,Q346),5)=0,OFFSET(装备属性!$H$1083,1+INT(COUNTA($Q$11:Q346)/5),0),M346)</f>
        <v>chapter_pve_hit_rate</v>
      </c>
      <c r="N347" s="76">
        <f ca="1">IF(MOD(COUNTIF($Q$11:Q346,Q346),5)=0,OFFSET(装备属性!$K$1083,1+INT(COUNTA($Q$11:Q346)/5),0),N346)</f>
        <v>0.044</v>
      </c>
      <c r="O347" s="76">
        <f ca="1">IF(MOD(COUNTIF($Q$11:Q346,Q346),5)=0,OFFSET(装备属性!$L$1083,1+INT(COUNTA($Q$11:Q346)/5),0),O346)</f>
        <v>0.058</v>
      </c>
      <c r="Q347" s="89" t="str">
        <f ca="1">IF(MOD(COUNTIF($Q$11:Q346,Q346),5)=0,OFFSET(装备属性!$M$1083,1+INT(COUNTA($Q$11:Q346)/5),0),Q346)</f>
        <v>玩法类</v>
      </c>
      <c r="R347" s="83" t="e">
        <f ca="1">IF(MOD(COUNTIF($Q$11:Q346,Q346),5)=0,10000*SUBSTITUTE(SUBSTITUTE(OFFSET(装备属性!$F$1083,1+INT(COUNTA($Q$11:Q346)/5),0),"[",""),"]","")+_xlfn.XLOOKUP(C347,$M$3:$M$7,$N$3:$N$7)*100,R346)</f>
        <v>#N/A</v>
      </c>
    </row>
    <row r="348" customHeight="1" spans="1:18">
      <c r="A348" s="78" t="str">
        <f ca="1" t="shared" si="15"/>
        <v/>
      </c>
      <c r="B348" s="82" t="str">
        <f ca="1">IFERROR(R348+COUNTIFS($R$11:$R348,R348),"")</f>
        <v/>
      </c>
      <c r="C348" s="83">
        <f ca="1">IF(MOD(COUNTIF($Q$11:Q347,Q347),5)=0,OFFSET(装备属性!$D$1083,1+INT(COUNTA($Q$11:Q347)/5),0),C347)</f>
        <v>0</v>
      </c>
      <c r="D348" s="82">
        <f t="shared" si="17"/>
        <v>2000</v>
      </c>
      <c r="F348" s="82" t="str">
        <f ca="1" t="shared" si="16"/>
        <v/>
      </c>
      <c r="G348" s="78" t="str">
        <f ca="1">IF(AND(LEFT("[{"&amp;M348&amp;","&amp;CEILING(N348*10000+(O348-N348)/4*(COUNTIF($F$11:F348,F348)-1)*10000,10)&amp;"}]",7)="[{equip",MID("[{"&amp;M348&amp;","&amp;CEILING(N348*10000+(O348-N348)/4*(COUNTIF($F$11:F348,F348)-1)*10000,10)&amp;"}]",8,1)&lt;&gt;"_"),"[{"&amp;M348&amp;","&amp;1&amp;"}]","[{"&amp;M348&amp;","&amp;CEILING(N348*10000+(O348-N348)/4*(COUNTIF($F$11:F348,F348)-1)*10000,10)&amp;"}]")</f>
        <v>[{chapter_pve_hit_rate,5410}]</v>
      </c>
      <c r="H348" s="82" t="s">
        <v>563</v>
      </c>
      <c r="J348" s="78">
        <f ca="1">IF(MOD(COUNTIF($Q$11:Q347,Q347),5)=0,OFFSET(装备属性!$P$1083,1+INT(COUNTA($Q$11:Q347)/5),0),J347)</f>
        <v>6</v>
      </c>
      <c r="K348" s="83" t="str">
        <f ca="1">IF(RIGHT(G348,13)="rune_slot,1}]",_xlfn.XLOOKUP(LEFT(SUBSTITUTE(G348,"[{",""),FIND(",",SUBSTITUTE(G348,"[{",""))-1),Sheet2!B:B,Sheet2!C:C)&amp;"+"&amp;1,_xlfn.XLOOKUP(LEFT(SUBSTITUTE(G348,"[{",""),FIND(",",SUBSTITUTE(G348,"[{",""))-1),Sheet2!B:B,Sheet2!C:C)&amp;"+"&amp;SUBSTITUTE(RIGHT(G348,LEN(G348)-FIND(",",G348)),"}]","")/100&amp;"%")</f>
        <v>主线挑战增伤+54.1%</v>
      </c>
      <c r="L348" s="83" t="str">
        <f ca="1">IF(MOD(COUNTIF($Q$11:Q347,Q347),5)=0,OFFSET(装备属性!$G$1083,1+INT(COUNTA($Q$11:Q347)/5),0),L347)</f>
        <v>主线清场Ⅰ</v>
      </c>
      <c r="M348" s="89" t="str">
        <f ca="1">IF(MOD(COUNTIF($Q$11:Q347,Q347),5)=0,OFFSET(装备属性!$H$1083,1+INT(COUNTA($Q$11:Q347)/5),0),M347)</f>
        <v>chapter_pve_hit_rate</v>
      </c>
      <c r="N348" s="76">
        <f ca="1">IF(MOD(COUNTIF($Q$11:Q347,Q347),5)=0,OFFSET(装备属性!$K$1083,1+INT(COUNTA($Q$11:Q347)/5),0),N347)</f>
        <v>0.044</v>
      </c>
      <c r="O348" s="76">
        <f ca="1">IF(MOD(COUNTIF($Q$11:Q347,Q347),5)=0,OFFSET(装备属性!$L$1083,1+INT(COUNTA($Q$11:Q347)/5),0),O347)</f>
        <v>0.058</v>
      </c>
      <c r="Q348" s="89" t="str">
        <f ca="1">IF(MOD(COUNTIF($Q$11:Q347,Q347),5)=0,OFFSET(装备属性!$M$1083,1+INT(COUNTA($Q$11:Q347)/5),0),Q347)</f>
        <v>玩法类</v>
      </c>
      <c r="R348" s="83" t="e">
        <f ca="1">IF(MOD(COUNTIF($Q$11:Q347,Q347),5)=0,10000*SUBSTITUTE(SUBSTITUTE(OFFSET(装备属性!$F$1083,1+INT(COUNTA($Q$11:Q347)/5),0),"[",""),"]","")+_xlfn.XLOOKUP(C348,$M$3:$M$7,$N$3:$N$7)*100,R347)</f>
        <v>#N/A</v>
      </c>
    </row>
    <row r="349" customHeight="1" spans="1:18">
      <c r="A349" s="78" t="str">
        <f ca="1" t="shared" si="15"/>
        <v/>
      </c>
      <c r="B349" s="82" t="str">
        <f ca="1">IFERROR(R349+COUNTIFS($R$11:$R349,R349),"")</f>
        <v/>
      </c>
      <c r="C349" s="83">
        <f ca="1">IF(MOD(COUNTIF($Q$11:Q348,Q348),5)=0,OFFSET(装备属性!$D$1083,1+INT(COUNTA($Q$11:Q348)/5),0),C348)</f>
        <v>0</v>
      </c>
      <c r="D349" s="82">
        <f t="shared" si="17"/>
        <v>1500</v>
      </c>
      <c r="F349" s="82" t="str">
        <f ca="1" t="shared" si="16"/>
        <v/>
      </c>
      <c r="G349" s="78" t="str">
        <f ca="1">IF(AND(LEFT("[{"&amp;M349&amp;","&amp;CEILING(N349*10000+(O349-N349)/4*(COUNTIF($F$11:F349,F349)-1)*10000,10)&amp;"}]",7)="[{equip",MID("[{"&amp;M349&amp;","&amp;CEILING(N349*10000+(O349-N349)/4*(COUNTIF($F$11:F349,F349)-1)*10000,10)&amp;"}]",8,1)&lt;&gt;"_"),"[{"&amp;M349&amp;","&amp;1&amp;"}]","[{"&amp;M349&amp;","&amp;CEILING(N349*10000+(O349-N349)/4*(COUNTIF($F$11:F349,F349)-1)*10000,10)&amp;"}]")</f>
        <v>[{chapter_pve_hit_rate,5450}]</v>
      </c>
      <c r="H349" s="82" t="s">
        <v>563</v>
      </c>
      <c r="J349" s="78">
        <f ca="1">IF(MOD(COUNTIF($Q$11:Q348,Q348),5)=0,OFFSET(装备属性!$P$1083,1+INT(COUNTA($Q$11:Q348)/5),0),J348)</f>
        <v>6</v>
      </c>
      <c r="K349" s="83" t="str">
        <f ca="1">IF(RIGHT(G349,13)="rune_slot,1}]",_xlfn.XLOOKUP(LEFT(SUBSTITUTE(G349,"[{",""),FIND(",",SUBSTITUTE(G349,"[{",""))-1),Sheet2!B:B,Sheet2!C:C)&amp;"+"&amp;1,_xlfn.XLOOKUP(LEFT(SUBSTITUTE(G349,"[{",""),FIND(",",SUBSTITUTE(G349,"[{",""))-1),Sheet2!B:B,Sheet2!C:C)&amp;"+"&amp;SUBSTITUTE(RIGHT(G349,LEN(G349)-FIND(",",G349)),"}]","")/100&amp;"%")</f>
        <v>主线挑战增伤+54.5%</v>
      </c>
      <c r="L349" s="83" t="str">
        <f ca="1">IF(MOD(COUNTIF($Q$11:Q348,Q348),5)=0,OFFSET(装备属性!$G$1083,1+INT(COUNTA($Q$11:Q348)/5),0),L348)</f>
        <v>主线清场Ⅰ</v>
      </c>
      <c r="M349" s="89" t="str">
        <f ca="1">IF(MOD(COUNTIF($Q$11:Q348,Q348),5)=0,OFFSET(装备属性!$H$1083,1+INT(COUNTA($Q$11:Q348)/5),0),M348)</f>
        <v>chapter_pve_hit_rate</v>
      </c>
      <c r="N349" s="76">
        <f ca="1">IF(MOD(COUNTIF($Q$11:Q348,Q348),5)=0,OFFSET(装备属性!$K$1083,1+INT(COUNTA($Q$11:Q348)/5),0),N348)</f>
        <v>0.044</v>
      </c>
      <c r="O349" s="76">
        <f ca="1">IF(MOD(COUNTIF($Q$11:Q348,Q348),5)=0,OFFSET(装备属性!$L$1083,1+INT(COUNTA($Q$11:Q348)/5),0),O348)</f>
        <v>0.058</v>
      </c>
      <c r="Q349" s="89" t="str">
        <f ca="1">IF(MOD(COUNTIF($Q$11:Q348,Q348),5)=0,OFFSET(装备属性!$M$1083,1+INT(COUNTA($Q$11:Q348)/5),0),Q348)</f>
        <v>玩法类</v>
      </c>
      <c r="R349" s="83" t="e">
        <f ca="1">IF(MOD(COUNTIF($Q$11:Q348,Q348),5)=0,10000*SUBSTITUTE(SUBSTITUTE(OFFSET(装备属性!$F$1083,1+INT(COUNTA($Q$11:Q348)/5),0),"[",""),"]","")+_xlfn.XLOOKUP(C349,$M$3:$M$7,$N$3:$N$7)*100,R348)</f>
        <v>#N/A</v>
      </c>
    </row>
    <row r="350" customHeight="1" spans="1:18">
      <c r="A350" s="78" t="str">
        <f ca="1" t="shared" si="15"/>
        <v/>
      </c>
      <c r="B350" s="82" t="str">
        <f ca="1">IFERROR(R350+COUNTIFS($R$11:$R350,R350),"")</f>
        <v/>
      </c>
      <c r="C350" s="83">
        <f ca="1">IF(MOD(COUNTIF($Q$11:Q349,Q349),5)=0,OFFSET(装备属性!$D$1083,1+INT(COUNTA($Q$11:Q349)/5),0),C349)</f>
        <v>0</v>
      </c>
      <c r="D350" s="82">
        <f t="shared" si="17"/>
        <v>1000</v>
      </c>
      <c r="F350" s="82" t="str">
        <f ca="1" t="shared" si="16"/>
        <v/>
      </c>
      <c r="G350" s="78" t="str">
        <f ca="1">IF(AND(LEFT("[{"&amp;M350&amp;","&amp;CEILING(N350*10000+(O350-N350)/4*(COUNTIF($F$11:F350,F350)-1)*10000,10)&amp;"}]",7)="[{equip",MID("[{"&amp;M350&amp;","&amp;CEILING(N350*10000+(O350-N350)/4*(COUNTIF($F$11:F350,F350)-1)*10000,10)&amp;"}]",8,1)&lt;&gt;"_"),"[{"&amp;M350&amp;","&amp;1&amp;"}]","[{"&amp;M350&amp;","&amp;CEILING(N350*10000+(O350-N350)/4*(COUNTIF($F$11:F350,F350)-1)*10000,10)&amp;"}]")</f>
        <v>[{chapter_pve_hit_rate,5480}]</v>
      </c>
      <c r="H350" s="82" t="s">
        <v>563</v>
      </c>
      <c r="J350" s="78">
        <f ca="1">IF(MOD(COUNTIF($Q$11:Q349,Q349),5)=0,OFFSET(装备属性!$P$1083,1+INT(COUNTA($Q$11:Q349)/5),0),J349)</f>
        <v>6</v>
      </c>
      <c r="K350" s="83" t="str">
        <f ca="1">IF(RIGHT(G350,13)="rune_slot,1}]",_xlfn.XLOOKUP(LEFT(SUBSTITUTE(G350,"[{",""),FIND(",",SUBSTITUTE(G350,"[{",""))-1),Sheet2!B:B,Sheet2!C:C)&amp;"+"&amp;1,_xlfn.XLOOKUP(LEFT(SUBSTITUTE(G350,"[{",""),FIND(",",SUBSTITUTE(G350,"[{",""))-1),Sheet2!B:B,Sheet2!C:C)&amp;"+"&amp;SUBSTITUTE(RIGHT(G350,LEN(G350)-FIND(",",G350)),"}]","")/100&amp;"%")</f>
        <v>主线挑战增伤+54.8%</v>
      </c>
      <c r="L350" s="83" t="str">
        <f ca="1">IF(MOD(COUNTIF($Q$11:Q349,Q349),5)=0,OFFSET(装备属性!$G$1083,1+INT(COUNTA($Q$11:Q349)/5),0),L349)</f>
        <v>主线清场Ⅰ</v>
      </c>
      <c r="M350" s="89" t="str">
        <f ca="1">IF(MOD(COUNTIF($Q$11:Q349,Q349),5)=0,OFFSET(装备属性!$H$1083,1+INT(COUNTA($Q$11:Q349)/5),0),M349)</f>
        <v>chapter_pve_hit_rate</v>
      </c>
      <c r="N350" s="76">
        <f ca="1">IF(MOD(COUNTIF($Q$11:Q349,Q349),5)=0,OFFSET(装备属性!$K$1083,1+INT(COUNTA($Q$11:Q349)/5),0),N349)</f>
        <v>0.044</v>
      </c>
      <c r="O350" s="76">
        <f ca="1">IF(MOD(COUNTIF($Q$11:Q349,Q349),5)=0,OFFSET(装备属性!$L$1083,1+INT(COUNTA($Q$11:Q349)/5),0),O349)</f>
        <v>0.058</v>
      </c>
      <c r="Q350" s="89" t="str">
        <f ca="1">IF(MOD(COUNTIF($Q$11:Q349,Q349),5)=0,OFFSET(装备属性!$M$1083,1+INT(COUNTA($Q$11:Q349)/5),0),Q349)</f>
        <v>玩法类</v>
      </c>
      <c r="R350" s="83" t="e">
        <f ca="1">IF(MOD(COUNTIF($Q$11:Q349,Q349),5)=0,10000*SUBSTITUTE(SUBSTITUTE(OFFSET(装备属性!$F$1083,1+INT(COUNTA($Q$11:Q349)/5),0),"[",""),"]","")+_xlfn.XLOOKUP(C350,$M$3:$M$7,$N$3:$N$7)*100,R349)</f>
        <v>#N/A</v>
      </c>
    </row>
    <row r="351" customHeight="1" spans="1:18">
      <c r="A351" s="78">
        <f ca="1" t="shared" si="15"/>
        <v>20401</v>
      </c>
      <c r="B351" s="82">
        <f ca="1">IFERROR(R351+COUNTIFS($R$11:$R351,R351),"")</f>
        <v>20411</v>
      </c>
      <c r="C351" s="83" t="str">
        <f ca="1">IF(MOD(COUNTIF($Q$11:Q350,Q350),5)=0,OFFSET(装备属性!$D$1083,1+INT(COUNTA($Q$11:Q350)/5),0),C350)</f>
        <v>紫</v>
      </c>
      <c r="D351" s="82">
        <f t="shared" si="17"/>
        <v>3000</v>
      </c>
      <c r="F351" s="82">
        <f ca="1" t="shared" si="16"/>
        <v>20402</v>
      </c>
      <c r="G351" s="78" t="str">
        <f ca="1">IF(AND(LEFT("[{"&amp;M351&amp;","&amp;CEILING(N351*10000+(O351-N351)/4*(COUNTIF($F$11:F351,F351)-1)*10000,10)&amp;"}]",7)="[{equip",MID("[{"&amp;M351&amp;","&amp;CEILING(N351*10000+(O351-N351)/4*(COUNTIF($F$11:F351,F351)-1)*10000,10)&amp;"}]",8,1)&lt;&gt;"_"),"[{"&amp;M351&amp;","&amp;1&amp;"}]","[{"&amp;M351&amp;","&amp;CEILING(N351*10000+(O351-N351)/4*(COUNTIF($F$11:F351,F351)-1)*10000,10)&amp;"}]")</f>
        <v>[{mage_dmg_red_rate,150}]</v>
      </c>
      <c r="H351" s="82" t="s">
        <v>563</v>
      </c>
      <c r="J351" s="78">
        <f ca="1">IF(MOD(COUNTIF($Q$11:Q350,Q350),5)=0,OFFSET(装备属性!$P$1083,1+INT(COUNTA($Q$11:Q350)/5),0),J350)</f>
        <v>5</v>
      </c>
      <c r="K351" s="83" t="str">
        <f ca="1">IF(RIGHT(G351,13)="rune_slot,1}]",_xlfn.XLOOKUP(LEFT(SUBSTITUTE(G351,"[{",""),FIND(",",SUBSTITUTE(G351,"[{",""))-1),Sheet2!B:B,Sheet2!C:C)&amp;"+"&amp;1,_xlfn.XLOOKUP(LEFT(SUBSTITUTE(G351,"[{",""),FIND(",",SUBSTITUTE(G351,"[{",""))-1),Sheet2!B:B,Sheet2!C:C)&amp;"+"&amp;SUBSTITUTE(RIGHT(G351,LEN(G351)-FIND(",",G351)),"}]","")/100&amp;"%")</f>
        <v>法师伤害减免+1.5%</v>
      </c>
      <c r="L351" s="83" t="str">
        <f ca="1">IF(MOD(COUNTIF($Q$11:Q350,Q350),5)=0,OFFSET(装备属性!$G$1083,1+INT(COUNTA($Q$11:Q350)/5),0),L350)</f>
        <v>施法防抗Ⅰ</v>
      </c>
      <c r="M351" s="89" t="str">
        <f ca="1">IF(MOD(COUNTIF($Q$11:Q350,Q350),5)=0,OFFSET(装备属性!$H$1083,1+INT(COUNTA($Q$11:Q350)/5),0),M350)</f>
        <v>mage_dmg_red_rate</v>
      </c>
      <c r="N351" s="76">
        <f ca="1">IF(MOD(COUNTIF($Q$11:Q350,Q350),5)=0,OFFSET(装备属性!$K$1083,1+INT(COUNTA($Q$11:Q350)/5),0),N350)</f>
        <v>0.015</v>
      </c>
      <c r="O351" s="76">
        <f ca="1">IF(MOD(COUNTIF($Q$11:Q350,Q350),5)=0,OFFSET(装备属性!$L$1083,1+INT(COUNTA($Q$11:Q350)/5),0),O350)</f>
        <v>0.019</v>
      </c>
      <c r="Q351" s="89" t="str">
        <f ca="1">IF(MOD(COUNTIF($Q$11:Q350,Q350),5)=0,OFFSET(装备属性!$M$1083,1+INT(COUNTA($Q$11:Q350)/5),0),Q350)</f>
        <v>通用属性</v>
      </c>
      <c r="R351" s="83">
        <f ca="1">IF(MOD(COUNTIF($Q$11:Q350,Q350),5)=0,10000*SUBSTITUTE(SUBSTITUTE(OFFSET(装备属性!$F$1083,1+INT(COUNTA($Q$11:Q350)/5),0),"[",""),"]","")+_xlfn.XLOOKUP(C351,$M$3:$M$7,$N$3:$N$7)*100,R350)</f>
        <v>20400</v>
      </c>
    </row>
    <row r="352" customHeight="1" spans="1:18">
      <c r="A352" s="78">
        <f ca="1" t="shared" si="15"/>
        <v>20401</v>
      </c>
      <c r="B352" s="82">
        <f ca="1">IFERROR(R352+COUNTIFS($R$11:$R352,R352),"")</f>
        <v>20412</v>
      </c>
      <c r="C352" s="83" t="str">
        <f ca="1">IF(MOD(COUNTIF($Q$11:Q351,Q351),5)=0,OFFSET(装备属性!$D$1083,1+INT(COUNTA($Q$11:Q351)/5),0),C351)</f>
        <v>紫</v>
      </c>
      <c r="D352" s="82">
        <f t="shared" si="17"/>
        <v>2500</v>
      </c>
      <c r="F352" s="82">
        <f ca="1" t="shared" si="16"/>
        <v>20402</v>
      </c>
      <c r="G352" s="78" t="str">
        <f ca="1">IF(AND(LEFT("[{"&amp;M352&amp;","&amp;CEILING(N352*10000+(O352-N352)/4*(COUNTIF($F$11:F352,F352)-1)*10000,10)&amp;"}]",7)="[{equip",MID("[{"&amp;M352&amp;","&amp;CEILING(N352*10000+(O352-N352)/4*(COUNTIF($F$11:F352,F352)-1)*10000,10)&amp;"}]",8,1)&lt;&gt;"_"),"[{"&amp;M352&amp;","&amp;1&amp;"}]","[{"&amp;M352&amp;","&amp;CEILING(N352*10000+(O352-N352)/4*(COUNTIF($F$11:F352,F352)-1)*10000,10)&amp;"}]")</f>
        <v>[{mage_dmg_red_rate,160}]</v>
      </c>
      <c r="H352" s="82" t="s">
        <v>563</v>
      </c>
      <c r="J352" s="78">
        <f ca="1">IF(MOD(COUNTIF($Q$11:Q351,Q351),5)=0,OFFSET(装备属性!$P$1083,1+INT(COUNTA($Q$11:Q351)/5),0),J351)</f>
        <v>5</v>
      </c>
      <c r="K352" s="83" t="str">
        <f ca="1">IF(RIGHT(G352,13)="rune_slot,1}]",_xlfn.XLOOKUP(LEFT(SUBSTITUTE(G352,"[{",""),FIND(",",SUBSTITUTE(G352,"[{",""))-1),Sheet2!B:B,Sheet2!C:C)&amp;"+"&amp;1,_xlfn.XLOOKUP(LEFT(SUBSTITUTE(G352,"[{",""),FIND(",",SUBSTITUTE(G352,"[{",""))-1),Sheet2!B:B,Sheet2!C:C)&amp;"+"&amp;SUBSTITUTE(RIGHT(G352,LEN(G352)-FIND(",",G352)),"}]","")/100&amp;"%")</f>
        <v>法师伤害减免+1.6%</v>
      </c>
      <c r="L352" s="83" t="str">
        <f ca="1">IF(MOD(COUNTIF($Q$11:Q351,Q351),5)=0,OFFSET(装备属性!$G$1083,1+INT(COUNTA($Q$11:Q351)/5),0),L351)</f>
        <v>施法防抗Ⅰ</v>
      </c>
      <c r="M352" s="89" t="str">
        <f ca="1">IF(MOD(COUNTIF($Q$11:Q351,Q351),5)=0,OFFSET(装备属性!$H$1083,1+INT(COUNTA($Q$11:Q351)/5),0),M351)</f>
        <v>mage_dmg_red_rate</v>
      </c>
      <c r="N352" s="76">
        <f ca="1">IF(MOD(COUNTIF($Q$11:Q351,Q351),5)=0,OFFSET(装备属性!$K$1083,1+INT(COUNTA($Q$11:Q351)/5),0),N351)</f>
        <v>0.015</v>
      </c>
      <c r="O352" s="76">
        <f ca="1">IF(MOD(COUNTIF($Q$11:Q351,Q351),5)=0,OFFSET(装备属性!$L$1083,1+INT(COUNTA($Q$11:Q351)/5),0),O351)</f>
        <v>0.019</v>
      </c>
      <c r="Q352" s="89" t="str">
        <f ca="1">IF(MOD(COUNTIF($Q$11:Q351,Q351),5)=0,OFFSET(装备属性!$M$1083,1+INT(COUNTA($Q$11:Q351)/5),0),Q351)</f>
        <v>通用属性</v>
      </c>
      <c r="R352" s="83">
        <f ca="1">IF(MOD(COUNTIF($Q$11:Q351,Q351),5)=0,10000*SUBSTITUTE(SUBSTITUTE(OFFSET(装备属性!$F$1083,1+INT(COUNTA($Q$11:Q351)/5),0),"[",""),"]","")+_xlfn.XLOOKUP(C352,$M$3:$M$7,$N$3:$N$7)*100,R351)</f>
        <v>20400</v>
      </c>
    </row>
    <row r="353" customHeight="1" spans="1:18">
      <c r="A353" s="78">
        <f ca="1" t="shared" si="15"/>
        <v>20401</v>
      </c>
      <c r="B353" s="82">
        <f ca="1">IFERROR(R353+COUNTIFS($R$11:$R353,R353),"")</f>
        <v>20413</v>
      </c>
      <c r="C353" s="83" t="str">
        <f ca="1">IF(MOD(COUNTIF($Q$11:Q352,Q352),5)=0,OFFSET(装备属性!$D$1083,1+INT(COUNTA($Q$11:Q352)/5),0),C352)</f>
        <v>紫</v>
      </c>
      <c r="D353" s="82">
        <f t="shared" si="17"/>
        <v>2000</v>
      </c>
      <c r="F353" s="82">
        <f ca="1" t="shared" si="16"/>
        <v>20402</v>
      </c>
      <c r="G353" s="78" t="str">
        <f ca="1">IF(AND(LEFT("[{"&amp;M353&amp;","&amp;CEILING(N353*10000+(O353-N353)/4*(COUNTIF($F$11:F353,F353)-1)*10000,10)&amp;"}]",7)="[{equip",MID("[{"&amp;M353&amp;","&amp;CEILING(N353*10000+(O353-N353)/4*(COUNTIF($F$11:F353,F353)-1)*10000,10)&amp;"}]",8,1)&lt;&gt;"_"),"[{"&amp;M353&amp;","&amp;1&amp;"}]","[{"&amp;M353&amp;","&amp;CEILING(N353*10000+(O353-N353)/4*(COUNTIF($F$11:F353,F353)-1)*10000,10)&amp;"}]")</f>
        <v>[{mage_dmg_red_rate,170}]</v>
      </c>
      <c r="H353" s="82" t="s">
        <v>563</v>
      </c>
      <c r="J353" s="78">
        <f ca="1">IF(MOD(COUNTIF($Q$11:Q352,Q352),5)=0,OFFSET(装备属性!$P$1083,1+INT(COUNTA($Q$11:Q352)/5),0),J352)</f>
        <v>5</v>
      </c>
      <c r="K353" s="83" t="str">
        <f ca="1">IF(RIGHT(G353,13)="rune_slot,1}]",_xlfn.XLOOKUP(LEFT(SUBSTITUTE(G353,"[{",""),FIND(",",SUBSTITUTE(G353,"[{",""))-1),Sheet2!B:B,Sheet2!C:C)&amp;"+"&amp;1,_xlfn.XLOOKUP(LEFT(SUBSTITUTE(G353,"[{",""),FIND(",",SUBSTITUTE(G353,"[{",""))-1),Sheet2!B:B,Sheet2!C:C)&amp;"+"&amp;SUBSTITUTE(RIGHT(G353,LEN(G353)-FIND(",",G353)),"}]","")/100&amp;"%")</f>
        <v>法师伤害减免+1.7%</v>
      </c>
      <c r="L353" s="83" t="str">
        <f ca="1">IF(MOD(COUNTIF($Q$11:Q352,Q352),5)=0,OFFSET(装备属性!$G$1083,1+INT(COUNTA($Q$11:Q352)/5),0),L352)</f>
        <v>施法防抗Ⅰ</v>
      </c>
      <c r="M353" s="89" t="str">
        <f ca="1">IF(MOD(COUNTIF($Q$11:Q352,Q352),5)=0,OFFSET(装备属性!$H$1083,1+INT(COUNTA($Q$11:Q352)/5),0),M352)</f>
        <v>mage_dmg_red_rate</v>
      </c>
      <c r="N353" s="76">
        <f ca="1">IF(MOD(COUNTIF($Q$11:Q352,Q352),5)=0,OFFSET(装备属性!$K$1083,1+INT(COUNTA($Q$11:Q352)/5),0),N352)</f>
        <v>0.015</v>
      </c>
      <c r="O353" s="76">
        <f ca="1">IF(MOD(COUNTIF($Q$11:Q352,Q352),5)=0,OFFSET(装备属性!$L$1083,1+INT(COUNTA($Q$11:Q352)/5),0),O352)</f>
        <v>0.019</v>
      </c>
      <c r="Q353" s="89" t="str">
        <f ca="1">IF(MOD(COUNTIF($Q$11:Q352,Q352),5)=0,OFFSET(装备属性!$M$1083,1+INT(COUNTA($Q$11:Q352)/5),0),Q352)</f>
        <v>通用属性</v>
      </c>
      <c r="R353" s="83">
        <f ca="1">IF(MOD(COUNTIF($Q$11:Q352,Q352),5)=0,10000*SUBSTITUTE(SUBSTITUTE(OFFSET(装备属性!$F$1083,1+INT(COUNTA($Q$11:Q352)/5),0),"[",""),"]","")+_xlfn.XLOOKUP(C353,$M$3:$M$7,$N$3:$N$7)*100,R352)</f>
        <v>20400</v>
      </c>
    </row>
    <row r="354" customHeight="1" spans="1:18">
      <c r="A354" s="78">
        <f ca="1" t="shared" si="15"/>
        <v>20401</v>
      </c>
      <c r="B354" s="82">
        <f ca="1">IFERROR(R354+COUNTIFS($R$11:$R354,R354),"")</f>
        <v>20414</v>
      </c>
      <c r="C354" s="83" t="str">
        <f ca="1">IF(MOD(COUNTIF($Q$11:Q353,Q353),5)=0,OFFSET(装备属性!$D$1083,1+INT(COUNTA($Q$11:Q353)/5),0),C353)</f>
        <v>紫</v>
      </c>
      <c r="D354" s="82">
        <f t="shared" si="17"/>
        <v>1500</v>
      </c>
      <c r="F354" s="82">
        <f ca="1" t="shared" si="16"/>
        <v>20402</v>
      </c>
      <c r="G354" s="78" t="str">
        <f ca="1">IF(AND(LEFT("[{"&amp;M354&amp;","&amp;CEILING(N354*10000+(O354-N354)/4*(COUNTIF($F$11:F354,F354)-1)*10000,10)&amp;"}]",7)="[{equip",MID("[{"&amp;M354&amp;","&amp;CEILING(N354*10000+(O354-N354)/4*(COUNTIF($F$11:F354,F354)-1)*10000,10)&amp;"}]",8,1)&lt;&gt;"_"),"[{"&amp;M354&amp;","&amp;1&amp;"}]","[{"&amp;M354&amp;","&amp;CEILING(N354*10000+(O354-N354)/4*(COUNTIF($F$11:F354,F354)-1)*10000,10)&amp;"}]")</f>
        <v>[{mage_dmg_red_rate,180}]</v>
      </c>
      <c r="H354" s="82" t="s">
        <v>563</v>
      </c>
      <c r="J354" s="78">
        <f ca="1">IF(MOD(COUNTIF($Q$11:Q353,Q353),5)=0,OFFSET(装备属性!$P$1083,1+INT(COUNTA($Q$11:Q353)/5),0),J353)</f>
        <v>5</v>
      </c>
      <c r="K354" s="83" t="str">
        <f ca="1">IF(RIGHT(G354,13)="rune_slot,1}]",_xlfn.XLOOKUP(LEFT(SUBSTITUTE(G354,"[{",""),FIND(",",SUBSTITUTE(G354,"[{",""))-1),Sheet2!B:B,Sheet2!C:C)&amp;"+"&amp;1,_xlfn.XLOOKUP(LEFT(SUBSTITUTE(G354,"[{",""),FIND(",",SUBSTITUTE(G354,"[{",""))-1),Sheet2!B:B,Sheet2!C:C)&amp;"+"&amp;SUBSTITUTE(RIGHT(G354,LEN(G354)-FIND(",",G354)),"}]","")/100&amp;"%")</f>
        <v>法师伤害减免+1.8%</v>
      </c>
      <c r="L354" s="83" t="str">
        <f ca="1">IF(MOD(COUNTIF($Q$11:Q353,Q353),5)=0,OFFSET(装备属性!$G$1083,1+INT(COUNTA($Q$11:Q353)/5),0),L353)</f>
        <v>施法防抗Ⅰ</v>
      </c>
      <c r="M354" s="89" t="str">
        <f ca="1">IF(MOD(COUNTIF($Q$11:Q353,Q353),5)=0,OFFSET(装备属性!$H$1083,1+INT(COUNTA($Q$11:Q353)/5),0),M353)</f>
        <v>mage_dmg_red_rate</v>
      </c>
      <c r="N354" s="76">
        <f ca="1">IF(MOD(COUNTIF($Q$11:Q353,Q353),5)=0,OFFSET(装备属性!$K$1083,1+INT(COUNTA($Q$11:Q353)/5),0),N353)</f>
        <v>0.015</v>
      </c>
      <c r="O354" s="76">
        <f ca="1">IF(MOD(COUNTIF($Q$11:Q353,Q353),5)=0,OFFSET(装备属性!$L$1083,1+INT(COUNTA($Q$11:Q353)/5),0),O353)</f>
        <v>0.019</v>
      </c>
      <c r="Q354" s="89" t="str">
        <f ca="1">IF(MOD(COUNTIF($Q$11:Q353,Q353),5)=0,OFFSET(装备属性!$M$1083,1+INT(COUNTA($Q$11:Q353)/5),0),Q353)</f>
        <v>通用属性</v>
      </c>
      <c r="R354" s="83">
        <f ca="1">IF(MOD(COUNTIF($Q$11:Q353,Q353),5)=0,10000*SUBSTITUTE(SUBSTITUTE(OFFSET(装备属性!$F$1083,1+INT(COUNTA($Q$11:Q353)/5),0),"[",""),"]","")+_xlfn.XLOOKUP(C354,$M$3:$M$7,$N$3:$N$7)*100,R353)</f>
        <v>20400</v>
      </c>
    </row>
    <row r="355" customHeight="1" spans="1:18">
      <c r="A355" s="78">
        <f ca="1" t="shared" si="15"/>
        <v>20401</v>
      </c>
      <c r="B355" s="82">
        <f ca="1">IFERROR(R355+COUNTIFS($R$11:$R355,R355),"")</f>
        <v>20415</v>
      </c>
      <c r="C355" s="83" t="str">
        <f ca="1">IF(MOD(COUNTIF($Q$11:Q354,Q354),5)=0,OFFSET(装备属性!$D$1083,1+INT(COUNTA($Q$11:Q354)/5),0),C354)</f>
        <v>紫</v>
      </c>
      <c r="D355" s="82">
        <f t="shared" si="17"/>
        <v>1000</v>
      </c>
      <c r="F355" s="82">
        <f ca="1" t="shared" si="16"/>
        <v>20402</v>
      </c>
      <c r="G355" s="78" t="str">
        <f ca="1">IF(AND(LEFT("[{"&amp;M355&amp;","&amp;CEILING(N355*10000+(O355-N355)/4*(COUNTIF($F$11:F355,F355)-1)*10000,10)&amp;"}]",7)="[{equip",MID("[{"&amp;M355&amp;","&amp;CEILING(N355*10000+(O355-N355)/4*(COUNTIF($F$11:F355,F355)-1)*10000,10)&amp;"}]",8,1)&lt;&gt;"_"),"[{"&amp;M355&amp;","&amp;1&amp;"}]","[{"&amp;M355&amp;","&amp;CEILING(N355*10000+(O355-N355)/4*(COUNTIF($F$11:F355,F355)-1)*10000,10)&amp;"}]")</f>
        <v>[{mage_dmg_red_rate,190}]</v>
      </c>
      <c r="H355" s="82" t="s">
        <v>563</v>
      </c>
      <c r="J355" s="78">
        <f ca="1">IF(MOD(COUNTIF($Q$11:Q354,Q354),5)=0,OFFSET(装备属性!$P$1083,1+INT(COUNTA($Q$11:Q354)/5),0),J354)</f>
        <v>5</v>
      </c>
      <c r="K355" s="83" t="str">
        <f ca="1">IF(RIGHT(G355,13)="rune_slot,1}]",_xlfn.XLOOKUP(LEFT(SUBSTITUTE(G355,"[{",""),FIND(",",SUBSTITUTE(G355,"[{",""))-1),Sheet2!B:B,Sheet2!C:C)&amp;"+"&amp;1,_xlfn.XLOOKUP(LEFT(SUBSTITUTE(G355,"[{",""),FIND(",",SUBSTITUTE(G355,"[{",""))-1),Sheet2!B:B,Sheet2!C:C)&amp;"+"&amp;SUBSTITUTE(RIGHT(G355,LEN(G355)-FIND(",",G355)),"}]","")/100&amp;"%")</f>
        <v>法师伤害减免+1.9%</v>
      </c>
      <c r="L355" s="83" t="str">
        <f ca="1">IF(MOD(COUNTIF($Q$11:Q354,Q354),5)=0,OFFSET(装备属性!$G$1083,1+INT(COUNTA($Q$11:Q354)/5),0),L354)</f>
        <v>施法防抗Ⅰ</v>
      </c>
      <c r="M355" s="89" t="str">
        <f ca="1">IF(MOD(COUNTIF($Q$11:Q354,Q354),5)=0,OFFSET(装备属性!$H$1083,1+INT(COUNTA($Q$11:Q354)/5),0),M354)</f>
        <v>mage_dmg_red_rate</v>
      </c>
      <c r="N355" s="76">
        <f ca="1">IF(MOD(COUNTIF($Q$11:Q354,Q354),5)=0,OFFSET(装备属性!$K$1083,1+INT(COUNTA($Q$11:Q354)/5),0),N354)</f>
        <v>0.015</v>
      </c>
      <c r="O355" s="76">
        <f ca="1">IF(MOD(COUNTIF($Q$11:Q354,Q354),5)=0,OFFSET(装备属性!$L$1083,1+INT(COUNTA($Q$11:Q354)/5),0),O354)</f>
        <v>0.019</v>
      </c>
      <c r="Q355" s="89" t="str">
        <f ca="1">IF(MOD(COUNTIF($Q$11:Q354,Q354),5)=0,OFFSET(装备属性!$M$1083,1+INT(COUNTA($Q$11:Q354)/5),0),Q354)</f>
        <v>通用属性</v>
      </c>
      <c r="R355" s="83">
        <f ca="1">IF(MOD(COUNTIF($Q$11:Q354,Q354),5)=0,10000*SUBSTITUTE(SUBSTITUTE(OFFSET(装备属性!$F$1083,1+INT(COUNTA($Q$11:Q354)/5),0),"[",""),"]","")+_xlfn.XLOOKUP(C355,$M$3:$M$7,$N$3:$N$7)*100,R354)</f>
        <v>20400</v>
      </c>
    </row>
    <row r="356" customHeight="1" spans="1:18">
      <c r="A356" s="78">
        <f ca="1" t="shared" si="15"/>
        <v>20401</v>
      </c>
      <c r="B356" s="82">
        <f ca="1">IFERROR(R356+COUNTIFS($R$11:$R356,R356),"")</f>
        <v>20416</v>
      </c>
      <c r="C356" s="83" t="str">
        <f ca="1">IF(MOD(COUNTIF($Q$11:Q355,Q355),5)=0,OFFSET(装备属性!$D$1083,1+INT(COUNTA($Q$11:Q355)/5),0),C355)</f>
        <v>紫</v>
      </c>
      <c r="D356" s="82">
        <f t="shared" si="17"/>
        <v>3000</v>
      </c>
      <c r="F356" s="82">
        <f ca="1" t="shared" si="16"/>
        <v>20403</v>
      </c>
      <c r="G356" s="78" t="str">
        <f ca="1">IF(AND(LEFT("[{"&amp;M356&amp;","&amp;CEILING(N356*10000+(O356-N356)/4*(COUNTIF($F$11:F356,F356)-1)*10000,10)&amp;"}]",7)="[{equip",MID("[{"&amp;M356&amp;","&amp;CEILING(N356*10000+(O356-N356)/4*(COUNTIF($F$11:F356,F356)-1)*10000,10)&amp;"}]",8,1)&lt;&gt;"_"),"[{"&amp;M356&amp;","&amp;1&amp;"}]","[{"&amp;M356&amp;","&amp;CEILING(N356*10000+(O356-N356)/4*(COUNTIF($F$11:F356,F356)-1)*10000,10)&amp;"}]")</f>
        <v>[{mage_dmg_rate,440}]</v>
      </c>
      <c r="H356" s="82" t="s">
        <v>563</v>
      </c>
      <c r="J356" s="78">
        <f ca="1">IF(MOD(COUNTIF($Q$11:Q355,Q355),5)=0,OFFSET(装备属性!$P$1083,1+INT(COUNTA($Q$11:Q355)/5),0),J355)</f>
        <v>3</v>
      </c>
      <c r="K356" s="83" t="str">
        <f ca="1">IF(RIGHT(G356,13)="rune_slot,1}]",_xlfn.XLOOKUP(LEFT(SUBSTITUTE(G356,"[{",""),FIND(",",SUBSTITUTE(G356,"[{",""))-1),Sheet2!B:B,Sheet2!C:C)&amp;"+"&amp;1,_xlfn.XLOOKUP(LEFT(SUBSTITUTE(G356,"[{",""),FIND(",",SUBSTITUTE(G356,"[{",""))-1),Sheet2!B:B,Sheet2!C:C)&amp;"+"&amp;SUBSTITUTE(RIGHT(G356,LEN(G356)-FIND(",",G356)),"}]","")/100&amp;"%")</f>
        <v>法师伤害+4.4%</v>
      </c>
      <c r="L356" s="83" t="str">
        <f ca="1">IF(MOD(COUNTIF($Q$11:Q355,Q355),5)=0,OFFSET(装备属性!$G$1083,1+INT(COUNTA($Q$11:Q355)/5),0),L355)</f>
        <v>施法添柴Ⅰ</v>
      </c>
      <c r="M356" s="89" t="str">
        <f ca="1">IF(MOD(COUNTIF($Q$11:Q355,Q355),5)=0,OFFSET(装备属性!$H$1083,1+INT(COUNTA($Q$11:Q355)/5),0),M355)</f>
        <v>mage_dmg_rate</v>
      </c>
      <c r="N356" s="76">
        <f ca="1">IF(MOD(COUNTIF($Q$11:Q355,Q355),5)=0,OFFSET(装备属性!$K$1083,1+INT(COUNTA($Q$11:Q355)/5),0),N355)</f>
        <v>0.044</v>
      </c>
      <c r="O356" s="76">
        <f ca="1">IF(MOD(COUNTIF($Q$11:Q355,Q355),5)=0,OFFSET(装备属性!$L$1083,1+INT(COUNTA($Q$11:Q355)/5),0),O355)</f>
        <v>0.058</v>
      </c>
      <c r="Q356" s="89" t="str">
        <f ca="1">IF(MOD(COUNTIF($Q$11:Q355,Q355),5)=0,OFFSET(装备属性!$M$1083,1+INT(COUNTA($Q$11:Q355)/5),0),Q355)</f>
        <v>通用属性</v>
      </c>
      <c r="R356" s="83">
        <f ca="1">IF(MOD(COUNTIF($Q$11:Q355,Q355),5)=0,10000*SUBSTITUTE(SUBSTITUTE(OFFSET(装备属性!$F$1083,1+INT(COUNTA($Q$11:Q355)/5),0),"[",""),"]","")+_xlfn.XLOOKUP(C356,$M$3:$M$7,$N$3:$N$7)*100,R355)</f>
        <v>20400</v>
      </c>
    </row>
    <row r="357" customHeight="1" spans="1:18">
      <c r="A357" s="78">
        <f ca="1" t="shared" si="15"/>
        <v>20401</v>
      </c>
      <c r="B357" s="82">
        <f ca="1">IFERROR(R357+COUNTIFS($R$11:$R357,R357),"")</f>
        <v>20417</v>
      </c>
      <c r="C357" s="83" t="str">
        <f ca="1">IF(MOD(COUNTIF($Q$11:Q356,Q356),5)=0,OFFSET(装备属性!$D$1083,1+INT(COUNTA($Q$11:Q356)/5),0),C356)</f>
        <v>紫</v>
      </c>
      <c r="D357" s="82">
        <f t="shared" si="17"/>
        <v>2500</v>
      </c>
      <c r="F357" s="82">
        <f ca="1" t="shared" si="16"/>
        <v>20403</v>
      </c>
      <c r="G357" s="78" t="str">
        <f ca="1">IF(AND(LEFT("[{"&amp;M357&amp;","&amp;CEILING(N357*10000+(O357-N357)/4*(COUNTIF($F$11:F357,F357)-1)*10000,10)&amp;"}]",7)="[{equip",MID("[{"&amp;M357&amp;","&amp;CEILING(N357*10000+(O357-N357)/4*(COUNTIF($F$11:F357,F357)-1)*10000,10)&amp;"}]",8,1)&lt;&gt;"_"),"[{"&amp;M357&amp;","&amp;1&amp;"}]","[{"&amp;M357&amp;","&amp;CEILING(N357*10000+(O357-N357)/4*(COUNTIF($F$11:F357,F357)-1)*10000,10)&amp;"}]")</f>
        <v>[{mage_dmg_rate,480}]</v>
      </c>
      <c r="H357" s="82" t="s">
        <v>563</v>
      </c>
      <c r="J357" s="78">
        <f ca="1">IF(MOD(COUNTIF($Q$11:Q356,Q356),5)=0,OFFSET(装备属性!$P$1083,1+INT(COUNTA($Q$11:Q356)/5),0),J356)</f>
        <v>3</v>
      </c>
      <c r="K357" s="83" t="str">
        <f ca="1">IF(RIGHT(G357,13)="rune_slot,1}]",_xlfn.XLOOKUP(LEFT(SUBSTITUTE(G357,"[{",""),FIND(",",SUBSTITUTE(G357,"[{",""))-1),Sheet2!B:B,Sheet2!C:C)&amp;"+"&amp;1,_xlfn.XLOOKUP(LEFT(SUBSTITUTE(G357,"[{",""),FIND(",",SUBSTITUTE(G357,"[{",""))-1),Sheet2!B:B,Sheet2!C:C)&amp;"+"&amp;SUBSTITUTE(RIGHT(G357,LEN(G357)-FIND(",",G357)),"}]","")/100&amp;"%")</f>
        <v>法师伤害+4.8%</v>
      </c>
      <c r="L357" s="83" t="str">
        <f ca="1">IF(MOD(COUNTIF($Q$11:Q356,Q356),5)=0,OFFSET(装备属性!$G$1083,1+INT(COUNTA($Q$11:Q356)/5),0),L356)</f>
        <v>施法添柴Ⅰ</v>
      </c>
      <c r="M357" s="89" t="str">
        <f ca="1">IF(MOD(COUNTIF($Q$11:Q356,Q356),5)=0,OFFSET(装备属性!$H$1083,1+INT(COUNTA($Q$11:Q356)/5),0),M356)</f>
        <v>mage_dmg_rate</v>
      </c>
      <c r="N357" s="76">
        <f ca="1">IF(MOD(COUNTIF($Q$11:Q356,Q356),5)=0,OFFSET(装备属性!$K$1083,1+INT(COUNTA($Q$11:Q356)/5),0),N356)</f>
        <v>0.044</v>
      </c>
      <c r="O357" s="76">
        <f ca="1">IF(MOD(COUNTIF($Q$11:Q356,Q356),5)=0,OFFSET(装备属性!$L$1083,1+INT(COUNTA($Q$11:Q356)/5),0),O356)</f>
        <v>0.058</v>
      </c>
      <c r="Q357" s="89" t="str">
        <f ca="1">IF(MOD(COUNTIF($Q$11:Q356,Q356),5)=0,OFFSET(装备属性!$M$1083,1+INT(COUNTA($Q$11:Q356)/5),0),Q356)</f>
        <v>通用属性</v>
      </c>
      <c r="R357" s="83">
        <f ca="1">IF(MOD(COUNTIF($Q$11:Q356,Q356),5)=0,10000*SUBSTITUTE(SUBSTITUTE(OFFSET(装备属性!$F$1083,1+INT(COUNTA($Q$11:Q356)/5),0),"[",""),"]","")+_xlfn.XLOOKUP(C357,$M$3:$M$7,$N$3:$N$7)*100,R356)</f>
        <v>20400</v>
      </c>
    </row>
    <row r="358" customHeight="1" spans="1:18">
      <c r="A358" s="78">
        <f ca="1" t="shared" si="15"/>
        <v>20401</v>
      </c>
      <c r="B358" s="82">
        <f ca="1">IFERROR(R358+COUNTIFS($R$11:$R358,R358),"")</f>
        <v>20418</v>
      </c>
      <c r="C358" s="83" t="str">
        <f ca="1">IF(MOD(COUNTIF($Q$11:Q357,Q357),5)=0,OFFSET(装备属性!$D$1083,1+INT(COUNTA($Q$11:Q357)/5),0),C357)</f>
        <v>紫</v>
      </c>
      <c r="D358" s="82">
        <f t="shared" si="17"/>
        <v>2000</v>
      </c>
      <c r="F358" s="82">
        <f ca="1" t="shared" si="16"/>
        <v>20403</v>
      </c>
      <c r="G358" s="78" t="str">
        <f ca="1">IF(AND(LEFT("[{"&amp;M358&amp;","&amp;CEILING(N358*10000+(O358-N358)/4*(COUNTIF($F$11:F358,F358)-1)*10000,10)&amp;"}]",7)="[{equip",MID("[{"&amp;M358&amp;","&amp;CEILING(N358*10000+(O358-N358)/4*(COUNTIF($F$11:F358,F358)-1)*10000,10)&amp;"}]",8,1)&lt;&gt;"_"),"[{"&amp;M358&amp;","&amp;1&amp;"}]","[{"&amp;M358&amp;","&amp;CEILING(N358*10000+(O358-N358)/4*(COUNTIF($F$11:F358,F358)-1)*10000,10)&amp;"}]")</f>
        <v>[{mage_dmg_rate,510}]</v>
      </c>
      <c r="H358" s="82" t="s">
        <v>563</v>
      </c>
      <c r="J358" s="78">
        <f ca="1">IF(MOD(COUNTIF($Q$11:Q357,Q357),5)=0,OFFSET(装备属性!$P$1083,1+INT(COUNTA($Q$11:Q357)/5),0),J357)</f>
        <v>3</v>
      </c>
      <c r="K358" s="83" t="str">
        <f ca="1">IF(RIGHT(G358,13)="rune_slot,1}]",_xlfn.XLOOKUP(LEFT(SUBSTITUTE(G358,"[{",""),FIND(",",SUBSTITUTE(G358,"[{",""))-1),Sheet2!B:B,Sheet2!C:C)&amp;"+"&amp;1,_xlfn.XLOOKUP(LEFT(SUBSTITUTE(G358,"[{",""),FIND(",",SUBSTITUTE(G358,"[{",""))-1),Sheet2!B:B,Sheet2!C:C)&amp;"+"&amp;SUBSTITUTE(RIGHT(G358,LEN(G358)-FIND(",",G358)),"}]","")/100&amp;"%")</f>
        <v>法师伤害+5.1%</v>
      </c>
      <c r="L358" s="83" t="str">
        <f ca="1">IF(MOD(COUNTIF($Q$11:Q357,Q357),5)=0,OFFSET(装备属性!$G$1083,1+INT(COUNTA($Q$11:Q357)/5),0),L357)</f>
        <v>施法添柴Ⅰ</v>
      </c>
      <c r="M358" s="89" t="str">
        <f ca="1">IF(MOD(COUNTIF($Q$11:Q357,Q357),5)=0,OFFSET(装备属性!$H$1083,1+INT(COUNTA($Q$11:Q357)/5),0),M357)</f>
        <v>mage_dmg_rate</v>
      </c>
      <c r="N358" s="76">
        <f ca="1">IF(MOD(COUNTIF($Q$11:Q357,Q357),5)=0,OFFSET(装备属性!$K$1083,1+INT(COUNTA($Q$11:Q357)/5),0),N357)</f>
        <v>0.044</v>
      </c>
      <c r="O358" s="76">
        <f ca="1">IF(MOD(COUNTIF($Q$11:Q357,Q357),5)=0,OFFSET(装备属性!$L$1083,1+INT(COUNTA($Q$11:Q357)/5),0),O357)</f>
        <v>0.058</v>
      </c>
      <c r="Q358" s="89" t="str">
        <f ca="1">IF(MOD(COUNTIF($Q$11:Q357,Q357),5)=0,OFFSET(装备属性!$M$1083,1+INT(COUNTA($Q$11:Q357)/5),0),Q357)</f>
        <v>通用属性</v>
      </c>
      <c r="R358" s="83">
        <f ca="1">IF(MOD(COUNTIF($Q$11:Q357,Q357),5)=0,10000*SUBSTITUTE(SUBSTITUTE(OFFSET(装备属性!$F$1083,1+INT(COUNTA($Q$11:Q357)/5),0),"[",""),"]","")+_xlfn.XLOOKUP(C358,$M$3:$M$7,$N$3:$N$7)*100,R357)</f>
        <v>20400</v>
      </c>
    </row>
    <row r="359" customHeight="1" spans="1:18">
      <c r="A359" s="78">
        <f ca="1" t="shared" si="15"/>
        <v>20401</v>
      </c>
      <c r="B359" s="82">
        <f ca="1">IFERROR(R359+COUNTIFS($R$11:$R359,R359),"")</f>
        <v>20419</v>
      </c>
      <c r="C359" s="83" t="str">
        <f ca="1">IF(MOD(COUNTIF($Q$11:Q358,Q358),5)=0,OFFSET(装备属性!$D$1083,1+INT(COUNTA($Q$11:Q358)/5),0),C358)</f>
        <v>紫</v>
      </c>
      <c r="D359" s="82">
        <f t="shared" si="17"/>
        <v>1500</v>
      </c>
      <c r="F359" s="82">
        <f ca="1" t="shared" si="16"/>
        <v>20403</v>
      </c>
      <c r="G359" s="78" t="str">
        <f ca="1">IF(AND(LEFT("[{"&amp;M359&amp;","&amp;CEILING(N359*10000+(O359-N359)/4*(COUNTIF($F$11:F359,F359)-1)*10000,10)&amp;"}]",7)="[{equip",MID("[{"&amp;M359&amp;","&amp;CEILING(N359*10000+(O359-N359)/4*(COUNTIF($F$11:F359,F359)-1)*10000,10)&amp;"}]",8,1)&lt;&gt;"_"),"[{"&amp;M359&amp;","&amp;1&amp;"}]","[{"&amp;M359&amp;","&amp;CEILING(N359*10000+(O359-N359)/4*(COUNTIF($F$11:F359,F359)-1)*10000,10)&amp;"}]")</f>
        <v>[{mage_dmg_rate,550}]</v>
      </c>
      <c r="H359" s="82" t="s">
        <v>563</v>
      </c>
      <c r="J359" s="78">
        <f ca="1">IF(MOD(COUNTIF($Q$11:Q358,Q358),5)=0,OFFSET(装备属性!$P$1083,1+INT(COUNTA($Q$11:Q358)/5),0),J358)</f>
        <v>3</v>
      </c>
      <c r="K359" s="83" t="str">
        <f ca="1">IF(RIGHT(G359,13)="rune_slot,1}]",_xlfn.XLOOKUP(LEFT(SUBSTITUTE(G359,"[{",""),FIND(",",SUBSTITUTE(G359,"[{",""))-1),Sheet2!B:B,Sheet2!C:C)&amp;"+"&amp;1,_xlfn.XLOOKUP(LEFT(SUBSTITUTE(G359,"[{",""),FIND(",",SUBSTITUTE(G359,"[{",""))-1),Sheet2!B:B,Sheet2!C:C)&amp;"+"&amp;SUBSTITUTE(RIGHT(G359,LEN(G359)-FIND(",",G359)),"}]","")/100&amp;"%")</f>
        <v>法师伤害+5.5%</v>
      </c>
      <c r="L359" s="83" t="str">
        <f ca="1">IF(MOD(COUNTIF($Q$11:Q358,Q358),5)=0,OFFSET(装备属性!$G$1083,1+INT(COUNTA($Q$11:Q358)/5),0),L358)</f>
        <v>施法添柴Ⅰ</v>
      </c>
      <c r="M359" s="89" t="str">
        <f ca="1">IF(MOD(COUNTIF($Q$11:Q358,Q358),5)=0,OFFSET(装备属性!$H$1083,1+INT(COUNTA($Q$11:Q358)/5),0),M358)</f>
        <v>mage_dmg_rate</v>
      </c>
      <c r="N359" s="76">
        <f ca="1">IF(MOD(COUNTIF($Q$11:Q358,Q358),5)=0,OFFSET(装备属性!$K$1083,1+INT(COUNTA($Q$11:Q358)/5),0),N358)</f>
        <v>0.044</v>
      </c>
      <c r="O359" s="76">
        <f ca="1">IF(MOD(COUNTIF($Q$11:Q358,Q358),5)=0,OFFSET(装备属性!$L$1083,1+INT(COUNTA($Q$11:Q358)/5),0),O358)</f>
        <v>0.058</v>
      </c>
      <c r="Q359" s="89" t="str">
        <f ca="1">IF(MOD(COUNTIF($Q$11:Q358,Q358),5)=0,OFFSET(装备属性!$M$1083,1+INT(COUNTA($Q$11:Q358)/5),0),Q358)</f>
        <v>通用属性</v>
      </c>
      <c r="R359" s="83">
        <f ca="1">IF(MOD(COUNTIF($Q$11:Q358,Q358),5)=0,10000*SUBSTITUTE(SUBSTITUTE(OFFSET(装备属性!$F$1083,1+INT(COUNTA($Q$11:Q358)/5),0),"[",""),"]","")+_xlfn.XLOOKUP(C359,$M$3:$M$7,$N$3:$N$7)*100,R358)</f>
        <v>20400</v>
      </c>
    </row>
    <row r="360" customHeight="1" spans="1:18">
      <c r="A360" s="78">
        <f ca="1" t="shared" si="15"/>
        <v>20401</v>
      </c>
      <c r="B360" s="82">
        <f ca="1">IFERROR(R360+COUNTIFS($R$11:$R360,R360),"")</f>
        <v>20420</v>
      </c>
      <c r="C360" s="83" t="str">
        <f ca="1">IF(MOD(COUNTIF($Q$11:Q359,Q359),5)=0,OFFSET(装备属性!$D$1083,1+INT(COUNTA($Q$11:Q359)/5),0),C359)</f>
        <v>紫</v>
      </c>
      <c r="D360" s="82">
        <f t="shared" si="17"/>
        <v>1000</v>
      </c>
      <c r="F360" s="82">
        <f ca="1" t="shared" si="16"/>
        <v>20403</v>
      </c>
      <c r="G360" s="78" t="str">
        <f ca="1">IF(AND(LEFT("[{"&amp;M360&amp;","&amp;CEILING(N360*10000+(O360-N360)/4*(COUNTIF($F$11:F360,F360)-1)*10000,10)&amp;"}]",7)="[{equip",MID("[{"&amp;M360&amp;","&amp;CEILING(N360*10000+(O360-N360)/4*(COUNTIF($F$11:F360,F360)-1)*10000,10)&amp;"}]",8,1)&lt;&gt;"_"),"[{"&amp;M360&amp;","&amp;1&amp;"}]","[{"&amp;M360&amp;","&amp;CEILING(N360*10000+(O360-N360)/4*(COUNTIF($F$11:F360,F360)-1)*10000,10)&amp;"}]")</f>
        <v>[{mage_dmg_rate,580}]</v>
      </c>
      <c r="H360" s="82" t="s">
        <v>563</v>
      </c>
      <c r="J360" s="78">
        <f ca="1">IF(MOD(COUNTIF($Q$11:Q359,Q359),5)=0,OFFSET(装备属性!$P$1083,1+INT(COUNTA($Q$11:Q359)/5),0),J359)</f>
        <v>3</v>
      </c>
      <c r="K360" s="83" t="str">
        <f ca="1">IF(RIGHT(G360,13)="rune_slot,1}]",_xlfn.XLOOKUP(LEFT(SUBSTITUTE(G360,"[{",""),FIND(",",SUBSTITUTE(G360,"[{",""))-1),Sheet2!B:B,Sheet2!C:C)&amp;"+"&amp;1,_xlfn.XLOOKUP(LEFT(SUBSTITUTE(G360,"[{",""),FIND(",",SUBSTITUTE(G360,"[{",""))-1),Sheet2!B:B,Sheet2!C:C)&amp;"+"&amp;SUBSTITUTE(RIGHT(G360,LEN(G360)-FIND(",",G360)),"}]","")/100&amp;"%")</f>
        <v>法师伤害+5.8%</v>
      </c>
      <c r="L360" s="83" t="str">
        <f ca="1">IF(MOD(COUNTIF($Q$11:Q359,Q359),5)=0,OFFSET(装备属性!$G$1083,1+INT(COUNTA($Q$11:Q359)/5),0),L359)</f>
        <v>施法添柴Ⅰ</v>
      </c>
      <c r="M360" s="89" t="str">
        <f ca="1">IF(MOD(COUNTIF($Q$11:Q359,Q359),5)=0,OFFSET(装备属性!$H$1083,1+INT(COUNTA($Q$11:Q359)/5),0),M359)</f>
        <v>mage_dmg_rate</v>
      </c>
      <c r="N360" s="76">
        <f ca="1">IF(MOD(COUNTIF($Q$11:Q359,Q359),5)=0,OFFSET(装备属性!$K$1083,1+INT(COUNTA($Q$11:Q359)/5),0),N359)</f>
        <v>0.044</v>
      </c>
      <c r="O360" s="76">
        <f ca="1">IF(MOD(COUNTIF($Q$11:Q359,Q359),5)=0,OFFSET(装备属性!$L$1083,1+INT(COUNTA($Q$11:Q359)/5),0),O359)</f>
        <v>0.058</v>
      </c>
      <c r="Q360" s="89" t="str">
        <f ca="1">IF(MOD(COUNTIF($Q$11:Q359,Q359),5)=0,OFFSET(装备属性!$M$1083,1+INT(COUNTA($Q$11:Q359)/5),0),Q359)</f>
        <v>通用属性</v>
      </c>
      <c r="R360" s="83">
        <f ca="1">IF(MOD(COUNTIF($Q$11:Q359,Q359),5)=0,10000*SUBSTITUTE(SUBSTITUTE(OFFSET(装备属性!$F$1083,1+INT(COUNTA($Q$11:Q359)/5),0),"[",""),"]","")+_xlfn.XLOOKUP(C360,$M$3:$M$7,$N$3:$N$7)*100,R359)</f>
        <v>20400</v>
      </c>
    </row>
    <row r="361" customHeight="1" spans="1:18">
      <c r="A361" s="78" t="str">
        <f ca="1" t="shared" si="15"/>
        <v/>
      </c>
      <c r="B361" s="82" t="str">
        <f ca="1">IFERROR(R361+COUNTIFS($R$11:$R361,R361),"")</f>
        <v/>
      </c>
      <c r="C361" s="83">
        <f ca="1">IF(MOD(COUNTIF($Q$11:Q360,Q360),5)=0,OFFSET(装备属性!$D$1083,1+INT(COUNTA($Q$11:Q360)/5),0),C360)</f>
        <v>0</v>
      </c>
      <c r="D361" s="82">
        <f t="shared" si="17"/>
        <v>3000</v>
      </c>
      <c r="F361" s="82" t="str">
        <f ca="1" t="shared" si="16"/>
        <v/>
      </c>
      <c r="G361" s="78" t="str">
        <f ca="1">IF(AND(LEFT("[{"&amp;M361&amp;","&amp;CEILING(N361*10000+(O361-N361)/4*(COUNTIF($F$11:F361,F361)-1)*10000,10)&amp;"}]",7)="[{equip",MID("[{"&amp;M361&amp;","&amp;CEILING(N361*10000+(O361-N361)/4*(COUNTIF($F$11:F361,F361)-1)*10000,10)&amp;"}]",8,1)&lt;&gt;"_"),"[{"&amp;M361&amp;","&amp;1&amp;"}]","[{"&amp;M361&amp;","&amp;CEILING(N361*10000+(O361-N361)/4*(COUNTIF($F$11:F361,F361)-1)*10000,10)&amp;"}]")</f>
        <v>[{mage_class_dmg_rate,6040}]</v>
      </c>
      <c r="H361" s="82" t="s">
        <v>563</v>
      </c>
      <c r="J361" s="78">
        <f ca="1">IF(MOD(COUNTIF($Q$11:Q360,Q360),5)=0,OFFSET(装备属性!$P$1083,1+INT(COUNTA($Q$11:Q360)/5),0),J360)</f>
        <v>4</v>
      </c>
      <c r="K361" s="83" t="str">
        <f ca="1">IF(RIGHT(G361,13)="rune_slot,1}]",_xlfn.XLOOKUP(LEFT(SUBSTITUTE(G361,"[{",""),FIND(",",SUBSTITUTE(G361,"[{",""))-1),Sheet2!B:B,Sheet2!C:C)&amp;"+"&amp;1,_xlfn.XLOOKUP(LEFT(SUBSTITUTE(G361,"[{",""),FIND(",",SUBSTITUTE(G361,"[{",""))-1),Sheet2!B:B,Sheet2!C:C)&amp;"+"&amp;SUBSTITUTE(RIGHT(G361,LEN(G361)-FIND(",",G361)),"}]","")/100&amp;"%")</f>
        <v>上阵两个法师职业增伤+60.4%</v>
      </c>
      <c r="L361" s="83" t="str">
        <f ca="1">IF(MOD(COUNTIF($Q$11:Q360,Q360),5)=0,OFFSET(装备属性!$G$1083,1+INT(COUNTA($Q$11:Q360)/5),0),L360)</f>
        <v>施法小队Ⅰ</v>
      </c>
      <c r="M361" s="89" t="str">
        <f ca="1">IF(MOD(COUNTIF($Q$11:Q360,Q360),5)=0,OFFSET(装备属性!$H$1083,1+INT(COUNTA($Q$11:Q360)/5),0),M360)</f>
        <v>mage_class_dmg_rate</v>
      </c>
      <c r="N361" s="76">
        <f ca="1">IF(MOD(COUNTIF($Q$11:Q360,Q360),5)=0,OFFSET(装备属性!$K$1083,1+INT(COUNTA($Q$11:Q360)/5),0),N360)</f>
        <v>0.06</v>
      </c>
      <c r="O361" s="76">
        <f ca="1">IF(MOD(COUNTIF($Q$11:Q360,Q360),5)=0,OFFSET(装备属性!$L$1083,1+INT(COUNTA($Q$11:Q360)/5),0),O360)</f>
        <v>0.075</v>
      </c>
      <c r="Q361" s="89" t="str">
        <f ca="1">IF(MOD(COUNTIF($Q$11:Q360,Q360),5)=0,OFFSET(装备属性!$M$1083,1+INT(COUNTA($Q$11:Q360)/5),0),Q360)</f>
        <v>通用属性</v>
      </c>
      <c r="R361" s="83" t="e">
        <f ca="1">IF(MOD(COUNTIF($Q$11:Q360,Q360),5)=0,10000*SUBSTITUTE(SUBSTITUTE(OFFSET(装备属性!$F$1083,1+INT(COUNTA($Q$11:Q360)/5),0),"[",""),"]","")+_xlfn.XLOOKUP(C361,$M$3:$M$7,$N$3:$N$7)*100,R360)</f>
        <v>#N/A</v>
      </c>
    </row>
    <row r="362" customHeight="1" spans="1:18">
      <c r="A362" s="78" t="str">
        <f ca="1" t="shared" si="15"/>
        <v/>
      </c>
      <c r="B362" s="82" t="str">
        <f ca="1">IFERROR(R362+COUNTIFS($R$11:$R362,R362),"")</f>
        <v/>
      </c>
      <c r="C362" s="83">
        <f ca="1">IF(MOD(COUNTIF($Q$11:Q361,Q361),5)=0,OFFSET(装备属性!$D$1083,1+INT(COUNTA($Q$11:Q361)/5),0),C361)</f>
        <v>0</v>
      </c>
      <c r="D362" s="82">
        <f t="shared" si="17"/>
        <v>2500</v>
      </c>
      <c r="F362" s="82" t="str">
        <f ca="1" t="shared" si="16"/>
        <v/>
      </c>
      <c r="G362" s="78" t="str">
        <f ca="1">IF(AND(LEFT("[{"&amp;M362&amp;","&amp;CEILING(N362*10000+(O362-N362)/4*(COUNTIF($F$11:F362,F362)-1)*10000,10)&amp;"}]",7)="[{equip",MID("[{"&amp;M362&amp;","&amp;CEILING(N362*10000+(O362-N362)/4*(COUNTIF($F$11:F362,F362)-1)*10000,10)&amp;"}]",8,1)&lt;&gt;"_"),"[{"&amp;M362&amp;","&amp;1&amp;"}]","[{"&amp;M362&amp;","&amp;CEILING(N362*10000+(O362-N362)/4*(COUNTIF($F$11:F362,F362)-1)*10000,10)&amp;"}]")</f>
        <v>[{mage_class_dmg_rate,6080}]</v>
      </c>
      <c r="H362" s="82" t="s">
        <v>563</v>
      </c>
      <c r="J362" s="78">
        <f ca="1">IF(MOD(COUNTIF($Q$11:Q361,Q361),5)=0,OFFSET(装备属性!$P$1083,1+INT(COUNTA($Q$11:Q361)/5),0),J361)</f>
        <v>4</v>
      </c>
      <c r="K362" s="83" t="str">
        <f ca="1">IF(RIGHT(G362,13)="rune_slot,1}]",_xlfn.XLOOKUP(LEFT(SUBSTITUTE(G362,"[{",""),FIND(",",SUBSTITUTE(G362,"[{",""))-1),Sheet2!B:B,Sheet2!C:C)&amp;"+"&amp;1,_xlfn.XLOOKUP(LEFT(SUBSTITUTE(G362,"[{",""),FIND(",",SUBSTITUTE(G362,"[{",""))-1),Sheet2!B:B,Sheet2!C:C)&amp;"+"&amp;SUBSTITUTE(RIGHT(G362,LEN(G362)-FIND(",",G362)),"}]","")/100&amp;"%")</f>
        <v>上阵两个法师职业增伤+60.8%</v>
      </c>
      <c r="L362" s="83" t="str">
        <f ca="1">IF(MOD(COUNTIF($Q$11:Q361,Q361),5)=0,OFFSET(装备属性!$G$1083,1+INT(COUNTA($Q$11:Q361)/5),0),L361)</f>
        <v>施法小队Ⅰ</v>
      </c>
      <c r="M362" s="89" t="str">
        <f ca="1">IF(MOD(COUNTIF($Q$11:Q361,Q361),5)=0,OFFSET(装备属性!$H$1083,1+INT(COUNTA($Q$11:Q361)/5),0),M361)</f>
        <v>mage_class_dmg_rate</v>
      </c>
      <c r="N362" s="76">
        <f ca="1">IF(MOD(COUNTIF($Q$11:Q361,Q361),5)=0,OFFSET(装备属性!$K$1083,1+INT(COUNTA($Q$11:Q361)/5),0),N361)</f>
        <v>0.06</v>
      </c>
      <c r="O362" s="76">
        <f ca="1">IF(MOD(COUNTIF($Q$11:Q361,Q361),5)=0,OFFSET(装备属性!$L$1083,1+INT(COUNTA($Q$11:Q361)/5),0),O361)</f>
        <v>0.075</v>
      </c>
      <c r="Q362" s="89" t="str">
        <f ca="1">IF(MOD(COUNTIF($Q$11:Q361,Q361),5)=0,OFFSET(装备属性!$M$1083,1+INT(COUNTA($Q$11:Q361)/5),0),Q361)</f>
        <v>通用属性</v>
      </c>
      <c r="R362" s="83" t="e">
        <f ca="1">IF(MOD(COUNTIF($Q$11:Q361,Q361),5)=0,10000*SUBSTITUTE(SUBSTITUTE(OFFSET(装备属性!$F$1083,1+INT(COUNTA($Q$11:Q361)/5),0),"[",""),"]","")+_xlfn.XLOOKUP(C362,$M$3:$M$7,$N$3:$N$7)*100,R361)</f>
        <v>#N/A</v>
      </c>
    </row>
    <row r="363" customHeight="1" spans="1:18">
      <c r="A363" s="78" t="str">
        <f ca="1" t="shared" si="15"/>
        <v/>
      </c>
      <c r="B363" s="82" t="str">
        <f ca="1">IFERROR(R363+COUNTIFS($R$11:$R363,R363),"")</f>
        <v/>
      </c>
      <c r="C363" s="83">
        <f ca="1">IF(MOD(COUNTIF($Q$11:Q362,Q362),5)=0,OFFSET(装备属性!$D$1083,1+INT(COUNTA($Q$11:Q362)/5),0),C362)</f>
        <v>0</v>
      </c>
      <c r="D363" s="82">
        <f t="shared" si="17"/>
        <v>2000</v>
      </c>
      <c r="F363" s="82" t="str">
        <f ca="1" t="shared" si="16"/>
        <v/>
      </c>
      <c r="G363" s="78" t="str">
        <f ca="1">IF(AND(LEFT("[{"&amp;M363&amp;","&amp;CEILING(N363*10000+(O363-N363)/4*(COUNTIF($F$11:F363,F363)-1)*10000,10)&amp;"}]",7)="[{equip",MID("[{"&amp;M363&amp;","&amp;CEILING(N363*10000+(O363-N363)/4*(COUNTIF($F$11:F363,F363)-1)*10000,10)&amp;"}]",8,1)&lt;&gt;"_"),"[{"&amp;M363&amp;","&amp;1&amp;"}]","[{"&amp;M363&amp;","&amp;CEILING(N363*10000+(O363-N363)/4*(COUNTIF($F$11:F363,F363)-1)*10000,10)&amp;"}]")</f>
        <v>[{mage_class_dmg_rate,6120}]</v>
      </c>
      <c r="H363" s="82" t="s">
        <v>563</v>
      </c>
      <c r="J363" s="78">
        <f ca="1">IF(MOD(COUNTIF($Q$11:Q362,Q362),5)=0,OFFSET(装备属性!$P$1083,1+INT(COUNTA($Q$11:Q362)/5),0),J362)</f>
        <v>4</v>
      </c>
      <c r="K363" s="83" t="str">
        <f ca="1">IF(RIGHT(G363,13)="rune_slot,1}]",_xlfn.XLOOKUP(LEFT(SUBSTITUTE(G363,"[{",""),FIND(",",SUBSTITUTE(G363,"[{",""))-1),Sheet2!B:B,Sheet2!C:C)&amp;"+"&amp;1,_xlfn.XLOOKUP(LEFT(SUBSTITUTE(G363,"[{",""),FIND(",",SUBSTITUTE(G363,"[{",""))-1),Sheet2!B:B,Sheet2!C:C)&amp;"+"&amp;SUBSTITUTE(RIGHT(G363,LEN(G363)-FIND(",",G363)),"}]","")/100&amp;"%")</f>
        <v>上阵两个法师职业增伤+61.2%</v>
      </c>
      <c r="L363" s="83" t="str">
        <f ca="1">IF(MOD(COUNTIF($Q$11:Q362,Q362),5)=0,OFFSET(装备属性!$G$1083,1+INT(COUNTA($Q$11:Q362)/5),0),L362)</f>
        <v>施法小队Ⅰ</v>
      </c>
      <c r="M363" s="89" t="str">
        <f ca="1">IF(MOD(COUNTIF($Q$11:Q362,Q362),5)=0,OFFSET(装备属性!$H$1083,1+INT(COUNTA($Q$11:Q362)/5),0),M362)</f>
        <v>mage_class_dmg_rate</v>
      </c>
      <c r="N363" s="76">
        <f ca="1">IF(MOD(COUNTIF($Q$11:Q362,Q362),5)=0,OFFSET(装备属性!$K$1083,1+INT(COUNTA($Q$11:Q362)/5),0),N362)</f>
        <v>0.06</v>
      </c>
      <c r="O363" s="76">
        <f ca="1">IF(MOD(COUNTIF($Q$11:Q362,Q362),5)=0,OFFSET(装备属性!$L$1083,1+INT(COUNTA($Q$11:Q362)/5),0),O362)</f>
        <v>0.075</v>
      </c>
      <c r="Q363" s="89" t="str">
        <f ca="1">IF(MOD(COUNTIF($Q$11:Q362,Q362),5)=0,OFFSET(装备属性!$M$1083,1+INT(COUNTA($Q$11:Q362)/5),0),Q362)</f>
        <v>通用属性</v>
      </c>
      <c r="R363" s="83" t="e">
        <f ca="1">IF(MOD(COUNTIF($Q$11:Q362,Q362),5)=0,10000*SUBSTITUTE(SUBSTITUTE(OFFSET(装备属性!$F$1083,1+INT(COUNTA($Q$11:Q362)/5),0),"[",""),"]","")+_xlfn.XLOOKUP(C363,$M$3:$M$7,$N$3:$N$7)*100,R362)</f>
        <v>#N/A</v>
      </c>
    </row>
    <row r="364" customHeight="1" spans="1:18">
      <c r="A364" s="78" t="str">
        <f ca="1" t="shared" si="15"/>
        <v/>
      </c>
      <c r="B364" s="82" t="str">
        <f ca="1">IFERROR(R364+COUNTIFS($R$11:$R364,R364),"")</f>
        <v/>
      </c>
      <c r="C364" s="83">
        <f ca="1">IF(MOD(COUNTIF($Q$11:Q363,Q363),5)=0,OFFSET(装备属性!$D$1083,1+INT(COUNTA($Q$11:Q363)/5),0),C363)</f>
        <v>0</v>
      </c>
      <c r="D364" s="82">
        <f t="shared" si="17"/>
        <v>1500</v>
      </c>
      <c r="F364" s="82" t="str">
        <f ca="1" t="shared" si="16"/>
        <v/>
      </c>
      <c r="G364" s="78" t="str">
        <f ca="1">IF(AND(LEFT("[{"&amp;M364&amp;","&amp;CEILING(N364*10000+(O364-N364)/4*(COUNTIF($F$11:F364,F364)-1)*10000,10)&amp;"}]",7)="[{equip",MID("[{"&amp;M364&amp;","&amp;CEILING(N364*10000+(O364-N364)/4*(COUNTIF($F$11:F364,F364)-1)*10000,10)&amp;"}]",8,1)&lt;&gt;"_"),"[{"&amp;M364&amp;","&amp;1&amp;"}]","[{"&amp;M364&amp;","&amp;CEILING(N364*10000+(O364-N364)/4*(COUNTIF($F$11:F364,F364)-1)*10000,10)&amp;"}]")</f>
        <v>[{mage_class_dmg_rate,6150}]</v>
      </c>
      <c r="H364" s="82" t="s">
        <v>563</v>
      </c>
      <c r="J364" s="78">
        <f ca="1">IF(MOD(COUNTIF($Q$11:Q363,Q363),5)=0,OFFSET(装备属性!$P$1083,1+INT(COUNTA($Q$11:Q363)/5),0),J363)</f>
        <v>4</v>
      </c>
      <c r="K364" s="83" t="str">
        <f ca="1">IF(RIGHT(G364,13)="rune_slot,1}]",_xlfn.XLOOKUP(LEFT(SUBSTITUTE(G364,"[{",""),FIND(",",SUBSTITUTE(G364,"[{",""))-1),Sheet2!B:B,Sheet2!C:C)&amp;"+"&amp;1,_xlfn.XLOOKUP(LEFT(SUBSTITUTE(G364,"[{",""),FIND(",",SUBSTITUTE(G364,"[{",""))-1),Sheet2!B:B,Sheet2!C:C)&amp;"+"&amp;SUBSTITUTE(RIGHT(G364,LEN(G364)-FIND(",",G364)),"}]","")/100&amp;"%")</f>
        <v>上阵两个法师职业增伤+61.5%</v>
      </c>
      <c r="L364" s="83" t="str">
        <f ca="1">IF(MOD(COUNTIF($Q$11:Q363,Q363),5)=0,OFFSET(装备属性!$G$1083,1+INT(COUNTA($Q$11:Q363)/5),0),L363)</f>
        <v>施法小队Ⅰ</v>
      </c>
      <c r="M364" s="89" t="str">
        <f ca="1">IF(MOD(COUNTIF($Q$11:Q363,Q363),5)=0,OFFSET(装备属性!$H$1083,1+INT(COUNTA($Q$11:Q363)/5),0),M363)</f>
        <v>mage_class_dmg_rate</v>
      </c>
      <c r="N364" s="76">
        <f ca="1">IF(MOD(COUNTIF($Q$11:Q363,Q363),5)=0,OFFSET(装备属性!$K$1083,1+INT(COUNTA($Q$11:Q363)/5),0),N363)</f>
        <v>0.06</v>
      </c>
      <c r="O364" s="76">
        <f ca="1">IF(MOD(COUNTIF($Q$11:Q363,Q363),5)=0,OFFSET(装备属性!$L$1083,1+INT(COUNTA($Q$11:Q363)/5),0),O363)</f>
        <v>0.075</v>
      </c>
      <c r="Q364" s="89" t="str">
        <f ca="1">IF(MOD(COUNTIF($Q$11:Q363,Q363),5)=0,OFFSET(装备属性!$M$1083,1+INT(COUNTA($Q$11:Q363)/5),0),Q363)</f>
        <v>通用属性</v>
      </c>
      <c r="R364" s="83" t="e">
        <f ca="1">IF(MOD(COUNTIF($Q$11:Q363,Q363),5)=0,10000*SUBSTITUTE(SUBSTITUTE(OFFSET(装备属性!$F$1083,1+INT(COUNTA($Q$11:Q363)/5),0),"[",""),"]","")+_xlfn.XLOOKUP(C364,$M$3:$M$7,$N$3:$N$7)*100,R363)</f>
        <v>#N/A</v>
      </c>
    </row>
    <row r="365" customHeight="1" spans="1:18">
      <c r="A365" s="78" t="str">
        <f ca="1" t="shared" si="15"/>
        <v/>
      </c>
      <c r="B365" s="82" t="str">
        <f ca="1">IFERROR(R365+COUNTIFS($R$11:$R365,R365),"")</f>
        <v/>
      </c>
      <c r="C365" s="83">
        <f ca="1">IF(MOD(COUNTIF($Q$11:Q364,Q364),5)=0,OFFSET(装备属性!$D$1083,1+INT(COUNTA($Q$11:Q364)/5),0),C364)</f>
        <v>0</v>
      </c>
      <c r="D365" s="82">
        <f t="shared" si="17"/>
        <v>1000</v>
      </c>
      <c r="F365" s="82" t="str">
        <f ca="1" t="shared" si="16"/>
        <v/>
      </c>
      <c r="G365" s="78" t="str">
        <f ca="1">IF(AND(LEFT("[{"&amp;M365&amp;","&amp;CEILING(N365*10000+(O365-N365)/4*(COUNTIF($F$11:F365,F365)-1)*10000,10)&amp;"}]",7)="[{equip",MID("[{"&amp;M365&amp;","&amp;CEILING(N365*10000+(O365-N365)/4*(COUNTIF($F$11:F365,F365)-1)*10000,10)&amp;"}]",8,1)&lt;&gt;"_"),"[{"&amp;M365&amp;","&amp;1&amp;"}]","[{"&amp;M365&amp;","&amp;CEILING(N365*10000+(O365-N365)/4*(COUNTIF($F$11:F365,F365)-1)*10000,10)&amp;"}]")</f>
        <v>[{mage_class_dmg_rate,6190}]</v>
      </c>
      <c r="H365" s="82" t="s">
        <v>563</v>
      </c>
      <c r="J365" s="78">
        <f ca="1">IF(MOD(COUNTIF($Q$11:Q364,Q364),5)=0,OFFSET(装备属性!$P$1083,1+INT(COUNTA($Q$11:Q364)/5),0),J364)</f>
        <v>4</v>
      </c>
      <c r="K365" s="83" t="str">
        <f ca="1">IF(RIGHT(G365,13)="rune_slot,1}]",_xlfn.XLOOKUP(LEFT(SUBSTITUTE(G365,"[{",""),FIND(",",SUBSTITUTE(G365,"[{",""))-1),Sheet2!B:B,Sheet2!C:C)&amp;"+"&amp;1,_xlfn.XLOOKUP(LEFT(SUBSTITUTE(G365,"[{",""),FIND(",",SUBSTITUTE(G365,"[{",""))-1),Sheet2!B:B,Sheet2!C:C)&amp;"+"&amp;SUBSTITUTE(RIGHT(G365,LEN(G365)-FIND(",",G365)),"}]","")/100&amp;"%")</f>
        <v>上阵两个法师职业增伤+61.9%</v>
      </c>
      <c r="L365" s="83" t="str">
        <f ca="1">IF(MOD(COUNTIF($Q$11:Q364,Q364),5)=0,OFFSET(装备属性!$G$1083,1+INT(COUNTA($Q$11:Q364)/5),0),L364)</f>
        <v>施法小队Ⅰ</v>
      </c>
      <c r="M365" s="89" t="str">
        <f ca="1">IF(MOD(COUNTIF($Q$11:Q364,Q364),5)=0,OFFSET(装备属性!$H$1083,1+INT(COUNTA($Q$11:Q364)/5),0),M364)</f>
        <v>mage_class_dmg_rate</v>
      </c>
      <c r="N365" s="76">
        <f ca="1">IF(MOD(COUNTIF($Q$11:Q364,Q364),5)=0,OFFSET(装备属性!$K$1083,1+INT(COUNTA($Q$11:Q364)/5),0),N364)</f>
        <v>0.06</v>
      </c>
      <c r="O365" s="76">
        <f ca="1">IF(MOD(COUNTIF($Q$11:Q364,Q364),5)=0,OFFSET(装备属性!$L$1083,1+INT(COUNTA($Q$11:Q364)/5),0),O364)</f>
        <v>0.075</v>
      </c>
      <c r="Q365" s="89" t="str">
        <f ca="1">IF(MOD(COUNTIF($Q$11:Q364,Q364),5)=0,OFFSET(装备属性!$M$1083,1+INT(COUNTA($Q$11:Q364)/5),0),Q364)</f>
        <v>通用属性</v>
      </c>
      <c r="R365" s="83" t="e">
        <f ca="1">IF(MOD(COUNTIF($Q$11:Q364,Q364),5)=0,10000*SUBSTITUTE(SUBSTITUTE(OFFSET(装备属性!$F$1083,1+INT(COUNTA($Q$11:Q364)/5),0),"[",""),"]","")+_xlfn.XLOOKUP(C365,$M$3:$M$7,$N$3:$N$7)*100,R364)</f>
        <v>#N/A</v>
      </c>
    </row>
    <row r="366" customHeight="1" spans="1:18">
      <c r="A366" s="78">
        <f ca="1" t="shared" si="15"/>
        <v>20401</v>
      </c>
      <c r="B366" s="82">
        <f ca="1">IFERROR(R366+COUNTIFS($R$11:$R366,R366),"")</f>
        <v>20421</v>
      </c>
      <c r="C366" s="83" t="str">
        <f ca="1">IF(MOD(COUNTIF($Q$11:Q365,Q365),5)=0,OFFSET(装备属性!$D$1083,1+INT(COUNTA($Q$11:Q365)/5),0),C365)</f>
        <v>紫</v>
      </c>
      <c r="D366" s="82">
        <f t="shared" si="17"/>
        <v>3000</v>
      </c>
      <c r="F366" s="82">
        <f ca="1" t="shared" si="16"/>
        <v>20404</v>
      </c>
      <c r="G366" s="78" t="str">
        <f ca="1">IF(AND(LEFT("[{"&amp;M366&amp;","&amp;CEILING(N366*10000+(O366-N366)/4*(COUNTIF($F$11:F366,F366)-1)*10000,10)&amp;"}]",7)="[{equip",MID("[{"&amp;M366&amp;","&amp;CEILING(N366*10000+(O366-N366)/4*(COUNTIF($F$11:F366,F366)-1)*10000,10)&amp;"}]",8,1)&lt;&gt;"_"),"[{"&amp;M366&amp;","&amp;1&amp;"}]","[{"&amp;M366&amp;","&amp;CEILING(N366*10000+(O366-N366)/4*(COUNTIF($F$11:F366,F366)-1)*10000,10)&amp;"}]")</f>
        <v>[{mage_crit_dmg,2000}]</v>
      </c>
      <c r="H366" s="82" t="s">
        <v>563</v>
      </c>
      <c r="J366" s="78">
        <f ca="1">IF(MOD(COUNTIF($Q$11:Q365,Q365),5)=0,OFFSET(装备属性!$P$1083,1+INT(COUNTA($Q$11:Q365)/5),0),J365)</f>
        <v>10</v>
      </c>
      <c r="K366" s="83" t="str">
        <f ca="1">IF(RIGHT(G366,13)="rune_slot,1}]",_xlfn.XLOOKUP(LEFT(SUBSTITUTE(G366,"[{",""),FIND(",",SUBSTITUTE(G366,"[{",""))-1),Sheet2!B:B,Sheet2!C:C)&amp;"+"&amp;1,_xlfn.XLOOKUP(LEFT(SUBSTITUTE(G366,"[{",""),FIND(",",SUBSTITUTE(G366,"[{",""))-1),Sheet2!B:B,Sheet2!C:C)&amp;"+"&amp;SUBSTITUTE(RIGHT(G366,LEN(G366)-FIND(",",G366)),"}]","")/100&amp;"%")</f>
        <v>法师暴击伤害+20%</v>
      </c>
      <c r="L366" s="83" t="str">
        <f ca="1">IF(MOD(COUNTIF($Q$11:Q365,Q365),5)=0,OFFSET(装备属性!$G$1083,1+INT(COUNTA($Q$11:Q365)/5),0),L365)</f>
        <v>暴走施法Ⅰ</v>
      </c>
      <c r="M366" s="89" t="str">
        <f ca="1">IF(MOD(COUNTIF($Q$11:Q365,Q365),5)=0,OFFSET(装备属性!$H$1083,1+INT(COUNTA($Q$11:Q365)/5),0),M365)</f>
        <v>mage_crit_dmg</v>
      </c>
      <c r="N366" s="76">
        <f ca="1">IF(MOD(COUNTIF($Q$11:Q365,Q365),5)=0,OFFSET(装备属性!$K$1083,1+INT(COUNTA($Q$11:Q365)/5),0),N365)</f>
        <v>0.2</v>
      </c>
      <c r="O366" s="76">
        <f ca="1">IF(MOD(COUNTIF($Q$11:Q365,Q365),5)=0,OFFSET(装备属性!$L$1083,1+INT(COUNTA($Q$11:Q365)/5),0),O365)</f>
        <v>0.24</v>
      </c>
      <c r="Q366" s="89" t="str">
        <f ca="1">IF(MOD(COUNTIF($Q$11:Q365,Q365),5)=0,OFFSET(装备属性!$M$1083,1+INT(COUNTA($Q$11:Q365)/5),0),Q365)</f>
        <v>通用属性</v>
      </c>
      <c r="R366" s="83">
        <f ca="1">IF(MOD(COUNTIF($Q$11:Q365,Q365),5)=0,10000*SUBSTITUTE(SUBSTITUTE(OFFSET(装备属性!$F$1083,1+INT(COUNTA($Q$11:Q365)/5),0),"[",""),"]","")+_xlfn.XLOOKUP(C366,$M$3:$M$7,$N$3:$N$7)*100,R365)</f>
        <v>20400</v>
      </c>
    </row>
    <row r="367" customHeight="1" spans="1:18">
      <c r="A367" s="78">
        <f ca="1" t="shared" si="15"/>
        <v>20401</v>
      </c>
      <c r="B367" s="82">
        <f ca="1">IFERROR(R367+COUNTIFS($R$11:$R367,R367),"")</f>
        <v>20422</v>
      </c>
      <c r="C367" s="83" t="str">
        <f ca="1">IF(MOD(COUNTIF($Q$11:Q366,Q366),5)=0,OFFSET(装备属性!$D$1083,1+INT(COUNTA($Q$11:Q366)/5),0),C366)</f>
        <v>紫</v>
      </c>
      <c r="D367" s="82">
        <f t="shared" si="17"/>
        <v>2500</v>
      </c>
      <c r="F367" s="82">
        <f ca="1" t="shared" si="16"/>
        <v>20404</v>
      </c>
      <c r="G367" s="78" t="str">
        <f ca="1">IF(AND(LEFT("[{"&amp;M367&amp;","&amp;CEILING(N367*10000+(O367-N367)/4*(COUNTIF($F$11:F367,F367)-1)*10000,10)&amp;"}]",7)="[{equip",MID("[{"&amp;M367&amp;","&amp;CEILING(N367*10000+(O367-N367)/4*(COUNTIF($F$11:F367,F367)-1)*10000,10)&amp;"}]",8,1)&lt;&gt;"_"),"[{"&amp;M367&amp;","&amp;1&amp;"}]","[{"&amp;M367&amp;","&amp;CEILING(N367*10000+(O367-N367)/4*(COUNTIF($F$11:F367,F367)-1)*10000,10)&amp;"}]")</f>
        <v>[{mage_crit_dmg,2100}]</v>
      </c>
      <c r="H367" s="82" t="s">
        <v>563</v>
      </c>
      <c r="J367" s="78">
        <f ca="1">IF(MOD(COUNTIF($Q$11:Q366,Q366),5)=0,OFFSET(装备属性!$P$1083,1+INT(COUNTA($Q$11:Q366)/5),0),J366)</f>
        <v>10</v>
      </c>
      <c r="K367" s="83" t="str">
        <f ca="1">IF(RIGHT(G367,13)="rune_slot,1}]",_xlfn.XLOOKUP(LEFT(SUBSTITUTE(G367,"[{",""),FIND(",",SUBSTITUTE(G367,"[{",""))-1),Sheet2!B:B,Sheet2!C:C)&amp;"+"&amp;1,_xlfn.XLOOKUP(LEFT(SUBSTITUTE(G367,"[{",""),FIND(",",SUBSTITUTE(G367,"[{",""))-1),Sheet2!B:B,Sheet2!C:C)&amp;"+"&amp;SUBSTITUTE(RIGHT(G367,LEN(G367)-FIND(",",G367)),"}]","")/100&amp;"%")</f>
        <v>法师暴击伤害+21%</v>
      </c>
      <c r="L367" s="83" t="str">
        <f ca="1">IF(MOD(COUNTIF($Q$11:Q366,Q366),5)=0,OFFSET(装备属性!$G$1083,1+INT(COUNTA($Q$11:Q366)/5),0),L366)</f>
        <v>暴走施法Ⅰ</v>
      </c>
      <c r="M367" s="89" t="str">
        <f ca="1">IF(MOD(COUNTIF($Q$11:Q366,Q366),5)=0,OFFSET(装备属性!$H$1083,1+INT(COUNTA($Q$11:Q366)/5),0),M366)</f>
        <v>mage_crit_dmg</v>
      </c>
      <c r="N367" s="76">
        <f ca="1">IF(MOD(COUNTIF($Q$11:Q366,Q366),5)=0,OFFSET(装备属性!$K$1083,1+INT(COUNTA($Q$11:Q366)/5),0),N366)</f>
        <v>0.2</v>
      </c>
      <c r="O367" s="76">
        <f ca="1">IF(MOD(COUNTIF($Q$11:Q366,Q366),5)=0,OFFSET(装备属性!$L$1083,1+INT(COUNTA($Q$11:Q366)/5),0),O366)</f>
        <v>0.24</v>
      </c>
      <c r="Q367" s="89" t="str">
        <f ca="1">IF(MOD(COUNTIF($Q$11:Q366,Q366),5)=0,OFFSET(装备属性!$M$1083,1+INT(COUNTA($Q$11:Q366)/5),0),Q366)</f>
        <v>通用属性</v>
      </c>
      <c r="R367" s="83">
        <f ca="1">IF(MOD(COUNTIF($Q$11:Q366,Q366),5)=0,10000*SUBSTITUTE(SUBSTITUTE(OFFSET(装备属性!$F$1083,1+INT(COUNTA($Q$11:Q366)/5),0),"[",""),"]","")+_xlfn.XLOOKUP(C367,$M$3:$M$7,$N$3:$N$7)*100,R366)</f>
        <v>20400</v>
      </c>
    </row>
    <row r="368" customHeight="1" spans="1:18">
      <c r="A368" s="78">
        <f ca="1" t="shared" si="15"/>
        <v>20401</v>
      </c>
      <c r="B368" s="82">
        <f ca="1">IFERROR(R368+COUNTIFS($R$11:$R368,R368),"")</f>
        <v>20423</v>
      </c>
      <c r="C368" s="83" t="str">
        <f ca="1">IF(MOD(COUNTIF($Q$11:Q367,Q367),5)=0,OFFSET(装备属性!$D$1083,1+INT(COUNTA($Q$11:Q367)/5),0),C367)</f>
        <v>紫</v>
      </c>
      <c r="D368" s="82">
        <f t="shared" si="17"/>
        <v>2000</v>
      </c>
      <c r="F368" s="82">
        <f ca="1" t="shared" si="16"/>
        <v>20404</v>
      </c>
      <c r="G368" s="78" t="str">
        <f ca="1">IF(AND(LEFT("[{"&amp;M368&amp;","&amp;CEILING(N368*10000+(O368-N368)/4*(COUNTIF($F$11:F368,F368)-1)*10000,10)&amp;"}]",7)="[{equip",MID("[{"&amp;M368&amp;","&amp;CEILING(N368*10000+(O368-N368)/4*(COUNTIF($F$11:F368,F368)-1)*10000,10)&amp;"}]",8,1)&lt;&gt;"_"),"[{"&amp;M368&amp;","&amp;1&amp;"}]","[{"&amp;M368&amp;","&amp;CEILING(N368*10000+(O368-N368)/4*(COUNTIF($F$11:F368,F368)-1)*10000,10)&amp;"}]")</f>
        <v>[{mage_crit_dmg,2200}]</v>
      </c>
      <c r="H368" s="82" t="s">
        <v>563</v>
      </c>
      <c r="J368" s="78">
        <f ca="1">IF(MOD(COUNTIF($Q$11:Q367,Q367),5)=0,OFFSET(装备属性!$P$1083,1+INT(COUNTA($Q$11:Q367)/5),0),J367)</f>
        <v>10</v>
      </c>
      <c r="K368" s="83" t="str">
        <f ca="1">IF(RIGHT(G368,13)="rune_slot,1}]",_xlfn.XLOOKUP(LEFT(SUBSTITUTE(G368,"[{",""),FIND(",",SUBSTITUTE(G368,"[{",""))-1),Sheet2!B:B,Sheet2!C:C)&amp;"+"&amp;1,_xlfn.XLOOKUP(LEFT(SUBSTITUTE(G368,"[{",""),FIND(",",SUBSTITUTE(G368,"[{",""))-1),Sheet2!B:B,Sheet2!C:C)&amp;"+"&amp;SUBSTITUTE(RIGHT(G368,LEN(G368)-FIND(",",G368)),"}]","")/100&amp;"%")</f>
        <v>法师暴击伤害+22%</v>
      </c>
      <c r="L368" s="83" t="str">
        <f ca="1">IF(MOD(COUNTIF($Q$11:Q367,Q367),5)=0,OFFSET(装备属性!$G$1083,1+INT(COUNTA($Q$11:Q367)/5),0),L367)</f>
        <v>暴走施法Ⅰ</v>
      </c>
      <c r="M368" s="89" t="str">
        <f ca="1">IF(MOD(COUNTIF($Q$11:Q367,Q367),5)=0,OFFSET(装备属性!$H$1083,1+INT(COUNTA($Q$11:Q367)/5),0),M367)</f>
        <v>mage_crit_dmg</v>
      </c>
      <c r="N368" s="76">
        <f ca="1">IF(MOD(COUNTIF($Q$11:Q367,Q367),5)=0,OFFSET(装备属性!$K$1083,1+INT(COUNTA($Q$11:Q367)/5),0),N367)</f>
        <v>0.2</v>
      </c>
      <c r="O368" s="76">
        <f ca="1">IF(MOD(COUNTIF($Q$11:Q367,Q367),5)=0,OFFSET(装备属性!$L$1083,1+INT(COUNTA($Q$11:Q367)/5),0),O367)</f>
        <v>0.24</v>
      </c>
      <c r="Q368" s="89" t="str">
        <f ca="1">IF(MOD(COUNTIF($Q$11:Q367,Q367),5)=0,OFFSET(装备属性!$M$1083,1+INT(COUNTA($Q$11:Q367)/5),0),Q367)</f>
        <v>通用属性</v>
      </c>
      <c r="R368" s="83">
        <f ca="1">IF(MOD(COUNTIF($Q$11:Q367,Q367),5)=0,10000*SUBSTITUTE(SUBSTITUTE(OFFSET(装备属性!$F$1083,1+INT(COUNTA($Q$11:Q367)/5),0),"[",""),"]","")+_xlfn.XLOOKUP(C368,$M$3:$M$7,$N$3:$N$7)*100,R367)</f>
        <v>20400</v>
      </c>
    </row>
    <row r="369" customHeight="1" spans="1:18">
      <c r="A369" s="78">
        <f ca="1" t="shared" si="15"/>
        <v>20401</v>
      </c>
      <c r="B369" s="82">
        <f ca="1">IFERROR(R369+COUNTIFS($R$11:$R369,R369),"")</f>
        <v>20424</v>
      </c>
      <c r="C369" s="83" t="str">
        <f ca="1">IF(MOD(COUNTIF($Q$11:Q368,Q368),5)=0,OFFSET(装备属性!$D$1083,1+INT(COUNTA($Q$11:Q368)/5),0),C368)</f>
        <v>紫</v>
      </c>
      <c r="D369" s="82">
        <f t="shared" si="17"/>
        <v>1500</v>
      </c>
      <c r="F369" s="82">
        <f ca="1" t="shared" si="16"/>
        <v>20404</v>
      </c>
      <c r="G369" s="78" t="str">
        <f ca="1">IF(AND(LEFT("[{"&amp;M369&amp;","&amp;CEILING(N369*10000+(O369-N369)/4*(COUNTIF($F$11:F369,F369)-1)*10000,10)&amp;"}]",7)="[{equip",MID("[{"&amp;M369&amp;","&amp;CEILING(N369*10000+(O369-N369)/4*(COUNTIF($F$11:F369,F369)-1)*10000,10)&amp;"}]",8,1)&lt;&gt;"_"),"[{"&amp;M369&amp;","&amp;1&amp;"}]","[{"&amp;M369&amp;","&amp;CEILING(N369*10000+(O369-N369)/4*(COUNTIF($F$11:F369,F369)-1)*10000,10)&amp;"}]")</f>
        <v>[{mage_crit_dmg,2300}]</v>
      </c>
      <c r="H369" s="82" t="s">
        <v>563</v>
      </c>
      <c r="J369" s="78">
        <f ca="1">IF(MOD(COUNTIF($Q$11:Q368,Q368),5)=0,OFFSET(装备属性!$P$1083,1+INT(COUNTA($Q$11:Q368)/5),0),J368)</f>
        <v>10</v>
      </c>
      <c r="K369" s="83" t="str">
        <f ca="1">IF(RIGHT(G369,13)="rune_slot,1}]",_xlfn.XLOOKUP(LEFT(SUBSTITUTE(G369,"[{",""),FIND(",",SUBSTITUTE(G369,"[{",""))-1),Sheet2!B:B,Sheet2!C:C)&amp;"+"&amp;1,_xlfn.XLOOKUP(LEFT(SUBSTITUTE(G369,"[{",""),FIND(",",SUBSTITUTE(G369,"[{",""))-1),Sheet2!B:B,Sheet2!C:C)&amp;"+"&amp;SUBSTITUTE(RIGHT(G369,LEN(G369)-FIND(",",G369)),"}]","")/100&amp;"%")</f>
        <v>法师暴击伤害+23%</v>
      </c>
      <c r="L369" s="83" t="str">
        <f ca="1">IF(MOD(COUNTIF($Q$11:Q368,Q368),5)=0,OFFSET(装备属性!$G$1083,1+INT(COUNTA($Q$11:Q368)/5),0),L368)</f>
        <v>暴走施法Ⅰ</v>
      </c>
      <c r="M369" s="89" t="str">
        <f ca="1">IF(MOD(COUNTIF($Q$11:Q368,Q368),5)=0,OFFSET(装备属性!$H$1083,1+INT(COUNTA($Q$11:Q368)/5),0),M368)</f>
        <v>mage_crit_dmg</v>
      </c>
      <c r="N369" s="76">
        <f ca="1">IF(MOD(COUNTIF($Q$11:Q368,Q368),5)=0,OFFSET(装备属性!$K$1083,1+INT(COUNTA($Q$11:Q368)/5),0),N368)</f>
        <v>0.2</v>
      </c>
      <c r="O369" s="76">
        <f ca="1">IF(MOD(COUNTIF($Q$11:Q368,Q368),5)=0,OFFSET(装备属性!$L$1083,1+INT(COUNTA($Q$11:Q368)/5),0),O368)</f>
        <v>0.24</v>
      </c>
      <c r="Q369" s="89" t="str">
        <f ca="1">IF(MOD(COUNTIF($Q$11:Q368,Q368),5)=0,OFFSET(装备属性!$M$1083,1+INT(COUNTA($Q$11:Q368)/5),0),Q368)</f>
        <v>通用属性</v>
      </c>
      <c r="R369" s="83">
        <f ca="1">IF(MOD(COUNTIF($Q$11:Q368,Q368),5)=0,10000*SUBSTITUTE(SUBSTITUTE(OFFSET(装备属性!$F$1083,1+INT(COUNTA($Q$11:Q368)/5),0),"[",""),"]","")+_xlfn.XLOOKUP(C369,$M$3:$M$7,$N$3:$N$7)*100,R368)</f>
        <v>20400</v>
      </c>
    </row>
    <row r="370" customHeight="1" spans="1:18">
      <c r="A370" s="78">
        <f ca="1" t="shared" si="15"/>
        <v>20401</v>
      </c>
      <c r="B370" s="82">
        <f ca="1">IFERROR(R370+COUNTIFS($R$11:$R370,R370),"")</f>
        <v>20425</v>
      </c>
      <c r="C370" s="83" t="str">
        <f ca="1">IF(MOD(COUNTIF($Q$11:Q369,Q369),5)=0,OFFSET(装备属性!$D$1083,1+INT(COUNTA($Q$11:Q369)/5),0),C369)</f>
        <v>紫</v>
      </c>
      <c r="D370" s="82">
        <f t="shared" si="17"/>
        <v>1000</v>
      </c>
      <c r="F370" s="82">
        <f ca="1" t="shared" si="16"/>
        <v>20404</v>
      </c>
      <c r="G370" s="78" t="str">
        <f ca="1">IF(AND(LEFT("[{"&amp;M370&amp;","&amp;CEILING(N370*10000+(O370-N370)/4*(COUNTIF($F$11:F370,F370)-1)*10000,10)&amp;"}]",7)="[{equip",MID("[{"&amp;M370&amp;","&amp;CEILING(N370*10000+(O370-N370)/4*(COUNTIF($F$11:F370,F370)-1)*10000,10)&amp;"}]",8,1)&lt;&gt;"_"),"[{"&amp;M370&amp;","&amp;1&amp;"}]","[{"&amp;M370&amp;","&amp;CEILING(N370*10000+(O370-N370)/4*(COUNTIF($F$11:F370,F370)-1)*10000,10)&amp;"}]")</f>
        <v>[{mage_crit_dmg,2400}]</v>
      </c>
      <c r="H370" s="82" t="s">
        <v>563</v>
      </c>
      <c r="J370" s="78">
        <f ca="1">IF(MOD(COUNTIF($Q$11:Q369,Q369),5)=0,OFFSET(装备属性!$P$1083,1+INT(COUNTA($Q$11:Q369)/5),0),J369)</f>
        <v>10</v>
      </c>
      <c r="K370" s="83" t="str">
        <f ca="1">IF(RIGHT(G370,13)="rune_slot,1}]",_xlfn.XLOOKUP(LEFT(SUBSTITUTE(G370,"[{",""),FIND(",",SUBSTITUTE(G370,"[{",""))-1),Sheet2!B:B,Sheet2!C:C)&amp;"+"&amp;1,_xlfn.XLOOKUP(LEFT(SUBSTITUTE(G370,"[{",""),FIND(",",SUBSTITUTE(G370,"[{",""))-1),Sheet2!B:B,Sheet2!C:C)&amp;"+"&amp;SUBSTITUTE(RIGHT(G370,LEN(G370)-FIND(",",G370)),"}]","")/100&amp;"%")</f>
        <v>法师暴击伤害+24%</v>
      </c>
      <c r="L370" s="83" t="str">
        <f ca="1">IF(MOD(COUNTIF($Q$11:Q369,Q369),5)=0,OFFSET(装备属性!$G$1083,1+INT(COUNTA($Q$11:Q369)/5),0),L369)</f>
        <v>暴走施法Ⅰ</v>
      </c>
      <c r="M370" s="89" t="str">
        <f ca="1">IF(MOD(COUNTIF($Q$11:Q369,Q369),5)=0,OFFSET(装备属性!$H$1083,1+INT(COUNTA($Q$11:Q369)/5),0),M369)</f>
        <v>mage_crit_dmg</v>
      </c>
      <c r="N370" s="76">
        <f ca="1">IF(MOD(COUNTIF($Q$11:Q369,Q369),5)=0,OFFSET(装备属性!$K$1083,1+INT(COUNTA($Q$11:Q369)/5),0),N369)</f>
        <v>0.2</v>
      </c>
      <c r="O370" s="76">
        <f ca="1">IF(MOD(COUNTIF($Q$11:Q369,Q369),5)=0,OFFSET(装备属性!$L$1083,1+INT(COUNTA($Q$11:Q369)/5),0),O369)</f>
        <v>0.24</v>
      </c>
      <c r="Q370" s="89" t="str">
        <f ca="1">IF(MOD(COUNTIF($Q$11:Q369,Q369),5)=0,OFFSET(装备属性!$M$1083,1+INT(COUNTA($Q$11:Q369)/5),0),Q369)</f>
        <v>通用属性</v>
      </c>
      <c r="R370" s="83">
        <f ca="1">IF(MOD(COUNTIF($Q$11:Q369,Q369),5)=0,10000*SUBSTITUTE(SUBSTITUTE(OFFSET(装备属性!$F$1083,1+INT(COUNTA($Q$11:Q369)/5),0),"[",""),"]","")+_xlfn.XLOOKUP(C370,$M$3:$M$7,$N$3:$N$7)*100,R369)</f>
        <v>20400</v>
      </c>
    </row>
    <row r="371" customHeight="1" spans="1:18">
      <c r="A371" s="78" t="str">
        <f ca="1" t="shared" si="15"/>
        <v/>
      </c>
      <c r="B371" s="82" t="str">
        <f ca="1">IFERROR(R371+COUNTIFS($R$11:$R371,R371),"")</f>
        <v/>
      </c>
      <c r="C371" s="83">
        <f ca="1">IF(MOD(COUNTIF($Q$11:Q370,Q370),5)=0,OFFSET(装备属性!$D$1083,1+INT(COUNTA($Q$11:Q370)/5),0),C370)</f>
        <v>0</v>
      </c>
      <c r="D371" s="82">
        <f t="shared" si="17"/>
        <v>3000</v>
      </c>
      <c r="F371" s="82" t="str">
        <f ca="1" t="shared" si="16"/>
        <v/>
      </c>
      <c r="G371" s="78" t="str">
        <f ca="1">IF(AND(LEFT("[{"&amp;M371&amp;","&amp;CEILING(N371*10000+(O371-N371)/4*(COUNTIF($F$11:F371,F371)-1)*10000,10)&amp;"}]",7)="[{equip",MID("[{"&amp;M371&amp;","&amp;CEILING(N371*10000+(O371-N371)/4*(COUNTIF($F$11:F371,F371)-1)*10000,10)&amp;"}]",8,1)&lt;&gt;"_"),"[{"&amp;M371&amp;","&amp;1&amp;"}]","[{"&amp;M371&amp;","&amp;CEILING(N371*10000+(O371-N371)/4*(COUNTIF($F$11:F371,F371)-1)*10000,10)&amp;"}]")</f>
        <v>[{global_dmg_rate,5690}]</v>
      </c>
      <c r="H371" s="82" t="s">
        <v>563</v>
      </c>
      <c r="J371" s="78">
        <f ca="1">IF(MOD(COUNTIF($Q$11:Q370,Q370),5)=0,OFFSET(装备属性!$P$1083,1+INT(COUNTA($Q$11:Q370)/5),0),J370)</f>
        <v>2</v>
      </c>
      <c r="K371" s="83" t="str">
        <f ca="1">IF(RIGHT(G371,13)="rune_slot,1}]",_xlfn.XLOOKUP(LEFT(SUBSTITUTE(G371,"[{",""),FIND(",",SUBSTITUTE(G371,"[{",""))-1),Sheet2!B:B,Sheet2!C:C)&amp;"+"&amp;1,_xlfn.XLOOKUP(LEFT(SUBSTITUTE(G371,"[{",""),FIND(",",SUBSTITUTE(G371,"[{",""))-1),Sheet2!B:B,Sheet2!C:C)&amp;"+"&amp;SUBSTITUTE(RIGHT(G371,LEN(G371)-FIND(",",G371)),"}]","")/100&amp;"%")</f>
        <v>伤害加成+56.9%</v>
      </c>
      <c r="L371" s="83" t="str">
        <f ca="1">IF(MOD(COUNTIF($Q$11:Q370,Q370),5)=0,OFFSET(装备属性!$G$1083,1+INT(COUNTA($Q$11:Q370)/5),0),L370)</f>
        <v>全职小队Ⅱ</v>
      </c>
      <c r="M371" s="89" t="str">
        <f ca="1">IF(MOD(COUNTIF($Q$11:Q370,Q370),5)=0,OFFSET(装备属性!$H$1083,1+INT(COUNTA($Q$11:Q370)/5),0),M370)</f>
        <v>global_dmg_rate</v>
      </c>
      <c r="N371" s="76">
        <f ca="1">IF(MOD(COUNTIF($Q$11:Q370,Q370),5)=0,OFFSET(装备属性!$K$1083,1+INT(COUNTA($Q$11:Q370)/5),0),N370)</f>
        <v>0.044</v>
      </c>
      <c r="O371" s="76">
        <f ca="1">IF(MOD(COUNTIF($Q$11:Q370,Q370),5)=0,OFFSET(装备属性!$L$1083,1+INT(COUNTA($Q$11:Q370)/5),0),O370)</f>
        <v>0.058</v>
      </c>
      <c r="Q371" s="89" t="str">
        <f ca="1">IF(MOD(COUNTIF($Q$11:Q370,Q370),5)=0,OFFSET(装备属性!$M$1083,1+INT(COUNTA($Q$11:Q370)/5),0),Q370)</f>
        <v>通用属性</v>
      </c>
      <c r="R371" s="83" t="e">
        <f ca="1">IF(MOD(COUNTIF($Q$11:Q370,Q370),5)=0,10000*SUBSTITUTE(SUBSTITUTE(OFFSET(装备属性!$F$1083,1+INT(COUNTA($Q$11:Q370)/5),0),"[",""),"]","")+_xlfn.XLOOKUP(C371,$M$3:$M$7,$N$3:$N$7)*100,R370)</f>
        <v>#N/A</v>
      </c>
    </row>
    <row r="372" customHeight="1" spans="1:18">
      <c r="A372" s="78" t="str">
        <f ca="1" t="shared" si="15"/>
        <v/>
      </c>
      <c r="B372" s="82" t="str">
        <f ca="1">IFERROR(R372+COUNTIFS($R$11:$R372,R372),"")</f>
        <v/>
      </c>
      <c r="C372" s="83">
        <f ca="1">IF(MOD(COUNTIF($Q$11:Q371,Q371),5)=0,OFFSET(装备属性!$D$1083,1+INT(COUNTA($Q$11:Q371)/5),0),C371)</f>
        <v>0</v>
      </c>
      <c r="D372" s="82">
        <f t="shared" si="17"/>
        <v>2500</v>
      </c>
      <c r="F372" s="82" t="str">
        <f ca="1" t="shared" si="16"/>
        <v/>
      </c>
      <c r="G372" s="78" t="str">
        <f ca="1">IF(AND(LEFT("[{"&amp;M372&amp;","&amp;CEILING(N372*10000+(O372-N372)/4*(COUNTIF($F$11:F372,F372)-1)*10000,10)&amp;"}]",7)="[{equip",MID("[{"&amp;M372&amp;","&amp;CEILING(N372*10000+(O372-N372)/4*(COUNTIF($F$11:F372,F372)-1)*10000,10)&amp;"}]",8,1)&lt;&gt;"_"),"[{"&amp;M372&amp;","&amp;1&amp;"}]","[{"&amp;M372&amp;","&amp;CEILING(N372*10000+(O372-N372)/4*(COUNTIF($F$11:F372,F372)-1)*10000,10)&amp;"}]")</f>
        <v>[{global_dmg_rate,5730}]</v>
      </c>
      <c r="H372" s="82" t="s">
        <v>563</v>
      </c>
      <c r="J372" s="78">
        <f ca="1">IF(MOD(COUNTIF($Q$11:Q371,Q371),5)=0,OFFSET(装备属性!$P$1083,1+INT(COUNTA($Q$11:Q371)/5),0),J371)</f>
        <v>2</v>
      </c>
      <c r="K372" s="83" t="str">
        <f ca="1">IF(RIGHT(G372,13)="rune_slot,1}]",_xlfn.XLOOKUP(LEFT(SUBSTITUTE(G372,"[{",""),FIND(",",SUBSTITUTE(G372,"[{",""))-1),Sheet2!B:B,Sheet2!C:C)&amp;"+"&amp;1,_xlfn.XLOOKUP(LEFT(SUBSTITUTE(G372,"[{",""),FIND(",",SUBSTITUTE(G372,"[{",""))-1),Sheet2!B:B,Sheet2!C:C)&amp;"+"&amp;SUBSTITUTE(RIGHT(G372,LEN(G372)-FIND(",",G372)),"}]","")/100&amp;"%")</f>
        <v>伤害加成+57.3%</v>
      </c>
      <c r="L372" s="83" t="str">
        <f ca="1">IF(MOD(COUNTIF($Q$11:Q371,Q371),5)=0,OFFSET(装备属性!$G$1083,1+INT(COUNTA($Q$11:Q371)/5),0),L371)</f>
        <v>全职小队Ⅱ</v>
      </c>
      <c r="M372" s="89" t="str">
        <f ca="1">IF(MOD(COUNTIF($Q$11:Q371,Q371),5)=0,OFFSET(装备属性!$H$1083,1+INT(COUNTA($Q$11:Q371)/5),0),M371)</f>
        <v>global_dmg_rate</v>
      </c>
      <c r="N372" s="76">
        <f ca="1">IF(MOD(COUNTIF($Q$11:Q371,Q371),5)=0,OFFSET(装备属性!$K$1083,1+INT(COUNTA($Q$11:Q371)/5),0),N371)</f>
        <v>0.044</v>
      </c>
      <c r="O372" s="76">
        <f ca="1">IF(MOD(COUNTIF($Q$11:Q371,Q371),5)=0,OFFSET(装备属性!$L$1083,1+INT(COUNTA($Q$11:Q371)/5),0),O371)</f>
        <v>0.058</v>
      </c>
      <c r="Q372" s="89" t="str">
        <f ca="1">IF(MOD(COUNTIF($Q$11:Q371,Q371),5)=0,OFFSET(装备属性!$M$1083,1+INT(COUNTA($Q$11:Q371)/5),0),Q371)</f>
        <v>通用属性</v>
      </c>
      <c r="R372" s="83" t="e">
        <f ca="1">IF(MOD(COUNTIF($Q$11:Q371,Q371),5)=0,10000*SUBSTITUTE(SUBSTITUTE(OFFSET(装备属性!$F$1083,1+INT(COUNTA($Q$11:Q371)/5),0),"[",""),"]","")+_xlfn.XLOOKUP(C372,$M$3:$M$7,$N$3:$N$7)*100,R371)</f>
        <v>#N/A</v>
      </c>
    </row>
    <row r="373" customHeight="1" spans="1:18">
      <c r="A373" s="78" t="str">
        <f ca="1" t="shared" si="15"/>
        <v/>
      </c>
      <c r="B373" s="82" t="str">
        <f ca="1">IFERROR(R373+COUNTIFS($R$11:$R373,R373),"")</f>
        <v/>
      </c>
      <c r="C373" s="83">
        <f ca="1">IF(MOD(COUNTIF($Q$11:Q372,Q372),5)=0,OFFSET(装备属性!$D$1083,1+INT(COUNTA($Q$11:Q372)/5),0),C372)</f>
        <v>0</v>
      </c>
      <c r="D373" s="82">
        <f t="shared" si="17"/>
        <v>2000</v>
      </c>
      <c r="F373" s="82" t="str">
        <f ca="1" t="shared" si="16"/>
        <v/>
      </c>
      <c r="G373" s="78" t="str">
        <f ca="1">IF(AND(LEFT("[{"&amp;M373&amp;","&amp;CEILING(N373*10000+(O373-N373)/4*(COUNTIF($F$11:F373,F373)-1)*10000,10)&amp;"}]",7)="[{equip",MID("[{"&amp;M373&amp;","&amp;CEILING(N373*10000+(O373-N373)/4*(COUNTIF($F$11:F373,F373)-1)*10000,10)&amp;"}]",8,1)&lt;&gt;"_"),"[{"&amp;M373&amp;","&amp;1&amp;"}]","[{"&amp;M373&amp;","&amp;CEILING(N373*10000+(O373-N373)/4*(COUNTIF($F$11:F373,F373)-1)*10000,10)&amp;"}]")</f>
        <v>[{global_dmg_rate,5760}]</v>
      </c>
      <c r="H373" s="82" t="s">
        <v>563</v>
      </c>
      <c r="J373" s="78">
        <f ca="1">IF(MOD(COUNTIF($Q$11:Q372,Q372),5)=0,OFFSET(装备属性!$P$1083,1+INT(COUNTA($Q$11:Q372)/5),0),J372)</f>
        <v>2</v>
      </c>
      <c r="K373" s="83" t="str">
        <f ca="1">IF(RIGHT(G373,13)="rune_slot,1}]",_xlfn.XLOOKUP(LEFT(SUBSTITUTE(G373,"[{",""),FIND(",",SUBSTITUTE(G373,"[{",""))-1),Sheet2!B:B,Sheet2!C:C)&amp;"+"&amp;1,_xlfn.XLOOKUP(LEFT(SUBSTITUTE(G373,"[{",""),FIND(",",SUBSTITUTE(G373,"[{",""))-1),Sheet2!B:B,Sheet2!C:C)&amp;"+"&amp;SUBSTITUTE(RIGHT(G373,LEN(G373)-FIND(",",G373)),"}]","")/100&amp;"%")</f>
        <v>伤害加成+57.6%</v>
      </c>
      <c r="L373" s="83" t="str">
        <f ca="1">IF(MOD(COUNTIF($Q$11:Q372,Q372),5)=0,OFFSET(装备属性!$G$1083,1+INT(COUNTA($Q$11:Q372)/5),0),L372)</f>
        <v>全职小队Ⅱ</v>
      </c>
      <c r="M373" s="89" t="str">
        <f ca="1">IF(MOD(COUNTIF($Q$11:Q372,Q372),5)=0,OFFSET(装备属性!$H$1083,1+INT(COUNTA($Q$11:Q372)/5),0),M372)</f>
        <v>global_dmg_rate</v>
      </c>
      <c r="N373" s="76">
        <f ca="1">IF(MOD(COUNTIF($Q$11:Q372,Q372),5)=0,OFFSET(装备属性!$K$1083,1+INT(COUNTA($Q$11:Q372)/5),0),N372)</f>
        <v>0.044</v>
      </c>
      <c r="O373" s="76">
        <f ca="1">IF(MOD(COUNTIF($Q$11:Q372,Q372),5)=0,OFFSET(装备属性!$L$1083,1+INT(COUNTA($Q$11:Q372)/5),0),O372)</f>
        <v>0.058</v>
      </c>
      <c r="Q373" s="89" t="str">
        <f ca="1">IF(MOD(COUNTIF($Q$11:Q372,Q372),5)=0,OFFSET(装备属性!$M$1083,1+INT(COUNTA($Q$11:Q372)/5),0),Q372)</f>
        <v>通用属性</v>
      </c>
      <c r="R373" s="83" t="e">
        <f ca="1">IF(MOD(COUNTIF($Q$11:Q372,Q372),5)=0,10000*SUBSTITUTE(SUBSTITUTE(OFFSET(装备属性!$F$1083,1+INT(COUNTA($Q$11:Q372)/5),0),"[",""),"]","")+_xlfn.XLOOKUP(C373,$M$3:$M$7,$N$3:$N$7)*100,R372)</f>
        <v>#N/A</v>
      </c>
    </row>
    <row r="374" customHeight="1" spans="1:18">
      <c r="A374" s="78" t="str">
        <f ca="1" t="shared" si="15"/>
        <v/>
      </c>
      <c r="B374" s="82" t="str">
        <f ca="1">IFERROR(R374+COUNTIFS($R$11:$R374,R374),"")</f>
        <v/>
      </c>
      <c r="C374" s="83">
        <f ca="1">IF(MOD(COUNTIF($Q$11:Q373,Q373),5)=0,OFFSET(装备属性!$D$1083,1+INT(COUNTA($Q$11:Q373)/5),0),C373)</f>
        <v>0</v>
      </c>
      <c r="D374" s="82">
        <f t="shared" si="17"/>
        <v>1500</v>
      </c>
      <c r="F374" s="82" t="str">
        <f ca="1" t="shared" si="16"/>
        <v/>
      </c>
      <c r="G374" s="78" t="str">
        <f ca="1">IF(AND(LEFT("[{"&amp;M374&amp;","&amp;CEILING(N374*10000+(O374-N374)/4*(COUNTIF($F$11:F374,F374)-1)*10000,10)&amp;"}]",7)="[{equip",MID("[{"&amp;M374&amp;","&amp;CEILING(N374*10000+(O374-N374)/4*(COUNTIF($F$11:F374,F374)-1)*10000,10)&amp;"}]",8,1)&lt;&gt;"_"),"[{"&amp;M374&amp;","&amp;1&amp;"}]","[{"&amp;M374&amp;","&amp;CEILING(N374*10000+(O374-N374)/4*(COUNTIF($F$11:F374,F374)-1)*10000,10)&amp;"}]")</f>
        <v>[{global_dmg_rate,5800}]</v>
      </c>
      <c r="H374" s="82" t="s">
        <v>563</v>
      </c>
      <c r="J374" s="78">
        <f ca="1">IF(MOD(COUNTIF($Q$11:Q373,Q373),5)=0,OFFSET(装备属性!$P$1083,1+INT(COUNTA($Q$11:Q373)/5),0),J373)</f>
        <v>2</v>
      </c>
      <c r="K374" s="83" t="str">
        <f ca="1">IF(RIGHT(G374,13)="rune_slot,1}]",_xlfn.XLOOKUP(LEFT(SUBSTITUTE(G374,"[{",""),FIND(",",SUBSTITUTE(G374,"[{",""))-1),Sheet2!B:B,Sheet2!C:C)&amp;"+"&amp;1,_xlfn.XLOOKUP(LEFT(SUBSTITUTE(G374,"[{",""),FIND(",",SUBSTITUTE(G374,"[{",""))-1),Sheet2!B:B,Sheet2!C:C)&amp;"+"&amp;SUBSTITUTE(RIGHT(G374,LEN(G374)-FIND(",",G374)),"}]","")/100&amp;"%")</f>
        <v>伤害加成+58%</v>
      </c>
      <c r="L374" s="83" t="str">
        <f ca="1">IF(MOD(COUNTIF($Q$11:Q373,Q373),5)=0,OFFSET(装备属性!$G$1083,1+INT(COUNTA($Q$11:Q373)/5),0),L373)</f>
        <v>全职小队Ⅱ</v>
      </c>
      <c r="M374" s="89" t="str">
        <f ca="1">IF(MOD(COUNTIF($Q$11:Q373,Q373),5)=0,OFFSET(装备属性!$H$1083,1+INT(COUNTA($Q$11:Q373)/5),0),M373)</f>
        <v>global_dmg_rate</v>
      </c>
      <c r="N374" s="76">
        <f ca="1">IF(MOD(COUNTIF($Q$11:Q373,Q373),5)=0,OFFSET(装备属性!$K$1083,1+INT(COUNTA($Q$11:Q373)/5),0),N373)</f>
        <v>0.044</v>
      </c>
      <c r="O374" s="76">
        <f ca="1">IF(MOD(COUNTIF($Q$11:Q373,Q373),5)=0,OFFSET(装备属性!$L$1083,1+INT(COUNTA($Q$11:Q373)/5),0),O373)</f>
        <v>0.058</v>
      </c>
      <c r="Q374" s="89" t="str">
        <f ca="1">IF(MOD(COUNTIF($Q$11:Q373,Q373),5)=0,OFFSET(装备属性!$M$1083,1+INT(COUNTA($Q$11:Q373)/5),0),Q373)</f>
        <v>通用属性</v>
      </c>
      <c r="R374" s="83" t="e">
        <f ca="1">IF(MOD(COUNTIF($Q$11:Q373,Q373),5)=0,10000*SUBSTITUTE(SUBSTITUTE(OFFSET(装备属性!$F$1083,1+INT(COUNTA($Q$11:Q373)/5),0),"[",""),"]","")+_xlfn.XLOOKUP(C374,$M$3:$M$7,$N$3:$N$7)*100,R373)</f>
        <v>#N/A</v>
      </c>
    </row>
    <row r="375" customHeight="1" spans="1:18">
      <c r="A375" s="78" t="str">
        <f ca="1" t="shared" si="15"/>
        <v/>
      </c>
      <c r="B375" s="82" t="str">
        <f ca="1">IFERROR(R375+COUNTIFS($R$11:$R375,R375),"")</f>
        <v/>
      </c>
      <c r="C375" s="83">
        <f ca="1">IF(MOD(COUNTIF($Q$11:Q374,Q374),5)=0,OFFSET(装备属性!$D$1083,1+INT(COUNTA($Q$11:Q374)/5),0),C374)</f>
        <v>0</v>
      </c>
      <c r="D375" s="82">
        <f t="shared" si="17"/>
        <v>1000</v>
      </c>
      <c r="F375" s="82" t="str">
        <f ca="1" t="shared" si="16"/>
        <v/>
      </c>
      <c r="G375" s="78" t="str">
        <f ca="1">IF(AND(LEFT("[{"&amp;M375&amp;","&amp;CEILING(N375*10000+(O375-N375)/4*(COUNTIF($F$11:F375,F375)-1)*10000,10)&amp;"}]",7)="[{equip",MID("[{"&amp;M375&amp;","&amp;CEILING(N375*10000+(O375-N375)/4*(COUNTIF($F$11:F375,F375)-1)*10000,10)&amp;"}]",8,1)&lt;&gt;"_"),"[{"&amp;M375&amp;","&amp;1&amp;"}]","[{"&amp;M375&amp;","&amp;CEILING(N375*10000+(O375-N375)/4*(COUNTIF($F$11:F375,F375)-1)*10000,10)&amp;"}]")</f>
        <v>[{global_dmg_rate,5830}]</v>
      </c>
      <c r="H375" s="82" t="s">
        <v>563</v>
      </c>
      <c r="J375" s="78">
        <f ca="1">IF(MOD(COUNTIF($Q$11:Q374,Q374),5)=0,OFFSET(装备属性!$P$1083,1+INT(COUNTA($Q$11:Q374)/5),0),J374)</f>
        <v>2</v>
      </c>
      <c r="K375" s="83" t="str">
        <f ca="1">IF(RIGHT(G375,13)="rune_slot,1}]",_xlfn.XLOOKUP(LEFT(SUBSTITUTE(G375,"[{",""),FIND(",",SUBSTITUTE(G375,"[{",""))-1),Sheet2!B:B,Sheet2!C:C)&amp;"+"&amp;1,_xlfn.XLOOKUP(LEFT(SUBSTITUTE(G375,"[{",""),FIND(",",SUBSTITUTE(G375,"[{",""))-1),Sheet2!B:B,Sheet2!C:C)&amp;"+"&amp;SUBSTITUTE(RIGHT(G375,LEN(G375)-FIND(",",G375)),"}]","")/100&amp;"%")</f>
        <v>伤害加成+58.3%</v>
      </c>
      <c r="L375" s="83" t="str">
        <f ca="1">IF(MOD(COUNTIF($Q$11:Q374,Q374),5)=0,OFFSET(装备属性!$G$1083,1+INT(COUNTA($Q$11:Q374)/5),0),L374)</f>
        <v>全职小队Ⅱ</v>
      </c>
      <c r="M375" s="89" t="str">
        <f ca="1">IF(MOD(COUNTIF($Q$11:Q374,Q374),5)=0,OFFSET(装备属性!$H$1083,1+INT(COUNTA($Q$11:Q374)/5),0),M374)</f>
        <v>global_dmg_rate</v>
      </c>
      <c r="N375" s="76">
        <f ca="1">IF(MOD(COUNTIF($Q$11:Q374,Q374),5)=0,OFFSET(装备属性!$K$1083,1+INT(COUNTA($Q$11:Q374)/5),0),N374)</f>
        <v>0.044</v>
      </c>
      <c r="O375" s="76">
        <f ca="1">IF(MOD(COUNTIF($Q$11:Q374,Q374),5)=0,OFFSET(装备属性!$L$1083,1+INT(COUNTA($Q$11:Q374)/5),0),O374)</f>
        <v>0.058</v>
      </c>
      <c r="Q375" s="89" t="str">
        <f ca="1">IF(MOD(COUNTIF($Q$11:Q374,Q374),5)=0,OFFSET(装备属性!$M$1083,1+INT(COUNTA($Q$11:Q374)/5),0),Q374)</f>
        <v>通用属性</v>
      </c>
      <c r="R375" s="83" t="e">
        <f ca="1">IF(MOD(COUNTIF($Q$11:Q374,Q374),5)=0,10000*SUBSTITUTE(SUBSTITUTE(OFFSET(装备属性!$F$1083,1+INT(COUNTA($Q$11:Q374)/5),0),"[",""),"]","")+_xlfn.XLOOKUP(C375,$M$3:$M$7,$N$3:$N$7)*100,R374)</f>
        <v>#N/A</v>
      </c>
    </row>
    <row r="376" customHeight="1" spans="1:18">
      <c r="A376" s="78">
        <f ca="1" t="shared" si="15"/>
        <v>20501</v>
      </c>
      <c r="B376" s="82">
        <f ca="1">IFERROR(R376+COUNTIFS($R$11:$R376,R376),"")</f>
        <v>20501</v>
      </c>
      <c r="C376" s="83" t="str">
        <f ca="1">IF(MOD(COUNTIF($Q$11:Q375,Q375),5)=0,OFFSET(装备属性!$D$1083,1+INT(COUNTA($Q$11:Q375)/5),0),C375)</f>
        <v>橙</v>
      </c>
      <c r="D376" s="82">
        <f t="shared" si="17"/>
        <v>3000</v>
      </c>
      <c r="F376" s="82">
        <f ca="1" t="shared" si="16"/>
        <v>20500</v>
      </c>
      <c r="G376" s="78" t="str">
        <f ca="1">IF(AND(LEFT("[{"&amp;M376&amp;","&amp;CEILING(N376*10000+(O376-N376)/4*(COUNTIF($F$11:F376,F376)-1)*10000,10)&amp;"}]",7)="[{equip",MID("[{"&amp;M376&amp;","&amp;CEILING(N376*10000+(O376-N376)/4*(COUNTIF($F$11:F376,F376)-1)*10000,10)&amp;"}]",8,1)&lt;&gt;"_"),"[{"&amp;M376&amp;","&amp;1&amp;"}]","[{"&amp;M376&amp;","&amp;CEILING(N376*10000+(O376-N376)/4*(COUNTIF($F$11:F376,F376)-1)*10000,10)&amp;"}]")</f>
        <v>[{dmg_red_rate,150}]</v>
      </c>
      <c r="H376" s="82" t="s">
        <v>563</v>
      </c>
      <c r="J376" s="78">
        <f ca="1">IF(MOD(COUNTIF($Q$11:Q375,Q375),5)=0,OFFSET(装备属性!$P$1083,1+INT(COUNTA($Q$11:Q375)/5),0),J375)</f>
        <v>6</v>
      </c>
      <c r="K376" s="83" t="str">
        <f ca="1">IF(RIGHT(G376,13)="rune_slot,1}]",_xlfn.XLOOKUP(LEFT(SUBSTITUTE(G376,"[{",""),FIND(",",SUBSTITUTE(G376,"[{",""))-1),Sheet2!B:B,Sheet2!C:C)&amp;"+"&amp;1,_xlfn.XLOOKUP(LEFT(SUBSTITUTE(G376,"[{",""),FIND(",",SUBSTITUTE(G376,"[{",""))-1),Sheet2!B:B,Sheet2!C:C)&amp;"+"&amp;SUBSTITUTE(RIGHT(G376,LEN(G376)-FIND(",",G376)),"}]","")/100&amp;"%")</f>
        <v>伤害减免+1.5%</v>
      </c>
      <c r="L376" s="83" t="str">
        <f ca="1">IF(MOD(COUNTIF($Q$11:Q375,Q375),5)=0,OFFSET(装备属性!$G$1083,1+INT(COUNTA($Q$11:Q375)/5),0),L375)</f>
        <v>全员抗揍Ⅱ</v>
      </c>
      <c r="M376" s="89" t="str">
        <f ca="1">IF(MOD(COUNTIF($Q$11:Q375,Q375),5)=0,OFFSET(装备属性!$H$1083,1+INT(COUNTA($Q$11:Q375)/5),0),M375)</f>
        <v>dmg_red_rate</v>
      </c>
      <c r="N376" s="76">
        <f ca="1">IF(MOD(COUNTIF($Q$11:Q375,Q375),5)=0,OFFSET(装备属性!$K$1083,1+INT(COUNTA($Q$11:Q375)/5),0),N375)</f>
        <v>0.015</v>
      </c>
      <c r="O376" s="76">
        <f ca="1">IF(MOD(COUNTIF($Q$11:Q375,Q375),5)=0,OFFSET(装备属性!$L$1083,1+INT(COUNTA($Q$11:Q375)/5),0),O375)</f>
        <v>0.019</v>
      </c>
      <c r="Q376" s="89" t="str">
        <f ca="1">IF(MOD(COUNTIF($Q$11:Q375,Q375),5)=0,OFFSET(装备属性!$M$1083,1+INT(COUNTA($Q$11:Q375)/5),0),Q375)</f>
        <v>通用属性</v>
      </c>
      <c r="R376" s="83">
        <f ca="1">IF(MOD(COUNTIF($Q$11:Q375,Q375),5)=0,10000*SUBSTITUTE(SUBSTITUTE(OFFSET(装备属性!$F$1083,1+INT(COUNTA($Q$11:Q375)/5),0),"[",""),"]","")+_xlfn.XLOOKUP(C376,$M$3:$M$7,$N$3:$N$7)*100,R375)</f>
        <v>20500</v>
      </c>
    </row>
    <row r="377" customHeight="1" spans="1:18">
      <c r="A377" s="78">
        <f ca="1" t="shared" si="15"/>
        <v>20501</v>
      </c>
      <c r="B377" s="82">
        <f ca="1">IFERROR(R377+COUNTIFS($R$11:$R377,R377),"")</f>
        <v>20502</v>
      </c>
      <c r="C377" s="83" t="str">
        <f ca="1">IF(MOD(COUNTIF($Q$11:Q376,Q376),5)=0,OFFSET(装备属性!$D$1083,1+INT(COUNTA($Q$11:Q376)/5),0),C376)</f>
        <v>橙</v>
      </c>
      <c r="D377" s="82">
        <f t="shared" si="17"/>
        <v>2500</v>
      </c>
      <c r="F377" s="82">
        <f ca="1" t="shared" si="16"/>
        <v>20500</v>
      </c>
      <c r="G377" s="78" t="str">
        <f ca="1">IF(AND(LEFT("[{"&amp;M377&amp;","&amp;CEILING(N377*10000+(O377-N377)/4*(COUNTIF($F$11:F377,F377)-1)*10000,10)&amp;"}]",7)="[{equip",MID("[{"&amp;M377&amp;","&amp;CEILING(N377*10000+(O377-N377)/4*(COUNTIF($F$11:F377,F377)-1)*10000,10)&amp;"}]",8,1)&lt;&gt;"_"),"[{"&amp;M377&amp;","&amp;1&amp;"}]","[{"&amp;M377&amp;","&amp;CEILING(N377*10000+(O377-N377)/4*(COUNTIF($F$11:F377,F377)-1)*10000,10)&amp;"}]")</f>
        <v>[{dmg_red_rate,160}]</v>
      </c>
      <c r="H377" s="82" t="s">
        <v>563</v>
      </c>
      <c r="J377" s="78">
        <f ca="1">IF(MOD(COUNTIF($Q$11:Q376,Q376),5)=0,OFFSET(装备属性!$P$1083,1+INT(COUNTA($Q$11:Q376)/5),0),J376)</f>
        <v>6</v>
      </c>
      <c r="K377" s="83" t="str">
        <f ca="1">IF(RIGHT(G377,13)="rune_slot,1}]",_xlfn.XLOOKUP(LEFT(SUBSTITUTE(G377,"[{",""),FIND(",",SUBSTITUTE(G377,"[{",""))-1),Sheet2!B:B,Sheet2!C:C)&amp;"+"&amp;1,_xlfn.XLOOKUP(LEFT(SUBSTITUTE(G377,"[{",""),FIND(",",SUBSTITUTE(G377,"[{",""))-1),Sheet2!B:B,Sheet2!C:C)&amp;"+"&amp;SUBSTITUTE(RIGHT(G377,LEN(G377)-FIND(",",G377)),"}]","")/100&amp;"%")</f>
        <v>伤害减免+1.6%</v>
      </c>
      <c r="L377" s="83" t="str">
        <f ca="1">IF(MOD(COUNTIF($Q$11:Q376,Q376),5)=0,OFFSET(装备属性!$G$1083,1+INT(COUNTA($Q$11:Q376)/5),0),L376)</f>
        <v>全员抗揍Ⅱ</v>
      </c>
      <c r="M377" s="89" t="str">
        <f ca="1">IF(MOD(COUNTIF($Q$11:Q376,Q376),5)=0,OFFSET(装备属性!$H$1083,1+INT(COUNTA($Q$11:Q376)/5),0),M376)</f>
        <v>dmg_red_rate</v>
      </c>
      <c r="N377" s="76">
        <f ca="1">IF(MOD(COUNTIF($Q$11:Q376,Q376),5)=0,OFFSET(装备属性!$K$1083,1+INT(COUNTA($Q$11:Q376)/5),0),N376)</f>
        <v>0.015</v>
      </c>
      <c r="O377" s="76">
        <f ca="1">IF(MOD(COUNTIF($Q$11:Q376,Q376),5)=0,OFFSET(装备属性!$L$1083,1+INT(COUNTA($Q$11:Q376)/5),0),O376)</f>
        <v>0.019</v>
      </c>
      <c r="Q377" s="89" t="str">
        <f ca="1">IF(MOD(COUNTIF($Q$11:Q376,Q376),5)=0,OFFSET(装备属性!$M$1083,1+INT(COUNTA($Q$11:Q376)/5),0),Q376)</f>
        <v>通用属性</v>
      </c>
      <c r="R377" s="83">
        <f ca="1">IF(MOD(COUNTIF($Q$11:Q376,Q376),5)=0,10000*SUBSTITUTE(SUBSTITUTE(OFFSET(装备属性!$F$1083,1+INT(COUNTA($Q$11:Q376)/5),0),"[",""),"]","")+_xlfn.XLOOKUP(C377,$M$3:$M$7,$N$3:$N$7)*100,R376)</f>
        <v>20500</v>
      </c>
    </row>
    <row r="378" customHeight="1" spans="1:18">
      <c r="A378" s="78">
        <f ca="1" t="shared" si="15"/>
        <v>20501</v>
      </c>
      <c r="B378" s="82">
        <f ca="1">IFERROR(R378+COUNTIFS($R$11:$R378,R378),"")</f>
        <v>20503</v>
      </c>
      <c r="C378" s="83" t="str">
        <f ca="1">IF(MOD(COUNTIF($Q$11:Q377,Q377),5)=0,OFFSET(装备属性!$D$1083,1+INT(COUNTA($Q$11:Q377)/5),0),C377)</f>
        <v>橙</v>
      </c>
      <c r="D378" s="82">
        <f t="shared" si="17"/>
        <v>2000</v>
      </c>
      <c r="F378" s="82">
        <f ca="1" t="shared" si="16"/>
        <v>20500</v>
      </c>
      <c r="G378" s="78" t="str">
        <f ca="1">IF(AND(LEFT("[{"&amp;M378&amp;","&amp;CEILING(N378*10000+(O378-N378)/4*(COUNTIF($F$11:F378,F378)-1)*10000,10)&amp;"}]",7)="[{equip",MID("[{"&amp;M378&amp;","&amp;CEILING(N378*10000+(O378-N378)/4*(COUNTIF($F$11:F378,F378)-1)*10000,10)&amp;"}]",8,1)&lt;&gt;"_"),"[{"&amp;M378&amp;","&amp;1&amp;"}]","[{"&amp;M378&amp;","&amp;CEILING(N378*10000+(O378-N378)/4*(COUNTIF($F$11:F378,F378)-1)*10000,10)&amp;"}]")</f>
        <v>[{dmg_red_rate,170}]</v>
      </c>
      <c r="H378" s="82" t="s">
        <v>563</v>
      </c>
      <c r="J378" s="78">
        <f ca="1">IF(MOD(COUNTIF($Q$11:Q377,Q377),5)=0,OFFSET(装备属性!$P$1083,1+INT(COUNTA($Q$11:Q377)/5),0),J377)</f>
        <v>6</v>
      </c>
      <c r="K378" s="83" t="str">
        <f ca="1">IF(RIGHT(G378,13)="rune_slot,1}]",_xlfn.XLOOKUP(LEFT(SUBSTITUTE(G378,"[{",""),FIND(",",SUBSTITUTE(G378,"[{",""))-1),Sheet2!B:B,Sheet2!C:C)&amp;"+"&amp;1,_xlfn.XLOOKUP(LEFT(SUBSTITUTE(G378,"[{",""),FIND(",",SUBSTITUTE(G378,"[{",""))-1),Sheet2!B:B,Sheet2!C:C)&amp;"+"&amp;SUBSTITUTE(RIGHT(G378,LEN(G378)-FIND(",",G378)),"}]","")/100&amp;"%")</f>
        <v>伤害减免+1.7%</v>
      </c>
      <c r="L378" s="83" t="str">
        <f ca="1">IF(MOD(COUNTIF($Q$11:Q377,Q377),5)=0,OFFSET(装备属性!$G$1083,1+INT(COUNTA($Q$11:Q377)/5),0),L377)</f>
        <v>全员抗揍Ⅱ</v>
      </c>
      <c r="M378" s="89" t="str">
        <f ca="1">IF(MOD(COUNTIF($Q$11:Q377,Q377),5)=0,OFFSET(装备属性!$H$1083,1+INT(COUNTA($Q$11:Q377)/5),0),M377)</f>
        <v>dmg_red_rate</v>
      </c>
      <c r="N378" s="76">
        <f ca="1">IF(MOD(COUNTIF($Q$11:Q377,Q377),5)=0,OFFSET(装备属性!$K$1083,1+INT(COUNTA($Q$11:Q377)/5),0),N377)</f>
        <v>0.015</v>
      </c>
      <c r="O378" s="76">
        <f ca="1">IF(MOD(COUNTIF($Q$11:Q377,Q377),5)=0,OFFSET(装备属性!$L$1083,1+INT(COUNTA($Q$11:Q377)/5),0),O377)</f>
        <v>0.019</v>
      </c>
      <c r="Q378" s="89" t="str">
        <f ca="1">IF(MOD(COUNTIF($Q$11:Q377,Q377),5)=0,OFFSET(装备属性!$M$1083,1+INT(COUNTA($Q$11:Q377)/5),0),Q377)</f>
        <v>通用属性</v>
      </c>
      <c r="R378" s="83">
        <f ca="1">IF(MOD(COUNTIF($Q$11:Q377,Q377),5)=0,10000*SUBSTITUTE(SUBSTITUTE(OFFSET(装备属性!$F$1083,1+INT(COUNTA($Q$11:Q377)/5),0),"[",""),"]","")+_xlfn.XLOOKUP(C378,$M$3:$M$7,$N$3:$N$7)*100,R377)</f>
        <v>20500</v>
      </c>
    </row>
    <row r="379" customHeight="1" spans="1:18">
      <c r="A379" s="78">
        <f ca="1" t="shared" si="15"/>
        <v>20501</v>
      </c>
      <c r="B379" s="82">
        <f ca="1">IFERROR(R379+COUNTIFS($R$11:$R379,R379),"")</f>
        <v>20504</v>
      </c>
      <c r="C379" s="83" t="str">
        <f ca="1">IF(MOD(COUNTIF($Q$11:Q378,Q378),5)=0,OFFSET(装备属性!$D$1083,1+INT(COUNTA($Q$11:Q378)/5),0),C378)</f>
        <v>橙</v>
      </c>
      <c r="D379" s="82">
        <f t="shared" si="17"/>
        <v>1500</v>
      </c>
      <c r="F379" s="82">
        <f ca="1" t="shared" si="16"/>
        <v>20500</v>
      </c>
      <c r="G379" s="78" t="str">
        <f ca="1">IF(AND(LEFT("[{"&amp;M379&amp;","&amp;CEILING(N379*10000+(O379-N379)/4*(COUNTIF($F$11:F379,F379)-1)*10000,10)&amp;"}]",7)="[{equip",MID("[{"&amp;M379&amp;","&amp;CEILING(N379*10000+(O379-N379)/4*(COUNTIF($F$11:F379,F379)-1)*10000,10)&amp;"}]",8,1)&lt;&gt;"_"),"[{"&amp;M379&amp;","&amp;1&amp;"}]","[{"&amp;M379&amp;","&amp;CEILING(N379*10000+(O379-N379)/4*(COUNTIF($F$11:F379,F379)-1)*10000,10)&amp;"}]")</f>
        <v>[{dmg_red_rate,180}]</v>
      </c>
      <c r="H379" s="82" t="s">
        <v>563</v>
      </c>
      <c r="J379" s="78">
        <f ca="1">IF(MOD(COUNTIF($Q$11:Q378,Q378),5)=0,OFFSET(装备属性!$P$1083,1+INT(COUNTA($Q$11:Q378)/5),0),J378)</f>
        <v>6</v>
      </c>
      <c r="K379" s="83" t="str">
        <f ca="1">IF(RIGHT(G379,13)="rune_slot,1}]",_xlfn.XLOOKUP(LEFT(SUBSTITUTE(G379,"[{",""),FIND(",",SUBSTITUTE(G379,"[{",""))-1),Sheet2!B:B,Sheet2!C:C)&amp;"+"&amp;1,_xlfn.XLOOKUP(LEFT(SUBSTITUTE(G379,"[{",""),FIND(",",SUBSTITUTE(G379,"[{",""))-1),Sheet2!B:B,Sheet2!C:C)&amp;"+"&amp;SUBSTITUTE(RIGHT(G379,LEN(G379)-FIND(",",G379)),"}]","")/100&amp;"%")</f>
        <v>伤害减免+1.8%</v>
      </c>
      <c r="L379" s="83" t="str">
        <f ca="1">IF(MOD(COUNTIF($Q$11:Q378,Q378),5)=0,OFFSET(装备属性!$G$1083,1+INT(COUNTA($Q$11:Q378)/5),0),L378)</f>
        <v>全员抗揍Ⅱ</v>
      </c>
      <c r="M379" s="89" t="str">
        <f ca="1">IF(MOD(COUNTIF($Q$11:Q378,Q378),5)=0,OFFSET(装备属性!$H$1083,1+INT(COUNTA($Q$11:Q378)/5),0),M378)</f>
        <v>dmg_red_rate</v>
      </c>
      <c r="N379" s="76">
        <f ca="1">IF(MOD(COUNTIF($Q$11:Q378,Q378),5)=0,OFFSET(装备属性!$K$1083,1+INT(COUNTA($Q$11:Q378)/5),0),N378)</f>
        <v>0.015</v>
      </c>
      <c r="O379" s="76">
        <f ca="1">IF(MOD(COUNTIF($Q$11:Q378,Q378),5)=0,OFFSET(装备属性!$L$1083,1+INT(COUNTA($Q$11:Q378)/5),0),O378)</f>
        <v>0.019</v>
      </c>
      <c r="Q379" s="89" t="str">
        <f ca="1">IF(MOD(COUNTIF($Q$11:Q378,Q378),5)=0,OFFSET(装备属性!$M$1083,1+INT(COUNTA($Q$11:Q378)/5),0),Q378)</f>
        <v>通用属性</v>
      </c>
      <c r="R379" s="83">
        <f ca="1">IF(MOD(COUNTIF($Q$11:Q378,Q378),5)=0,10000*SUBSTITUTE(SUBSTITUTE(OFFSET(装备属性!$F$1083,1+INT(COUNTA($Q$11:Q378)/5),0),"[",""),"]","")+_xlfn.XLOOKUP(C379,$M$3:$M$7,$N$3:$N$7)*100,R378)</f>
        <v>20500</v>
      </c>
    </row>
    <row r="380" customHeight="1" spans="1:18">
      <c r="A380" s="78">
        <f ca="1" t="shared" si="15"/>
        <v>20501</v>
      </c>
      <c r="B380" s="82">
        <f ca="1">IFERROR(R380+COUNTIFS($R$11:$R380,R380),"")</f>
        <v>20505</v>
      </c>
      <c r="C380" s="83" t="str">
        <f ca="1">IF(MOD(COUNTIF($Q$11:Q379,Q379),5)=0,OFFSET(装备属性!$D$1083,1+INT(COUNTA($Q$11:Q379)/5),0),C379)</f>
        <v>橙</v>
      </c>
      <c r="D380" s="82">
        <f t="shared" si="17"/>
        <v>1000</v>
      </c>
      <c r="F380" s="82">
        <f ca="1" t="shared" si="16"/>
        <v>20500</v>
      </c>
      <c r="G380" s="78" t="str">
        <f ca="1">IF(AND(LEFT("[{"&amp;M380&amp;","&amp;CEILING(N380*10000+(O380-N380)/4*(COUNTIF($F$11:F380,F380)-1)*10000,10)&amp;"}]",7)="[{equip",MID("[{"&amp;M380&amp;","&amp;CEILING(N380*10000+(O380-N380)/4*(COUNTIF($F$11:F380,F380)-1)*10000,10)&amp;"}]",8,1)&lt;&gt;"_"),"[{"&amp;M380&amp;","&amp;1&amp;"}]","[{"&amp;M380&amp;","&amp;CEILING(N380*10000+(O380-N380)/4*(COUNTIF($F$11:F380,F380)-1)*10000,10)&amp;"}]")</f>
        <v>[{dmg_red_rate,190}]</v>
      </c>
      <c r="H380" s="82" t="s">
        <v>563</v>
      </c>
      <c r="J380" s="78">
        <f ca="1">IF(MOD(COUNTIF($Q$11:Q379,Q379),5)=0,OFFSET(装备属性!$P$1083,1+INT(COUNTA($Q$11:Q379)/5),0),J379)</f>
        <v>6</v>
      </c>
      <c r="K380" s="83" t="str">
        <f ca="1">IF(RIGHT(G380,13)="rune_slot,1}]",_xlfn.XLOOKUP(LEFT(SUBSTITUTE(G380,"[{",""),FIND(",",SUBSTITUTE(G380,"[{",""))-1),Sheet2!B:B,Sheet2!C:C)&amp;"+"&amp;1,_xlfn.XLOOKUP(LEFT(SUBSTITUTE(G380,"[{",""),FIND(",",SUBSTITUTE(G380,"[{",""))-1),Sheet2!B:B,Sheet2!C:C)&amp;"+"&amp;SUBSTITUTE(RIGHT(G380,LEN(G380)-FIND(",",G380)),"}]","")/100&amp;"%")</f>
        <v>伤害减免+1.9%</v>
      </c>
      <c r="L380" s="83" t="str">
        <f ca="1">IF(MOD(COUNTIF($Q$11:Q379,Q379),5)=0,OFFSET(装备属性!$G$1083,1+INT(COUNTA($Q$11:Q379)/5),0),L379)</f>
        <v>全员抗揍Ⅱ</v>
      </c>
      <c r="M380" s="89" t="str">
        <f ca="1">IF(MOD(COUNTIF($Q$11:Q379,Q379),5)=0,OFFSET(装备属性!$H$1083,1+INT(COUNTA($Q$11:Q379)/5),0),M379)</f>
        <v>dmg_red_rate</v>
      </c>
      <c r="N380" s="76">
        <f ca="1">IF(MOD(COUNTIF($Q$11:Q379,Q379),5)=0,OFFSET(装备属性!$K$1083,1+INT(COUNTA($Q$11:Q379)/5),0),N379)</f>
        <v>0.015</v>
      </c>
      <c r="O380" s="76">
        <f ca="1">IF(MOD(COUNTIF($Q$11:Q379,Q379),5)=0,OFFSET(装备属性!$L$1083,1+INT(COUNTA($Q$11:Q379)/5),0),O379)</f>
        <v>0.019</v>
      </c>
      <c r="Q380" s="89" t="str">
        <f ca="1">IF(MOD(COUNTIF($Q$11:Q379,Q379),5)=0,OFFSET(装备属性!$M$1083,1+INT(COUNTA($Q$11:Q379)/5),0),Q379)</f>
        <v>通用属性</v>
      </c>
      <c r="R380" s="83">
        <f ca="1">IF(MOD(COUNTIF($Q$11:Q379,Q379),5)=0,10000*SUBSTITUTE(SUBSTITUTE(OFFSET(装备属性!$F$1083,1+INT(COUNTA($Q$11:Q379)/5),0),"[",""),"]","")+_xlfn.XLOOKUP(C380,$M$3:$M$7,$N$3:$N$7)*100,R379)</f>
        <v>20500</v>
      </c>
    </row>
    <row r="381" customHeight="1" spans="1:18">
      <c r="A381" s="78">
        <f ca="1" t="shared" si="15"/>
        <v>20501</v>
      </c>
      <c r="B381" s="82">
        <f ca="1">IFERROR(R381+COUNTIFS($R$11:$R381,R381),"")</f>
        <v>20506</v>
      </c>
      <c r="C381" s="83" t="str">
        <f ca="1">IF(MOD(COUNTIF($Q$11:Q380,Q380),5)=0,OFFSET(装备属性!$D$1083,1+INT(COUNTA($Q$11:Q380)/5),0),C380)</f>
        <v>橙</v>
      </c>
      <c r="D381" s="82">
        <f t="shared" si="17"/>
        <v>3000</v>
      </c>
      <c r="F381" s="82">
        <f ca="1" t="shared" si="16"/>
        <v>20501</v>
      </c>
      <c r="G381" s="78" t="str">
        <f ca="1">IF(AND(LEFT("[{"&amp;M381&amp;","&amp;CEILING(N381*10000+(O381-N381)/4*(COUNTIF($F$11:F381,F381)-1)*10000,10)&amp;"}]",7)="[{equip",MID("[{"&amp;M381&amp;","&amp;CEILING(N381*10000+(O381-N381)/4*(COUNTIF($F$11:F381,F381)-1)*10000,10)&amp;"}]",8,1)&lt;&gt;"_"),"[{"&amp;M381&amp;","&amp;1&amp;"}]","[{"&amp;M381&amp;","&amp;CEILING(N381*10000+(O381-N381)/4*(COUNTIF($F$11:F381,F381)-1)*10000,10)&amp;"}]")</f>
        <v>[{all_class_dmg,440}]</v>
      </c>
      <c r="H381" s="82" t="s">
        <v>563</v>
      </c>
      <c r="J381" s="78">
        <f ca="1">IF(MOD(COUNTIF($Q$11:Q380,Q380),5)=0,OFFSET(装备属性!$P$1083,1+INT(COUNTA($Q$11:Q380)/5),0),J380)</f>
        <v>2</v>
      </c>
      <c r="K381" s="83" t="str">
        <f ca="1">IF(RIGHT(G381,13)="rune_slot,1}]",_xlfn.XLOOKUP(LEFT(SUBSTITUTE(G381,"[{",""),FIND(",",SUBSTITUTE(G381,"[{",""))-1),Sheet2!B:B,Sheet2!C:C)&amp;"+"&amp;1,_xlfn.XLOOKUP(LEFT(SUBSTITUTE(G381,"[{",""),FIND(",",SUBSTITUTE(G381,"[{",""))-1),Sheet2!B:B,Sheet2!C:C)&amp;"+"&amp;SUBSTITUTE(RIGHT(G381,LEN(G381)-FIND(",",G381)),"}]","")/100&amp;"%")</f>
        <v>上阵五个不同职业增伤+4.4%</v>
      </c>
      <c r="L381" s="83" t="str">
        <f ca="1">IF(MOD(COUNTIF($Q$11:Q380,Q380),5)=0,OFFSET(装备属性!$G$1083,1+INT(COUNTA($Q$11:Q380)/5),0),L380)</f>
        <v>全员出力Ⅱ</v>
      </c>
      <c r="M381" s="89" t="str">
        <f ca="1">IF(MOD(COUNTIF($Q$11:Q380,Q380),5)=0,OFFSET(装备属性!$H$1083,1+INT(COUNTA($Q$11:Q380)/5),0),M380)</f>
        <v>all_class_dmg</v>
      </c>
      <c r="N381" s="76">
        <f ca="1">IF(MOD(COUNTIF($Q$11:Q380,Q380),5)=0,OFFSET(装备属性!$K$1083,1+INT(COUNTA($Q$11:Q380)/5),0),N380)</f>
        <v>0.044</v>
      </c>
      <c r="O381" s="76">
        <f ca="1">IF(MOD(COUNTIF($Q$11:Q380,Q380),5)=0,OFFSET(装备属性!$L$1083,1+INT(COUNTA($Q$11:Q380)/5),0),O380)</f>
        <v>0.058</v>
      </c>
      <c r="Q381" s="89" t="str">
        <f ca="1">IF(MOD(COUNTIF($Q$11:Q380,Q380),5)=0,OFFSET(装备属性!$M$1083,1+INT(COUNTA($Q$11:Q380)/5),0),Q380)</f>
        <v>通用属性</v>
      </c>
      <c r="R381" s="83">
        <f ca="1">IF(MOD(COUNTIF($Q$11:Q380,Q380),5)=0,10000*SUBSTITUTE(SUBSTITUTE(OFFSET(装备属性!$F$1083,1+INT(COUNTA($Q$11:Q380)/5),0),"[",""),"]","")+_xlfn.XLOOKUP(C381,$M$3:$M$7,$N$3:$N$7)*100,R380)</f>
        <v>20500</v>
      </c>
    </row>
    <row r="382" customHeight="1" spans="1:18">
      <c r="A382" s="78">
        <f ca="1" t="shared" si="15"/>
        <v>20501</v>
      </c>
      <c r="B382" s="82">
        <f ca="1">IFERROR(R382+COUNTIFS($R$11:$R382,R382),"")</f>
        <v>20507</v>
      </c>
      <c r="C382" s="83" t="str">
        <f ca="1">IF(MOD(COUNTIF($Q$11:Q381,Q381),5)=0,OFFSET(装备属性!$D$1083,1+INT(COUNTA($Q$11:Q381)/5),0),C381)</f>
        <v>橙</v>
      </c>
      <c r="D382" s="82">
        <f t="shared" si="17"/>
        <v>2500</v>
      </c>
      <c r="F382" s="82">
        <f ca="1" t="shared" si="16"/>
        <v>20501</v>
      </c>
      <c r="G382" s="78" t="str">
        <f ca="1">IF(AND(LEFT("[{"&amp;M382&amp;","&amp;CEILING(N382*10000+(O382-N382)/4*(COUNTIF($F$11:F382,F382)-1)*10000,10)&amp;"}]",7)="[{equip",MID("[{"&amp;M382&amp;","&amp;CEILING(N382*10000+(O382-N382)/4*(COUNTIF($F$11:F382,F382)-1)*10000,10)&amp;"}]",8,1)&lt;&gt;"_"),"[{"&amp;M382&amp;","&amp;1&amp;"}]","[{"&amp;M382&amp;","&amp;CEILING(N382*10000+(O382-N382)/4*(COUNTIF($F$11:F382,F382)-1)*10000,10)&amp;"}]")</f>
        <v>[{all_class_dmg,480}]</v>
      </c>
      <c r="H382" s="82" t="s">
        <v>563</v>
      </c>
      <c r="J382" s="78">
        <f ca="1">IF(MOD(COUNTIF($Q$11:Q381,Q381),5)=0,OFFSET(装备属性!$P$1083,1+INT(COUNTA($Q$11:Q381)/5),0),J381)</f>
        <v>2</v>
      </c>
      <c r="K382" s="83" t="str">
        <f ca="1">IF(RIGHT(G382,13)="rune_slot,1}]",_xlfn.XLOOKUP(LEFT(SUBSTITUTE(G382,"[{",""),FIND(",",SUBSTITUTE(G382,"[{",""))-1),Sheet2!B:B,Sheet2!C:C)&amp;"+"&amp;1,_xlfn.XLOOKUP(LEFT(SUBSTITUTE(G382,"[{",""),FIND(",",SUBSTITUTE(G382,"[{",""))-1),Sheet2!B:B,Sheet2!C:C)&amp;"+"&amp;SUBSTITUTE(RIGHT(G382,LEN(G382)-FIND(",",G382)),"}]","")/100&amp;"%")</f>
        <v>上阵五个不同职业增伤+4.8%</v>
      </c>
      <c r="L382" s="83" t="str">
        <f ca="1">IF(MOD(COUNTIF($Q$11:Q381,Q381),5)=0,OFFSET(装备属性!$G$1083,1+INT(COUNTA($Q$11:Q381)/5),0),L381)</f>
        <v>全员出力Ⅱ</v>
      </c>
      <c r="M382" s="89" t="str">
        <f ca="1">IF(MOD(COUNTIF($Q$11:Q381,Q381),5)=0,OFFSET(装备属性!$H$1083,1+INT(COUNTA($Q$11:Q381)/5),0),M381)</f>
        <v>all_class_dmg</v>
      </c>
      <c r="N382" s="76">
        <f ca="1">IF(MOD(COUNTIF($Q$11:Q381,Q381),5)=0,OFFSET(装备属性!$K$1083,1+INT(COUNTA($Q$11:Q381)/5),0),N381)</f>
        <v>0.044</v>
      </c>
      <c r="O382" s="76">
        <f ca="1">IF(MOD(COUNTIF($Q$11:Q381,Q381),5)=0,OFFSET(装备属性!$L$1083,1+INT(COUNTA($Q$11:Q381)/5),0),O381)</f>
        <v>0.058</v>
      </c>
      <c r="Q382" s="89" t="str">
        <f ca="1">IF(MOD(COUNTIF($Q$11:Q381,Q381),5)=0,OFFSET(装备属性!$M$1083,1+INT(COUNTA($Q$11:Q381)/5),0),Q381)</f>
        <v>通用属性</v>
      </c>
      <c r="R382" s="83">
        <f ca="1">IF(MOD(COUNTIF($Q$11:Q381,Q381),5)=0,10000*SUBSTITUTE(SUBSTITUTE(OFFSET(装备属性!$F$1083,1+INT(COUNTA($Q$11:Q381)/5),0),"[",""),"]","")+_xlfn.XLOOKUP(C382,$M$3:$M$7,$N$3:$N$7)*100,R381)</f>
        <v>20500</v>
      </c>
    </row>
    <row r="383" customHeight="1" spans="1:18">
      <c r="A383" s="78">
        <f ca="1" t="shared" si="15"/>
        <v>20501</v>
      </c>
      <c r="B383" s="82">
        <f ca="1">IFERROR(R383+COUNTIFS($R$11:$R383,R383),"")</f>
        <v>20508</v>
      </c>
      <c r="C383" s="83" t="str">
        <f ca="1">IF(MOD(COUNTIF($Q$11:Q382,Q382),5)=0,OFFSET(装备属性!$D$1083,1+INT(COUNTA($Q$11:Q382)/5),0),C382)</f>
        <v>橙</v>
      </c>
      <c r="D383" s="82">
        <f t="shared" si="17"/>
        <v>2000</v>
      </c>
      <c r="F383" s="82">
        <f ca="1" t="shared" si="16"/>
        <v>20501</v>
      </c>
      <c r="G383" s="78" t="str">
        <f ca="1">IF(AND(LEFT("[{"&amp;M383&amp;","&amp;CEILING(N383*10000+(O383-N383)/4*(COUNTIF($F$11:F383,F383)-1)*10000,10)&amp;"}]",7)="[{equip",MID("[{"&amp;M383&amp;","&amp;CEILING(N383*10000+(O383-N383)/4*(COUNTIF($F$11:F383,F383)-1)*10000,10)&amp;"}]",8,1)&lt;&gt;"_"),"[{"&amp;M383&amp;","&amp;1&amp;"}]","[{"&amp;M383&amp;","&amp;CEILING(N383*10000+(O383-N383)/4*(COUNTIF($F$11:F383,F383)-1)*10000,10)&amp;"}]")</f>
        <v>[{all_class_dmg,510}]</v>
      </c>
      <c r="H383" s="82" t="s">
        <v>563</v>
      </c>
      <c r="J383" s="78">
        <f ca="1">IF(MOD(COUNTIF($Q$11:Q382,Q382),5)=0,OFFSET(装备属性!$P$1083,1+INT(COUNTA($Q$11:Q382)/5),0),J382)</f>
        <v>2</v>
      </c>
      <c r="K383" s="83" t="str">
        <f ca="1">IF(RIGHT(G383,13)="rune_slot,1}]",_xlfn.XLOOKUP(LEFT(SUBSTITUTE(G383,"[{",""),FIND(",",SUBSTITUTE(G383,"[{",""))-1),Sheet2!B:B,Sheet2!C:C)&amp;"+"&amp;1,_xlfn.XLOOKUP(LEFT(SUBSTITUTE(G383,"[{",""),FIND(",",SUBSTITUTE(G383,"[{",""))-1),Sheet2!B:B,Sheet2!C:C)&amp;"+"&amp;SUBSTITUTE(RIGHT(G383,LEN(G383)-FIND(",",G383)),"}]","")/100&amp;"%")</f>
        <v>上阵五个不同职业增伤+5.1%</v>
      </c>
      <c r="L383" s="83" t="str">
        <f ca="1">IF(MOD(COUNTIF($Q$11:Q382,Q382),5)=0,OFFSET(装备属性!$G$1083,1+INT(COUNTA($Q$11:Q382)/5),0),L382)</f>
        <v>全员出力Ⅱ</v>
      </c>
      <c r="M383" s="89" t="str">
        <f ca="1">IF(MOD(COUNTIF($Q$11:Q382,Q382),5)=0,OFFSET(装备属性!$H$1083,1+INT(COUNTA($Q$11:Q382)/5),0),M382)</f>
        <v>all_class_dmg</v>
      </c>
      <c r="N383" s="76">
        <f ca="1">IF(MOD(COUNTIF($Q$11:Q382,Q382),5)=0,OFFSET(装备属性!$K$1083,1+INT(COUNTA($Q$11:Q382)/5),0),N382)</f>
        <v>0.044</v>
      </c>
      <c r="O383" s="76">
        <f ca="1">IF(MOD(COUNTIF($Q$11:Q382,Q382),5)=0,OFFSET(装备属性!$L$1083,1+INT(COUNTA($Q$11:Q382)/5),0),O382)</f>
        <v>0.058</v>
      </c>
      <c r="Q383" s="89" t="str">
        <f ca="1">IF(MOD(COUNTIF($Q$11:Q382,Q382),5)=0,OFFSET(装备属性!$M$1083,1+INT(COUNTA($Q$11:Q382)/5),0),Q382)</f>
        <v>通用属性</v>
      </c>
      <c r="R383" s="83">
        <f ca="1">IF(MOD(COUNTIF($Q$11:Q382,Q382),5)=0,10000*SUBSTITUTE(SUBSTITUTE(OFFSET(装备属性!$F$1083,1+INT(COUNTA($Q$11:Q382)/5),0),"[",""),"]","")+_xlfn.XLOOKUP(C383,$M$3:$M$7,$N$3:$N$7)*100,R382)</f>
        <v>20500</v>
      </c>
    </row>
    <row r="384" customHeight="1" spans="1:18">
      <c r="A384" s="78">
        <f ca="1" t="shared" si="15"/>
        <v>20501</v>
      </c>
      <c r="B384" s="82">
        <f ca="1">IFERROR(R384+COUNTIFS($R$11:$R384,R384),"")</f>
        <v>20509</v>
      </c>
      <c r="C384" s="83" t="str">
        <f ca="1">IF(MOD(COUNTIF($Q$11:Q383,Q383),5)=0,OFFSET(装备属性!$D$1083,1+INT(COUNTA($Q$11:Q383)/5),0),C383)</f>
        <v>橙</v>
      </c>
      <c r="D384" s="82">
        <f t="shared" si="17"/>
        <v>1500</v>
      </c>
      <c r="F384" s="82">
        <f ca="1" t="shared" si="16"/>
        <v>20501</v>
      </c>
      <c r="G384" s="78" t="str">
        <f ca="1">IF(AND(LEFT("[{"&amp;M384&amp;","&amp;CEILING(N384*10000+(O384-N384)/4*(COUNTIF($F$11:F384,F384)-1)*10000,10)&amp;"}]",7)="[{equip",MID("[{"&amp;M384&amp;","&amp;CEILING(N384*10000+(O384-N384)/4*(COUNTIF($F$11:F384,F384)-1)*10000,10)&amp;"}]",8,1)&lt;&gt;"_"),"[{"&amp;M384&amp;","&amp;1&amp;"}]","[{"&amp;M384&amp;","&amp;CEILING(N384*10000+(O384-N384)/4*(COUNTIF($F$11:F384,F384)-1)*10000,10)&amp;"}]")</f>
        <v>[{all_class_dmg,550}]</v>
      </c>
      <c r="H384" s="82" t="s">
        <v>563</v>
      </c>
      <c r="J384" s="78">
        <f ca="1">IF(MOD(COUNTIF($Q$11:Q383,Q383),5)=0,OFFSET(装备属性!$P$1083,1+INT(COUNTA($Q$11:Q383)/5),0),J383)</f>
        <v>2</v>
      </c>
      <c r="K384" s="83" t="str">
        <f ca="1">IF(RIGHT(G384,13)="rune_slot,1}]",_xlfn.XLOOKUP(LEFT(SUBSTITUTE(G384,"[{",""),FIND(",",SUBSTITUTE(G384,"[{",""))-1),Sheet2!B:B,Sheet2!C:C)&amp;"+"&amp;1,_xlfn.XLOOKUP(LEFT(SUBSTITUTE(G384,"[{",""),FIND(",",SUBSTITUTE(G384,"[{",""))-1),Sheet2!B:B,Sheet2!C:C)&amp;"+"&amp;SUBSTITUTE(RIGHT(G384,LEN(G384)-FIND(",",G384)),"}]","")/100&amp;"%")</f>
        <v>上阵五个不同职业增伤+5.5%</v>
      </c>
      <c r="L384" s="83" t="str">
        <f ca="1">IF(MOD(COUNTIF($Q$11:Q383,Q383),5)=0,OFFSET(装备属性!$G$1083,1+INT(COUNTA($Q$11:Q383)/5),0),L383)</f>
        <v>全员出力Ⅱ</v>
      </c>
      <c r="M384" s="89" t="str">
        <f ca="1">IF(MOD(COUNTIF($Q$11:Q383,Q383),5)=0,OFFSET(装备属性!$H$1083,1+INT(COUNTA($Q$11:Q383)/5),0),M383)</f>
        <v>all_class_dmg</v>
      </c>
      <c r="N384" s="76">
        <f ca="1">IF(MOD(COUNTIF($Q$11:Q383,Q383),5)=0,OFFSET(装备属性!$K$1083,1+INT(COUNTA($Q$11:Q383)/5),0),N383)</f>
        <v>0.044</v>
      </c>
      <c r="O384" s="76">
        <f ca="1">IF(MOD(COUNTIF($Q$11:Q383,Q383),5)=0,OFFSET(装备属性!$L$1083,1+INT(COUNTA($Q$11:Q383)/5),0),O383)</f>
        <v>0.058</v>
      </c>
      <c r="Q384" s="89" t="str">
        <f ca="1">IF(MOD(COUNTIF($Q$11:Q383,Q383),5)=0,OFFSET(装备属性!$M$1083,1+INT(COUNTA($Q$11:Q383)/5),0),Q383)</f>
        <v>通用属性</v>
      </c>
      <c r="R384" s="83">
        <f ca="1">IF(MOD(COUNTIF($Q$11:Q383,Q383),5)=0,10000*SUBSTITUTE(SUBSTITUTE(OFFSET(装备属性!$F$1083,1+INT(COUNTA($Q$11:Q383)/5),0),"[",""),"]","")+_xlfn.XLOOKUP(C384,$M$3:$M$7,$N$3:$N$7)*100,R383)</f>
        <v>20500</v>
      </c>
    </row>
    <row r="385" customHeight="1" spans="1:18">
      <c r="A385" s="78">
        <f ca="1" t="shared" si="15"/>
        <v>20501</v>
      </c>
      <c r="B385" s="82">
        <f ca="1">IFERROR(R385+COUNTIFS($R$11:$R385,R385),"")</f>
        <v>20510</v>
      </c>
      <c r="C385" s="83" t="str">
        <f ca="1">IF(MOD(COUNTIF($Q$11:Q384,Q384),5)=0,OFFSET(装备属性!$D$1083,1+INT(COUNTA($Q$11:Q384)/5),0),C384)</f>
        <v>橙</v>
      </c>
      <c r="D385" s="82">
        <f t="shared" si="17"/>
        <v>1000</v>
      </c>
      <c r="F385" s="82">
        <f ca="1" t="shared" si="16"/>
        <v>20501</v>
      </c>
      <c r="G385" s="78" t="str">
        <f ca="1">IF(AND(LEFT("[{"&amp;M385&amp;","&amp;CEILING(N385*10000+(O385-N385)/4*(COUNTIF($F$11:F385,F385)-1)*10000,10)&amp;"}]",7)="[{equip",MID("[{"&amp;M385&amp;","&amp;CEILING(N385*10000+(O385-N385)/4*(COUNTIF($F$11:F385,F385)-1)*10000,10)&amp;"}]",8,1)&lt;&gt;"_"),"[{"&amp;M385&amp;","&amp;1&amp;"}]","[{"&amp;M385&amp;","&amp;CEILING(N385*10000+(O385-N385)/4*(COUNTIF($F$11:F385,F385)-1)*10000,10)&amp;"}]")</f>
        <v>[{all_class_dmg,580}]</v>
      </c>
      <c r="H385" s="82" t="s">
        <v>563</v>
      </c>
      <c r="J385" s="78">
        <f ca="1">IF(MOD(COUNTIF($Q$11:Q384,Q384),5)=0,OFFSET(装备属性!$P$1083,1+INT(COUNTA($Q$11:Q384)/5),0),J384)</f>
        <v>2</v>
      </c>
      <c r="K385" s="83" t="str">
        <f ca="1">IF(RIGHT(G385,13)="rune_slot,1}]",_xlfn.XLOOKUP(LEFT(SUBSTITUTE(G385,"[{",""),FIND(",",SUBSTITUTE(G385,"[{",""))-1),Sheet2!B:B,Sheet2!C:C)&amp;"+"&amp;1,_xlfn.XLOOKUP(LEFT(SUBSTITUTE(G385,"[{",""),FIND(",",SUBSTITUTE(G385,"[{",""))-1),Sheet2!B:B,Sheet2!C:C)&amp;"+"&amp;SUBSTITUTE(RIGHT(G385,LEN(G385)-FIND(",",G385)),"}]","")/100&amp;"%")</f>
        <v>上阵五个不同职业增伤+5.8%</v>
      </c>
      <c r="L385" s="83" t="str">
        <f ca="1">IF(MOD(COUNTIF($Q$11:Q384,Q384),5)=0,OFFSET(装备属性!$G$1083,1+INT(COUNTA($Q$11:Q384)/5),0),L384)</f>
        <v>全员出力Ⅱ</v>
      </c>
      <c r="M385" s="89" t="str">
        <f ca="1">IF(MOD(COUNTIF($Q$11:Q384,Q384),5)=0,OFFSET(装备属性!$H$1083,1+INT(COUNTA($Q$11:Q384)/5),0),M384)</f>
        <v>all_class_dmg</v>
      </c>
      <c r="N385" s="76">
        <f ca="1">IF(MOD(COUNTIF($Q$11:Q384,Q384),5)=0,OFFSET(装备属性!$K$1083,1+INT(COUNTA($Q$11:Q384)/5),0),N384)</f>
        <v>0.044</v>
      </c>
      <c r="O385" s="76">
        <f ca="1">IF(MOD(COUNTIF($Q$11:Q384,Q384),5)=0,OFFSET(装备属性!$L$1083,1+INT(COUNTA($Q$11:Q384)/5),0),O384)</f>
        <v>0.058</v>
      </c>
      <c r="Q385" s="89" t="str">
        <f ca="1">IF(MOD(COUNTIF($Q$11:Q384,Q384),5)=0,OFFSET(装备属性!$M$1083,1+INT(COUNTA($Q$11:Q384)/5),0),Q384)</f>
        <v>通用属性</v>
      </c>
      <c r="R385" s="83">
        <f ca="1">IF(MOD(COUNTIF($Q$11:Q384,Q384),5)=0,10000*SUBSTITUTE(SUBSTITUTE(OFFSET(装备属性!$F$1083,1+INT(COUNTA($Q$11:Q384)/5),0),"[",""),"]","")+_xlfn.XLOOKUP(C385,$M$3:$M$7,$N$3:$N$7)*100,R384)</f>
        <v>20500</v>
      </c>
    </row>
    <row r="386" customHeight="1" spans="1:18">
      <c r="A386" s="78" t="str">
        <f ca="1" t="shared" si="15"/>
        <v/>
      </c>
      <c r="B386" s="82" t="str">
        <f ca="1">IFERROR(R386+COUNTIFS($R$11:$R386,R386),"")</f>
        <v/>
      </c>
      <c r="C386" s="83">
        <f ca="1">IF(MOD(COUNTIF($Q$11:Q385,Q385),5)=0,OFFSET(装备属性!$D$1083,1+INT(COUNTA($Q$11:Q385)/5),0),C385)</f>
        <v>0</v>
      </c>
      <c r="D386" s="82">
        <f t="shared" si="17"/>
        <v>3000</v>
      </c>
      <c r="F386" s="82" t="str">
        <f ca="1" t="shared" si="16"/>
        <v/>
      </c>
      <c r="G386" s="78" t="str">
        <f ca="1">IF(AND(LEFT("[{"&amp;M386&amp;","&amp;CEILING(N386*10000+(O386-N386)/4*(COUNTIF($F$11:F386,F386)-1)*10000,10)&amp;"}]",7)="[{equip",MID("[{"&amp;M386&amp;","&amp;CEILING(N386*10000+(O386-N386)/4*(COUNTIF($F$11:F386,F386)-1)*10000,10)&amp;"}]",8,1)&lt;&gt;"_"),"[{"&amp;M386&amp;","&amp;1&amp;"}]","[{"&amp;M386&amp;","&amp;CEILING(N386*10000+(O386-N386)/4*(COUNTIF($F$11:F386,F386)-1)*10000,10)&amp;"}]")</f>
        <v>[{exp_boost,2000}]</v>
      </c>
      <c r="H386" s="82" t="s">
        <v>563</v>
      </c>
      <c r="J386" s="78">
        <f ca="1">IF(MOD(COUNTIF($Q$11:Q385,Q385),5)=0,OFFSET(装备属性!$P$1083,1+INT(COUNTA($Q$11:Q385)/5),0),J385)</f>
        <v>9</v>
      </c>
      <c r="K386" s="83" t="str">
        <f ca="1">IF(RIGHT(G386,13)="rune_slot,1}]",_xlfn.XLOOKUP(LEFT(SUBSTITUTE(G386,"[{",""),FIND(",",SUBSTITUTE(G386,"[{",""))-1),Sheet2!B:B,Sheet2!C:C)&amp;"+"&amp;1,_xlfn.XLOOKUP(LEFT(SUBSTITUTE(G386,"[{",""),FIND(",",SUBSTITUTE(G386,"[{",""))-1),Sheet2!B:B,Sheet2!C:C)&amp;"+"&amp;SUBSTITUTE(RIGHT(G386,LEN(G386)-FIND(",",G386)),"}]","")/100&amp;"%")</f>
        <v>经验加成+20%</v>
      </c>
      <c r="L386" s="83" t="str">
        <f ca="1">IF(MOD(COUNTIF($Q$11:Q385,Q385),5)=0,OFFSET(装备属性!$G$1083,1+INT(COUNTA($Q$11:Q385)/5),0),L385)</f>
        <v>涨见识</v>
      </c>
      <c r="M386" s="89" t="str">
        <f ca="1">IF(MOD(COUNTIF($Q$11:Q385,Q385),5)=0,OFFSET(装备属性!$H$1083,1+INT(COUNTA($Q$11:Q385)/5),0),M385)</f>
        <v>exp_boost</v>
      </c>
      <c r="N386" s="76">
        <f ca="1">IF(MOD(COUNTIF($Q$11:Q385,Q385),5)=0,OFFSET(装备属性!$K$1083,1+INT(COUNTA($Q$11:Q385)/5),0),N385)</f>
        <v>0.2</v>
      </c>
      <c r="O386" s="76">
        <f ca="1">IF(MOD(COUNTIF($Q$11:Q385,Q385),5)=0,OFFSET(装备属性!$L$1083,1+INT(COUNTA($Q$11:Q385)/5),0),O385)</f>
        <v>0.2</v>
      </c>
      <c r="Q386" s="89" t="str">
        <f ca="1">IF(MOD(COUNTIF($Q$11:Q385,Q385),5)=0,OFFSET(装备属性!$M$1083,1+INT(COUNTA($Q$11:Q385)/5),0),Q385)</f>
        <v>稀有词条</v>
      </c>
      <c r="R386" s="83" t="e">
        <f ca="1">IF(MOD(COUNTIF($Q$11:Q385,Q385),5)=0,10000*SUBSTITUTE(SUBSTITUTE(OFFSET(装备属性!$F$1083,1+INT(COUNTA($Q$11:Q385)/5),0),"[",""),"]","")+_xlfn.XLOOKUP(C386,$M$3:$M$7,$N$3:$N$7)*100,R385)</f>
        <v>#N/A</v>
      </c>
    </row>
    <row r="387" customHeight="1" spans="1:18">
      <c r="A387" s="78" t="str">
        <f ca="1" t="shared" si="15"/>
        <v/>
      </c>
      <c r="B387" s="82" t="str">
        <f ca="1">IFERROR(R387+COUNTIFS($R$11:$R387,R387),"")</f>
        <v/>
      </c>
      <c r="C387" s="83">
        <f ca="1">IF(MOD(COUNTIF($Q$11:Q386,Q386),5)=0,OFFSET(装备属性!$D$1083,1+INT(COUNTA($Q$11:Q386)/5),0),C386)</f>
        <v>0</v>
      </c>
      <c r="D387" s="82">
        <f t="shared" si="17"/>
        <v>2500</v>
      </c>
      <c r="F387" s="82" t="str">
        <f ca="1" t="shared" si="16"/>
        <v/>
      </c>
      <c r="G387" s="78" t="str">
        <f ca="1">IF(AND(LEFT("[{"&amp;M387&amp;","&amp;CEILING(N387*10000+(O387-N387)/4*(COUNTIF($F$11:F387,F387)-1)*10000,10)&amp;"}]",7)="[{equip",MID("[{"&amp;M387&amp;","&amp;CEILING(N387*10000+(O387-N387)/4*(COUNTIF($F$11:F387,F387)-1)*10000,10)&amp;"}]",8,1)&lt;&gt;"_"),"[{"&amp;M387&amp;","&amp;1&amp;"}]","[{"&amp;M387&amp;","&amp;CEILING(N387*10000+(O387-N387)/4*(COUNTIF($F$11:F387,F387)-1)*10000,10)&amp;"}]")</f>
        <v>[{exp_boost,2000}]</v>
      </c>
      <c r="H387" s="82" t="s">
        <v>563</v>
      </c>
      <c r="J387" s="78">
        <f ca="1">IF(MOD(COUNTIF($Q$11:Q386,Q386),5)=0,OFFSET(装备属性!$P$1083,1+INT(COUNTA($Q$11:Q386)/5),0),J386)</f>
        <v>9</v>
      </c>
      <c r="K387" s="83" t="str">
        <f ca="1">IF(RIGHT(G387,13)="rune_slot,1}]",_xlfn.XLOOKUP(LEFT(SUBSTITUTE(G387,"[{",""),FIND(",",SUBSTITUTE(G387,"[{",""))-1),Sheet2!B:B,Sheet2!C:C)&amp;"+"&amp;1,_xlfn.XLOOKUP(LEFT(SUBSTITUTE(G387,"[{",""),FIND(",",SUBSTITUTE(G387,"[{",""))-1),Sheet2!B:B,Sheet2!C:C)&amp;"+"&amp;SUBSTITUTE(RIGHT(G387,LEN(G387)-FIND(",",G387)),"}]","")/100&amp;"%")</f>
        <v>经验加成+20%</v>
      </c>
      <c r="L387" s="83" t="str">
        <f ca="1">IF(MOD(COUNTIF($Q$11:Q386,Q386),5)=0,OFFSET(装备属性!$G$1083,1+INT(COUNTA($Q$11:Q386)/5),0),L386)</f>
        <v>涨见识</v>
      </c>
      <c r="M387" s="89" t="str">
        <f ca="1">IF(MOD(COUNTIF($Q$11:Q386,Q386),5)=0,OFFSET(装备属性!$H$1083,1+INT(COUNTA($Q$11:Q386)/5),0),M386)</f>
        <v>exp_boost</v>
      </c>
      <c r="N387" s="76">
        <f ca="1">IF(MOD(COUNTIF($Q$11:Q386,Q386),5)=0,OFFSET(装备属性!$K$1083,1+INT(COUNTA($Q$11:Q386)/5),0),N386)</f>
        <v>0.2</v>
      </c>
      <c r="O387" s="76">
        <f ca="1">IF(MOD(COUNTIF($Q$11:Q386,Q386),5)=0,OFFSET(装备属性!$L$1083,1+INT(COUNTA($Q$11:Q386)/5),0),O386)</f>
        <v>0.2</v>
      </c>
      <c r="Q387" s="89" t="str">
        <f ca="1">IF(MOD(COUNTIF($Q$11:Q386,Q386),5)=0,OFFSET(装备属性!$M$1083,1+INT(COUNTA($Q$11:Q386)/5),0),Q386)</f>
        <v>稀有词条</v>
      </c>
      <c r="R387" s="83" t="e">
        <f ca="1">IF(MOD(COUNTIF($Q$11:Q386,Q386),5)=0,10000*SUBSTITUTE(SUBSTITUTE(OFFSET(装备属性!$F$1083,1+INT(COUNTA($Q$11:Q386)/5),0),"[",""),"]","")+_xlfn.XLOOKUP(C387,$M$3:$M$7,$N$3:$N$7)*100,R386)</f>
        <v>#N/A</v>
      </c>
    </row>
    <row r="388" customHeight="1" spans="1:18">
      <c r="A388" s="78" t="str">
        <f ca="1" t="shared" si="15"/>
        <v/>
      </c>
      <c r="B388" s="82" t="str">
        <f ca="1">IFERROR(R388+COUNTIFS($R$11:$R388,R388),"")</f>
        <v/>
      </c>
      <c r="C388" s="83">
        <f ca="1">IF(MOD(COUNTIF($Q$11:Q387,Q387),5)=0,OFFSET(装备属性!$D$1083,1+INT(COUNTA($Q$11:Q387)/5),0),C387)</f>
        <v>0</v>
      </c>
      <c r="D388" s="82">
        <f t="shared" si="17"/>
        <v>2000</v>
      </c>
      <c r="F388" s="82" t="str">
        <f ca="1" t="shared" si="16"/>
        <v/>
      </c>
      <c r="G388" s="78" t="str">
        <f ca="1">IF(AND(LEFT("[{"&amp;M388&amp;","&amp;CEILING(N388*10000+(O388-N388)/4*(COUNTIF($F$11:F388,F388)-1)*10000,10)&amp;"}]",7)="[{equip",MID("[{"&amp;M388&amp;","&amp;CEILING(N388*10000+(O388-N388)/4*(COUNTIF($F$11:F388,F388)-1)*10000,10)&amp;"}]",8,1)&lt;&gt;"_"),"[{"&amp;M388&amp;","&amp;1&amp;"}]","[{"&amp;M388&amp;","&amp;CEILING(N388*10000+(O388-N388)/4*(COUNTIF($F$11:F388,F388)-1)*10000,10)&amp;"}]")</f>
        <v>[{exp_boost,2000}]</v>
      </c>
      <c r="H388" s="82" t="s">
        <v>563</v>
      </c>
      <c r="J388" s="78">
        <f ca="1">IF(MOD(COUNTIF($Q$11:Q387,Q387),5)=0,OFFSET(装备属性!$P$1083,1+INT(COUNTA($Q$11:Q387)/5),0),J387)</f>
        <v>9</v>
      </c>
      <c r="K388" s="83" t="str">
        <f ca="1">IF(RIGHT(G388,13)="rune_slot,1}]",_xlfn.XLOOKUP(LEFT(SUBSTITUTE(G388,"[{",""),FIND(",",SUBSTITUTE(G388,"[{",""))-1),Sheet2!B:B,Sheet2!C:C)&amp;"+"&amp;1,_xlfn.XLOOKUP(LEFT(SUBSTITUTE(G388,"[{",""),FIND(",",SUBSTITUTE(G388,"[{",""))-1),Sheet2!B:B,Sheet2!C:C)&amp;"+"&amp;SUBSTITUTE(RIGHT(G388,LEN(G388)-FIND(",",G388)),"}]","")/100&amp;"%")</f>
        <v>经验加成+20%</v>
      </c>
      <c r="L388" s="83" t="str">
        <f ca="1">IF(MOD(COUNTIF($Q$11:Q387,Q387),5)=0,OFFSET(装备属性!$G$1083,1+INT(COUNTA($Q$11:Q387)/5),0),L387)</f>
        <v>涨见识</v>
      </c>
      <c r="M388" s="89" t="str">
        <f ca="1">IF(MOD(COUNTIF($Q$11:Q387,Q387),5)=0,OFFSET(装备属性!$H$1083,1+INT(COUNTA($Q$11:Q387)/5),0),M387)</f>
        <v>exp_boost</v>
      </c>
      <c r="N388" s="76">
        <f ca="1">IF(MOD(COUNTIF($Q$11:Q387,Q387),5)=0,OFFSET(装备属性!$K$1083,1+INT(COUNTA($Q$11:Q387)/5),0),N387)</f>
        <v>0.2</v>
      </c>
      <c r="O388" s="76">
        <f ca="1">IF(MOD(COUNTIF($Q$11:Q387,Q387),5)=0,OFFSET(装备属性!$L$1083,1+INT(COUNTA($Q$11:Q387)/5),0),O387)</f>
        <v>0.2</v>
      </c>
      <c r="Q388" s="89" t="str">
        <f ca="1">IF(MOD(COUNTIF($Q$11:Q387,Q387),5)=0,OFFSET(装备属性!$M$1083,1+INT(COUNTA($Q$11:Q387)/5),0),Q387)</f>
        <v>稀有词条</v>
      </c>
      <c r="R388" s="83" t="e">
        <f ca="1">IF(MOD(COUNTIF($Q$11:Q387,Q387),5)=0,10000*SUBSTITUTE(SUBSTITUTE(OFFSET(装备属性!$F$1083,1+INT(COUNTA($Q$11:Q387)/5),0),"[",""),"]","")+_xlfn.XLOOKUP(C388,$M$3:$M$7,$N$3:$N$7)*100,R387)</f>
        <v>#N/A</v>
      </c>
    </row>
    <row r="389" customHeight="1" spans="1:18">
      <c r="A389" s="78" t="str">
        <f ca="1" t="shared" si="15"/>
        <v/>
      </c>
      <c r="B389" s="82" t="str">
        <f ca="1">IFERROR(R389+COUNTIFS($R$11:$R389,R389),"")</f>
        <v/>
      </c>
      <c r="C389" s="83">
        <f ca="1">IF(MOD(COUNTIF($Q$11:Q388,Q388),5)=0,OFFSET(装备属性!$D$1083,1+INT(COUNTA($Q$11:Q388)/5),0),C388)</f>
        <v>0</v>
      </c>
      <c r="D389" s="82">
        <f t="shared" si="17"/>
        <v>1500</v>
      </c>
      <c r="F389" s="82" t="str">
        <f ca="1" t="shared" si="16"/>
        <v/>
      </c>
      <c r="G389" s="78" t="str">
        <f ca="1">IF(AND(LEFT("[{"&amp;M389&amp;","&amp;CEILING(N389*10000+(O389-N389)/4*(COUNTIF($F$11:F389,F389)-1)*10000,10)&amp;"}]",7)="[{equip",MID("[{"&amp;M389&amp;","&amp;CEILING(N389*10000+(O389-N389)/4*(COUNTIF($F$11:F389,F389)-1)*10000,10)&amp;"}]",8,1)&lt;&gt;"_"),"[{"&amp;M389&amp;","&amp;1&amp;"}]","[{"&amp;M389&amp;","&amp;CEILING(N389*10000+(O389-N389)/4*(COUNTIF($F$11:F389,F389)-1)*10000,10)&amp;"}]")</f>
        <v>[{exp_boost,2000}]</v>
      </c>
      <c r="H389" s="82" t="s">
        <v>563</v>
      </c>
      <c r="J389" s="78">
        <f ca="1">IF(MOD(COUNTIF($Q$11:Q388,Q388),5)=0,OFFSET(装备属性!$P$1083,1+INT(COUNTA($Q$11:Q388)/5),0),J388)</f>
        <v>9</v>
      </c>
      <c r="K389" s="83" t="str">
        <f ca="1">IF(RIGHT(G389,13)="rune_slot,1}]",_xlfn.XLOOKUP(LEFT(SUBSTITUTE(G389,"[{",""),FIND(",",SUBSTITUTE(G389,"[{",""))-1),Sheet2!B:B,Sheet2!C:C)&amp;"+"&amp;1,_xlfn.XLOOKUP(LEFT(SUBSTITUTE(G389,"[{",""),FIND(",",SUBSTITUTE(G389,"[{",""))-1),Sheet2!B:B,Sheet2!C:C)&amp;"+"&amp;SUBSTITUTE(RIGHT(G389,LEN(G389)-FIND(",",G389)),"}]","")/100&amp;"%")</f>
        <v>经验加成+20%</v>
      </c>
      <c r="L389" s="83" t="str">
        <f ca="1">IF(MOD(COUNTIF($Q$11:Q388,Q388),5)=0,OFFSET(装备属性!$G$1083,1+INT(COUNTA($Q$11:Q388)/5),0),L388)</f>
        <v>涨见识</v>
      </c>
      <c r="M389" s="89" t="str">
        <f ca="1">IF(MOD(COUNTIF($Q$11:Q388,Q388),5)=0,OFFSET(装备属性!$H$1083,1+INT(COUNTA($Q$11:Q388)/5),0),M388)</f>
        <v>exp_boost</v>
      </c>
      <c r="N389" s="76">
        <f ca="1">IF(MOD(COUNTIF($Q$11:Q388,Q388),5)=0,OFFSET(装备属性!$K$1083,1+INT(COUNTA($Q$11:Q388)/5),0),N388)</f>
        <v>0.2</v>
      </c>
      <c r="O389" s="76">
        <f ca="1">IF(MOD(COUNTIF($Q$11:Q388,Q388),5)=0,OFFSET(装备属性!$L$1083,1+INT(COUNTA($Q$11:Q388)/5),0),O388)</f>
        <v>0.2</v>
      </c>
      <c r="Q389" s="89" t="str">
        <f ca="1">IF(MOD(COUNTIF($Q$11:Q388,Q388),5)=0,OFFSET(装备属性!$M$1083,1+INT(COUNTA($Q$11:Q388)/5),0),Q388)</f>
        <v>稀有词条</v>
      </c>
      <c r="R389" s="83" t="e">
        <f ca="1">IF(MOD(COUNTIF($Q$11:Q388,Q388),5)=0,10000*SUBSTITUTE(SUBSTITUTE(OFFSET(装备属性!$F$1083,1+INT(COUNTA($Q$11:Q388)/5),0),"[",""),"]","")+_xlfn.XLOOKUP(C389,$M$3:$M$7,$N$3:$N$7)*100,R388)</f>
        <v>#N/A</v>
      </c>
    </row>
    <row r="390" customHeight="1" spans="1:18">
      <c r="A390" s="78" t="str">
        <f ca="1" t="shared" si="15"/>
        <v/>
      </c>
      <c r="B390" s="82" t="str">
        <f ca="1">IFERROR(R390+COUNTIFS($R$11:$R390,R390),"")</f>
        <v/>
      </c>
      <c r="C390" s="83">
        <f ca="1">IF(MOD(COUNTIF($Q$11:Q389,Q389),5)=0,OFFSET(装备属性!$D$1083,1+INT(COUNTA($Q$11:Q389)/5),0),C389)</f>
        <v>0</v>
      </c>
      <c r="D390" s="82">
        <f t="shared" si="17"/>
        <v>1000</v>
      </c>
      <c r="F390" s="82" t="str">
        <f ca="1" t="shared" si="16"/>
        <v/>
      </c>
      <c r="G390" s="78" t="str">
        <f ca="1">IF(AND(LEFT("[{"&amp;M390&amp;","&amp;CEILING(N390*10000+(O390-N390)/4*(COUNTIF($F$11:F390,F390)-1)*10000,10)&amp;"}]",7)="[{equip",MID("[{"&amp;M390&amp;","&amp;CEILING(N390*10000+(O390-N390)/4*(COUNTIF($F$11:F390,F390)-1)*10000,10)&amp;"}]",8,1)&lt;&gt;"_"),"[{"&amp;M390&amp;","&amp;1&amp;"}]","[{"&amp;M390&amp;","&amp;CEILING(N390*10000+(O390-N390)/4*(COUNTIF($F$11:F390,F390)-1)*10000,10)&amp;"}]")</f>
        <v>[{exp_boost,2000}]</v>
      </c>
      <c r="H390" s="82" t="s">
        <v>563</v>
      </c>
      <c r="J390" s="78">
        <f ca="1">IF(MOD(COUNTIF($Q$11:Q389,Q389),5)=0,OFFSET(装备属性!$P$1083,1+INT(COUNTA($Q$11:Q389)/5),0),J389)</f>
        <v>9</v>
      </c>
      <c r="K390" s="83" t="str">
        <f ca="1">IF(RIGHT(G390,13)="rune_slot,1}]",_xlfn.XLOOKUP(LEFT(SUBSTITUTE(G390,"[{",""),FIND(",",SUBSTITUTE(G390,"[{",""))-1),Sheet2!B:B,Sheet2!C:C)&amp;"+"&amp;1,_xlfn.XLOOKUP(LEFT(SUBSTITUTE(G390,"[{",""),FIND(",",SUBSTITUTE(G390,"[{",""))-1),Sheet2!B:B,Sheet2!C:C)&amp;"+"&amp;SUBSTITUTE(RIGHT(G390,LEN(G390)-FIND(",",G390)),"}]","")/100&amp;"%")</f>
        <v>经验加成+20%</v>
      </c>
      <c r="L390" s="83" t="str">
        <f ca="1">IF(MOD(COUNTIF($Q$11:Q389,Q389),5)=0,OFFSET(装备属性!$G$1083,1+INT(COUNTA($Q$11:Q389)/5),0),L389)</f>
        <v>涨见识</v>
      </c>
      <c r="M390" s="89" t="str">
        <f ca="1">IF(MOD(COUNTIF($Q$11:Q389,Q389),5)=0,OFFSET(装备属性!$H$1083,1+INT(COUNTA($Q$11:Q389)/5),0),M389)</f>
        <v>exp_boost</v>
      </c>
      <c r="N390" s="76">
        <f ca="1">IF(MOD(COUNTIF($Q$11:Q389,Q389),5)=0,OFFSET(装备属性!$K$1083,1+INT(COUNTA($Q$11:Q389)/5),0),N389)</f>
        <v>0.2</v>
      </c>
      <c r="O390" s="76">
        <f ca="1">IF(MOD(COUNTIF($Q$11:Q389,Q389),5)=0,OFFSET(装备属性!$L$1083,1+INT(COUNTA($Q$11:Q389)/5),0),O389)</f>
        <v>0.2</v>
      </c>
      <c r="Q390" s="89" t="str">
        <f ca="1">IF(MOD(COUNTIF($Q$11:Q389,Q389),5)=0,OFFSET(装备属性!$M$1083,1+INT(COUNTA($Q$11:Q389)/5),0),Q389)</f>
        <v>稀有词条</v>
      </c>
      <c r="R390" s="83" t="e">
        <f ca="1">IF(MOD(COUNTIF($Q$11:Q389,Q389),5)=0,10000*SUBSTITUTE(SUBSTITUTE(OFFSET(装备属性!$F$1083,1+INT(COUNTA($Q$11:Q389)/5),0),"[",""),"]","")+_xlfn.XLOOKUP(C390,$M$3:$M$7,$N$3:$N$7)*100,R389)</f>
        <v>#N/A</v>
      </c>
    </row>
    <row r="391" customHeight="1" spans="1:18">
      <c r="A391" s="78" t="str">
        <f ca="1" t="shared" si="15"/>
        <v/>
      </c>
      <c r="B391" s="82" t="str">
        <f ca="1">IFERROR(R391+COUNTIFS($R$11:$R391,R391),"")</f>
        <v/>
      </c>
      <c r="C391" s="83">
        <f ca="1">IF(MOD(COUNTIF($Q$11:Q390,Q390),5)=0,OFFSET(装备属性!$D$1083,1+INT(COUNTA($Q$11:Q390)/5),0),C390)</f>
        <v>0</v>
      </c>
      <c r="D391" s="82">
        <f t="shared" si="17"/>
        <v>3000</v>
      </c>
      <c r="F391" s="82" t="str">
        <f ca="1" t="shared" si="16"/>
        <v/>
      </c>
      <c r="G391" s="78" t="str">
        <f ca="1">IF(AND(LEFT("[{"&amp;M391&amp;","&amp;CEILING(N391*10000+(O391-N391)/4*(COUNTIF($F$11:F391,F391)-1)*10000,10)&amp;"}]",7)="[{equip",MID("[{"&amp;M391&amp;","&amp;CEILING(N391*10000+(O391-N391)/4*(COUNTIF($F$11:F391,F391)-1)*10000,10)&amp;"}]",8,1)&lt;&gt;"_"),"[{"&amp;M391&amp;","&amp;1&amp;"}]","[{"&amp;M391&amp;","&amp;CEILING(N391*10000+(O391-N391)/4*(COUNTIF($F$11:F391,F391)-1)*10000,10)&amp;"}]")</f>
        <v>[{equip_base_attr,2500}]</v>
      </c>
      <c r="H391" s="82" t="s">
        <v>563</v>
      </c>
      <c r="J391" s="78">
        <f ca="1">IF(MOD(COUNTIF($Q$11:Q390,Q390),5)=0,OFFSET(装备属性!$P$1083,1+INT(COUNTA($Q$11:Q390)/5),0),J390)</f>
        <v>7</v>
      </c>
      <c r="K391" s="83" t="str">
        <f ca="1">IF(RIGHT(G391,13)="rune_slot,1}]",_xlfn.XLOOKUP(LEFT(SUBSTITUTE(G391,"[{",""),FIND(",",SUBSTITUTE(G391,"[{",""))-1),Sheet2!B:B,Sheet2!C:C)&amp;"+"&amp;1,_xlfn.XLOOKUP(LEFT(SUBSTITUTE(G391,"[{",""),FIND(",",SUBSTITUTE(G391,"[{",""))-1),Sheet2!B:B,Sheet2!C:C)&amp;"+"&amp;SUBSTITUTE(RIGHT(G391,LEN(G391)-FIND(",",G391)),"}]","")/100&amp;"%")</f>
        <v>装备基础属性加成+25%</v>
      </c>
      <c r="L391" s="83" t="str">
        <f ca="1">IF(MOD(COUNTIF($Q$11:Q390,Q390),5)=0,OFFSET(装备属性!$G$1083,1+INT(COUNTA($Q$11:Q390)/5),0),L390)</f>
        <v>厚底子</v>
      </c>
      <c r="M391" s="89" t="str">
        <f ca="1">IF(MOD(COUNTIF($Q$11:Q390,Q390),5)=0,OFFSET(装备属性!$H$1083,1+INT(COUNTA($Q$11:Q390)/5),0),M390)</f>
        <v>equip_base_attr</v>
      </c>
      <c r="N391" s="76">
        <f ca="1">IF(MOD(COUNTIF($Q$11:Q390,Q390),5)=0,OFFSET(装备属性!$K$1083,1+INT(COUNTA($Q$11:Q390)/5),0),N390)</f>
        <v>0.25</v>
      </c>
      <c r="O391" s="76">
        <f ca="1">IF(MOD(COUNTIF($Q$11:Q390,Q390),5)=0,OFFSET(装备属性!$L$1083,1+INT(COUNTA($Q$11:Q390)/5),0),O390)</f>
        <v>0.25</v>
      </c>
      <c r="Q391" s="89" t="str">
        <f ca="1">IF(MOD(COUNTIF($Q$11:Q390,Q390),5)=0,OFFSET(装备属性!$M$1083,1+INT(COUNTA($Q$11:Q390)/5),0),Q390)</f>
        <v>稀有词条</v>
      </c>
      <c r="R391" s="83" t="e">
        <f ca="1">IF(MOD(COUNTIF($Q$11:Q390,Q390),5)=0,10000*SUBSTITUTE(SUBSTITUTE(OFFSET(装备属性!$F$1083,1+INT(COUNTA($Q$11:Q390)/5),0),"[",""),"]","")+_xlfn.XLOOKUP(C391,$M$3:$M$7,$N$3:$N$7)*100,R390)</f>
        <v>#N/A</v>
      </c>
    </row>
    <row r="392" customHeight="1" spans="1:18">
      <c r="A392" s="78" t="str">
        <f ca="1" t="shared" si="15"/>
        <v/>
      </c>
      <c r="B392" s="82" t="str">
        <f ca="1">IFERROR(R392+COUNTIFS($R$11:$R392,R392),"")</f>
        <v/>
      </c>
      <c r="C392" s="83">
        <f ca="1">IF(MOD(COUNTIF($Q$11:Q391,Q391),5)=0,OFFSET(装备属性!$D$1083,1+INT(COUNTA($Q$11:Q391)/5),0),C391)</f>
        <v>0</v>
      </c>
      <c r="D392" s="82">
        <f t="shared" si="17"/>
        <v>2500</v>
      </c>
      <c r="F392" s="82" t="str">
        <f ca="1" t="shared" si="16"/>
        <v/>
      </c>
      <c r="G392" s="78" t="str">
        <f ca="1">IF(AND(LEFT("[{"&amp;M392&amp;","&amp;CEILING(N392*10000+(O392-N392)/4*(COUNTIF($F$11:F392,F392)-1)*10000,10)&amp;"}]",7)="[{equip",MID("[{"&amp;M392&amp;","&amp;CEILING(N392*10000+(O392-N392)/4*(COUNTIF($F$11:F392,F392)-1)*10000,10)&amp;"}]",8,1)&lt;&gt;"_"),"[{"&amp;M392&amp;","&amp;1&amp;"}]","[{"&amp;M392&amp;","&amp;CEILING(N392*10000+(O392-N392)/4*(COUNTIF($F$11:F392,F392)-1)*10000,10)&amp;"}]")</f>
        <v>[{equip_base_attr,2500}]</v>
      </c>
      <c r="H392" s="82" t="s">
        <v>563</v>
      </c>
      <c r="J392" s="78">
        <f ca="1">IF(MOD(COUNTIF($Q$11:Q391,Q391),5)=0,OFFSET(装备属性!$P$1083,1+INT(COUNTA($Q$11:Q391)/5),0),J391)</f>
        <v>7</v>
      </c>
      <c r="K392" s="83" t="str">
        <f ca="1">IF(RIGHT(G392,13)="rune_slot,1}]",_xlfn.XLOOKUP(LEFT(SUBSTITUTE(G392,"[{",""),FIND(",",SUBSTITUTE(G392,"[{",""))-1),Sheet2!B:B,Sheet2!C:C)&amp;"+"&amp;1,_xlfn.XLOOKUP(LEFT(SUBSTITUTE(G392,"[{",""),FIND(",",SUBSTITUTE(G392,"[{",""))-1),Sheet2!B:B,Sheet2!C:C)&amp;"+"&amp;SUBSTITUTE(RIGHT(G392,LEN(G392)-FIND(",",G392)),"}]","")/100&amp;"%")</f>
        <v>装备基础属性加成+25%</v>
      </c>
      <c r="L392" s="83" t="str">
        <f ca="1">IF(MOD(COUNTIF($Q$11:Q391,Q391),5)=0,OFFSET(装备属性!$G$1083,1+INT(COUNTA($Q$11:Q391)/5),0),L391)</f>
        <v>厚底子</v>
      </c>
      <c r="M392" s="89" t="str">
        <f ca="1">IF(MOD(COUNTIF($Q$11:Q391,Q391),5)=0,OFFSET(装备属性!$H$1083,1+INT(COUNTA($Q$11:Q391)/5),0),M391)</f>
        <v>equip_base_attr</v>
      </c>
      <c r="N392" s="76">
        <f ca="1">IF(MOD(COUNTIF($Q$11:Q391,Q391),5)=0,OFFSET(装备属性!$K$1083,1+INT(COUNTA($Q$11:Q391)/5),0),N391)</f>
        <v>0.25</v>
      </c>
      <c r="O392" s="76">
        <f ca="1">IF(MOD(COUNTIF($Q$11:Q391,Q391),5)=0,OFFSET(装备属性!$L$1083,1+INT(COUNTA($Q$11:Q391)/5),0),O391)</f>
        <v>0.25</v>
      </c>
      <c r="Q392" s="89" t="str">
        <f ca="1">IF(MOD(COUNTIF($Q$11:Q391,Q391),5)=0,OFFSET(装备属性!$M$1083,1+INT(COUNTA($Q$11:Q391)/5),0),Q391)</f>
        <v>稀有词条</v>
      </c>
      <c r="R392" s="83" t="e">
        <f ca="1">IF(MOD(COUNTIF($Q$11:Q391,Q391),5)=0,10000*SUBSTITUTE(SUBSTITUTE(OFFSET(装备属性!$F$1083,1+INT(COUNTA($Q$11:Q391)/5),0),"[",""),"]","")+_xlfn.XLOOKUP(C392,$M$3:$M$7,$N$3:$N$7)*100,R391)</f>
        <v>#N/A</v>
      </c>
    </row>
    <row r="393" customHeight="1" spans="1:18">
      <c r="A393" s="78" t="str">
        <f ca="1" t="shared" si="15"/>
        <v/>
      </c>
      <c r="B393" s="82" t="str">
        <f ca="1">IFERROR(R393+COUNTIFS($R$11:$R393,R393),"")</f>
        <v/>
      </c>
      <c r="C393" s="83">
        <f ca="1">IF(MOD(COUNTIF($Q$11:Q392,Q392),5)=0,OFFSET(装备属性!$D$1083,1+INT(COUNTA($Q$11:Q392)/5),0),C392)</f>
        <v>0</v>
      </c>
      <c r="D393" s="82">
        <f t="shared" si="17"/>
        <v>2000</v>
      </c>
      <c r="F393" s="82" t="str">
        <f ca="1" t="shared" si="16"/>
        <v/>
      </c>
      <c r="G393" s="78" t="str">
        <f ca="1">IF(AND(LEFT("[{"&amp;M393&amp;","&amp;CEILING(N393*10000+(O393-N393)/4*(COUNTIF($F$11:F393,F393)-1)*10000,10)&amp;"}]",7)="[{equip",MID("[{"&amp;M393&amp;","&amp;CEILING(N393*10000+(O393-N393)/4*(COUNTIF($F$11:F393,F393)-1)*10000,10)&amp;"}]",8,1)&lt;&gt;"_"),"[{"&amp;M393&amp;","&amp;1&amp;"}]","[{"&amp;M393&amp;","&amp;CEILING(N393*10000+(O393-N393)/4*(COUNTIF($F$11:F393,F393)-1)*10000,10)&amp;"}]")</f>
        <v>[{equip_base_attr,2500}]</v>
      </c>
      <c r="H393" s="82" t="s">
        <v>563</v>
      </c>
      <c r="J393" s="78">
        <f ca="1">IF(MOD(COUNTIF($Q$11:Q392,Q392),5)=0,OFFSET(装备属性!$P$1083,1+INT(COUNTA($Q$11:Q392)/5),0),J392)</f>
        <v>7</v>
      </c>
      <c r="K393" s="83" t="str">
        <f ca="1">IF(RIGHT(G393,13)="rune_slot,1}]",_xlfn.XLOOKUP(LEFT(SUBSTITUTE(G393,"[{",""),FIND(",",SUBSTITUTE(G393,"[{",""))-1),Sheet2!B:B,Sheet2!C:C)&amp;"+"&amp;1,_xlfn.XLOOKUP(LEFT(SUBSTITUTE(G393,"[{",""),FIND(",",SUBSTITUTE(G393,"[{",""))-1),Sheet2!B:B,Sheet2!C:C)&amp;"+"&amp;SUBSTITUTE(RIGHT(G393,LEN(G393)-FIND(",",G393)),"}]","")/100&amp;"%")</f>
        <v>装备基础属性加成+25%</v>
      </c>
      <c r="L393" s="83" t="str">
        <f ca="1">IF(MOD(COUNTIF($Q$11:Q392,Q392),5)=0,OFFSET(装备属性!$G$1083,1+INT(COUNTA($Q$11:Q392)/5),0),L392)</f>
        <v>厚底子</v>
      </c>
      <c r="M393" s="89" t="str">
        <f ca="1">IF(MOD(COUNTIF($Q$11:Q392,Q392),5)=0,OFFSET(装备属性!$H$1083,1+INT(COUNTA($Q$11:Q392)/5),0),M392)</f>
        <v>equip_base_attr</v>
      </c>
      <c r="N393" s="76">
        <f ca="1">IF(MOD(COUNTIF($Q$11:Q392,Q392),5)=0,OFFSET(装备属性!$K$1083,1+INT(COUNTA($Q$11:Q392)/5),0),N392)</f>
        <v>0.25</v>
      </c>
      <c r="O393" s="76">
        <f ca="1">IF(MOD(COUNTIF($Q$11:Q392,Q392),5)=0,OFFSET(装备属性!$L$1083,1+INT(COUNTA($Q$11:Q392)/5),0),O392)</f>
        <v>0.25</v>
      </c>
      <c r="Q393" s="89" t="str">
        <f ca="1">IF(MOD(COUNTIF($Q$11:Q392,Q392),5)=0,OFFSET(装备属性!$M$1083,1+INT(COUNTA($Q$11:Q392)/5),0),Q392)</f>
        <v>稀有词条</v>
      </c>
      <c r="R393" s="83" t="e">
        <f ca="1">IF(MOD(COUNTIF($Q$11:Q392,Q392),5)=0,10000*SUBSTITUTE(SUBSTITUTE(OFFSET(装备属性!$F$1083,1+INT(COUNTA($Q$11:Q392)/5),0),"[",""),"]","")+_xlfn.XLOOKUP(C393,$M$3:$M$7,$N$3:$N$7)*100,R392)</f>
        <v>#N/A</v>
      </c>
    </row>
    <row r="394" customHeight="1" spans="1:18">
      <c r="A394" s="78" t="str">
        <f ca="1" t="shared" si="15"/>
        <v/>
      </c>
      <c r="B394" s="82" t="str">
        <f ca="1">IFERROR(R394+COUNTIFS($R$11:$R394,R394),"")</f>
        <v/>
      </c>
      <c r="C394" s="83">
        <f ca="1">IF(MOD(COUNTIF($Q$11:Q393,Q393),5)=0,OFFSET(装备属性!$D$1083,1+INT(COUNTA($Q$11:Q393)/5),0),C393)</f>
        <v>0</v>
      </c>
      <c r="D394" s="82">
        <f t="shared" si="17"/>
        <v>1500</v>
      </c>
      <c r="F394" s="82" t="str">
        <f ca="1" t="shared" si="16"/>
        <v/>
      </c>
      <c r="G394" s="78" t="str">
        <f ca="1">IF(AND(LEFT("[{"&amp;M394&amp;","&amp;CEILING(N394*10000+(O394-N394)/4*(COUNTIF($F$11:F394,F394)-1)*10000,10)&amp;"}]",7)="[{equip",MID("[{"&amp;M394&amp;","&amp;CEILING(N394*10000+(O394-N394)/4*(COUNTIF($F$11:F394,F394)-1)*10000,10)&amp;"}]",8,1)&lt;&gt;"_"),"[{"&amp;M394&amp;","&amp;1&amp;"}]","[{"&amp;M394&amp;","&amp;CEILING(N394*10000+(O394-N394)/4*(COUNTIF($F$11:F394,F394)-1)*10000,10)&amp;"}]")</f>
        <v>[{equip_base_attr,2500}]</v>
      </c>
      <c r="H394" s="82" t="s">
        <v>563</v>
      </c>
      <c r="J394" s="78">
        <f ca="1">IF(MOD(COUNTIF($Q$11:Q393,Q393),5)=0,OFFSET(装备属性!$P$1083,1+INT(COUNTA($Q$11:Q393)/5),0),J393)</f>
        <v>7</v>
      </c>
      <c r="K394" s="83" t="str">
        <f ca="1">IF(RIGHT(G394,13)="rune_slot,1}]",_xlfn.XLOOKUP(LEFT(SUBSTITUTE(G394,"[{",""),FIND(",",SUBSTITUTE(G394,"[{",""))-1),Sheet2!B:B,Sheet2!C:C)&amp;"+"&amp;1,_xlfn.XLOOKUP(LEFT(SUBSTITUTE(G394,"[{",""),FIND(",",SUBSTITUTE(G394,"[{",""))-1),Sheet2!B:B,Sheet2!C:C)&amp;"+"&amp;SUBSTITUTE(RIGHT(G394,LEN(G394)-FIND(",",G394)),"}]","")/100&amp;"%")</f>
        <v>装备基础属性加成+25%</v>
      </c>
      <c r="L394" s="83" t="str">
        <f ca="1">IF(MOD(COUNTIF($Q$11:Q393,Q393),5)=0,OFFSET(装备属性!$G$1083,1+INT(COUNTA($Q$11:Q393)/5),0),L393)</f>
        <v>厚底子</v>
      </c>
      <c r="M394" s="89" t="str">
        <f ca="1">IF(MOD(COUNTIF($Q$11:Q393,Q393),5)=0,OFFSET(装备属性!$H$1083,1+INT(COUNTA($Q$11:Q393)/5),0),M393)</f>
        <v>equip_base_attr</v>
      </c>
      <c r="N394" s="76">
        <f ca="1">IF(MOD(COUNTIF($Q$11:Q393,Q393),5)=0,OFFSET(装备属性!$K$1083,1+INT(COUNTA($Q$11:Q393)/5),0),N393)</f>
        <v>0.25</v>
      </c>
      <c r="O394" s="76">
        <f ca="1">IF(MOD(COUNTIF($Q$11:Q393,Q393),5)=0,OFFSET(装备属性!$L$1083,1+INT(COUNTA($Q$11:Q393)/5),0),O393)</f>
        <v>0.25</v>
      </c>
      <c r="Q394" s="89" t="str">
        <f ca="1">IF(MOD(COUNTIF($Q$11:Q393,Q393),5)=0,OFFSET(装备属性!$M$1083,1+INT(COUNTA($Q$11:Q393)/5),0),Q393)</f>
        <v>稀有词条</v>
      </c>
      <c r="R394" s="83" t="e">
        <f ca="1">IF(MOD(COUNTIF($Q$11:Q393,Q393),5)=0,10000*SUBSTITUTE(SUBSTITUTE(OFFSET(装备属性!$F$1083,1+INT(COUNTA($Q$11:Q393)/5),0),"[",""),"]","")+_xlfn.XLOOKUP(C394,$M$3:$M$7,$N$3:$N$7)*100,R393)</f>
        <v>#N/A</v>
      </c>
    </row>
    <row r="395" customHeight="1" spans="1:18">
      <c r="A395" s="78" t="str">
        <f ca="1" t="shared" si="15"/>
        <v/>
      </c>
      <c r="B395" s="82" t="str">
        <f ca="1">IFERROR(R395+COUNTIFS($R$11:$R395,R395),"")</f>
        <v/>
      </c>
      <c r="C395" s="83">
        <f ca="1">IF(MOD(COUNTIF($Q$11:Q394,Q394),5)=0,OFFSET(装备属性!$D$1083,1+INT(COUNTA($Q$11:Q394)/5),0),C394)</f>
        <v>0</v>
      </c>
      <c r="D395" s="82">
        <f t="shared" si="17"/>
        <v>1000</v>
      </c>
      <c r="F395" s="82" t="str">
        <f ca="1" t="shared" si="16"/>
        <v/>
      </c>
      <c r="G395" s="78" t="str">
        <f ca="1">IF(AND(LEFT("[{"&amp;M395&amp;","&amp;CEILING(N395*10000+(O395-N395)/4*(COUNTIF($F$11:F395,F395)-1)*10000,10)&amp;"}]",7)="[{equip",MID("[{"&amp;M395&amp;","&amp;CEILING(N395*10000+(O395-N395)/4*(COUNTIF($F$11:F395,F395)-1)*10000,10)&amp;"}]",8,1)&lt;&gt;"_"),"[{"&amp;M395&amp;","&amp;1&amp;"}]","[{"&amp;M395&amp;","&amp;CEILING(N395*10000+(O395-N395)/4*(COUNTIF($F$11:F395,F395)-1)*10000,10)&amp;"}]")</f>
        <v>[{equip_base_attr,2500}]</v>
      </c>
      <c r="H395" s="82" t="s">
        <v>563</v>
      </c>
      <c r="J395" s="78">
        <f ca="1">IF(MOD(COUNTIF($Q$11:Q394,Q394),5)=0,OFFSET(装备属性!$P$1083,1+INT(COUNTA($Q$11:Q394)/5),0),J394)</f>
        <v>7</v>
      </c>
      <c r="K395" s="83" t="str">
        <f ca="1">IF(RIGHT(G395,13)="rune_slot,1}]",_xlfn.XLOOKUP(LEFT(SUBSTITUTE(G395,"[{",""),FIND(",",SUBSTITUTE(G395,"[{",""))-1),Sheet2!B:B,Sheet2!C:C)&amp;"+"&amp;1,_xlfn.XLOOKUP(LEFT(SUBSTITUTE(G395,"[{",""),FIND(",",SUBSTITUTE(G395,"[{",""))-1),Sheet2!B:B,Sheet2!C:C)&amp;"+"&amp;SUBSTITUTE(RIGHT(G395,LEN(G395)-FIND(",",G395)),"}]","")/100&amp;"%")</f>
        <v>装备基础属性加成+25%</v>
      </c>
      <c r="L395" s="83" t="str">
        <f ca="1">IF(MOD(COUNTIF($Q$11:Q394,Q394),5)=0,OFFSET(装备属性!$G$1083,1+INT(COUNTA($Q$11:Q394)/5),0),L394)</f>
        <v>厚底子</v>
      </c>
      <c r="M395" s="89" t="str">
        <f ca="1">IF(MOD(COUNTIF($Q$11:Q394,Q394),5)=0,OFFSET(装备属性!$H$1083,1+INT(COUNTA($Q$11:Q394)/5),0),M394)</f>
        <v>equip_base_attr</v>
      </c>
      <c r="N395" s="76">
        <f ca="1">IF(MOD(COUNTIF($Q$11:Q394,Q394),5)=0,OFFSET(装备属性!$K$1083,1+INT(COUNTA($Q$11:Q394)/5),0),N394)</f>
        <v>0.25</v>
      </c>
      <c r="O395" s="76">
        <f ca="1">IF(MOD(COUNTIF($Q$11:Q394,Q394),5)=0,OFFSET(装备属性!$L$1083,1+INT(COUNTA($Q$11:Q394)/5),0),O394)</f>
        <v>0.25</v>
      </c>
      <c r="Q395" s="89" t="str">
        <f ca="1">IF(MOD(COUNTIF($Q$11:Q394,Q394),5)=0,OFFSET(装备属性!$M$1083,1+INT(COUNTA($Q$11:Q394)/5),0),Q394)</f>
        <v>稀有词条</v>
      </c>
      <c r="R395" s="83" t="e">
        <f ca="1">IF(MOD(COUNTIF($Q$11:Q394,Q394),5)=0,10000*SUBSTITUTE(SUBSTITUTE(OFFSET(装备属性!$F$1083,1+INT(COUNTA($Q$11:Q394)/5),0),"[",""),"]","")+_xlfn.XLOOKUP(C395,$M$3:$M$7,$N$3:$N$7)*100,R394)</f>
        <v>#N/A</v>
      </c>
    </row>
    <row r="396" customHeight="1" spans="1:18">
      <c r="A396" s="78" t="str">
        <f ca="1" t="shared" ref="A396:A459" si="18">IFERROR(R396+IF(Q396="通用属性",1,IF(Q396="玩法类",2,IF(Q396="稀有词条",3,0))),"")</f>
        <v/>
      </c>
      <c r="B396" s="82" t="str">
        <f ca="1">IFERROR(R396+COUNTIFS($R$11:$R396,R396),"")</f>
        <v/>
      </c>
      <c r="C396" s="83">
        <f ca="1">IF(MOD(COUNTIF($Q$11:Q395,Q395),5)=0,OFFSET(装备属性!$D$1083,1+INT(COUNTA($Q$11:Q395)/5),0),C395)</f>
        <v>0</v>
      </c>
      <c r="D396" s="82">
        <f t="shared" si="17"/>
        <v>3000</v>
      </c>
      <c r="F396" s="82" t="str">
        <f ca="1" t="shared" ref="F396:F459" si="19">IFERROR(R396+INT((B396-R396-1)/5),"")</f>
        <v/>
      </c>
      <c r="G396" s="78" t="str">
        <f ca="1">IF(AND(LEFT("[{"&amp;M396&amp;","&amp;CEILING(N396*10000+(O396-N396)/4*(COUNTIF($F$11:F396,F396)-1)*10000,10)&amp;"}]",7)="[{equip",MID("[{"&amp;M396&amp;","&amp;CEILING(N396*10000+(O396-N396)/4*(COUNTIF($F$11:F396,F396)-1)*10000,10)&amp;"}]",8,1)&lt;&gt;"_"),"[{"&amp;M396&amp;","&amp;1&amp;"}]","[{"&amp;M396&amp;","&amp;CEILING(N396*10000+(O396-N396)/4*(COUNTIF($F$11:F396,F396)-1)*10000,10)&amp;"}]")</f>
        <v>[{equip_extra_attr,5000}]</v>
      </c>
      <c r="H396" s="82" t="s">
        <v>563</v>
      </c>
      <c r="J396" s="78">
        <f ca="1">IF(MOD(COUNTIF($Q$11:Q395,Q395),5)=0,OFFSET(装备属性!$P$1083,1+INT(COUNTA($Q$11:Q395)/5),0),J395)</f>
        <v>8</v>
      </c>
      <c r="K396" s="83" t="str">
        <f ca="1">IF(RIGHT(G396,13)="rune_slot,1}]",_xlfn.XLOOKUP(LEFT(SUBSTITUTE(G396,"[{",""),FIND(",",SUBSTITUTE(G396,"[{",""))-1),Sheet2!B:B,Sheet2!C:C)&amp;"+"&amp;1,_xlfn.XLOOKUP(LEFT(SUBSTITUTE(G396,"[{",""),FIND(",",SUBSTITUTE(G396,"[{",""))-1),Sheet2!B:B,Sheet2!C:C)&amp;"+"&amp;SUBSTITUTE(RIGHT(G396,LEN(G396)-FIND(",",G396)),"}]","")/100&amp;"%")</f>
        <v>装备附加属性加成+50%</v>
      </c>
      <c r="L396" s="83" t="str">
        <f ca="1">IF(MOD(COUNTIF($Q$11:Q395,Q395),5)=0,OFFSET(装备属性!$G$1083,1+INT(COUNTA($Q$11:Q395)/5),0),L395)</f>
        <v>提成色</v>
      </c>
      <c r="M396" s="89" t="str">
        <f ca="1">IF(MOD(COUNTIF($Q$11:Q395,Q395),5)=0,OFFSET(装备属性!$H$1083,1+INT(COUNTA($Q$11:Q395)/5),0),M395)</f>
        <v>equip_extra_attr</v>
      </c>
      <c r="N396" s="76">
        <f ca="1">IF(MOD(COUNTIF($Q$11:Q395,Q395),5)=0,OFFSET(装备属性!$K$1083,1+INT(COUNTA($Q$11:Q395)/5),0),N395)</f>
        <v>0.5</v>
      </c>
      <c r="O396" s="76">
        <f ca="1">IF(MOD(COUNTIF($Q$11:Q395,Q395),5)=0,OFFSET(装备属性!$L$1083,1+INT(COUNTA($Q$11:Q395)/5),0),O395)</f>
        <v>0.5</v>
      </c>
      <c r="Q396" s="89" t="str">
        <f ca="1">IF(MOD(COUNTIF($Q$11:Q395,Q395),5)=0,OFFSET(装备属性!$M$1083,1+INT(COUNTA($Q$11:Q395)/5),0),Q395)</f>
        <v>稀有词条</v>
      </c>
      <c r="R396" s="83" t="e">
        <f ca="1">IF(MOD(COUNTIF($Q$11:Q395,Q395),5)=0,10000*SUBSTITUTE(SUBSTITUTE(OFFSET(装备属性!$F$1083,1+INT(COUNTA($Q$11:Q395)/5),0),"[",""),"]","")+_xlfn.XLOOKUP(C396,$M$3:$M$7,$N$3:$N$7)*100,R395)</f>
        <v>#N/A</v>
      </c>
    </row>
    <row r="397" customHeight="1" spans="1:18">
      <c r="A397" s="78" t="str">
        <f ca="1" t="shared" si="18"/>
        <v/>
      </c>
      <c r="B397" s="82" t="str">
        <f ca="1">IFERROR(R397+COUNTIFS($R$11:$R397,R397),"")</f>
        <v/>
      </c>
      <c r="C397" s="83">
        <f ca="1">IF(MOD(COUNTIF($Q$11:Q396,Q396),5)=0,OFFSET(装备属性!$D$1083,1+INT(COUNTA($Q$11:Q396)/5),0),C396)</f>
        <v>0</v>
      </c>
      <c r="D397" s="82">
        <f t="shared" si="17"/>
        <v>2500</v>
      </c>
      <c r="F397" s="82" t="str">
        <f ca="1" t="shared" si="19"/>
        <v/>
      </c>
      <c r="G397" s="78" t="str">
        <f ca="1">IF(AND(LEFT("[{"&amp;M397&amp;","&amp;CEILING(N397*10000+(O397-N397)/4*(COUNTIF($F$11:F397,F397)-1)*10000,10)&amp;"}]",7)="[{equip",MID("[{"&amp;M397&amp;","&amp;CEILING(N397*10000+(O397-N397)/4*(COUNTIF($F$11:F397,F397)-1)*10000,10)&amp;"}]",8,1)&lt;&gt;"_"),"[{"&amp;M397&amp;","&amp;1&amp;"}]","[{"&amp;M397&amp;","&amp;CEILING(N397*10000+(O397-N397)/4*(COUNTIF($F$11:F397,F397)-1)*10000,10)&amp;"}]")</f>
        <v>[{equip_extra_attr,5000}]</v>
      </c>
      <c r="H397" s="82" t="s">
        <v>563</v>
      </c>
      <c r="J397" s="78">
        <f ca="1">IF(MOD(COUNTIF($Q$11:Q396,Q396),5)=0,OFFSET(装备属性!$P$1083,1+INT(COUNTA($Q$11:Q396)/5),0),J396)</f>
        <v>8</v>
      </c>
      <c r="K397" s="83" t="str">
        <f ca="1">IF(RIGHT(G397,13)="rune_slot,1}]",_xlfn.XLOOKUP(LEFT(SUBSTITUTE(G397,"[{",""),FIND(",",SUBSTITUTE(G397,"[{",""))-1),Sheet2!B:B,Sheet2!C:C)&amp;"+"&amp;1,_xlfn.XLOOKUP(LEFT(SUBSTITUTE(G397,"[{",""),FIND(",",SUBSTITUTE(G397,"[{",""))-1),Sheet2!B:B,Sheet2!C:C)&amp;"+"&amp;SUBSTITUTE(RIGHT(G397,LEN(G397)-FIND(",",G397)),"}]","")/100&amp;"%")</f>
        <v>装备附加属性加成+50%</v>
      </c>
      <c r="L397" s="83" t="str">
        <f ca="1">IF(MOD(COUNTIF($Q$11:Q396,Q396),5)=0,OFFSET(装备属性!$G$1083,1+INT(COUNTA($Q$11:Q396)/5),0),L396)</f>
        <v>提成色</v>
      </c>
      <c r="M397" s="89" t="str">
        <f ca="1">IF(MOD(COUNTIF($Q$11:Q396,Q396),5)=0,OFFSET(装备属性!$H$1083,1+INT(COUNTA($Q$11:Q396)/5),0),M396)</f>
        <v>equip_extra_attr</v>
      </c>
      <c r="N397" s="76">
        <f ca="1">IF(MOD(COUNTIF($Q$11:Q396,Q396),5)=0,OFFSET(装备属性!$K$1083,1+INT(COUNTA($Q$11:Q396)/5),0),N396)</f>
        <v>0.5</v>
      </c>
      <c r="O397" s="76">
        <f ca="1">IF(MOD(COUNTIF($Q$11:Q396,Q396),5)=0,OFFSET(装备属性!$L$1083,1+INT(COUNTA($Q$11:Q396)/5),0),O396)</f>
        <v>0.5</v>
      </c>
      <c r="Q397" s="89" t="str">
        <f ca="1">IF(MOD(COUNTIF($Q$11:Q396,Q396),5)=0,OFFSET(装备属性!$M$1083,1+INT(COUNTA($Q$11:Q396)/5),0),Q396)</f>
        <v>稀有词条</v>
      </c>
      <c r="R397" s="83" t="e">
        <f ca="1">IF(MOD(COUNTIF($Q$11:Q396,Q396),5)=0,10000*SUBSTITUTE(SUBSTITUTE(OFFSET(装备属性!$F$1083,1+INT(COUNTA($Q$11:Q396)/5),0),"[",""),"]","")+_xlfn.XLOOKUP(C397,$M$3:$M$7,$N$3:$N$7)*100,R396)</f>
        <v>#N/A</v>
      </c>
    </row>
    <row r="398" customHeight="1" spans="1:18">
      <c r="A398" s="78" t="str">
        <f ca="1" t="shared" si="18"/>
        <v/>
      </c>
      <c r="B398" s="82" t="str">
        <f ca="1">IFERROR(R398+COUNTIFS($R$11:$R398,R398),"")</f>
        <v/>
      </c>
      <c r="C398" s="83">
        <f ca="1">IF(MOD(COUNTIF($Q$11:Q397,Q397),5)=0,OFFSET(装备属性!$D$1083,1+INT(COUNTA($Q$11:Q397)/5),0),C397)</f>
        <v>0</v>
      </c>
      <c r="D398" s="82">
        <f t="shared" si="17"/>
        <v>2000</v>
      </c>
      <c r="F398" s="82" t="str">
        <f ca="1" t="shared" si="19"/>
        <v/>
      </c>
      <c r="G398" s="78" t="str">
        <f ca="1">IF(AND(LEFT("[{"&amp;M398&amp;","&amp;CEILING(N398*10000+(O398-N398)/4*(COUNTIF($F$11:F398,F398)-1)*10000,10)&amp;"}]",7)="[{equip",MID("[{"&amp;M398&amp;","&amp;CEILING(N398*10000+(O398-N398)/4*(COUNTIF($F$11:F398,F398)-1)*10000,10)&amp;"}]",8,1)&lt;&gt;"_"),"[{"&amp;M398&amp;","&amp;1&amp;"}]","[{"&amp;M398&amp;","&amp;CEILING(N398*10000+(O398-N398)/4*(COUNTIF($F$11:F398,F398)-1)*10000,10)&amp;"}]")</f>
        <v>[{equip_extra_attr,5000}]</v>
      </c>
      <c r="H398" s="82" t="s">
        <v>563</v>
      </c>
      <c r="J398" s="78">
        <f ca="1">IF(MOD(COUNTIF($Q$11:Q397,Q397),5)=0,OFFSET(装备属性!$P$1083,1+INT(COUNTA($Q$11:Q397)/5),0),J397)</f>
        <v>8</v>
      </c>
      <c r="K398" s="83" t="str">
        <f ca="1">IF(RIGHT(G398,13)="rune_slot,1}]",_xlfn.XLOOKUP(LEFT(SUBSTITUTE(G398,"[{",""),FIND(",",SUBSTITUTE(G398,"[{",""))-1),Sheet2!B:B,Sheet2!C:C)&amp;"+"&amp;1,_xlfn.XLOOKUP(LEFT(SUBSTITUTE(G398,"[{",""),FIND(",",SUBSTITUTE(G398,"[{",""))-1),Sheet2!B:B,Sheet2!C:C)&amp;"+"&amp;SUBSTITUTE(RIGHT(G398,LEN(G398)-FIND(",",G398)),"}]","")/100&amp;"%")</f>
        <v>装备附加属性加成+50%</v>
      </c>
      <c r="L398" s="83" t="str">
        <f ca="1">IF(MOD(COUNTIF($Q$11:Q397,Q397),5)=0,OFFSET(装备属性!$G$1083,1+INT(COUNTA($Q$11:Q397)/5),0),L397)</f>
        <v>提成色</v>
      </c>
      <c r="M398" s="89" t="str">
        <f ca="1">IF(MOD(COUNTIF($Q$11:Q397,Q397),5)=0,OFFSET(装备属性!$H$1083,1+INT(COUNTA($Q$11:Q397)/5),0),M397)</f>
        <v>equip_extra_attr</v>
      </c>
      <c r="N398" s="76">
        <f ca="1">IF(MOD(COUNTIF($Q$11:Q397,Q397),5)=0,OFFSET(装备属性!$K$1083,1+INT(COUNTA($Q$11:Q397)/5),0),N397)</f>
        <v>0.5</v>
      </c>
      <c r="O398" s="76">
        <f ca="1">IF(MOD(COUNTIF($Q$11:Q397,Q397),5)=0,OFFSET(装备属性!$L$1083,1+INT(COUNTA($Q$11:Q397)/5),0),O397)</f>
        <v>0.5</v>
      </c>
      <c r="Q398" s="89" t="str">
        <f ca="1">IF(MOD(COUNTIF($Q$11:Q397,Q397),5)=0,OFFSET(装备属性!$M$1083,1+INT(COUNTA($Q$11:Q397)/5),0),Q397)</f>
        <v>稀有词条</v>
      </c>
      <c r="R398" s="83" t="e">
        <f ca="1">IF(MOD(COUNTIF($Q$11:Q397,Q397),5)=0,10000*SUBSTITUTE(SUBSTITUTE(OFFSET(装备属性!$F$1083,1+INT(COUNTA($Q$11:Q397)/5),0),"[",""),"]","")+_xlfn.XLOOKUP(C398,$M$3:$M$7,$N$3:$N$7)*100,R397)</f>
        <v>#N/A</v>
      </c>
    </row>
    <row r="399" customHeight="1" spans="1:18">
      <c r="A399" s="78" t="str">
        <f ca="1" t="shared" si="18"/>
        <v/>
      </c>
      <c r="B399" s="82" t="str">
        <f ca="1">IFERROR(R399+COUNTIFS($R$11:$R399,R399),"")</f>
        <v/>
      </c>
      <c r="C399" s="83">
        <f ca="1">IF(MOD(COUNTIF($Q$11:Q398,Q398),5)=0,OFFSET(装备属性!$D$1083,1+INT(COUNTA($Q$11:Q398)/5),0),C398)</f>
        <v>0</v>
      </c>
      <c r="D399" s="82">
        <f t="shared" si="17"/>
        <v>1500</v>
      </c>
      <c r="F399" s="82" t="str">
        <f ca="1" t="shared" si="19"/>
        <v/>
      </c>
      <c r="G399" s="78" t="str">
        <f ca="1">IF(AND(LEFT("[{"&amp;M399&amp;","&amp;CEILING(N399*10000+(O399-N399)/4*(COUNTIF($F$11:F399,F399)-1)*10000,10)&amp;"}]",7)="[{equip",MID("[{"&amp;M399&amp;","&amp;CEILING(N399*10000+(O399-N399)/4*(COUNTIF($F$11:F399,F399)-1)*10000,10)&amp;"}]",8,1)&lt;&gt;"_"),"[{"&amp;M399&amp;","&amp;1&amp;"}]","[{"&amp;M399&amp;","&amp;CEILING(N399*10000+(O399-N399)/4*(COUNTIF($F$11:F399,F399)-1)*10000,10)&amp;"}]")</f>
        <v>[{equip_extra_attr,5000}]</v>
      </c>
      <c r="H399" s="82" t="s">
        <v>563</v>
      </c>
      <c r="J399" s="78">
        <f ca="1">IF(MOD(COUNTIF($Q$11:Q398,Q398),5)=0,OFFSET(装备属性!$P$1083,1+INT(COUNTA($Q$11:Q398)/5),0),J398)</f>
        <v>8</v>
      </c>
      <c r="K399" s="83" t="str">
        <f ca="1">IF(RIGHT(G399,13)="rune_slot,1}]",_xlfn.XLOOKUP(LEFT(SUBSTITUTE(G399,"[{",""),FIND(",",SUBSTITUTE(G399,"[{",""))-1),Sheet2!B:B,Sheet2!C:C)&amp;"+"&amp;1,_xlfn.XLOOKUP(LEFT(SUBSTITUTE(G399,"[{",""),FIND(",",SUBSTITUTE(G399,"[{",""))-1),Sheet2!B:B,Sheet2!C:C)&amp;"+"&amp;SUBSTITUTE(RIGHT(G399,LEN(G399)-FIND(",",G399)),"}]","")/100&amp;"%")</f>
        <v>装备附加属性加成+50%</v>
      </c>
      <c r="L399" s="83" t="str">
        <f ca="1">IF(MOD(COUNTIF($Q$11:Q398,Q398),5)=0,OFFSET(装备属性!$G$1083,1+INT(COUNTA($Q$11:Q398)/5),0),L398)</f>
        <v>提成色</v>
      </c>
      <c r="M399" s="89" t="str">
        <f ca="1">IF(MOD(COUNTIF($Q$11:Q398,Q398),5)=0,OFFSET(装备属性!$H$1083,1+INT(COUNTA($Q$11:Q398)/5),0),M398)</f>
        <v>equip_extra_attr</v>
      </c>
      <c r="N399" s="76">
        <f ca="1">IF(MOD(COUNTIF($Q$11:Q398,Q398),5)=0,OFFSET(装备属性!$K$1083,1+INT(COUNTA($Q$11:Q398)/5),0),N398)</f>
        <v>0.5</v>
      </c>
      <c r="O399" s="76">
        <f ca="1">IF(MOD(COUNTIF($Q$11:Q398,Q398),5)=0,OFFSET(装备属性!$L$1083,1+INT(COUNTA($Q$11:Q398)/5),0),O398)</f>
        <v>0.5</v>
      </c>
      <c r="Q399" s="89" t="str">
        <f ca="1">IF(MOD(COUNTIF($Q$11:Q398,Q398),5)=0,OFFSET(装备属性!$M$1083,1+INT(COUNTA($Q$11:Q398)/5),0),Q398)</f>
        <v>稀有词条</v>
      </c>
      <c r="R399" s="83" t="e">
        <f ca="1">IF(MOD(COUNTIF($Q$11:Q398,Q398),5)=0,10000*SUBSTITUTE(SUBSTITUTE(OFFSET(装备属性!$F$1083,1+INT(COUNTA($Q$11:Q398)/5),0),"[",""),"]","")+_xlfn.XLOOKUP(C399,$M$3:$M$7,$N$3:$N$7)*100,R398)</f>
        <v>#N/A</v>
      </c>
    </row>
    <row r="400" customHeight="1" spans="1:18">
      <c r="A400" s="78" t="str">
        <f ca="1" t="shared" si="18"/>
        <v/>
      </c>
      <c r="B400" s="82" t="str">
        <f ca="1">IFERROR(R400+COUNTIFS($R$11:$R400,R400),"")</f>
        <v/>
      </c>
      <c r="C400" s="83">
        <f ca="1">IF(MOD(COUNTIF($Q$11:Q399,Q399),5)=0,OFFSET(装备属性!$D$1083,1+INT(COUNTA($Q$11:Q399)/5),0),C399)</f>
        <v>0</v>
      </c>
      <c r="D400" s="82">
        <f t="shared" si="17"/>
        <v>1000</v>
      </c>
      <c r="F400" s="82" t="str">
        <f ca="1" t="shared" si="19"/>
        <v/>
      </c>
      <c r="G400" s="78" t="str">
        <f ca="1">IF(AND(LEFT("[{"&amp;M400&amp;","&amp;CEILING(N400*10000+(O400-N400)/4*(COUNTIF($F$11:F400,F400)-1)*10000,10)&amp;"}]",7)="[{equip",MID("[{"&amp;M400&amp;","&amp;CEILING(N400*10000+(O400-N400)/4*(COUNTIF($F$11:F400,F400)-1)*10000,10)&amp;"}]",8,1)&lt;&gt;"_"),"[{"&amp;M400&amp;","&amp;1&amp;"}]","[{"&amp;M400&amp;","&amp;CEILING(N400*10000+(O400-N400)/4*(COUNTIF($F$11:F400,F400)-1)*10000,10)&amp;"}]")</f>
        <v>[{equip_extra_attr,5000}]</v>
      </c>
      <c r="H400" s="82" t="s">
        <v>563</v>
      </c>
      <c r="J400" s="78">
        <f ca="1">IF(MOD(COUNTIF($Q$11:Q399,Q399),5)=0,OFFSET(装备属性!$P$1083,1+INT(COUNTA($Q$11:Q399)/5),0),J399)</f>
        <v>8</v>
      </c>
      <c r="K400" s="83" t="str">
        <f ca="1">IF(RIGHT(G400,13)="rune_slot,1}]",_xlfn.XLOOKUP(LEFT(SUBSTITUTE(G400,"[{",""),FIND(",",SUBSTITUTE(G400,"[{",""))-1),Sheet2!B:B,Sheet2!C:C)&amp;"+"&amp;1,_xlfn.XLOOKUP(LEFT(SUBSTITUTE(G400,"[{",""),FIND(",",SUBSTITUTE(G400,"[{",""))-1),Sheet2!B:B,Sheet2!C:C)&amp;"+"&amp;SUBSTITUTE(RIGHT(G400,LEN(G400)-FIND(",",G400)),"}]","")/100&amp;"%")</f>
        <v>装备附加属性加成+50%</v>
      </c>
      <c r="L400" s="83" t="str">
        <f ca="1">IF(MOD(COUNTIF($Q$11:Q399,Q399),5)=0,OFFSET(装备属性!$G$1083,1+INT(COUNTA($Q$11:Q399)/5),0),L399)</f>
        <v>提成色</v>
      </c>
      <c r="M400" s="89" t="str">
        <f ca="1">IF(MOD(COUNTIF($Q$11:Q399,Q399),5)=0,OFFSET(装备属性!$H$1083,1+INT(COUNTA($Q$11:Q399)/5),0),M399)</f>
        <v>equip_extra_attr</v>
      </c>
      <c r="N400" s="76">
        <f ca="1">IF(MOD(COUNTIF($Q$11:Q399,Q399),5)=0,OFFSET(装备属性!$K$1083,1+INT(COUNTA($Q$11:Q399)/5),0),N399)</f>
        <v>0.5</v>
      </c>
      <c r="O400" s="76">
        <f ca="1">IF(MOD(COUNTIF($Q$11:Q399,Q399),5)=0,OFFSET(装备属性!$L$1083,1+INT(COUNTA($Q$11:Q399)/5),0),O399)</f>
        <v>0.5</v>
      </c>
      <c r="Q400" s="89" t="str">
        <f ca="1">IF(MOD(COUNTIF($Q$11:Q399,Q399),5)=0,OFFSET(装备属性!$M$1083,1+INT(COUNTA($Q$11:Q399)/5),0),Q399)</f>
        <v>稀有词条</v>
      </c>
      <c r="R400" s="83" t="e">
        <f ca="1">IF(MOD(COUNTIF($Q$11:Q399,Q399),5)=0,10000*SUBSTITUTE(SUBSTITUTE(OFFSET(装备属性!$F$1083,1+INT(COUNTA($Q$11:Q399)/5),0),"[",""),"]","")+_xlfn.XLOOKUP(C400,$M$3:$M$7,$N$3:$N$7)*100,R399)</f>
        <v>#N/A</v>
      </c>
    </row>
    <row r="401" customHeight="1" spans="1:18">
      <c r="A401" s="78" t="str">
        <f ca="1" t="shared" si="18"/>
        <v/>
      </c>
      <c r="B401" s="82" t="str">
        <f ca="1">IFERROR(R401+COUNTIFS($R$11:$R401,R401),"")</f>
        <v/>
      </c>
      <c r="C401" s="83">
        <f ca="1">IF(MOD(COUNTIF($Q$11:Q400,Q400),5)=0,OFFSET(装备属性!$D$1083,1+INT(COUNTA($Q$11:Q400)/5),0),C400)</f>
        <v>0</v>
      </c>
      <c r="D401" s="82">
        <f t="shared" ref="D401:D464" si="20">D396</f>
        <v>3000</v>
      </c>
      <c r="F401" s="82" t="str">
        <f ca="1" t="shared" si="19"/>
        <v/>
      </c>
      <c r="G401" s="78" t="str">
        <f ca="1">IF(AND(LEFT("[{"&amp;M401&amp;","&amp;CEILING(N401*10000+(O401-N401)/4*(COUNTIF($F$11:F401,F401)-1)*10000,10)&amp;"}]",7)="[{equip",MID("[{"&amp;M401&amp;","&amp;CEILING(N401*10000+(O401-N401)/4*(COUNTIF($F$11:F401,F401)-1)*10000,10)&amp;"}]",8,1)&lt;&gt;"_"),"[{"&amp;M401&amp;","&amp;1&amp;"}]","[{"&amp;M401&amp;","&amp;CEILING(N401*10000+(O401-N401)/4*(COUNTIF($F$11:F401,F401)-1)*10000,10)&amp;"}]")</f>
        <v>[{equip1_rune_slot,1}]</v>
      </c>
      <c r="H401" s="82" t="s">
        <v>563</v>
      </c>
      <c r="J401" s="78">
        <f ca="1">IF(MOD(COUNTIF($Q$11:Q400,Q400),5)=0,OFFSET(装备属性!$P$1083,1+INT(COUNTA($Q$11:Q400)/5),0),J400)</f>
        <v>1</v>
      </c>
      <c r="K401" s="83" t="str">
        <f ca="1">IF(RIGHT(G401,13)="rune_slot,1}]",_xlfn.XLOOKUP(LEFT(SUBSTITUTE(G401,"[{",""),FIND(",",SUBSTITUTE(G401,"[{",""))-1),Sheet2!B:B,Sheet2!C:C)&amp;"+"&amp;1,_xlfn.XLOOKUP(LEFT(SUBSTITUTE(G401,"[{",""),FIND(",",SUBSTITUTE(G401,"[{",""))-1),Sheet2!B:B,Sheet2!C:C)&amp;"+"&amp;SUBSTITUTE(RIGHT(G401,LEN(G401)-FIND(",",G401)),"}]","")/100&amp;"%")</f>
        <v>衣服符文孔位+1</v>
      </c>
      <c r="L401" s="83" t="str">
        <f ca="1">IF(MOD(COUNTIF($Q$11:Q400,Q400),5)=0,OFFSET(装备属性!$G$1083,1+INT(COUNTA($Q$11:Q400)/5),0),L400)</f>
        <v>扩符槽</v>
      </c>
      <c r="M401" s="89" t="str">
        <f ca="1">IF(MOD(COUNTIF($Q$11:Q400,Q400),5)=0,OFFSET(装备属性!$H$1083,1+INT(COUNTA($Q$11:Q400)/5),0),M400)</f>
        <v>equip1_rune_slot</v>
      </c>
      <c r="N401" s="76">
        <f ca="1">IF(MOD(COUNTIF($Q$11:Q400,Q400),5)=0,OFFSET(装备属性!$K$1083,1+INT(COUNTA($Q$11:Q400)/5),0),N400)</f>
        <v>1</v>
      </c>
      <c r="O401" s="76">
        <f ca="1">IF(MOD(COUNTIF($Q$11:Q400,Q400),5)=0,OFFSET(装备属性!$L$1083,1+INT(COUNTA($Q$11:Q400)/5),0),O400)</f>
        <v>1</v>
      </c>
      <c r="Q401" s="89" t="str">
        <f ca="1">IF(MOD(COUNTIF($Q$11:Q400,Q400),5)=0,OFFSET(装备属性!$M$1083,1+INT(COUNTA($Q$11:Q400)/5),0),Q400)</f>
        <v>稀有词条</v>
      </c>
      <c r="R401" s="83" t="e">
        <f ca="1">IF(MOD(COUNTIF($Q$11:Q400,Q400),5)=0,10000*SUBSTITUTE(SUBSTITUTE(OFFSET(装备属性!$F$1083,1+INT(COUNTA($Q$11:Q400)/5),0),"[",""),"]","")+_xlfn.XLOOKUP(C401,$M$3:$M$7,$N$3:$N$7)*100,R400)</f>
        <v>#N/A</v>
      </c>
    </row>
    <row r="402" customHeight="1" spans="1:18">
      <c r="A402" s="78" t="str">
        <f ca="1" t="shared" si="18"/>
        <v/>
      </c>
      <c r="B402" s="82" t="str">
        <f ca="1">IFERROR(R402+COUNTIFS($R$11:$R402,R402),"")</f>
        <v/>
      </c>
      <c r="C402" s="83">
        <f ca="1">IF(MOD(COUNTIF($Q$11:Q401,Q401),5)=0,OFFSET(装备属性!$D$1083,1+INT(COUNTA($Q$11:Q401)/5),0),C401)</f>
        <v>0</v>
      </c>
      <c r="D402" s="82">
        <f t="shared" si="20"/>
        <v>2500</v>
      </c>
      <c r="F402" s="82" t="str">
        <f ca="1" t="shared" si="19"/>
        <v/>
      </c>
      <c r="G402" s="78" t="str">
        <f ca="1">IF(AND(LEFT("[{"&amp;M402&amp;","&amp;CEILING(N402*10000+(O402-N402)/4*(COUNTIF($F$11:F402,F402)-1)*10000,10)&amp;"}]",7)="[{equip",MID("[{"&amp;M402&amp;","&amp;CEILING(N402*10000+(O402-N402)/4*(COUNTIF($F$11:F402,F402)-1)*10000,10)&amp;"}]",8,1)&lt;&gt;"_"),"[{"&amp;M402&amp;","&amp;1&amp;"}]","[{"&amp;M402&amp;","&amp;CEILING(N402*10000+(O402-N402)/4*(COUNTIF($F$11:F402,F402)-1)*10000,10)&amp;"}]")</f>
        <v>[{equip1_rune_slot,1}]</v>
      </c>
      <c r="H402" s="82" t="s">
        <v>563</v>
      </c>
      <c r="J402" s="78">
        <f ca="1">IF(MOD(COUNTIF($Q$11:Q401,Q401),5)=0,OFFSET(装备属性!$P$1083,1+INT(COUNTA($Q$11:Q401)/5),0),J401)</f>
        <v>1</v>
      </c>
      <c r="K402" s="83" t="str">
        <f ca="1">IF(RIGHT(G402,13)="rune_slot,1}]",_xlfn.XLOOKUP(LEFT(SUBSTITUTE(G402,"[{",""),FIND(",",SUBSTITUTE(G402,"[{",""))-1),Sheet2!B:B,Sheet2!C:C)&amp;"+"&amp;1,_xlfn.XLOOKUP(LEFT(SUBSTITUTE(G402,"[{",""),FIND(",",SUBSTITUTE(G402,"[{",""))-1),Sheet2!B:B,Sheet2!C:C)&amp;"+"&amp;SUBSTITUTE(RIGHT(G402,LEN(G402)-FIND(",",G402)),"}]","")/100&amp;"%")</f>
        <v>衣服符文孔位+1</v>
      </c>
      <c r="L402" s="83" t="str">
        <f ca="1">IF(MOD(COUNTIF($Q$11:Q401,Q401),5)=0,OFFSET(装备属性!$G$1083,1+INT(COUNTA($Q$11:Q401)/5),0),L401)</f>
        <v>扩符槽</v>
      </c>
      <c r="M402" s="89" t="str">
        <f ca="1">IF(MOD(COUNTIF($Q$11:Q401,Q401),5)=0,OFFSET(装备属性!$H$1083,1+INT(COUNTA($Q$11:Q401)/5),0),M401)</f>
        <v>equip1_rune_slot</v>
      </c>
      <c r="N402" s="76">
        <f ca="1">IF(MOD(COUNTIF($Q$11:Q401,Q401),5)=0,OFFSET(装备属性!$K$1083,1+INT(COUNTA($Q$11:Q401)/5),0),N401)</f>
        <v>1</v>
      </c>
      <c r="O402" s="76">
        <f ca="1">IF(MOD(COUNTIF($Q$11:Q401,Q401),5)=0,OFFSET(装备属性!$L$1083,1+INT(COUNTA($Q$11:Q401)/5),0),O401)</f>
        <v>1</v>
      </c>
      <c r="Q402" s="89" t="str">
        <f ca="1">IF(MOD(COUNTIF($Q$11:Q401,Q401),5)=0,OFFSET(装备属性!$M$1083,1+INT(COUNTA($Q$11:Q401)/5),0),Q401)</f>
        <v>稀有词条</v>
      </c>
      <c r="R402" s="83" t="e">
        <f ca="1">IF(MOD(COUNTIF($Q$11:Q401,Q401),5)=0,10000*SUBSTITUTE(SUBSTITUTE(OFFSET(装备属性!$F$1083,1+INT(COUNTA($Q$11:Q401)/5),0),"[",""),"]","")+_xlfn.XLOOKUP(C402,$M$3:$M$7,$N$3:$N$7)*100,R401)</f>
        <v>#N/A</v>
      </c>
    </row>
    <row r="403" customHeight="1" spans="1:18">
      <c r="A403" s="78" t="str">
        <f ca="1" t="shared" si="18"/>
        <v/>
      </c>
      <c r="B403" s="82" t="str">
        <f ca="1">IFERROR(R403+COUNTIFS($R$11:$R403,R403),"")</f>
        <v/>
      </c>
      <c r="C403" s="83">
        <f ca="1">IF(MOD(COUNTIF($Q$11:Q402,Q402),5)=0,OFFSET(装备属性!$D$1083,1+INT(COUNTA($Q$11:Q402)/5),0),C402)</f>
        <v>0</v>
      </c>
      <c r="D403" s="82">
        <f t="shared" si="20"/>
        <v>2000</v>
      </c>
      <c r="F403" s="82" t="str">
        <f ca="1" t="shared" si="19"/>
        <v/>
      </c>
      <c r="G403" s="78" t="str">
        <f ca="1">IF(AND(LEFT("[{"&amp;M403&amp;","&amp;CEILING(N403*10000+(O403-N403)/4*(COUNTIF($F$11:F403,F403)-1)*10000,10)&amp;"}]",7)="[{equip",MID("[{"&amp;M403&amp;","&amp;CEILING(N403*10000+(O403-N403)/4*(COUNTIF($F$11:F403,F403)-1)*10000,10)&amp;"}]",8,1)&lt;&gt;"_"),"[{"&amp;M403&amp;","&amp;1&amp;"}]","[{"&amp;M403&amp;","&amp;CEILING(N403*10000+(O403-N403)/4*(COUNTIF($F$11:F403,F403)-1)*10000,10)&amp;"}]")</f>
        <v>[{equip1_rune_slot,1}]</v>
      </c>
      <c r="H403" s="82" t="s">
        <v>563</v>
      </c>
      <c r="J403" s="78">
        <f ca="1">IF(MOD(COUNTIF($Q$11:Q402,Q402),5)=0,OFFSET(装备属性!$P$1083,1+INT(COUNTA($Q$11:Q402)/5),0),J402)</f>
        <v>1</v>
      </c>
      <c r="K403" s="83" t="str">
        <f ca="1">IF(RIGHT(G403,13)="rune_slot,1}]",_xlfn.XLOOKUP(LEFT(SUBSTITUTE(G403,"[{",""),FIND(",",SUBSTITUTE(G403,"[{",""))-1),Sheet2!B:B,Sheet2!C:C)&amp;"+"&amp;1,_xlfn.XLOOKUP(LEFT(SUBSTITUTE(G403,"[{",""),FIND(",",SUBSTITUTE(G403,"[{",""))-1),Sheet2!B:B,Sheet2!C:C)&amp;"+"&amp;SUBSTITUTE(RIGHT(G403,LEN(G403)-FIND(",",G403)),"}]","")/100&amp;"%")</f>
        <v>衣服符文孔位+1</v>
      </c>
      <c r="L403" s="83" t="str">
        <f ca="1">IF(MOD(COUNTIF($Q$11:Q402,Q402),5)=0,OFFSET(装备属性!$G$1083,1+INT(COUNTA($Q$11:Q402)/5),0),L402)</f>
        <v>扩符槽</v>
      </c>
      <c r="M403" s="89" t="str">
        <f ca="1">IF(MOD(COUNTIF($Q$11:Q402,Q402),5)=0,OFFSET(装备属性!$H$1083,1+INT(COUNTA($Q$11:Q402)/5),0),M402)</f>
        <v>equip1_rune_slot</v>
      </c>
      <c r="N403" s="76">
        <f ca="1">IF(MOD(COUNTIF($Q$11:Q402,Q402),5)=0,OFFSET(装备属性!$K$1083,1+INT(COUNTA($Q$11:Q402)/5),0),N402)</f>
        <v>1</v>
      </c>
      <c r="O403" s="76">
        <f ca="1">IF(MOD(COUNTIF($Q$11:Q402,Q402),5)=0,OFFSET(装备属性!$L$1083,1+INT(COUNTA($Q$11:Q402)/5),0),O402)</f>
        <v>1</v>
      </c>
      <c r="Q403" s="89" t="str">
        <f ca="1">IF(MOD(COUNTIF($Q$11:Q402,Q402),5)=0,OFFSET(装备属性!$M$1083,1+INT(COUNTA($Q$11:Q402)/5),0),Q402)</f>
        <v>稀有词条</v>
      </c>
      <c r="R403" s="83" t="e">
        <f ca="1">IF(MOD(COUNTIF($Q$11:Q402,Q402),5)=0,10000*SUBSTITUTE(SUBSTITUTE(OFFSET(装备属性!$F$1083,1+INT(COUNTA($Q$11:Q402)/5),0),"[",""),"]","")+_xlfn.XLOOKUP(C403,$M$3:$M$7,$N$3:$N$7)*100,R402)</f>
        <v>#N/A</v>
      </c>
    </row>
    <row r="404" customHeight="1" spans="1:18">
      <c r="A404" s="78" t="str">
        <f ca="1" t="shared" si="18"/>
        <v/>
      </c>
      <c r="B404" s="82" t="str">
        <f ca="1">IFERROR(R404+COUNTIFS($R$11:$R404,R404),"")</f>
        <v/>
      </c>
      <c r="C404" s="83">
        <f ca="1">IF(MOD(COUNTIF($Q$11:Q403,Q403),5)=0,OFFSET(装备属性!$D$1083,1+INT(COUNTA($Q$11:Q403)/5),0),C403)</f>
        <v>0</v>
      </c>
      <c r="D404" s="82">
        <f t="shared" si="20"/>
        <v>1500</v>
      </c>
      <c r="F404" s="82" t="str">
        <f ca="1" t="shared" si="19"/>
        <v/>
      </c>
      <c r="G404" s="78" t="str">
        <f ca="1">IF(AND(LEFT("[{"&amp;M404&amp;","&amp;CEILING(N404*10000+(O404-N404)/4*(COUNTIF($F$11:F404,F404)-1)*10000,10)&amp;"}]",7)="[{equip",MID("[{"&amp;M404&amp;","&amp;CEILING(N404*10000+(O404-N404)/4*(COUNTIF($F$11:F404,F404)-1)*10000,10)&amp;"}]",8,1)&lt;&gt;"_"),"[{"&amp;M404&amp;","&amp;1&amp;"}]","[{"&amp;M404&amp;","&amp;CEILING(N404*10000+(O404-N404)/4*(COUNTIF($F$11:F404,F404)-1)*10000,10)&amp;"}]")</f>
        <v>[{equip1_rune_slot,1}]</v>
      </c>
      <c r="H404" s="82" t="s">
        <v>563</v>
      </c>
      <c r="J404" s="78">
        <f ca="1">IF(MOD(COUNTIF($Q$11:Q403,Q403),5)=0,OFFSET(装备属性!$P$1083,1+INT(COUNTA($Q$11:Q403)/5),0),J403)</f>
        <v>1</v>
      </c>
      <c r="K404" s="83" t="str">
        <f ca="1">IF(RIGHT(G404,13)="rune_slot,1}]",_xlfn.XLOOKUP(LEFT(SUBSTITUTE(G404,"[{",""),FIND(",",SUBSTITUTE(G404,"[{",""))-1),Sheet2!B:B,Sheet2!C:C)&amp;"+"&amp;1,_xlfn.XLOOKUP(LEFT(SUBSTITUTE(G404,"[{",""),FIND(",",SUBSTITUTE(G404,"[{",""))-1),Sheet2!B:B,Sheet2!C:C)&amp;"+"&amp;SUBSTITUTE(RIGHT(G404,LEN(G404)-FIND(",",G404)),"}]","")/100&amp;"%")</f>
        <v>衣服符文孔位+1</v>
      </c>
      <c r="L404" s="83" t="str">
        <f ca="1">IF(MOD(COUNTIF($Q$11:Q403,Q403),5)=0,OFFSET(装备属性!$G$1083,1+INT(COUNTA($Q$11:Q403)/5),0),L403)</f>
        <v>扩符槽</v>
      </c>
      <c r="M404" s="89" t="str">
        <f ca="1">IF(MOD(COUNTIF($Q$11:Q403,Q403),5)=0,OFFSET(装备属性!$H$1083,1+INT(COUNTA($Q$11:Q403)/5),0),M403)</f>
        <v>equip1_rune_slot</v>
      </c>
      <c r="N404" s="76">
        <f ca="1">IF(MOD(COUNTIF($Q$11:Q403,Q403),5)=0,OFFSET(装备属性!$K$1083,1+INT(COUNTA($Q$11:Q403)/5),0),N403)</f>
        <v>1</v>
      </c>
      <c r="O404" s="76">
        <f ca="1">IF(MOD(COUNTIF($Q$11:Q403,Q403),5)=0,OFFSET(装备属性!$L$1083,1+INT(COUNTA($Q$11:Q403)/5),0),O403)</f>
        <v>1</v>
      </c>
      <c r="Q404" s="89" t="str">
        <f ca="1">IF(MOD(COUNTIF($Q$11:Q403,Q403),5)=0,OFFSET(装备属性!$M$1083,1+INT(COUNTA($Q$11:Q403)/5),0),Q403)</f>
        <v>稀有词条</v>
      </c>
      <c r="R404" s="83" t="e">
        <f ca="1">IF(MOD(COUNTIF($Q$11:Q403,Q403),5)=0,10000*SUBSTITUTE(SUBSTITUTE(OFFSET(装备属性!$F$1083,1+INT(COUNTA($Q$11:Q403)/5),0),"[",""),"]","")+_xlfn.XLOOKUP(C404,$M$3:$M$7,$N$3:$N$7)*100,R403)</f>
        <v>#N/A</v>
      </c>
    </row>
    <row r="405" customHeight="1" spans="1:18">
      <c r="A405" s="78" t="str">
        <f ca="1" t="shared" si="18"/>
        <v/>
      </c>
      <c r="B405" s="82" t="str">
        <f ca="1">IFERROR(R405+COUNTIFS($R$11:$R405,R405),"")</f>
        <v/>
      </c>
      <c r="C405" s="83">
        <f ca="1">IF(MOD(COUNTIF($Q$11:Q404,Q404),5)=0,OFFSET(装备属性!$D$1083,1+INT(COUNTA($Q$11:Q404)/5),0),C404)</f>
        <v>0</v>
      </c>
      <c r="D405" s="82">
        <f t="shared" si="20"/>
        <v>1000</v>
      </c>
      <c r="F405" s="82" t="str">
        <f ca="1" t="shared" si="19"/>
        <v/>
      </c>
      <c r="G405" s="78" t="str">
        <f ca="1">IF(AND(LEFT("[{"&amp;M405&amp;","&amp;CEILING(N405*10000+(O405-N405)/4*(COUNTIF($F$11:F405,F405)-1)*10000,10)&amp;"}]",7)="[{equip",MID("[{"&amp;M405&amp;","&amp;CEILING(N405*10000+(O405-N405)/4*(COUNTIF($F$11:F405,F405)-1)*10000,10)&amp;"}]",8,1)&lt;&gt;"_"),"[{"&amp;M405&amp;","&amp;1&amp;"}]","[{"&amp;M405&amp;","&amp;CEILING(N405*10000+(O405-N405)/4*(COUNTIF($F$11:F405,F405)-1)*10000,10)&amp;"}]")</f>
        <v>[{equip1_rune_slot,1}]</v>
      </c>
      <c r="H405" s="82" t="s">
        <v>563</v>
      </c>
      <c r="J405" s="78">
        <f ca="1">IF(MOD(COUNTIF($Q$11:Q404,Q404),5)=0,OFFSET(装备属性!$P$1083,1+INT(COUNTA($Q$11:Q404)/5),0),J404)</f>
        <v>1</v>
      </c>
      <c r="K405" s="83" t="str">
        <f ca="1">IF(RIGHT(G405,13)="rune_slot,1}]",_xlfn.XLOOKUP(LEFT(SUBSTITUTE(G405,"[{",""),FIND(",",SUBSTITUTE(G405,"[{",""))-1),Sheet2!B:B,Sheet2!C:C)&amp;"+"&amp;1,_xlfn.XLOOKUP(LEFT(SUBSTITUTE(G405,"[{",""),FIND(",",SUBSTITUTE(G405,"[{",""))-1),Sheet2!B:B,Sheet2!C:C)&amp;"+"&amp;SUBSTITUTE(RIGHT(G405,LEN(G405)-FIND(",",G405)),"}]","")/100&amp;"%")</f>
        <v>衣服符文孔位+1</v>
      </c>
      <c r="L405" s="83" t="str">
        <f ca="1">IF(MOD(COUNTIF($Q$11:Q404,Q404),5)=0,OFFSET(装备属性!$G$1083,1+INT(COUNTA($Q$11:Q404)/5),0),L404)</f>
        <v>扩符槽</v>
      </c>
      <c r="M405" s="89" t="str">
        <f ca="1">IF(MOD(COUNTIF($Q$11:Q404,Q404),5)=0,OFFSET(装备属性!$H$1083,1+INT(COUNTA($Q$11:Q404)/5),0),M404)</f>
        <v>equip1_rune_slot</v>
      </c>
      <c r="N405" s="76">
        <f ca="1">IF(MOD(COUNTIF($Q$11:Q404,Q404),5)=0,OFFSET(装备属性!$K$1083,1+INT(COUNTA($Q$11:Q404)/5),0),N404)</f>
        <v>1</v>
      </c>
      <c r="O405" s="76">
        <f ca="1">IF(MOD(COUNTIF($Q$11:Q404,Q404),5)=0,OFFSET(装备属性!$L$1083,1+INT(COUNTA($Q$11:Q404)/5),0),O404)</f>
        <v>1</v>
      </c>
      <c r="Q405" s="89" t="str">
        <f ca="1">IF(MOD(COUNTIF($Q$11:Q404,Q404),5)=0,OFFSET(装备属性!$M$1083,1+INT(COUNTA($Q$11:Q404)/5),0),Q404)</f>
        <v>稀有词条</v>
      </c>
      <c r="R405" s="83" t="e">
        <f ca="1">IF(MOD(COUNTIF($Q$11:Q404,Q404),5)=0,10000*SUBSTITUTE(SUBSTITUTE(OFFSET(装备属性!$F$1083,1+INT(COUNTA($Q$11:Q404)/5),0),"[",""),"]","")+_xlfn.XLOOKUP(C405,$M$3:$M$7,$N$3:$N$7)*100,R404)</f>
        <v>#N/A</v>
      </c>
    </row>
    <row r="406" customHeight="1" spans="1:18">
      <c r="A406" s="78" t="str">
        <f ca="1" t="shared" si="18"/>
        <v/>
      </c>
      <c r="B406" s="82" t="str">
        <f ca="1">IFERROR(R406+COUNTIFS($R$11:$R406,R406),"")</f>
        <v/>
      </c>
      <c r="C406" s="83">
        <f ca="1">IF(MOD(COUNTIF($Q$11:Q405,Q405),5)=0,OFFSET(装备属性!$D$1083,1+INT(COUNTA($Q$11:Q405)/5),0),C405)</f>
        <v>0</v>
      </c>
      <c r="D406" s="82">
        <f t="shared" si="20"/>
        <v>3000</v>
      </c>
      <c r="F406" s="82" t="str">
        <f ca="1" t="shared" si="19"/>
        <v/>
      </c>
      <c r="G406" s="78" t="str">
        <f ca="1">IF(AND(LEFT("[{"&amp;M406&amp;","&amp;CEILING(N406*10000+(O406-N406)/4*(COUNTIF($F$11:F406,F406)-1)*10000,10)&amp;"}]",7)="[{equip",MID("[{"&amp;M406&amp;","&amp;CEILING(N406*10000+(O406-N406)/4*(COUNTIF($F$11:F406,F406)-1)*10000,10)&amp;"}]",8,1)&lt;&gt;"_"),"[{"&amp;M406&amp;","&amp;1&amp;"}]","[{"&amp;M406&amp;","&amp;CEILING(N406*10000+(O406-N406)/4*(COUNTIF($F$11:F406,F406)-1)*10000,10)&amp;"}]")</f>
        <v>[{chapter_pve_hit_rate,6710}]</v>
      </c>
      <c r="H406" s="82" t="s">
        <v>563</v>
      </c>
      <c r="J406" s="78">
        <f ca="1">IF(MOD(COUNTIF($Q$11:Q405,Q405),5)=0,OFFSET(装备属性!$P$1083,1+INT(COUNTA($Q$11:Q405)/5),0),J405)</f>
        <v>6</v>
      </c>
      <c r="K406" s="83" t="str">
        <f ca="1">IF(RIGHT(G406,13)="rune_slot,1}]",_xlfn.XLOOKUP(LEFT(SUBSTITUTE(G406,"[{",""),FIND(",",SUBSTITUTE(G406,"[{",""))-1),Sheet2!B:B,Sheet2!C:C)&amp;"+"&amp;1,_xlfn.XLOOKUP(LEFT(SUBSTITUTE(G406,"[{",""),FIND(",",SUBSTITUTE(G406,"[{",""))-1),Sheet2!B:B,Sheet2!C:C)&amp;"+"&amp;SUBSTITUTE(RIGHT(G406,LEN(G406)-FIND(",",G406)),"}]","")/100&amp;"%")</f>
        <v>主线挑战增伤+67.1%</v>
      </c>
      <c r="L406" s="83" t="str">
        <f ca="1">IF(MOD(COUNTIF($Q$11:Q405,Q405),5)=0,OFFSET(装备属性!$G$1083,1+INT(COUNTA($Q$11:Q405)/5),0),L405)</f>
        <v>主线清场Ⅱ</v>
      </c>
      <c r="M406" s="89" t="str">
        <f ca="1">IF(MOD(COUNTIF($Q$11:Q405,Q405),5)=0,OFFSET(装备属性!$H$1083,1+INT(COUNTA($Q$11:Q405)/5),0),M405)</f>
        <v>chapter_pve_hit_rate</v>
      </c>
      <c r="N406" s="76">
        <f ca="1">IF(MOD(COUNTIF($Q$11:Q405,Q405),5)=0,OFFSET(装备属性!$K$1083,1+INT(COUNTA($Q$11:Q405)/5),0),N405)</f>
        <v>0.058</v>
      </c>
      <c r="O406" s="76">
        <f ca="1">IF(MOD(COUNTIF($Q$11:Q405,Q405),5)=0,OFFSET(装备属性!$L$1083,1+INT(COUNTA($Q$11:Q405)/5),0),O405)</f>
        <v>0.072</v>
      </c>
      <c r="Q406" s="89" t="str">
        <f ca="1">IF(MOD(COUNTIF($Q$11:Q405,Q405),5)=0,OFFSET(装备属性!$M$1083,1+INT(COUNTA($Q$11:Q405)/5),0),Q405)</f>
        <v>玩法类</v>
      </c>
      <c r="R406" s="83" t="e">
        <f ca="1">IF(MOD(COUNTIF($Q$11:Q405,Q405),5)=0,10000*SUBSTITUTE(SUBSTITUTE(OFFSET(装备属性!$F$1083,1+INT(COUNTA($Q$11:Q405)/5),0),"[",""),"]","")+_xlfn.XLOOKUP(C406,$M$3:$M$7,$N$3:$N$7)*100,R405)</f>
        <v>#N/A</v>
      </c>
    </row>
    <row r="407" customHeight="1" spans="1:18">
      <c r="A407" s="78" t="str">
        <f ca="1" t="shared" si="18"/>
        <v/>
      </c>
      <c r="B407" s="82" t="str">
        <f ca="1">IFERROR(R407+COUNTIFS($R$11:$R407,R407),"")</f>
        <v/>
      </c>
      <c r="C407" s="83">
        <f ca="1">IF(MOD(COUNTIF($Q$11:Q406,Q406),5)=0,OFFSET(装备属性!$D$1083,1+INT(COUNTA($Q$11:Q406)/5),0),C406)</f>
        <v>0</v>
      </c>
      <c r="D407" s="82">
        <f t="shared" si="20"/>
        <v>2500</v>
      </c>
      <c r="F407" s="82" t="str">
        <f ca="1" t="shared" si="19"/>
        <v/>
      </c>
      <c r="G407" s="78" t="str">
        <f ca="1">IF(AND(LEFT("[{"&amp;M407&amp;","&amp;CEILING(N407*10000+(O407-N407)/4*(COUNTIF($F$11:F407,F407)-1)*10000,10)&amp;"}]",7)="[{equip",MID("[{"&amp;M407&amp;","&amp;CEILING(N407*10000+(O407-N407)/4*(COUNTIF($F$11:F407,F407)-1)*10000,10)&amp;"}]",8,1)&lt;&gt;"_"),"[{"&amp;M407&amp;","&amp;1&amp;"}]","[{"&amp;M407&amp;","&amp;CEILING(N407*10000+(O407-N407)/4*(COUNTIF($F$11:F407,F407)-1)*10000,10)&amp;"}]")</f>
        <v>[{chapter_pve_hit_rate,6740}]</v>
      </c>
      <c r="H407" s="82" t="s">
        <v>563</v>
      </c>
      <c r="J407" s="78">
        <f ca="1">IF(MOD(COUNTIF($Q$11:Q406,Q406),5)=0,OFFSET(装备属性!$P$1083,1+INT(COUNTA($Q$11:Q406)/5),0),J406)</f>
        <v>6</v>
      </c>
      <c r="K407" s="83" t="str">
        <f ca="1">IF(RIGHT(G407,13)="rune_slot,1}]",_xlfn.XLOOKUP(LEFT(SUBSTITUTE(G407,"[{",""),FIND(",",SUBSTITUTE(G407,"[{",""))-1),Sheet2!B:B,Sheet2!C:C)&amp;"+"&amp;1,_xlfn.XLOOKUP(LEFT(SUBSTITUTE(G407,"[{",""),FIND(",",SUBSTITUTE(G407,"[{",""))-1),Sheet2!B:B,Sheet2!C:C)&amp;"+"&amp;SUBSTITUTE(RIGHT(G407,LEN(G407)-FIND(",",G407)),"}]","")/100&amp;"%")</f>
        <v>主线挑战增伤+67.4%</v>
      </c>
      <c r="L407" s="83" t="str">
        <f ca="1">IF(MOD(COUNTIF($Q$11:Q406,Q406),5)=0,OFFSET(装备属性!$G$1083,1+INT(COUNTA($Q$11:Q406)/5),0),L406)</f>
        <v>主线清场Ⅱ</v>
      </c>
      <c r="M407" s="89" t="str">
        <f ca="1">IF(MOD(COUNTIF($Q$11:Q406,Q406),5)=0,OFFSET(装备属性!$H$1083,1+INT(COUNTA($Q$11:Q406)/5),0),M406)</f>
        <v>chapter_pve_hit_rate</v>
      </c>
      <c r="N407" s="76">
        <f ca="1">IF(MOD(COUNTIF($Q$11:Q406,Q406),5)=0,OFFSET(装备属性!$K$1083,1+INT(COUNTA($Q$11:Q406)/5),0),N406)</f>
        <v>0.058</v>
      </c>
      <c r="O407" s="76">
        <f ca="1">IF(MOD(COUNTIF($Q$11:Q406,Q406),5)=0,OFFSET(装备属性!$L$1083,1+INT(COUNTA($Q$11:Q406)/5),0),O406)</f>
        <v>0.072</v>
      </c>
      <c r="Q407" s="89" t="str">
        <f ca="1">IF(MOD(COUNTIF($Q$11:Q406,Q406),5)=0,OFFSET(装备属性!$M$1083,1+INT(COUNTA($Q$11:Q406)/5),0),Q406)</f>
        <v>玩法类</v>
      </c>
      <c r="R407" s="83" t="e">
        <f ca="1">IF(MOD(COUNTIF($Q$11:Q406,Q406),5)=0,10000*SUBSTITUTE(SUBSTITUTE(OFFSET(装备属性!$F$1083,1+INT(COUNTA($Q$11:Q406)/5),0),"[",""),"]","")+_xlfn.XLOOKUP(C407,$M$3:$M$7,$N$3:$N$7)*100,R406)</f>
        <v>#N/A</v>
      </c>
    </row>
    <row r="408" customHeight="1" spans="1:18">
      <c r="A408" s="78" t="str">
        <f ca="1" t="shared" si="18"/>
        <v/>
      </c>
      <c r="B408" s="82" t="str">
        <f ca="1">IFERROR(R408+COUNTIFS($R$11:$R408,R408),"")</f>
        <v/>
      </c>
      <c r="C408" s="83">
        <f ca="1">IF(MOD(COUNTIF($Q$11:Q407,Q407),5)=0,OFFSET(装备属性!$D$1083,1+INT(COUNTA($Q$11:Q407)/5),0),C407)</f>
        <v>0</v>
      </c>
      <c r="D408" s="82">
        <f t="shared" si="20"/>
        <v>2000</v>
      </c>
      <c r="F408" s="82" t="str">
        <f ca="1" t="shared" si="19"/>
        <v/>
      </c>
      <c r="G408" s="78" t="str">
        <f ca="1">IF(AND(LEFT("[{"&amp;M408&amp;","&amp;CEILING(N408*10000+(O408-N408)/4*(COUNTIF($F$11:F408,F408)-1)*10000,10)&amp;"}]",7)="[{equip",MID("[{"&amp;M408&amp;","&amp;CEILING(N408*10000+(O408-N408)/4*(COUNTIF($F$11:F408,F408)-1)*10000,10)&amp;"}]",8,1)&lt;&gt;"_"),"[{"&amp;M408&amp;","&amp;1&amp;"}]","[{"&amp;M408&amp;","&amp;CEILING(N408*10000+(O408-N408)/4*(COUNTIF($F$11:F408,F408)-1)*10000,10)&amp;"}]")</f>
        <v>[{chapter_pve_hit_rate,6780}]</v>
      </c>
      <c r="H408" s="82" t="s">
        <v>563</v>
      </c>
      <c r="J408" s="78">
        <f ca="1">IF(MOD(COUNTIF($Q$11:Q407,Q407),5)=0,OFFSET(装备属性!$P$1083,1+INT(COUNTA($Q$11:Q407)/5),0),J407)</f>
        <v>6</v>
      </c>
      <c r="K408" s="83" t="str">
        <f ca="1">IF(RIGHT(G408,13)="rune_slot,1}]",_xlfn.XLOOKUP(LEFT(SUBSTITUTE(G408,"[{",""),FIND(",",SUBSTITUTE(G408,"[{",""))-1),Sheet2!B:B,Sheet2!C:C)&amp;"+"&amp;1,_xlfn.XLOOKUP(LEFT(SUBSTITUTE(G408,"[{",""),FIND(",",SUBSTITUTE(G408,"[{",""))-1),Sheet2!B:B,Sheet2!C:C)&amp;"+"&amp;SUBSTITUTE(RIGHT(G408,LEN(G408)-FIND(",",G408)),"}]","")/100&amp;"%")</f>
        <v>主线挑战增伤+67.8%</v>
      </c>
      <c r="L408" s="83" t="str">
        <f ca="1">IF(MOD(COUNTIF($Q$11:Q407,Q407),5)=0,OFFSET(装备属性!$G$1083,1+INT(COUNTA($Q$11:Q407)/5),0),L407)</f>
        <v>主线清场Ⅱ</v>
      </c>
      <c r="M408" s="89" t="str">
        <f ca="1">IF(MOD(COUNTIF($Q$11:Q407,Q407),5)=0,OFFSET(装备属性!$H$1083,1+INT(COUNTA($Q$11:Q407)/5),0),M407)</f>
        <v>chapter_pve_hit_rate</v>
      </c>
      <c r="N408" s="76">
        <f ca="1">IF(MOD(COUNTIF($Q$11:Q407,Q407),5)=0,OFFSET(装备属性!$K$1083,1+INT(COUNTA($Q$11:Q407)/5),0),N407)</f>
        <v>0.058</v>
      </c>
      <c r="O408" s="76">
        <f ca="1">IF(MOD(COUNTIF($Q$11:Q407,Q407),5)=0,OFFSET(装备属性!$L$1083,1+INT(COUNTA($Q$11:Q407)/5),0),O407)</f>
        <v>0.072</v>
      </c>
      <c r="Q408" s="89" t="str">
        <f ca="1">IF(MOD(COUNTIF($Q$11:Q407,Q407),5)=0,OFFSET(装备属性!$M$1083,1+INT(COUNTA($Q$11:Q407)/5),0),Q407)</f>
        <v>玩法类</v>
      </c>
      <c r="R408" s="83" t="e">
        <f ca="1">IF(MOD(COUNTIF($Q$11:Q407,Q407),5)=0,10000*SUBSTITUTE(SUBSTITUTE(OFFSET(装备属性!$F$1083,1+INT(COUNTA($Q$11:Q407)/5),0),"[",""),"]","")+_xlfn.XLOOKUP(C408,$M$3:$M$7,$N$3:$N$7)*100,R407)</f>
        <v>#N/A</v>
      </c>
    </row>
    <row r="409" customHeight="1" spans="1:18">
      <c r="A409" s="78" t="str">
        <f ca="1" t="shared" si="18"/>
        <v/>
      </c>
      <c r="B409" s="82" t="str">
        <f ca="1">IFERROR(R409+COUNTIFS($R$11:$R409,R409),"")</f>
        <v/>
      </c>
      <c r="C409" s="83">
        <f ca="1">IF(MOD(COUNTIF($Q$11:Q408,Q408),5)=0,OFFSET(装备属性!$D$1083,1+INT(COUNTA($Q$11:Q408)/5),0),C408)</f>
        <v>0</v>
      </c>
      <c r="D409" s="82">
        <f t="shared" si="20"/>
        <v>1500</v>
      </c>
      <c r="F409" s="82" t="str">
        <f ca="1" t="shared" si="19"/>
        <v/>
      </c>
      <c r="G409" s="78" t="str">
        <f ca="1">IF(AND(LEFT("[{"&amp;M409&amp;","&amp;CEILING(N409*10000+(O409-N409)/4*(COUNTIF($F$11:F409,F409)-1)*10000,10)&amp;"}]",7)="[{equip",MID("[{"&amp;M409&amp;","&amp;CEILING(N409*10000+(O409-N409)/4*(COUNTIF($F$11:F409,F409)-1)*10000,10)&amp;"}]",8,1)&lt;&gt;"_"),"[{"&amp;M409&amp;","&amp;1&amp;"}]","[{"&amp;M409&amp;","&amp;CEILING(N409*10000+(O409-N409)/4*(COUNTIF($F$11:F409,F409)-1)*10000,10)&amp;"}]")</f>
        <v>[{chapter_pve_hit_rate,6810}]</v>
      </c>
      <c r="H409" s="82" t="s">
        <v>563</v>
      </c>
      <c r="J409" s="78">
        <f ca="1">IF(MOD(COUNTIF($Q$11:Q408,Q408),5)=0,OFFSET(装备属性!$P$1083,1+INT(COUNTA($Q$11:Q408)/5),0),J408)</f>
        <v>6</v>
      </c>
      <c r="K409" s="83" t="str">
        <f ca="1">IF(RIGHT(G409,13)="rune_slot,1}]",_xlfn.XLOOKUP(LEFT(SUBSTITUTE(G409,"[{",""),FIND(",",SUBSTITUTE(G409,"[{",""))-1),Sheet2!B:B,Sheet2!C:C)&amp;"+"&amp;1,_xlfn.XLOOKUP(LEFT(SUBSTITUTE(G409,"[{",""),FIND(",",SUBSTITUTE(G409,"[{",""))-1),Sheet2!B:B,Sheet2!C:C)&amp;"+"&amp;SUBSTITUTE(RIGHT(G409,LEN(G409)-FIND(",",G409)),"}]","")/100&amp;"%")</f>
        <v>主线挑战增伤+68.1%</v>
      </c>
      <c r="L409" s="83" t="str">
        <f ca="1">IF(MOD(COUNTIF($Q$11:Q408,Q408),5)=0,OFFSET(装备属性!$G$1083,1+INT(COUNTA($Q$11:Q408)/5),0),L408)</f>
        <v>主线清场Ⅱ</v>
      </c>
      <c r="M409" s="89" t="str">
        <f ca="1">IF(MOD(COUNTIF($Q$11:Q408,Q408),5)=0,OFFSET(装备属性!$H$1083,1+INT(COUNTA($Q$11:Q408)/5),0),M408)</f>
        <v>chapter_pve_hit_rate</v>
      </c>
      <c r="N409" s="76">
        <f ca="1">IF(MOD(COUNTIF($Q$11:Q408,Q408),5)=0,OFFSET(装备属性!$K$1083,1+INT(COUNTA($Q$11:Q408)/5),0),N408)</f>
        <v>0.058</v>
      </c>
      <c r="O409" s="76">
        <f ca="1">IF(MOD(COUNTIF($Q$11:Q408,Q408),5)=0,OFFSET(装备属性!$L$1083,1+INT(COUNTA($Q$11:Q408)/5),0),O408)</f>
        <v>0.072</v>
      </c>
      <c r="Q409" s="89" t="str">
        <f ca="1">IF(MOD(COUNTIF($Q$11:Q408,Q408),5)=0,OFFSET(装备属性!$M$1083,1+INT(COUNTA($Q$11:Q408)/5),0),Q408)</f>
        <v>玩法类</v>
      </c>
      <c r="R409" s="83" t="e">
        <f ca="1">IF(MOD(COUNTIF($Q$11:Q408,Q408),5)=0,10000*SUBSTITUTE(SUBSTITUTE(OFFSET(装备属性!$F$1083,1+INT(COUNTA($Q$11:Q408)/5),0),"[",""),"]","")+_xlfn.XLOOKUP(C409,$M$3:$M$7,$N$3:$N$7)*100,R408)</f>
        <v>#N/A</v>
      </c>
    </row>
    <row r="410" customHeight="1" spans="1:18">
      <c r="A410" s="78" t="str">
        <f ca="1" t="shared" si="18"/>
        <v/>
      </c>
      <c r="B410" s="82" t="str">
        <f ca="1">IFERROR(R410+COUNTIFS($R$11:$R410,R410),"")</f>
        <v/>
      </c>
      <c r="C410" s="83">
        <f ca="1">IF(MOD(COUNTIF($Q$11:Q409,Q409),5)=0,OFFSET(装备属性!$D$1083,1+INT(COUNTA($Q$11:Q409)/5),0),C409)</f>
        <v>0</v>
      </c>
      <c r="D410" s="82">
        <f t="shared" si="20"/>
        <v>1000</v>
      </c>
      <c r="F410" s="82" t="str">
        <f ca="1" t="shared" si="19"/>
        <v/>
      </c>
      <c r="G410" s="78" t="str">
        <f ca="1">IF(AND(LEFT("[{"&amp;M410&amp;","&amp;CEILING(N410*10000+(O410-N410)/4*(COUNTIF($F$11:F410,F410)-1)*10000,10)&amp;"}]",7)="[{equip",MID("[{"&amp;M410&amp;","&amp;CEILING(N410*10000+(O410-N410)/4*(COUNTIF($F$11:F410,F410)-1)*10000,10)&amp;"}]",8,1)&lt;&gt;"_"),"[{"&amp;M410&amp;","&amp;1&amp;"}]","[{"&amp;M410&amp;","&amp;CEILING(N410*10000+(O410-N410)/4*(COUNTIF($F$11:F410,F410)-1)*10000,10)&amp;"}]")</f>
        <v>[{chapter_pve_hit_rate,6850}]</v>
      </c>
      <c r="H410" s="82" t="s">
        <v>563</v>
      </c>
      <c r="J410" s="78">
        <f ca="1">IF(MOD(COUNTIF($Q$11:Q409,Q409),5)=0,OFFSET(装备属性!$P$1083,1+INT(COUNTA($Q$11:Q409)/5),0),J409)</f>
        <v>6</v>
      </c>
      <c r="K410" s="83" t="str">
        <f ca="1">IF(RIGHT(G410,13)="rune_slot,1}]",_xlfn.XLOOKUP(LEFT(SUBSTITUTE(G410,"[{",""),FIND(",",SUBSTITUTE(G410,"[{",""))-1),Sheet2!B:B,Sheet2!C:C)&amp;"+"&amp;1,_xlfn.XLOOKUP(LEFT(SUBSTITUTE(G410,"[{",""),FIND(",",SUBSTITUTE(G410,"[{",""))-1),Sheet2!B:B,Sheet2!C:C)&amp;"+"&amp;SUBSTITUTE(RIGHT(G410,LEN(G410)-FIND(",",G410)),"}]","")/100&amp;"%")</f>
        <v>主线挑战增伤+68.5%</v>
      </c>
      <c r="L410" s="83" t="str">
        <f ca="1">IF(MOD(COUNTIF($Q$11:Q409,Q409),5)=0,OFFSET(装备属性!$G$1083,1+INT(COUNTA($Q$11:Q409)/5),0),L409)</f>
        <v>主线清场Ⅱ</v>
      </c>
      <c r="M410" s="89" t="str">
        <f ca="1">IF(MOD(COUNTIF($Q$11:Q409,Q409),5)=0,OFFSET(装备属性!$H$1083,1+INT(COUNTA($Q$11:Q409)/5),0),M409)</f>
        <v>chapter_pve_hit_rate</v>
      </c>
      <c r="N410" s="76">
        <f ca="1">IF(MOD(COUNTIF($Q$11:Q409,Q409),5)=0,OFFSET(装备属性!$K$1083,1+INT(COUNTA($Q$11:Q409)/5),0),N409)</f>
        <v>0.058</v>
      </c>
      <c r="O410" s="76">
        <f ca="1">IF(MOD(COUNTIF($Q$11:Q409,Q409),5)=0,OFFSET(装备属性!$L$1083,1+INT(COUNTA($Q$11:Q409)/5),0),O409)</f>
        <v>0.072</v>
      </c>
      <c r="Q410" s="89" t="str">
        <f ca="1">IF(MOD(COUNTIF($Q$11:Q409,Q409),5)=0,OFFSET(装备属性!$M$1083,1+INT(COUNTA($Q$11:Q409)/5),0),Q409)</f>
        <v>玩法类</v>
      </c>
      <c r="R410" s="83" t="e">
        <f ca="1">IF(MOD(COUNTIF($Q$11:Q409,Q409),5)=0,10000*SUBSTITUTE(SUBSTITUTE(OFFSET(装备属性!$F$1083,1+INT(COUNTA($Q$11:Q409)/5),0),"[",""),"]","")+_xlfn.XLOOKUP(C410,$M$3:$M$7,$N$3:$N$7)*100,R409)</f>
        <v>#N/A</v>
      </c>
    </row>
    <row r="411" customHeight="1" spans="1:18">
      <c r="A411" s="78">
        <f ca="1" t="shared" si="18"/>
        <v>20501</v>
      </c>
      <c r="B411" s="82">
        <f ca="1">IFERROR(R411+COUNTIFS($R$11:$R411,R411),"")</f>
        <v>20511</v>
      </c>
      <c r="C411" s="83" t="str">
        <f ca="1">IF(MOD(COUNTIF($Q$11:Q410,Q410),5)=0,OFFSET(装备属性!$D$1083,1+INT(COUNTA($Q$11:Q410)/5),0),C410)</f>
        <v>橙</v>
      </c>
      <c r="D411" s="82">
        <f t="shared" si="20"/>
        <v>3000</v>
      </c>
      <c r="F411" s="82">
        <f ca="1" t="shared" si="19"/>
        <v>20502</v>
      </c>
      <c r="G411" s="78" t="str">
        <f ca="1">IF(AND(LEFT("[{"&amp;M411&amp;","&amp;CEILING(N411*10000+(O411-N411)/4*(COUNTIF($F$11:F411,F411)-1)*10000,10)&amp;"}]",7)="[{equip",MID("[{"&amp;M411&amp;","&amp;CEILING(N411*10000+(O411-N411)/4*(COUNTIF($F$11:F411,F411)-1)*10000,10)&amp;"}]",8,1)&lt;&gt;"_"),"[{"&amp;M411&amp;","&amp;1&amp;"}]","[{"&amp;M411&amp;","&amp;CEILING(N411*10000+(O411-N411)/4*(COUNTIF($F$11:F411,F411)-1)*10000,10)&amp;"}]")</f>
        <v>[{mage_dmg_red_rate,200}]</v>
      </c>
      <c r="H411" s="82" t="s">
        <v>563</v>
      </c>
      <c r="J411" s="78">
        <f ca="1">IF(MOD(COUNTIF($Q$11:Q410,Q410),5)=0,OFFSET(装备属性!$P$1083,1+INT(COUNTA($Q$11:Q410)/5),0),J410)</f>
        <v>5</v>
      </c>
      <c r="K411" s="83" t="str">
        <f ca="1">IF(RIGHT(G411,13)="rune_slot,1}]",_xlfn.XLOOKUP(LEFT(SUBSTITUTE(G411,"[{",""),FIND(",",SUBSTITUTE(G411,"[{",""))-1),Sheet2!B:B,Sheet2!C:C)&amp;"+"&amp;1,_xlfn.XLOOKUP(LEFT(SUBSTITUTE(G411,"[{",""),FIND(",",SUBSTITUTE(G411,"[{",""))-1),Sheet2!B:B,Sheet2!C:C)&amp;"+"&amp;SUBSTITUTE(RIGHT(G411,LEN(G411)-FIND(",",G411)),"}]","")/100&amp;"%")</f>
        <v>法师伤害减免+2%</v>
      </c>
      <c r="L411" s="83" t="str">
        <f ca="1">IF(MOD(COUNTIF($Q$11:Q410,Q410),5)=0,OFFSET(装备属性!$G$1083,1+INT(COUNTA($Q$11:Q410)/5),0),L410)</f>
        <v>施法防抗Ⅱ</v>
      </c>
      <c r="M411" s="89" t="str">
        <f ca="1">IF(MOD(COUNTIF($Q$11:Q410,Q410),5)=0,OFFSET(装备属性!$H$1083,1+INT(COUNTA($Q$11:Q410)/5),0),M410)</f>
        <v>mage_dmg_red_rate</v>
      </c>
      <c r="N411" s="76">
        <f ca="1">IF(MOD(COUNTIF($Q$11:Q410,Q410),5)=0,OFFSET(装备属性!$K$1083,1+INT(COUNTA($Q$11:Q410)/5),0),N410)</f>
        <v>0.02</v>
      </c>
      <c r="O411" s="76">
        <f ca="1">IF(MOD(COUNTIF($Q$11:Q410,Q410),5)=0,OFFSET(装备属性!$L$1083,1+INT(COUNTA($Q$11:Q410)/5),0),O410)</f>
        <v>0.024</v>
      </c>
      <c r="Q411" s="89" t="str">
        <f ca="1">IF(MOD(COUNTIF($Q$11:Q410,Q410),5)=0,OFFSET(装备属性!$M$1083,1+INT(COUNTA($Q$11:Q410)/5),0),Q410)</f>
        <v>通用属性</v>
      </c>
      <c r="R411" s="83">
        <f ca="1">IF(MOD(COUNTIF($Q$11:Q410,Q410),5)=0,10000*SUBSTITUTE(SUBSTITUTE(OFFSET(装备属性!$F$1083,1+INT(COUNTA($Q$11:Q410)/5),0),"[",""),"]","")+_xlfn.XLOOKUP(C411,$M$3:$M$7,$N$3:$N$7)*100,R410)</f>
        <v>20500</v>
      </c>
    </row>
    <row r="412" customHeight="1" spans="1:18">
      <c r="A412" s="78">
        <f ca="1" t="shared" si="18"/>
        <v>20501</v>
      </c>
      <c r="B412" s="82">
        <f ca="1">IFERROR(R412+COUNTIFS($R$11:$R412,R412),"")</f>
        <v>20512</v>
      </c>
      <c r="C412" s="83" t="str">
        <f ca="1">IF(MOD(COUNTIF($Q$11:Q411,Q411),5)=0,OFFSET(装备属性!$D$1083,1+INT(COUNTA($Q$11:Q411)/5),0),C411)</f>
        <v>橙</v>
      </c>
      <c r="D412" s="82">
        <f t="shared" si="20"/>
        <v>2500</v>
      </c>
      <c r="F412" s="82">
        <f ca="1" t="shared" si="19"/>
        <v>20502</v>
      </c>
      <c r="G412" s="78" t="str">
        <f ca="1">IF(AND(LEFT("[{"&amp;M412&amp;","&amp;CEILING(N412*10000+(O412-N412)/4*(COUNTIF($F$11:F412,F412)-1)*10000,10)&amp;"}]",7)="[{equip",MID("[{"&amp;M412&amp;","&amp;CEILING(N412*10000+(O412-N412)/4*(COUNTIF($F$11:F412,F412)-1)*10000,10)&amp;"}]",8,1)&lt;&gt;"_"),"[{"&amp;M412&amp;","&amp;1&amp;"}]","[{"&amp;M412&amp;","&amp;CEILING(N412*10000+(O412-N412)/4*(COUNTIF($F$11:F412,F412)-1)*10000,10)&amp;"}]")</f>
        <v>[{mage_dmg_red_rate,210}]</v>
      </c>
      <c r="H412" s="82" t="s">
        <v>563</v>
      </c>
      <c r="J412" s="78">
        <f ca="1">IF(MOD(COUNTIF($Q$11:Q411,Q411),5)=0,OFFSET(装备属性!$P$1083,1+INT(COUNTA($Q$11:Q411)/5),0),J411)</f>
        <v>5</v>
      </c>
      <c r="K412" s="83" t="str">
        <f ca="1">IF(RIGHT(G412,13)="rune_slot,1}]",_xlfn.XLOOKUP(LEFT(SUBSTITUTE(G412,"[{",""),FIND(",",SUBSTITUTE(G412,"[{",""))-1),Sheet2!B:B,Sheet2!C:C)&amp;"+"&amp;1,_xlfn.XLOOKUP(LEFT(SUBSTITUTE(G412,"[{",""),FIND(",",SUBSTITUTE(G412,"[{",""))-1),Sheet2!B:B,Sheet2!C:C)&amp;"+"&amp;SUBSTITUTE(RIGHT(G412,LEN(G412)-FIND(",",G412)),"}]","")/100&amp;"%")</f>
        <v>法师伤害减免+2.1%</v>
      </c>
      <c r="L412" s="83" t="str">
        <f ca="1">IF(MOD(COUNTIF($Q$11:Q411,Q411),5)=0,OFFSET(装备属性!$G$1083,1+INT(COUNTA($Q$11:Q411)/5),0),L411)</f>
        <v>施法防抗Ⅱ</v>
      </c>
      <c r="M412" s="89" t="str">
        <f ca="1">IF(MOD(COUNTIF($Q$11:Q411,Q411),5)=0,OFFSET(装备属性!$H$1083,1+INT(COUNTA($Q$11:Q411)/5),0),M411)</f>
        <v>mage_dmg_red_rate</v>
      </c>
      <c r="N412" s="76">
        <f ca="1">IF(MOD(COUNTIF($Q$11:Q411,Q411),5)=0,OFFSET(装备属性!$K$1083,1+INT(COUNTA($Q$11:Q411)/5),0),N411)</f>
        <v>0.02</v>
      </c>
      <c r="O412" s="76">
        <f ca="1">IF(MOD(COUNTIF($Q$11:Q411,Q411),5)=0,OFFSET(装备属性!$L$1083,1+INT(COUNTA($Q$11:Q411)/5),0),O411)</f>
        <v>0.024</v>
      </c>
      <c r="Q412" s="89" t="str">
        <f ca="1">IF(MOD(COUNTIF($Q$11:Q411,Q411),5)=0,OFFSET(装备属性!$M$1083,1+INT(COUNTA($Q$11:Q411)/5),0),Q411)</f>
        <v>通用属性</v>
      </c>
      <c r="R412" s="83">
        <f ca="1">IF(MOD(COUNTIF($Q$11:Q411,Q411),5)=0,10000*SUBSTITUTE(SUBSTITUTE(OFFSET(装备属性!$F$1083,1+INT(COUNTA($Q$11:Q411)/5),0),"[",""),"]","")+_xlfn.XLOOKUP(C412,$M$3:$M$7,$N$3:$N$7)*100,R411)</f>
        <v>20500</v>
      </c>
    </row>
    <row r="413" customHeight="1" spans="1:18">
      <c r="A413" s="78">
        <f ca="1" t="shared" si="18"/>
        <v>20501</v>
      </c>
      <c r="B413" s="82">
        <f ca="1">IFERROR(R413+COUNTIFS($R$11:$R413,R413),"")</f>
        <v>20513</v>
      </c>
      <c r="C413" s="83" t="str">
        <f ca="1">IF(MOD(COUNTIF($Q$11:Q412,Q412),5)=0,OFFSET(装备属性!$D$1083,1+INT(COUNTA($Q$11:Q412)/5),0),C412)</f>
        <v>橙</v>
      </c>
      <c r="D413" s="82">
        <f t="shared" si="20"/>
        <v>2000</v>
      </c>
      <c r="F413" s="82">
        <f ca="1" t="shared" si="19"/>
        <v>20502</v>
      </c>
      <c r="G413" s="78" t="str">
        <f ca="1">IF(AND(LEFT("[{"&amp;M413&amp;","&amp;CEILING(N413*10000+(O413-N413)/4*(COUNTIF($F$11:F413,F413)-1)*10000,10)&amp;"}]",7)="[{equip",MID("[{"&amp;M413&amp;","&amp;CEILING(N413*10000+(O413-N413)/4*(COUNTIF($F$11:F413,F413)-1)*10000,10)&amp;"}]",8,1)&lt;&gt;"_"),"[{"&amp;M413&amp;","&amp;1&amp;"}]","[{"&amp;M413&amp;","&amp;CEILING(N413*10000+(O413-N413)/4*(COUNTIF($F$11:F413,F413)-1)*10000,10)&amp;"}]")</f>
        <v>[{mage_dmg_red_rate,220}]</v>
      </c>
      <c r="H413" s="82" t="s">
        <v>563</v>
      </c>
      <c r="J413" s="78">
        <f ca="1">IF(MOD(COUNTIF($Q$11:Q412,Q412),5)=0,OFFSET(装备属性!$P$1083,1+INT(COUNTA($Q$11:Q412)/5),0),J412)</f>
        <v>5</v>
      </c>
      <c r="K413" s="83" t="str">
        <f ca="1">IF(RIGHT(G413,13)="rune_slot,1}]",_xlfn.XLOOKUP(LEFT(SUBSTITUTE(G413,"[{",""),FIND(",",SUBSTITUTE(G413,"[{",""))-1),Sheet2!B:B,Sheet2!C:C)&amp;"+"&amp;1,_xlfn.XLOOKUP(LEFT(SUBSTITUTE(G413,"[{",""),FIND(",",SUBSTITUTE(G413,"[{",""))-1),Sheet2!B:B,Sheet2!C:C)&amp;"+"&amp;SUBSTITUTE(RIGHT(G413,LEN(G413)-FIND(",",G413)),"}]","")/100&amp;"%")</f>
        <v>法师伤害减免+2.2%</v>
      </c>
      <c r="L413" s="83" t="str">
        <f ca="1">IF(MOD(COUNTIF($Q$11:Q412,Q412),5)=0,OFFSET(装备属性!$G$1083,1+INT(COUNTA($Q$11:Q412)/5),0),L412)</f>
        <v>施法防抗Ⅱ</v>
      </c>
      <c r="M413" s="89" t="str">
        <f ca="1">IF(MOD(COUNTIF($Q$11:Q412,Q412),5)=0,OFFSET(装备属性!$H$1083,1+INT(COUNTA($Q$11:Q412)/5),0),M412)</f>
        <v>mage_dmg_red_rate</v>
      </c>
      <c r="N413" s="76">
        <f ca="1">IF(MOD(COUNTIF($Q$11:Q412,Q412),5)=0,OFFSET(装备属性!$K$1083,1+INT(COUNTA($Q$11:Q412)/5),0),N412)</f>
        <v>0.02</v>
      </c>
      <c r="O413" s="76">
        <f ca="1">IF(MOD(COUNTIF($Q$11:Q412,Q412),5)=0,OFFSET(装备属性!$L$1083,1+INT(COUNTA($Q$11:Q412)/5),0),O412)</f>
        <v>0.024</v>
      </c>
      <c r="Q413" s="89" t="str">
        <f ca="1">IF(MOD(COUNTIF($Q$11:Q412,Q412),5)=0,OFFSET(装备属性!$M$1083,1+INT(COUNTA($Q$11:Q412)/5),0),Q412)</f>
        <v>通用属性</v>
      </c>
      <c r="R413" s="83">
        <f ca="1">IF(MOD(COUNTIF($Q$11:Q412,Q412),5)=0,10000*SUBSTITUTE(SUBSTITUTE(OFFSET(装备属性!$F$1083,1+INT(COUNTA($Q$11:Q412)/5),0),"[",""),"]","")+_xlfn.XLOOKUP(C413,$M$3:$M$7,$N$3:$N$7)*100,R412)</f>
        <v>20500</v>
      </c>
    </row>
    <row r="414" customHeight="1" spans="1:18">
      <c r="A414" s="78">
        <f ca="1" t="shared" si="18"/>
        <v>20501</v>
      </c>
      <c r="B414" s="82">
        <f ca="1">IFERROR(R414+COUNTIFS($R$11:$R414,R414),"")</f>
        <v>20514</v>
      </c>
      <c r="C414" s="83" t="str">
        <f ca="1">IF(MOD(COUNTIF($Q$11:Q413,Q413),5)=0,OFFSET(装备属性!$D$1083,1+INT(COUNTA($Q$11:Q413)/5),0),C413)</f>
        <v>橙</v>
      </c>
      <c r="D414" s="82">
        <f t="shared" si="20"/>
        <v>1500</v>
      </c>
      <c r="F414" s="82">
        <f ca="1" t="shared" si="19"/>
        <v>20502</v>
      </c>
      <c r="G414" s="78" t="str">
        <f ca="1">IF(AND(LEFT("[{"&amp;M414&amp;","&amp;CEILING(N414*10000+(O414-N414)/4*(COUNTIF($F$11:F414,F414)-1)*10000,10)&amp;"}]",7)="[{equip",MID("[{"&amp;M414&amp;","&amp;CEILING(N414*10000+(O414-N414)/4*(COUNTIF($F$11:F414,F414)-1)*10000,10)&amp;"}]",8,1)&lt;&gt;"_"),"[{"&amp;M414&amp;","&amp;1&amp;"}]","[{"&amp;M414&amp;","&amp;CEILING(N414*10000+(O414-N414)/4*(COUNTIF($F$11:F414,F414)-1)*10000,10)&amp;"}]")</f>
        <v>[{mage_dmg_red_rate,230}]</v>
      </c>
      <c r="H414" s="82" t="s">
        <v>563</v>
      </c>
      <c r="J414" s="78">
        <f ca="1">IF(MOD(COUNTIF($Q$11:Q413,Q413),5)=0,OFFSET(装备属性!$P$1083,1+INT(COUNTA($Q$11:Q413)/5),0),J413)</f>
        <v>5</v>
      </c>
      <c r="K414" s="83" t="str">
        <f ca="1">IF(RIGHT(G414,13)="rune_slot,1}]",_xlfn.XLOOKUP(LEFT(SUBSTITUTE(G414,"[{",""),FIND(",",SUBSTITUTE(G414,"[{",""))-1),Sheet2!B:B,Sheet2!C:C)&amp;"+"&amp;1,_xlfn.XLOOKUP(LEFT(SUBSTITUTE(G414,"[{",""),FIND(",",SUBSTITUTE(G414,"[{",""))-1),Sheet2!B:B,Sheet2!C:C)&amp;"+"&amp;SUBSTITUTE(RIGHT(G414,LEN(G414)-FIND(",",G414)),"}]","")/100&amp;"%")</f>
        <v>法师伤害减免+2.3%</v>
      </c>
      <c r="L414" s="83" t="str">
        <f ca="1">IF(MOD(COUNTIF($Q$11:Q413,Q413),5)=0,OFFSET(装备属性!$G$1083,1+INT(COUNTA($Q$11:Q413)/5),0),L413)</f>
        <v>施法防抗Ⅱ</v>
      </c>
      <c r="M414" s="89" t="str">
        <f ca="1">IF(MOD(COUNTIF($Q$11:Q413,Q413),5)=0,OFFSET(装备属性!$H$1083,1+INT(COUNTA($Q$11:Q413)/5),0),M413)</f>
        <v>mage_dmg_red_rate</v>
      </c>
      <c r="N414" s="76">
        <f ca="1">IF(MOD(COUNTIF($Q$11:Q413,Q413),5)=0,OFFSET(装备属性!$K$1083,1+INT(COUNTA($Q$11:Q413)/5),0),N413)</f>
        <v>0.02</v>
      </c>
      <c r="O414" s="76">
        <f ca="1">IF(MOD(COUNTIF($Q$11:Q413,Q413),5)=0,OFFSET(装备属性!$L$1083,1+INT(COUNTA($Q$11:Q413)/5),0),O413)</f>
        <v>0.024</v>
      </c>
      <c r="Q414" s="89" t="str">
        <f ca="1">IF(MOD(COUNTIF($Q$11:Q413,Q413),5)=0,OFFSET(装备属性!$M$1083,1+INT(COUNTA($Q$11:Q413)/5),0),Q413)</f>
        <v>通用属性</v>
      </c>
      <c r="R414" s="83">
        <f ca="1">IF(MOD(COUNTIF($Q$11:Q413,Q413),5)=0,10000*SUBSTITUTE(SUBSTITUTE(OFFSET(装备属性!$F$1083,1+INT(COUNTA($Q$11:Q413)/5),0),"[",""),"]","")+_xlfn.XLOOKUP(C414,$M$3:$M$7,$N$3:$N$7)*100,R413)</f>
        <v>20500</v>
      </c>
    </row>
    <row r="415" customHeight="1" spans="1:18">
      <c r="A415" s="78">
        <f ca="1" t="shared" si="18"/>
        <v>20501</v>
      </c>
      <c r="B415" s="82">
        <f ca="1">IFERROR(R415+COUNTIFS($R$11:$R415,R415),"")</f>
        <v>20515</v>
      </c>
      <c r="C415" s="83" t="str">
        <f ca="1">IF(MOD(COUNTIF($Q$11:Q414,Q414),5)=0,OFFSET(装备属性!$D$1083,1+INT(COUNTA($Q$11:Q414)/5),0),C414)</f>
        <v>橙</v>
      </c>
      <c r="D415" s="82">
        <f t="shared" si="20"/>
        <v>1000</v>
      </c>
      <c r="F415" s="82">
        <f ca="1" t="shared" si="19"/>
        <v>20502</v>
      </c>
      <c r="G415" s="78" t="str">
        <f ca="1">IF(AND(LEFT("[{"&amp;M415&amp;","&amp;CEILING(N415*10000+(O415-N415)/4*(COUNTIF($F$11:F415,F415)-1)*10000,10)&amp;"}]",7)="[{equip",MID("[{"&amp;M415&amp;","&amp;CEILING(N415*10000+(O415-N415)/4*(COUNTIF($F$11:F415,F415)-1)*10000,10)&amp;"}]",8,1)&lt;&gt;"_"),"[{"&amp;M415&amp;","&amp;1&amp;"}]","[{"&amp;M415&amp;","&amp;CEILING(N415*10000+(O415-N415)/4*(COUNTIF($F$11:F415,F415)-1)*10000,10)&amp;"}]")</f>
        <v>[{mage_dmg_red_rate,240}]</v>
      </c>
      <c r="H415" s="82" t="s">
        <v>563</v>
      </c>
      <c r="J415" s="78">
        <f ca="1">IF(MOD(COUNTIF($Q$11:Q414,Q414),5)=0,OFFSET(装备属性!$P$1083,1+INT(COUNTA($Q$11:Q414)/5),0),J414)</f>
        <v>5</v>
      </c>
      <c r="K415" s="83" t="str">
        <f ca="1">IF(RIGHT(G415,13)="rune_slot,1}]",_xlfn.XLOOKUP(LEFT(SUBSTITUTE(G415,"[{",""),FIND(",",SUBSTITUTE(G415,"[{",""))-1),Sheet2!B:B,Sheet2!C:C)&amp;"+"&amp;1,_xlfn.XLOOKUP(LEFT(SUBSTITUTE(G415,"[{",""),FIND(",",SUBSTITUTE(G415,"[{",""))-1),Sheet2!B:B,Sheet2!C:C)&amp;"+"&amp;SUBSTITUTE(RIGHT(G415,LEN(G415)-FIND(",",G415)),"}]","")/100&amp;"%")</f>
        <v>法师伤害减免+2.4%</v>
      </c>
      <c r="L415" s="83" t="str">
        <f ca="1">IF(MOD(COUNTIF($Q$11:Q414,Q414),5)=0,OFFSET(装备属性!$G$1083,1+INT(COUNTA($Q$11:Q414)/5),0),L414)</f>
        <v>施法防抗Ⅱ</v>
      </c>
      <c r="M415" s="89" t="str">
        <f ca="1">IF(MOD(COUNTIF($Q$11:Q414,Q414),5)=0,OFFSET(装备属性!$H$1083,1+INT(COUNTA($Q$11:Q414)/5),0),M414)</f>
        <v>mage_dmg_red_rate</v>
      </c>
      <c r="N415" s="76">
        <f ca="1">IF(MOD(COUNTIF($Q$11:Q414,Q414),5)=0,OFFSET(装备属性!$K$1083,1+INT(COUNTA($Q$11:Q414)/5),0),N414)</f>
        <v>0.02</v>
      </c>
      <c r="O415" s="76">
        <f ca="1">IF(MOD(COUNTIF($Q$11:Q414,Q414),5)=0,OFFSET(装备属性!$L$1083,1+INT(COUNTA($Q$11:Q414)/5),0),O414)</f>
        <v>0.024</v>
      </c>
      <c r="Q415" s="89" t="str">
        <f ca="1">IF(MOD(COUNTIF($Q$11:Q414,Q414),5)=0,OFFSET(装备属性!$M$1083,1+INT(COUNTA($Q$11:Q414)/5),0),Q414)</f>
        <v>通用属性</v>
      </c>
      <c r="R415" s="83">
        <f ca="1">IF(MOD(COUNTIF($Q$11:Q414,Q414),5)=0,10000*SUBSTITUTE(SUBSTITUTE(OFFSET(装备属性!$F$1083,1+INT(COUNTA($Q$11:Q414)/5),0),"[",""),"]","")+_xlfn.XLOOKUP(C415,$M$3:$M$7,$N$3:$N$7)*100,R414)</f>
        <v>20500</v>
      </c>
    </row>
    <row r="416" customHeight="1" spans="1:18">
      <c r="A416" s="78">
        <f ca="1" t="shared" si="18"/>
        <v>20501</v>
      </c>
      <c r="B416" s="82">
        <f ca="1">IFERROR(R416+COUNTIFS($R$11:$R416,R416),"")</f>
        <v>20516</v>
      </c>
      <c r="C416" s="83" t="str">
        <f ca="1">IF(MOD(COUNTIF($Q$11:Q415,Q415),5)=0,OFFSET(装备属性!$D$1083,1+INT(COUNTA($Q$11:Q415)/5),0),C415)</f>
        <v>橙</v>
      </c>
      <c r="D416" s="82">
        <f t="shared" si="20"/>
        <v>3000</v>
      </c>
      <c r="F416" s="82">
        <f ca="1" t="shared" si="19"/>
        <v>20503</v>
      </c>
      <c r="G416" s="78" t="str">
        <f ca="1">IF(AND(LEFT("[{"&amp;M416&amp;","&amp;CEILING(N416*10000+(O416-N416)/4*(COUNTIF($F$11:F416,F416)-1)*10000,10)&amp;"}]",7)="[{equip",MID("[{"&amp;M416&amp;","&amp;CEILING(N416*10000+(O416-N416)/4*(COUNTIF($F$11:F416,F416)-1)*10000,10)&amp;"}]",8,1)&lt;&gt;"_"),"[{"&amp;M416&amp;","&amp;1&amp;"}]","[{"&amp;M416&amp;","&amp;CEILING(N416*10000+(O416-N416)/4*(COUNTIF($F$11:F416,F416)-1)*10000,10)&amp;"}]")</f>
        <v>[{mage_dmg_rate,580}]</v>
      </c>
      <c r="H416" s="82" t="s">
        <v>563</v>
      </c>
      <c r="J416" s="78">
        <f ca="1">IF(MOD(COUNTIF($Q$11:Q415,Q415),5)=0,OFFSET(装备属性!$P$1083,1+INT(COUNTA($Q$11:Q415)/5),0),J415)</f>
        <v>3</v>
      </c>
      <c r="K416" s="83" t="str">
        <f ca="1">IF(RIGHT(G416,13)="rune_slot,1}]",_xlfn.XLOOKUP(LEFT(SUBSTITUTE(G416,"[{",""),FIND(",",SUBSTITUTE(G416,"[{",""))-1),Sheet2!B:B,Sheet2!C:C)&amp;"+"&amp;1,_xlfn.XLOOKUP(LEFT(SUBSTITUTE(G416,"[{",""),FIND(",",SUBSTITUTE(G416,"[{",""))-1),Sheet2!B:B,Sheet2!C:C)&amp;"+"&amp;SUBSTITUTE(RIGHT(G416,LEN(G416)-FIND(",",G416)),"}]","")/100&amp;"%")</f>
        <v>法师伤害+5.8%</v>
      </c>
      <c r="L416" s="83" t="str">
        <f ca="1">IF(MOD(COUNTIF($Q$11:Q415,Q415),5)=0,OFFSET(装备属性!$G$1083,1+INT(COUNTA($Q$11:Q415)/5),0),L415)</f>
        <v>施法添柴Ⅱ</v>
      </c>
      <c r="M416" s="89" t="str">
        <f ca="1">IF(MOD(COUNTIF($Q$11:Q415,Q415),5)=0,OFFSET(装备属性!$H$1083,1+INT(COUNTA($Q$11:Q415)/5),0),M415)</f>
        <v>mage_dmg_rate</v>
      </c>
      <c r="N416" s="76">
        <f ca="1">IF(MOD(COUNTIF($Q$11:Q415,Q415),5)=0,OFFSET(装备属性!$K$1083,1+INT(COUNTA($Q$11:Q415)/5),0),N415)</f>
        <v>0.058</v>
      </c>
      <c r="O416" s="76">
        <f ca="1">IF(MOD(COUNTIF($Q$11:Q415,Q415),5)=0,OFFSET(装备属性!$L$1083,1+INT(COUNTA($Q$11:Q415)/5),0),O415)</f>
        <v>0.072</v>
      </c>
      <c r="Q416" s="89" t="str">
        <f ca="1">IF(MOD(COUNTIF($Q$11:Q415,Q415),5)=0,OFFSET(装备属性!$M$1083,1+INT(COUNTA($Q$11:Q415)/5),0),Q415)</f>
        <v>通用属性</v>
      </c>
      <c r="R416" s="83">
        <f ca="1">IF(MOD(COUNTIF($Q$11:Q415,Q415),5)=0,10000*SUBSTITUTE(SUBSTITUTE(OFFSET(装备属性!$F$1083,1+INT(COUNTA($Q$11:Q415)/5),0),"[",""),"]","")+_xlfn.XLOOKUP(C416,$M$3:$M$7,$N$3:$N$7)*100,R415)</f>
        <v>20500</v>
      </c>
    </row>
    <row r="417" customHeight="1" spans="1:18">
      <c r="A417" s="78">
        <f ca="1" t="shared" si="18"/>
        <v>20501</v>
      </c>
      <c r="B417" s="82">
        <f ca="1">IFERROR(R417+COUNTIFS($R$11:$R417,R417),"")</f>
        <v>20517</v>
      </c>
      <c r="C417" s="83" t="str">
        <f ca="1">IF(MOD(COUNTIF($Q$11:Q416,Q416),5)=0,OFFSET(装备属性!$D$1083,1+INT(COUNTA($Q$11:Q416)/5),0),C416)</f>
        <v>橙</v>
      </c>
      <c r="D417" s="82">
        <f t="shared" si="20"/>
        <v>2500</v>
      </c>
      <c r="F417" s="82">
        <f ca="1" t="shared" si="19"/>
        <v>20503</v>
      </c>
      <c r="G417" s="78" t="str">
        <f ca="1">IF(AND(LEFT("[{"&amp;M417&amp;","&amp;CEILING(N417*10000+(O417-N417)/4*(COUNTIF($F$11:F417,F417)-1)*10000,10)&amp;"}]",7)="[{equip",MID("[{"&amp;M417&amp;","&amp;CEILING(N417*10000+(O417-N417)/4*(COUNTIF($F$11:F417,F417)-1)*10000,10)&amp;"}]",8,1)&lt;&gt;"_"),"[{"&amp;M417&amp;","&amp;1&amp;"}]","[{"&amp;M417&amp;","&amp;CEILING(N417*10000+(O417-N417)/4*(COUNTIF($F$11:F417,F417)-1)*10000,10)&amp;"}]")</f>
        <v>[{mage_dmg_rate,620}]</v>
      </c>
      <c r="H417" s="82" t="s">
        <v>563</v>
      </c>
      <c r="J417" s="78">
        <f ca="1">IF(MOD(COUNTIF($Q$11:Q416,Q416),5)=0,OFFSET(装备属性!$P$1083,1+INT(COUNTA($Q$11:Q416)/5),0),J416)</f>
        <v>3</v>
      </c>
      <c r="K417" s="83" t="str">
        <f ca="1">IF(RIGHT(G417,13)="rune_slot,1}]",_xlfn.XLOOKUP(LEFT(SUBSTITUTE(G417,"[{",""),FIND(",",SUBSTITUTE(G417,"[{",""))-1),Sheet2!B:B,Sheet2!C:C)&amp;"+"&amp;1,_xlfn.XLOOKUP(LEFT(SUBSTITUTE(G417,"[{",""),FIND(",",SUBSTITUTE(G417,"[{",""))-1),Sheet2!B:B,Sheet2!C:C)&amp;"+"&amp;SUBSTITUTE(RIGHT(G417,LEN(G417)-FIND(",",G417)),"}]","")/100&amp;"%")</f>
        <v>法师伤害+6.2%</v>
      </c>
      <c r="L417" s="83" t="str">
        <f ca="1">IF(MOD(COUNTIF($Q$11:Q416,Q416),5)=0,OFFSET(装备属性!$G$1083,1+INT(COUNTA($Q$11:Q416)/5),0),L416)</f>
        <v>施法添柴Ⅱ</v>
      </c>
      <c r="M417" s="89" t="str">
        <f ca="1">IF(MOD(COUNTIF($Q$11:Q416,Q416),5)=0,OFFSET(装备属性!$H$1083,1+INT(COUNTA($Q$11:Q416)/5),0),M416)</f>
        <v>mage_dmg_rate</v>
      </c>
      <c r="N417" s="76">
        <f ca="1">IF(MOD(COUNTIF($Q$11:Q416,Q416),5)=0,OFFSET(装备属性!$K$1083,1+INT(COUNTA($Q$11:Q416)/5),0),N416)</f>
        <v>0.058</v>
      </c>
      <c r="O417" s="76">
        <f ca="1">IF(MOD(COUNTIF($Q$11:Q416,Q416),5)=0,OFFSET(装备属性!$L$1083,1+INT(COUNTA($Q$11:Q416)/5),0),O416)</f>
        <v>0.072</v>
      </c>
      <c r="Q417" s="89" t="str">
        <f ca="1">IF(MOD(COUNTIF($Q$11:Q416,Q416),5)=0,OFFSET(装备属性!$M$1083,1+INT(COUNTA($Q$11:Q416)/5),0),Q416)</f>
        <v>通用属性</v>
      </c>
      <c r="R417" s="83">
        <f ca="1">IF(MOD(COUNTIF($Q$11:Q416,Q416),5)=0,10000*SUBSTITUTE(SUBSTITUTE(OFFSET(装备属性!$F$1083,1+INT(COUNTA($Q$11:Q416)/5),0),"[",""),"]","")+_xlfn.XLOOKUP(C417,$M$3:$M$7,$N$3:$N$7)*100,R416)</f>
        <v>20500</v>
      </c>
    </row>
    <row r="418" customHeight="1" spans="1:18">
      <c r="A418" s="78">
        <f ca="1" t="shared" si="18"/>
        <v>20501</v>
      </c>
      <c r="B418" s="82">
        <f ca="1">IFERROR(R418+COUNTIFS($R$11:$R418,R418),"")</f>
        <v>20518</v>
      </c>
      <c r="C418" s="83" t="str">
        <f ca="1">IF(MOD(COUNTIF($Q$11:Q417,Q417),5)=0,OFFSET(装备属性!$D$1083,1+INT(COUNTA($Q$11:Q417)/5),0),C417)</f>
        <v>橙</v>
      </c>
      <c r="D418" s="82">
        <f t="shared" si="20"/>
        <v>2000</v>
      </c>
      <c r="F418" s="82">
        <f ca="1" t="shared" si="19"/>
        <v>20503</v>
      </c>
      <c r="G418" s="78" t="str">
        <f ca="1">IF(AND(LEFT("[{"&amp;M418&amp;","&amp;CEILING(N418*10000+(O418-N418)/4*(COUNTIF($F$11:F418,F418)-1)*10000,10)&amp;"}]",7)="[{equip",MID("[{"&amp;M418&amp;","&amp;CEILING(N418*10000+(O418-N418)/4*(COUNTIF($F$11:F418,F418)-1)*10000,10)&amp;"}]",8,1)&lt;&gt;"_"),"[{"&amp;M418&amp;","&amp;1&amp;"}]","[{"&amp;M418&amp;","&amp;CEILING(N418*10000+(O418-N418)/4*(COUNTIF($F$11:F418,F418)-1)*10000,10)&amp;"}]")</f>
        <v>[{mage_dmg_rate,650}]</v>
      </c>
      <c r="H418" s="82" t="s">
        <v>563</v>
      </c>
      <c r="J418" s="78">
        <f ca="1">IF(MOD(COUNTIF($Q$11:Q417,Q417),5)=0,OFFSET(装备属性!$P$1083,1+INT(COUNTA($Q$11:Q417)/5),0),J417)</f>
        <v>3</v>
      </c>
      <c r="K418" s="83" t="str">
        <f ca="1">IF(RIGHT(G418,13)="rune_slot,1}]",_xlfn.XLOOKUP(LEFT(SUBSTITUTE(G418,"[{",""),FIND(",",SUBSTITUTE(G418,"[{",""))-1),Sheet2!B:B,Sheet2!C:C)&amp;"+"&amp;1,_xlfn.XLOOKUP(LEFT(SUBSTITUTE(G418,"[{",""),FIND(",",SUBSTITUTE(G418,"[{",""))-1),Sheet2!B:B,Sheet2!C:C)&amp;"+"&amp;SUBSTITUTE(RIGHT(G418,LEN(G418)-FIND(",",G418)),"}]","")/100&amp;"%")</f>
        <v>法师伤害+6.5%</v>
      </c>
      <c r="L418" s="83" t="str">
        <f ca="1">IF(MOD(COUNTIF($Q$11:Q417,Q417),5)=0,OFFSET(装备属性!$G$1083,1+INT(COUNTA($Q$11:Q417)/5),0),L417)</f>
        <v>施法添柴Ⅱ</v>
      </c>
      <c r="M418" s="89" t="str">
        <f ca="1">IF(MOD(COUNTIF($Q$11:Q417,Q417),5)=0,OFFSET(装备属性!$H$1083,1+INT(COUNTA($Q$11:Q417)/5),0),M417)</f>
        <v>mage_dmg_rate</v>
      </c>
      <c r="N418" s="76">
        <f ca="1">IF(MOD(COUNTIF($Q$11:Q417,Q417),5)=0,OFFSET(装备属性!$K$1083,1+INT(COUNTA($Q$11:Q417)/5),0),N417)</f>
        <v>0.058</v>
      </c>
      <c r="O418" s="76">
        <f ca="1">IF(MOD(COUNTIF($Q$11:Q417,Q417),5)=0,OFFSET(装备属性!$L$1083,1+INT(COUNTA($Q$11:Q417)/5),0),O417)</f>
        <v>0.072</v>
      </c>
      <c r="Q418" s="89" t="str">
        <f ca="1">IF(MOD(COUNTIF($Q$11:Q417,Q417),5)=0,OFFSET(装备属性!$M$1083,1+INT(COUNTA($Q$11:Q417)/5),0),Q417)</f>
        <v>通用属性</v>
      </c>
      <c r="R418" s="83">
        <f ca="1">IF(MOD(COUNTIF($Q$11:Q417,Q417),5)=0,10000*SUBSTITUTE(SUBSTITUTE(OFFSET(装备属性!$F$1083,1+INT(COUNTA($Q$11:Q417)/5),0),"[",""),"]","")+_xlfn.XLOOKUP(C418,$M$3:$M$7,$N$3:$N$7)*100,R417)</f>
        <v>20500</v>
      </c>
    </row>
    <row r="419" customHeight="1" spans="1:18">
      <c r="A419" s="78">
        <f ca="1" t="shared" si="18"/>
        <v>20501</v>
      </c>
      <c r="B419" s="82">
        <f ca="1">IFERROR(R419+COUNTIFS($R$11:$R419,R419),"")</f>
        <v>20519</v>
      </c>
      <c r="C419" s="83" t="str">
        <f ca="1">IF(MOD(COUNTIF($Q$11:Q418,Q418),5)=0,OFFSET(装备属性!$D$1083,1+INT(COUNTA($Q$11:Q418)/5),0),C418)</f>
        <v>橙</v>
      </c>
      <c r="D419" s="82">
        <f t="shared" si="20"/>
        <v>1500</v>
      </c>
      <c r="F419" s="82">
        <f ca="1" t="shared" si="19"/>
        <v>20503</v>
      </c>
      <c r="G419" s="78" t="str">
        <f ca="1">IF(AND(LEFT("[{"&amp;M419&amp;","&amp;CEILING(N419*10000+(O419-N419)/4*(COUNTIF($F$11:F419,F419)-1)*10000,10)&amp;"}]",7)="[{equip",MID("[{"&amp;M419&amp;","&amp;CEILING(N419*10000+(O419-N419)/4*(COUNTIF($F$11:F419,F419)-1)*10000,10)&amp;"}]",8,1)&lt;&gt;"_"),"[{"&amp;M419&amp;","&amp;1&amp;"}]","[{"&amp;M419&amp;","&amp;CEILING(N419*10000+(O419-N419)/4*(COUNTIF($F$11:F419,F419)-1)*10000,10)&amp;"}]")</f>
        <v>[{mage_dmg_rate,690}]</v>
      </c>
      <c r="H419" s="82" t="s">
        <v>563</v>
      </c>
      <c r="J419" s="78">
        <f ca="1">IF(MOD(COUNTIF($Q$11:Q418,Q418),5)=0,OFFSET(装备属性!$P$1083,1+INT(COUNTA($Q$11:Q418)/5),0),J418)</f>
        <v>3</v>
      </c>
      <c r="K419" s="83" t="str">
        <f ca="1">IF(RIGHT(G419,13)="rune_slot,1}]",_xlfn.XLOOKUP(LEFT(SUBSTITUTE(G419,"[{",""),FIND(",",SUBSTITUTE(G419,"[{",""))-1),Sheet2!B:B,Sheet2!C:C)&amp;"+"&amp;1,_xlfn.XLOOKUP(LEFT(SUBSTITUTE(G419,"[{",""),FIND(",",SUBSTITUTE(G419,"[{",""))-1),Sheet2!B:B,Sheet2!C:C)&amp;"+"&amp;SUBSTITUTE(RIGHT(G419,LEN(G419)-FIND(",",G419)),"}]","")/100&amp;"%")</f>
        <v>法师伤害+6.9%</v>
      </c>
      <c r="L419" s="83" t="str">
        <f ca="1">IF(MOD(COUNTIF($Q$11:Q418,Q418),5)=0,OFFSET(装备属性!$G$1083,1+INT(COUNTA($Q$11:Q418)/5),0),L418)</f>
        <v>施法添柴Ⅱ</v>
      </c>
      <c r="M419" s="89" t="str">
        <f ca="1">IF(MOD(COUNTIF($Q$11:Q418,Q418),5)=0,OFFSET(装备属性!$H$1083,1+INT(COUNTA($Q$11:Q418)/5),0),M418)</f>
        <v>mage_dmg_rate</v>
      </c>
      <c r="N419" s="76">
        <f ca="1">IF(MOD(COUNTIF($Q$11:Q418,Q418),5)=0,OFFSET(装备属性!$K$1083,1+INT(COUNTA($Q$11:Q418)/5),0),N418)</f>
        <v>0.058</v>
      </c>
      <c r="O419" s="76">
        <f ca="1">IF(MOD(COUNTIF($Q$11:Q418,Q418),5)=0,OFFSET(装备属性!$L$1083,1+INT(COUNTA($Q$11:Q418)/5),0),O418)</f>
        <v>0.072</v>
      </c>
      <c r="Q419" s="89" t="str">
        <f ca="1">IF(MOD(COUNTIF($Q$11:Q418,Q418),5)=0,OFFSET(装备属性!$M$1083,1+INT(COUNTA($Q$11:Q418)/5),0),Q418)</f>
        <v>通用属性</v>
      </c>
      <c r="R419" s="83">
        <f ca="1">IF(MOD(COUNTIF($Q$11:Q418,Q418),5)=0,10000*SUBSTITUTE(SUBSTITUTE(OFFSET(装备属性!$F$1083,1+INT(COUNTA($Q$11:Q418)/5),0),"[",""),"]","")+_xlfn.XLOOKUP(C419,$M$3:$M$7,$N$3:$N$7)*100,R418)</f>
        <v>20500</v>
      </c>
    </row>
    <row r="420" customHeight="1" spans="1:18">
      <c r="A420" s="78">
        <f ca="1" t="shared" si="18"/>
        <v>20501</v>
      </c>
      <c r="B420" s="82">
        <f ca="1">IFERROR(R420+COUNTIFS($R$11:$R420,R420),"")</f>
        <v>20520</v>
      </c>
      <c r="C420" s="83" t="str">
        <f ca="1">IF(MOD(COUNTIF($Q$11:Q419,Q419),5)=0,OFFSET(装备属性!$D$1083,1+INT(COUNTA($Q$11:Q419)/5),0),C419)</f>
        <v>橙</v>
      </c>
      <c r="D420" s="82">
        <f t="shared" si="20"/>
        <v>1000</v>
      </c>
      <c r="F420" s="82">
        <f ca="1" t="shared" si="19"/>
        <v>20503</v>
      </c>
      <c r="G420" s="78" t="str">
        <f ca="1">IF(AND(LEFT("[{"&amp;M420&amp;","&amp;CEILING(N420*10000+(O420-N420)/4*(COUNTIF($F$11:F420,F420)-1)*10000,10)&amp;"}]",7)="[{equip",MID("[{"&amp;M420&amp;","&amp;CEILING(N420*10000+(O420-N420)/4*(COUNTIF($F$11:F420,F420)-1)*10000,10)&amp;"}]",8,1)&lt;&gt;"_"),"[{"&amp;M420&amp;","&amp;1&amp;"}]","[{"&amp;M420&amp;","&amp;CEILING(N420*10000+(O420-N420)/4*(COUNTIF($F$11:F420,F420)-1)*10000,10)&amp;"}]")</f>
        <v>[{mage_dmg_rate,720}]</v>
      </c>
      <c r="H420" s="82" t="s">
        <v>563</v>
      </c>
      <c r="J420" s="78">
        <f ca="1">IF(MOD(COUNTIF($Q$11:Q419,Q419),5)=0,OFFSET(装备属性!$P$1083,1+INT(COUNTA($Q$11:Q419)/5),0),J419)</f>
        <v>3</v>
      </c>
      <c r="K420" s="83" t="str">
        <f ca="1">IF(RIGHT(G420,13)="rune_slot,1}]",_xlfn.XLOOKUP(LEFT(SUBSTITUTE(G420,"[{",""),FIND(",",SUBSTITUTE(G420,"[{",""))-1),Sheet2!B:B,Sheet2!C:C)&amp;"+"&amp;1,_xlfn.XLOOKUP(LEFT(SUBSTITUTE(G420,"[{",""),FIND(",",SUBSTITUTE(G420,"[{",""))-1),Sheet2!B:B,Sheet2!C:C)&amp;"+"&amp;SUBSTITUTE(RIGHT(G420,LEN(G420)-FIND(",",G420)),"}]","")/100&amp;"%")</f>
        <v>法师伤害+7.2%</v>
      </c>
      <c r="L420" s="83" t="str">
        <f ca="1">IF(MOD(COUNTIF($Q$11:Q419,Q419),5)=0,OFFSET(装备属性!$G$1083,1+INT(COUNTA($Q$11:Q419)/5),0),L419)</f>
        <v>施法添柴Ⅱ</v>
      </c>
      <c r="M420" s="89" t="str">
        <f ca="1">IF(MOD(COUNTIF($Q$11:Q419,Q419),5)=0,OFFSET(装备属性!$H$1083,1+INT(COUNTA($Q$11:Q419)/5),0),M419)</f>
        <v>mage_dmg_rate</v>
      </c>
      <c r="N420" s="76">
        <f ca="1">IF(MOD(COUNTIF($Q$11:Q419,Q419),5)=0,OFFSET(装备属性!$K$1083,1+INT(COUNTA($Q$11:Q419)/5),0),N419)</f>
        <v>0.058</v>
      </c>
      <c r="O420" s="76">
        <f ca="1">IF(MOD(COUNTIF($Q$11:Q419,Q419),5)=0,OFFSET(装备属性!$L$1083,1+INT(COUNTA($Q$11:Q419)/5),0),O419)</f>
        <v>0.072</v>
      </c>
      <c r="Q420" s="89" t="str">
        <f ca="1">IF(MOD(COUNTIF($Q$11:Q419,Q419),5)=0,OFFSET(装备属性!$M$1083,1+INT(COUNTA($Q$11:Q419)/5),0),Q419)</f>
        <v>通用属性</v>
      </c>
      <c r="R420" s="83">
        <f ca="1">IF(MOD(COUNTIF($Q$11:Q419,Q419),5)=0,10000*SUBSTITUTE(SUBSTITUTE(OFFSET(装备属性!$F$1083,1+INT(COUNTA($Q$11:Q419)/5),0),"[",""),"]","")+_xlfn.XLOOKUP(C420,$M$3:$M$7,$N$3:$N$7)*100,R419)</f>
        <v>20500</v>
      </c>
    </row>
    <row r="421" customHeight="1" spans="1:18">
      <c r="A421" s="78" t="str">
        <f ca="1" t="shared" si="18"/>
        <v/>
      </c>
      <c r="B421" s="82" t="str">
        <f ca="1">IFERROR(R421+COUNTIFS($R$11:$R421,R421),"")</f>
        <v/>
      </c>
      <c r="C421" s="83">
        <f ca="1">IF(MOD(COUNTIF($Q$11:Q420,Q420),5)=0,OFFSET(装备属性!$D$1083,1+INT(COUNTA($Q$11:Q420)/5),0),C420)</f>
        <v>0</v>
      </c>
      <c r="D421" s="82">
        <f t="shared" si="20"/>
        <v>3000</v>
      </c>
      <c r="F421" s="82" t="str">
        <f ca="1" t="shared" si="19"/>
        <v/>
      </c>
      <c r="G421" s="78" t="str">
        <f ca="1">IF(AND(LEFT("[{"&amp;M421&amp;","&amp;CEILING(N421*10000+(O421-N421)/4*(COUNTIF($F$11:F421,F421)-1)*10000,10)&amp;"}]",7)="[{equip",MID("[{"&amp;M421&amp;","&amp;CEILING(N421*10000+(O421-N421)/4*(COUNTIF($F$11:F421,F421)-1)*10000,10)&amp;"}]",8,1)&lt;&gt;"_"),"[{"&amp;M421&amp;","&amp;1&amp;"}]","[{"&amp;M421&amp;","&amp;CEILING(N421*10000+(O421-N421)/4*(COUNTIF($F$11:F421,F421)-1)*10000,10)&amp;"}]")</f>
        <v>[{mage_class_dmg_rate,7500}]</v>
      </c>
      <c r="H421" s="82" t="s">
        <v>563</v>
      </c>
      <c r="J421" s="78">
        <f ca="1">IF(MOD(COUNTIF($Q$11:Q420,Q420),5)=0,OFFSET(装备属性!$P$1083,1+INT(COUNTA($Q$11:Q420)/5),0),J420)</f>
        <v>4</v>
      </c>
      <c r="K421" s="83" t="str">
        <f ca="1">IF(RIGHT(G421,13)="rune_slot,1}]",_xlfn.XLOOKUP(LEFT(SUBSTITUTE(G421,"[{",""),FIND(",",SUBSTITUTE(G421,"[{",""))-1),Sheet2!B:B,Sheet2!C:C)&amp;"+"&amp;1,_xlfn.XLOOKUP(LEFT(SUBSTITUTE(G421,"[{",""),FIND(",",SUBSTITUTE(G421,"[{",""))-1),Sheet2!B:B,Sheet2!C:C)&amp;"+"&amp;SUBSTITUTE(RIGHT(G421,LEN(G421)-FIND(",",G421)),"}]","")/100&amp;"%")</f>
        <v>上阵两个法师职业增伤+75%</v>
      </c>
      <c r="L421" s="83" t="str">
        <f ca="1">IF(MOD(COUNTIF($Q$11:Q420,Q420),5)=0,OFFSET(装备属性!$G$1083,1+INT(COUNTA($Q$11:Q420)/5),0),L420)</f>
        <v>施法小队Ⅱ</v>
      </c>
      <c r="M421" s="89" t="str">
        <f ca="1">IF(MOD(COUNTIF($Q$11:Q420,Q420),5)=0,OFFSET(装备属性!$H$1083,1+INT(COUNTA($Q$11:Q420)/5),0),M420)</f>
        <v>mage_class_dmg_rate</v>
      </c>
      <c r="N421" s="76">
        <f ca="1">IF(MOD(COUNTIF($Q$11:Q420,Q420),5)=0,OFFSET(装备属性!$K$1083,1+INT(COUNTA($Q$11:Q420)/5),0),N420)</f>
        <v>0.075</v>
      </c>
      <c r="O421" s="76">
        <f ca="1">IF(MOD(COUNTIF($Q$11:Q420,Q420),5)=0,OFFSET(装备属性!$L$1083,1+INT(COUNTA($Q$11:Q420)/5),0),O420)</f>
        <v>0.09</v>
      </c>
      <c r="Q421" s="89" t="str">
        <f ca="1">IF(MOD(COUNTIF($Q$11:Q420,Q420),5)=0,OFFSET(装备属性!$M$1083,1+INT(COUNTA($Q$11:Q420)/5),0),Q420)</f>
        <v>通用属性</v>
      </c>
      <c r="R421" s="83" t="e">
        <f ca="1">IF(MOD(COUNTIF($Q$11:Q420,Q420),5)=0,10000*SUBSTITUTE(SUBSTITUTE(OFFSET(装备属性!$F$1083,1+INT(COUNTA($Q$11:Q420)/5),0),"[",""),"]","")+_xlfn.XLOOKUP(C421,$M$3:$M$7,$N$3:$N$7)*100,R420)</f>
        <v>#N/A</v>
      </c>
    </row>
    <row r="422" customHeight="1" spans="1:18">
      <c r="A422" s="78" t="str">
        <f ca="1" t="shared" si="18"/>
        <v/>
      </c>
      <c r="B422" s="82" t="str">
        <f ca="1">IFERROR(R422+COUNTIFS($R$11:$R422,R422),"")</f>
        <v/>
      </c>
      <c r="C422" s="83">
        <f ca="1">IF(MOD(COUNTIF($Q$11:Q421,Q421),5)=0,OFFSET(装备属性!$D$1083,1+INT(COUNTA($Q$11:Q421)/5),0),C421)</f>
        <v>0</v>
      </c>
      <c r="D422" s="82">
        <f t="shared" si="20"/>
        <v>2500</v>
      </c>
      <c r="F422" s="82" t="str">
        <f ca="1" t="shared" si="19"/>
        <v/>
      </c>
      <c r="G422" s="78" t="str">
        <f ca="1">IF(AND(LEFT("[{"&amp;M422&amp;","&amp;CEILING(N422*10000+(O422-N422)/4*(COUNTIF($F$11:F422,F422)-1)*10000,10)&amp;"}]",7)="[{equip",MID("[{"&amp;M422&amp;","&amp;CEILING(N422*10000+(O422-N422)/4*(COUNTIF($F$11:F422,F422)-1)*10000,10)&amp;"}]",8,1)&lt;&gt;"_"),"[{"&amp;M422&amp;","&amp;1&amp;"}]","[{"&amp;M422&amp;","&amp;CEILING(N422*10000+(O422-N422)/4*(COUNTIF($F$11:F422,F422)-1)*10000,10)&amp;"}]")</f>
        <v>[{mage_class_dmg_rate,7540}]</v>
      </c>
      <c r="H422" s="82" t="s">
        <v>563</v>
      </c>
      <c r="J422" s="78">
        <f ca="1">IF(MOD(COUNTIF($Q$11:Q421,Q421),5)=0,OFFSET(装备属性!$P$1083,1+INT(COUNTA($Q$11:Q421)/5),0),J421)</f>
        <v>4</v>
      </c>
      <c r="K422" s="83" t="str">
        <f ca="1">IF(RIGHT(G422,13)="rune_slot,1}]",_xlfn.XLOOKUP(LEFT(SUBSTITUTE(G422,"[{",""),FIND(",",SUBSTITUTE(G422,"[{",""))-1),Sheet2!B:B,Sheet2!C:C)&amp;"+"&amp;1,_xlfn.XLOOKUP(LEFT(SUBSTITUTE(G422,"[{",""),FIND(",",SUBSTITUTE(G422,"[{",""))-1),Sheet2!B:B,Sheet2!C:C)&amp;"+"&amp;SUBSTITUTE(RIGHT(G422,LEN(G422)-FIND(",",G422)),"}]","")/100&amp;"%")</f>
        <v>上阵两个法师职业增伤+75.4%</v>
      </c>
      <c r="L422" s="83" t="str">
        <f ca="1">IF(MOD(COUNTIF($Q$11:Q421,Q421),5)=0,OFFSET(装备属性!$G$1083,1+INT(COUNTA($Q$11:Q421)/5),0),L421)</f>
        <v>施法小队Ⅱ</v>
      </c>
      <c r="M422" s="89" t="str">
        <f ca="1">IF(MOD(COUNTIF($Q$11:Q421,Q421),5)=0,OFFSET(装备属性!$H$1083,1+INT(COUNTA($Q$11:Q421)/5),0),M421)</f>
        <v>mage_class_dmg_rate</v>
      </c>
      <c r="N422" s="76">
        <f ca="1">IF(MOD(COUNTIF($Q$11:Q421,Q421),5)=0,OFFSET(装备属性!$K$1083,1+INT(COUNTA($Q$11:Q421)/5),0),N421)</f>
        <v>0.075</v>
      </c>
      <c r="O422" s="76">
        <f ca="1">IF(MOD(COUNTIF($Q$11:Q421,Q421),5)=0,OFFSET(装备属性!$L$1083,1+INT(COUNTA($Q$11:Q421)/5),0),O421)</f>
        <v>0.09</v>
      </c>
      <c r="Q422" s="89" t="str">
        <f ca="1">IF(MOD(COUNTIF($Q$11:Q421,Q421),5)=0,OFFSET(装备属性!$M$1083,1+INT(COUNTA($Q$11:Q421)/5),0),Q421)</f>
        <v>通用属性</v>
      </c>
      <c r="R422" s="83" t="e">
        <f ca="1">IF(MOD(COUNTIF($Q$11:Q421,Q421),5)=0,10000*SUBSTITUTE(SUBSTITUTE(OFFSET(装备属性!$F$1083,1+INT(COUNTA($Q$11:Q421)/5),0),"[",""),"]","")+_xlfn.XLOOKUP(C422,$M$3:$M$7,$N$3:$N$7)*100,R421)</f>
        <v>#N/A</v>
      </c>
    </row>
    <row r="423" customHeight="1" spans="1:18">
      <c r="A423" s="78" t="str">
        <f ca="1" t="shared" si="18"/>
        <v/>
      </c>
      <c r="B423" s="82" t="str">
        <f ca="1">IFERROR(R423+COUNTIFS($R$11:$R423,R423),"")</f>
        <v/>
      </c>
      <c r="C423" s="83">
        <f ca="1">IF(MOD(COUNTIF($Q$11:Q422,Q422),5)=0,OFFSET(装备属性!$D$1083,1+INT(COUNTA($Q$11:Q422)/5),0),C422)</f>
        <v>0</v>
      </c>
      <c r="D423" s="82">
        <f t="shared" si="20"/>
        <v>2000</v>
      </c>
      <c r="F423" s="82" t="str">
        <f ca="1" t="shared" si="19"/>
        <v/>
      </c>
      <c r="G423" s="78" t="str">
        <f ca="1">IF(AND(LEFT("[{"&amp;M423&amp;","&amp;CEILING(N423*10000+(O423-N423)/4*(COUNTIF($F$11:F423,F423)-1)*10000,10)&amp;"}]",7)="[{equip",MID("[{"&amp;M423&amp;","&amp;CEILING(N423*10000+(O423-N423)/4*(COUNTIF($F$11:F423,F423)-1)*10000,10)&amp;"}]",8,1)&lt;&gt;"_"),"[{"&amp;M423&amp;","&amp;1&amp;"}]","[{"&amp;M423&amp;","&amp;CEILING(N423*10000+(O423-N423)/4*(COUNTIF($F$11:F423,F423)-1)*10000,10)&amp;"}]")</f>
        <v>[{mage_class_dmg_rate,7580}]</v>
      </c>
      <c r="H423" s="82" t="s">
        <v>563</v>
      </c>
      <c r="J423" s="78">
        <f ca="1">IF(MOD(COUNTIF($Q$11:Q422,Q422),5)=0,OFFSET(装备属性!$P$1083,1+INT(COUNTA($Q$11:Q422)/5),0),J422)</f>
        <v>4</v>
      </c>
      <c r="K423" s="83" t="str">
        <f ca="1">IF(RIGHT(G423,13)="rune_slot,1}]",_xlfn.XLOOKUP(LEFT(SUBSTITUTE(G423,"[{",""),FIND(",",SUBSTITUTE(G423,"[{",""))-1),Sheet2!B:B,Sheet2!C:C)&amp;"+"&amp;1,_xlfn.XLOOKUP(LEFT(SUBSTITUTE(G423,"[{",""),FIND(",",SUBSTITUTE(G423,"[{",""))-1),Sheet2!B:B,Sheet2!C:C)&amp;"+"&amp;SUBSTITUTE(RIGHT(G423,LEN(G423)-FIND(",",G423)),"}]","")/100&amp;"%")</f>
        <v>上阵两个法师职业增伤+75.8%</v>
      </c>
      <c r="L423" s="83" t="str">
        <f ca="1">IF(MOD(COUNTIF($Q$11:Q422,Q422),5)=0,OFFSET(装备属性!$G$1083,1+INT(COUNTA($Q$11:Q422)/5),0),L422)</f>
        <v>施法小队Ⅱ</v>
      </c>
      <c r="M423" s="89" t="str">
        <f ca="1">IF(MOD(COUNTIF($Q$11:Q422,Q422),5)=0,OFFSET(装备属性!$H$1083,1+INT(COUNTA($Q$11:Q422)/5),0),M422)</f>
        <v>mage_class_dmg_rate</v>
      </c>
      <c r="N423" s="76">
        <f ca="1">IF(MOD(COUNTIF($Q$11:Q422,Q422),5)=0,OFFSET(装备属性!$K$1083,1+INT(COUNTA($Q$11:Q422)/5),0),N422)</f>
        <v>0.075</v>
      </c>
      <c r="O423" s="76">
        <f ca="1">IF(MOD(COUNTIF($Q$11:Q422,Q422),5)=0,OFFSET(装备属性!$L$1083,1+INT(COUNTA($Q$11:Q422)/5),0),O422)</f>
        <v>0.09</v>
      </c>
      <c r="Q423" s="89" t="str">
        <f ca="1">IF(MOD(COUNTIF($Q$11:Q422,Q422),5)=0,OFFSET(装备属性!$M$1083,1+INT(COUNTA($Q$11:Q422)/5),0),Q422)</f>
        <v>通用属性</v>
      </c>
      <c r="R423" s="83" t="e">
        <f ca="1">IF(MOD(COUNTIF($Q$11:Q422,Q422),5)=0,10000*SUBSTITUTE(SUBSTITUTE(OFFSET(装备属性!$F$1083,1+INT(COUNTA($Q$11:Q422)/5),0),"[",""),"]","")+_xlfn.XLOOKUP(C423,$M$3:$M$7,$N$3:$N$7)*100,R422)</f>
        <v>#N/A</v>
      </c>
    </row>
    <row r="424" customHeight="1" spans="1:18">
      <c r="A424" s="78" t="str">
        <f ca="1" t="shared" si="18"/>
        <v/>
      </c>
      <c r="B424" s="82" t="str">
        <f ca="1">IFERROR(R424+COUNTIFS($R$11:$R424,R424),"")</f>
        <v/>
      </c>
      <c r="C424" s="83">
        <f ca="1">IF(MOD(COUNTIF($Q$11:Q423,Q423),5)=0,OFFSET(装备属性!$D$1083,1+INT(COUNTA($Q$11:Q423)/5),0),C423)</f>
        <v>0</v>
      </c>
      <c r="D424" s="82">
        <f t="shared" si="20"/>
        <v>1500</v>
      </c>
      <c r="F424" s="82" t="str">
        <f ca="1" t="shared" si="19"/>
        <v/>
      </c>
      <c r="G424" s="78" t="str">
        <f ca="1">IF(AND(LEFT("[{"&amp;M424&amp;","&amp;CEILING(N424*10000+(O424-N424)/4*(COUNTIF($F$11:F424,F424)-1)*10000,10)&amp;"}]",7)="[{equip",MID("[{"&amp;M424&amp;","&amp;CEILING(N424*10000+(O424-N424)/4*(COUNTIF($F$11:F424,F424)-1)*10000,10)&amp;"}]",8,1)&lt;&gt;"_"),"[{"&amp;M424&amp;","&amp;1&amp;"}]","[{"&amp;M424&amp;","&amp;CEILING(N424*10000+(O424-N424)/4*(COUNTIF($F$11:F424,F424)-1)*10000,10)&amp;"}]")</f>
        <v>[{mage_class_dmg_rate,7620}]</v>
      </c>
      <c r="H424" s="82" t="s">
        <v>563</v>
      </c>
      <c r="J424" s="78">
        <f ca="1">IF(MOD(COUNTIF($Q$11:Q423,Q423),5)=0,OFFSET(装备属性!$P$1083,1+INT(COUNTA($Q$11:Q423)/5),0),J423)</f>
        <v>4</v>
      </c>
      <c r="K424" s="83" t="str">
        <f ca="1">IF(RIGHT(G424,13)="rune_slot,1}]",_xlfn.XLOOKUP(LEFT(SUBSTITUTE(G424,"[{",""),FIND(",",SUBSTITUTE(G424,"[{",""))-1),Sheet2!B:B,Sheet2!C:C)&amp;"+"&amp;1,_xlfn.XLOOKUP(LEFT(SUBSTITUTE(G424,"[{",""),FIND(",",SUBSTITUTE(G424,"[{",""))-1),Sheet2!B:B,Sheet2!C:C)&amp;"+"&amp;SUBSTITUTE(RIGHT(G424,LEN(G424)-FIND(",",G424)),"}]","")/100&amp;"%")</f>
        <v>上阵两个法师职业增伤+76.2%</v>
      </c>
      <c r="L424" s="83" t="str">
        <f ca="1">IF(MOD(COUNTIF($Q$11:Q423,Q423),5)=0,OFFSET(装备属性!$G$1083,1+INT(COUNTA($Q$11:Q423)/5),0),L423)</f>
        <v>施法小队Ⅱ</v>
      </c>
      <c r="M424" s="89" t="str">
        <f ca="1">IF(MOD(COUNTIF($Q$11:Q423,Q423),5)=0,OFFSET(装备属性!$H$1083,1+INT(COUNTA($Q$11:Q423)/5),0),M423)</f>
        <v>mage_class_dmg_rate</v>
      </c>
      <c r="N424" s="76">
        <f ca="1">IF(MOD(COUNTIF($Q$11:Q423,Q423),5)=0,OFFSET(装备属性!$K$1083,1+INT(COUNTA($Q$11:Q423)/5),0),N423)</f>
        <v>0.075</v>
      </c>
      <c r="O424" s="76">
        <f ca="1">IF(MOD(COUNTIF($Q$11:Q423,Q423),5)=0,OFFSET(装备属性!$L$1083,1+INT(COUNTA($Q$11:Q423)/5),0),O423)</f>
        <v>0.09</v>
      </c>
      <c r="Q424" s="89" t="str">
        <f ca="1">IF(MOD(COUNTIF($Q$11:Q423,Q423),5)=0,OFFSET(装备属性!$M$1083,1+INT(COUNTA($Q$11:Q423)/5),0),Q423)</f>
        <v>通用属性</v>
      </c>
      <c r="R424" s="83" t="e">
        <f ca="1">IF(MOD(COUNTIF($Q$11:Q423,Q423),5)=0,10000*SUBSTITUTE(SUBSTITUTE(OFFSET(装备属性!$F$1083,1+INT(COUNTA($Q$11:Q423)/5),0),"[",""),"]","")+_xlfn.XLOOKUP(C424,$M$3:$M$7,$N$3:$N$7)*100,R423)</f>
        <v>#N/A</v>
      </c>
    </row>
    <row r="425" customHeight="1" spans="1:18">
      <c r="A425" s="78" t="str">
        <f ca="1" t="shared" si="18"/>
        <v/>
      </c>
      <c r="B425" s="82" t="str">
        <f ca="1">IFERROR(R425+COUNTIFS($R$11:$R425,R425),"")</f>
        <v/>
      </c>
      <c r="C425" s="83">
        <f ca="1">IF(MOD(COUNTIF($Q$11:Q424,Q424),5)=0,OFFSET(装备属性!$D$1083,1+INT(COUNTA($Q$11:Q424)/5),0),C424)</f>
        <v>0</v>
      </c>
      <c r="D425" s="82">
        <f t="shared" si="20"/>
        <v>1000</v>
      </c>
      <c r="F425" s="82" t="str">
        <f ca="1" t="shared" si="19"/>
        <v/>
      </c>
      <c r="G425" s="78" t="str">
        <f ca="1">IF(AND(LEFT("[{"&amp;M425&amp;","&amp;CEILING(N425*10000+(O425-N425)/4*(COUNTIF($F$11:F425,F425)-1)*10000,10)&amp;"}]",7)="[{equip",MID("[{"&amp;M425&amp;","&amp;CEILING(N425*10000+(O425-N425)/4*(COUNTIF($F$11:F425,F425)-1)*10000,10)&amp;"}]",8,1)&lt;&gt;"_"),"[{"&amp;M425&amp;","&amp;1&amp;"}]","[{"&amp;M425&amp;","&amp;CEILING(N425*10000+(O425-N425)/4*(COUNTIF($F$11:F425,F425)-1)*10000,10)&amp;"}]")</f>
        <v>[{mage_class_dmg_rate,7650}]</v>
      </c>
      <c r="H425" s="82" t="s">
        <v>563</v>
      </c>
      <c r="J425" s="78">
        <f ca="1">IF(MOD(COUNTIF($Q$11:Q424,Q424),5)=0,OFFSET(装备属性!$P$1083,1+INT(COUNTA($Q$11:Q424)/5),0),J424)</f>
        <v>4</v>
      </c>
      <c r="K425" s="83" t="str">
        <f ca="1">IF(RIGHT(G425,13)="rune_slot,1}]",_xlfn.XLOOKUP(LEFT(SUBSTITUTE(G425,"[{",""),FIND(",",SUBSTITUTE(G425,"[{",""))-1),Sheet2!B:B,Sheet2!C:C)&amp;"+"&amp;1,_xlfn.XLOOKUP(LEFT(SUBSTITUTE(G425,"[{",""),FIND(",",SUBSTITUTE(G425,"[{",""))-1),Sheet2!B:B,Sheet2!C:C)&amp;"+"&amp;SUBSTITUTE(RIGHT(G425,LEN(G425)-FIND(",",G425)),"}]","")/100&amp;"%")</f>
        <v>上阵两个法师职业增伤+76.5%</v>
      </c>
      <c r="L425" s="83" t="str">
        <f ca="1">IF(MOD(COUNTIF($Q$11:Q424,Q424),5)=0,OFFSET(装备属性!$G$1083,1+INT(COUNTA($Q$11:Q424)/5),0),L424)</f>
        <v>施法小队Ⅱ</v>
      </c>
      <c r="M425" s="89" t="str">
        <f ca="1">IF(MOD(COUNTIF($Q$11:Q424,Q424),5)=0,OFFSET(装备属性!$H$1083,1+INT(COUNTA($Q$11:Q424)/5),0),M424)</f>
        <v>mage_class_dmg_rate</v>
      </c>
      <c r="N425" s="76">
        <f ca="1">IF(MOD(COUNTIF($Q$11:Q424,Q424),5)=0,OFFSET(装备属性!$K$1083,1+INT(COUNTA($Q$11:Q424)/5),0),N424)</f>
        <v>0.075</v>
      </c>
      <c r="O425" s="76">
        <f ca="1">IF(MOD(COUNTIF($Q$11:Q424,Q424),5)=0,OFFSET(装备属性!$L$1083,1+INT(COUNTA($Q$11:Q424)/5),0),O424)</f>
        <v>0.09</v>
      </c>
      <c r="Q425" s="89" t="str">
        <f ca="1">IF(MOD(COUNTIF($Q$11:Q424,Q424),5)=0,OFFSET(装备属性!$M$1083,1+INT(COUNTA($Q$11:Q424)/5),0),Q424)</f>
        <v>通用属性</v>
      </c>
      <c r="R425" s="83" t="e">
        <f ca="1">IF(MOD(COUNTIF($Q$11:Q424,Q424),5)=0,10000*SUBSTITUTE(SUBSTITUTE(OFFSET(装备属性!$F$1083,1+INT(COUNTA($Q$11:Q424)/5),0),"[",""),"]","")+_xlfn.XLOOKUP(C425,$M$3:$M$7,$N$3:$N$7)*100,R424)</f>
        <v>#N/A</v>
      </c>
    </row>
    <row r="426" customHeight="1" spans="1:18">
      <c r="A426" s="78">
        <f ca="1" t="shared" si="18"/>
        <v>20501</v>
      </c>
      <c r="B426" s="82">
        <f ca="1">IFERROR(R426+COUNTIFS($R$11:$R426,R426),"")</f>
        <v>20521</v>
      </c>
      <c r="C426" s="83" t="str">
        <f ca="1">IF(MOD(COUNTIF($Q$11:Q425,Q425),5)=0,OFFSET(装备属性!$D$1083,1+INT(COUNTA($Q$11:Q425)/5),0),C425)</f>
        <v>橙</v>
      </c>
      <c r="D426" s="82">
        <f t="shared" si="20"/>
        <v>3000</v>
      </c>
      <c r="F426" s="82">
        <f ca="1" t="shared" si="19"/>
        <v>20504</v>
      </c>
      <c r="G426" s="78" t="str">
        <f ca="1">IF(AND(LEFT("[{"&amp;M426&amp;","&amp;CEILING(N426*10000+(O426-N426)/4*(COUNTIF($F$11:F426,F426)-1)*10000,10)&amp;"}]",7)="[{equip",MID("[{"&amp;M426&amp;","&amp;CEILING(N426*10000+(O426-N426)/4*(COUNTIF($F$11:F426,F426)-1)*10000,10)&amp;"}]",8,1)&lt;&gt;"_"),"[{"&amp;M426&amp;","&amp;1&amp;"}]","[{"&amp;M426&amp;","&amp;CEILING(N426*10000+(O426-N426)/4*(COUNTIF($F$11:F426,F426)-1)*10000,10)&amp;"}]")</f>
        <v>[{mage_crit_dmg,2400}]</v>
      </c>
      <c r="H426" s="82" t="s">
        <v>563</v>
      </c>
      <c r="J426" s="78">
        <f ca="1">IF(MOD(COUNTIF($Q$11:Q425,Q425),5)=0,OFFSET(装备属性!$P$1083,1+INT(COUNTA($Q$11:Q425)/5),0),J425)</f>
        <v>10</v>
      </c>
      <c r="K426" s="83" t="str">
        <f ca="1">IF(RIGHT(G426,13)="rune_slot,1}]",_xlfn.XLOOKUP(LEFT(SUBSTITUTE(G426,"[{",""),FIND(",",SUBSTITUTE(G426,"[{",""))-1),Sheet2!B:B,Sheet2!C:C)&amp;"+"&amp;1,_xlfn.XLOOKUP(LEFT(SUBSTITUTE(G426,"[{",""),FIND(",",SUBSTITUTE(G426,"[{",""))-1),Sheet2!B:B,Sheet2!C:C)&amp;"+"&amp;SUBSTITUTE(RIGHT(G426,LEN(G426)-FIND(",",G426)),"}]","")/100&amp;"%")</f>
        <v>法师暴击伤害+24%</v>
      </c>
      <c r="L426" s="83" t="str">
        <f ca="1">IF(MOD(COUNTIF($Q$11:Q425,Q425),5)=0,OFFSET(装备属性!$G$1083,1+INT(COUNTA($Q$11:Q425)/5),0),L425)</f>
        <v>暴走施法Ⅱ</v>
      </c>
      <c r="M426" s="89" t="str">
        <f ca="1">IF(MOD(COUNTIF($Q$11:Q425,Q425),5)=0,OFFSET(装备属性!$H$1083,1+INT(COUNTA($Q$11:Q425)/5),0),M425)</f>
        <v>mage_crit_dmg</v>
      </c>
      <c r="N426" s="76">
        <f ca="1">IF(MOD(COUNTIF($Q$11:Q425,Q425),5)=0,OFFSET(装备属性!$K$1083,1+INT(COUNTA($Q$11:Q425)/5),0),N425)</f>
        <v>0.24</v>
      </c>
      <c r="O426" s="76">
        <f ca="1">IF(MOD(COUNTIF($Q$11:Q425,Q425),5)=0,OFFSET(装备属性!$L$1083,1+INT(COUNTA($Q$11:Q425)/5),0),O425)</f>
        <v>0.27</v>
      </c>
      <c r="Q426" s="89" t="str">
        <f ca="1">IF(MOD(COUNTIF($Q$11:Q425,Q425),5)=0,OFFSET(装备属性!$M$1083,1+INT(COUNTA($Q$11:Q425)/5),0),Q425)</f>
        <v>通用属性</v>
      </c>
      <c r="R426" s="83">
        <f ca="1">IF(MOD(COUNTIF($Q$11:Q425,Q425),5)=0,10000*SUBSTITUTE(SUBSTITUTE(OFFSET(装备属性!$F$1083,1+INT(COUNTA($Q$11:Q425)/5),0),"[",""),"]","")+_xlfn.XLOOKUP(C426,$M$3:$M$7,$N$3:$N$7)*100,R425)</f>
        <v>20500</v>
      </c>
    </row>
    <row r="427" customHeight="1" spans="1:18">
      <c r="A427" s="78">
        <f ca="1" t="shared" si="18"/>
        <v>20501</v>
      </c>
      <c r="B427" s="82">
        <f ca="1">IFERROR(R427+COUNTIFS($R$11:$R427,R427),"")</f>
        <v>20522</v>
      </c>
      <c r="C427" s="83" t="str">
        <f ca="1">IF(MOD(COUNTIF($Q$11:Q426,Q426),5)=0,OFFSET(装备属性!$D$1083,1+INT(COUNTA($Q$11:Q426)/5),0),C426)</f>
        <v>橙</v>
      </c>
      <c r="D427" s="82">
        <f t="shared" si="20"/>
        <v>2500</v>
      </c>
      <c r="F427" s="82">
        <f ca="1" t="shared" si="19"/>
        <v>20504</v>
      </c>
      <c r="G427" s="78" t="str">
        <f ca="1">IF(AND(LEFT("[{"&amp;M427&amp;","&amp;CEILING(N427*10000+(O427-N427)/4*(COUNTIF($F$11:F427,F427)-1)*10000,10)&amp;"}]",7)="[{equip",MID("[{"&amp;M427&amp;","&amp;CEILING(N427*10000+(O427-N427)/4*(COUNTIF($F$11:F427,F427)-1)*10000,10)&amp;"}]",8,1)&lt;&gt;"_"),"[{"&amp;M427&amp;","&amp;1&amp;"}]","[{"&amp;M427&amp;","&amp;CEILING(N427*10000+(O427-N427)/4*(COUNTIF($F$11:F427,F427)-1)*10000,10)&amp;"}]")</f>
        <v>[{mage_crit_dmg,2480}]</v>
      </c>
      <c r="H427" s="82" t="s">
        <v>563</v>
      </c>
      <c r="J427" s="78">
        <f ca="1">IF(MOD(COUNTIF($Q$11:Q426,Q426),5)=0,OFFSET(装备属性!$P$1083,1+INT(COUNTA($Q$11:Q426)/5),0),J426)</f>
        <v>10</v>
      </c>
      <c r="K427" s="83" t="str">
        <f ca="1">IF(RIGHT(G427,13)="rune_slot,1}]",_xlfn.XLOOKUP(LEFT(SUBSTITUTE(G427,"[{",""),FIND(",",SUBSTITUTE(G427,"[{",""))-1),Sheet2!B:B,Sheet2!C:C)&amp;"+"&amp;1,_xlfn.XLOOKUP(LEFT(SUBSTITUTE(G427,"[{",""),FIND(",",SUBSTITUTE(G427,"[{",""))-1),Sheet2!B:B,Sheet2!C:C)&amp;"+"&amp;SUBSTITUTE(RIGHT(G427,LEN(G427)-FIND(",",G427)),"}]","")/100&amp;"%")</f>
        <v>法师暴击伤害+24.8%</v>
      </c>
      <c r="L427" s="83" t="str">
        <f ca="1">IF(MOD(COUNTIF($Q$11:Q426,Q426),5)=0,OFFSET(装备属性!$G$1083,1+INT(COUNTA($Q$11:Q426)/5),0),L426)</f>
        <v>暴走施法Ⅱ</v>
      </c>
      <c r="M427" s="89" t="str">
        <f ca="1">IF(MOD(COUNTIF($Q$11:Q426,Q426),5)=0,OFFSET(装备属性!$H$1083,1+INT(COUNTA($Q$11:Q426)/5),0),M426)</f>
        <v>mage_crit_dmg</v>
      </c>
      <c r="N427" s="76">
        <f ca="1">IF(MOD(COUNTIF($Q$11:Q426,Q426),5)=0,OFFSET(装备属性!$K$1083,1+INT(COUNTA($Q$11:Q426)/5),0),N426)</f>
        <v>0.24</v>
      </c>
      <c r="O427" s="76">
        <f ca="1">IF(MOD(COUNTIF($Q$11:Q426,Q426),5)=0,OFFSET(装备属性!$L$1083,1+INT(COUNTA($Q$11:Q426)/5),0),O426)</f>
        <v>0.27</v>
      </c>
      <c r="Q427" s="89" t="str">
        <f ca="1">IF(MOD(COUNTIF($Q$11:Q426,Q426),5)=0,OFFSET(装备属性!$M$1083,1+INT(COUNTA($Q$11:Q426)/5),0),Q426)</f>
        <v>通用属性</v>
      </c>
      <c r="R427" s="83">
        <f ca="1">IF(MOD(COUNTIF($Q$11:Q426,Q426),5)=0,10000*SUBSTITUTE(SUBSTITUTE(OFFSET(装备属性!$F$1083,1+INT(COUNTA($Q$11:Q426)/5),0),"[",""),"]","")+_xlfn.XLOOKUP(C427,$M$3:$M$7,$N$3:$N$7)*100,R426)</f>
        <v>20500</v>
      </c>
    </row>
    <row r="428" customHeight="1" spans="1:18">
      <c r="A428" s="78">
        <f ca="1" t="shared" si="18"/>
        <v>20501</v>
      </c>
      <c r="B428" s="82">
        <f ca="1">IFERROR(R428+COUNTIFS($R$11:$R428,R428),"")</f>
        <v>20523</v>
      </c>
      <c r="C428" s="83" t="str">
        <f ca="1">IF(MOD(COUNTIF($Q$11:Q427,Q427),5)=0,OFFSET(装备属性!$D$1083,1+INT(COUNTA($Q$11:Q427)/5),0),C427)</f>
        <v>橙</v>
      </c>
      <c r="D428" s="82">
        <f t="shared" si="20"/>
        <v>2000</v>
      </c>
      <c r="F428" s="82">
        <f ca="1" t="shared" si="19"/>
        <v>20504</v>
      </c>
      <c r="G428" s="78" t="str">
        <f ca="1">IF(AND(LEFT("[{"&amp;M428&amp;","&amp;CEILING(N428*10000+(O428-N428)/4*(COUNTIF($F$11:F428,F428)-1)*10000,10)&amp;"}]",7)="[{equip",MID("[{"&amp;M428&amp;","&amp;CEILING(N428*10000+(O428-N428)/4*(COUNTIF($F$11:F428,F428)-1)*10000,10)&amp;"}]",8,1)&lt;&gt;"_"),"[{"&amp;M428&amp;","&amp;1&amp;"}]","[{"&amp;M428&amp;","&amp;CEILING(N428*10000+(O428-N428)/4*(COUNTIF($F$11:F428,F428)-1)*10000,10)&amp;"}]")</f>
        <v>[{mage_crit_dmg,2550}]</v>
      </c>
      <c r="H428" s="82" t="s">
        <v>563</v>
      </c>
      <c r="J428" s="78">
        <f ca="1">IF(MOD(COUNTIF($Q$11:Q427,Q427),5)=0,OFFSET(装备属性!$P$1083,1+INT(COUNTA($Q$11:Q427)/5),0),J427)</f>
        <v>10</v>
      </c>
      <c r="K428" s="83" t="str">
        <f ca="1">IF(RIGHT(G428,13)="rune_slot,1}]",_xlfn.XLOOKUP(LEFT(SUBSTITUTE(G428,"[{",""),FIND(",",SUBSTITUTE(G428,"[{",""))-1),Sheet2!B:B,Sheet2!C:C)&amp;"+"&amp;1,_xlfn.XLOOKUP(LEFT(SUBSTITUTE(G428,"[{",""),FIND(",",SUBSTITUTE(G428,"[{",""))-1),Sheet2!B:B,Sheet2!C:C)&amp;"+"&amp;SUBSTITUTE(RIGHT(G428,LEN(G428)-FIND(",",G428)),"}]","")/100&amp;"%")</f>
        <v>法师暴击伤害+25.5%</v>
      </c>
      <c r="L428" s="83" t="str">
        <f ca="1">IF(MOD(COUNTIF($Q$11:Q427,Q427),5)=0,OFFSET(装备属性!$G$1083,1+INT(COUNTA($Q$11:Q427)/5),0),L427)</f>
        <v>暴走施法Ⅱ</v>
      </c>
      <c r="M428" s="89" t="str">
        <f ca="1">IF(MOD(COUNTIF($Q$11:Q427,Q427),5)=0,OFFSET(装备属性!$H$1083,1+INT(COUNTA($Q$11:Q427)/5),0),M427)</f>
        <v>mage_crit_dmg</v>
      </c>
      <c r="N428" s="76">
        <f ca="1">IF(MOD(COUNTIF($Q$11:Q427,Q427),5)=0,OFFSET(装备属性!$K$1083,1+INT(COUNTA($Q$11:Q427)/5),0),N427)</f>
        <v>0.24</v>
      </c>
      <c r="O428" s="76">
        <f ca="1">IF(MOD(COUNTIF($Q$11:Q427,Q427),5)=0,OFFSET(装备属性!$L$1083,1+INT(COUNTA($Q$11:Q427)/5),0),O427)</f>
        <v>0.27</v>
      </c>
      <c r="Q428" s="89" t="str">
        <f ca="1">IF(MOD(COUNTIF($Q$11:Q427,Q427),5)=0,OFFSET(装备属性!$M$1083,1+INT(COUNTA($Q$11:Q427)/5),0),Q427)</f>
        <v>通用属性</v>
      </c>
      <c r="R428" s="83">
        <f ca="1">IF(MOD(COUNTIF($Q$11:Q427,Q427),5)=0,10000*SUBSTITUTE(SUBSTITUTE(OFFSET(装备属性!$F$1083,1+INT(COUNTA($Q$11:Q427)/5),0),"[",""),"]","")+_xlfn.XLOOKUP(C428,$M$3:$M$7,$N$3:$N$7)*100,R427)</f>
        <v>20500</v>
      </c>
    </row>
    <row r="429" customHeight="1" spans="1:18">
      <c r="A429" s="78">
        <f ca="1" t="shared" si="18"/>
        <v>20501</v>
      </c>
      <c r="B429" s="82">
        <f ca="1">IFERROR(R429+COUNTIFS($R$11:$R429,R429),"")</f>
        <v>20524</v>
      </c>
      <c r="C429" s="83" t="str">
        <f ca="1">IF(MOD(COUNTIF($Q$11:Q428,Q428),5)=0,OFFSET(装备属性!$D$1083,1+INT(COUNTA($Q$11:Q428)/5),0),C428)</f>
        <v>橙</v>
      </c>
      <c r="D429" s="82">
        <f t="shared" si="20"/>
        <v>1500</v>
      </c>
      <c r="F429" s="82">
        <f ca="1" t="shared" si="19"/>
        <v>20504</v>
      </c>
      <c r="G429" s="78" t="str">
        <f ca="1">IF(AND(LEFT("[{"&amp;M429&amp;","&amp;CEILING(N429*10000+(O429-N429)/4*(COUNTIF($F$11:F429,F429)-1)*10000,10)&amp;"}]",7)="[{equip",MID("[{"&amp;M429&amp;","&amp;CEILING(N429*10000+(O429-N429)/4*(COUNTIF($F$11:F429,F429)-1)*10000,10)&amp;"}]",8,1)&lt;&gt;"_"),"[{"&amp;M429&amp;","&amp;1&amp;"}]","[{"&amp;M429&amp;","&amp;CEILING(N429*10000+(O429-N429)/4*(COUNTIF($F$11:F429,F429)-1)*10000,10)&amp;"}]")</f>
        <v>[{mage_crit_dmg,2630}]</v>
      </c>
      <c r="H429" s="82" t="s">
        <v>563</v>
      </c>
      <c r="J429" s="78">
        <f ca="1">IF(MOD(COUNTIF($Q$11:Q428,Q428),5)=0,OFFSET(装备属性!$P$1083,1+INT(COUNTA($Q$11:Q428)/5),0),J428)</f>
        <v>10</v>
      </c>
      <c r="K429" s="83" t="str">
        <f ca="1">IF(RIGHT(G429,13)="rune_slot,1}]",_xlfn.XLOOKUP(LEFT(SUBSTITUTE(G429,"[{",""),FIND(",",SUBSTITUTE(G429,"[{",""))-1),Sheet2!B:B,Sheet2!C:C)&amp;"+"&amp;1,_xlfn.XLOOKUP(LEFT(SUBSTITUTE(G429,"[{",""),FIND(",",SUBSTITUTE(G429,"[{",""))-1),Sheet2!B:B,Sheet2!C:C)&amp;"+"&amp;SUBSTITUTE(RIGHT(G429,LEN(G429)-FIND(",",G429)),"}]","")/100&amp;"%")</f>
        <v>法师暴击伤害+26.3%</v>
      </c>
      <c r="L429" s="83" t="str">
        <f ca="1">IF(MOD(COUNTIF($Q$11:Q428,Q428),5)=0,OFFSET(装备属性!$G$1083,1+INT(COUNTA($Q$11:Q428)/5),0),L428)</f>
        <v>暴走施法Ⅱ</v>
      </c>
      <c r="M429" s="89" t="str">
        <f ca="1">IF(MOD(COUNTIF($Q$11:Q428,Q428),5)=0,OFFSET(装备属性!$H$1083,1+INT(COUNTA($Q$11:Q428)/5),0),M428)</f>
        <v>mage_crit_dmg</v>
      </c>
      <c r="N429" s="76">
        <f ca="1">IF(MOD(COUNTIF($Q$11:Q428,Q428),5)=0,OFFSET(装备属性!$K$1083,1+INT(COUNTA($Q$11:Q428)/5),0),N428)</f>
        <v>0.24</v>
      </c>
      <c r="O429" s="76">
        <f ca="1">IF(MOD(COUNTIF($Q$11:Q428,Q428),5)=0,OFFSET(装备属性!$L$1083,1+INT(COUNTA($Q$11:Q428)/5),0),O428)</f>
        <v>0.27</v>
      </c>
      <c r="Q429" s="89" t="str">
        <f ca="1">IF(MOD(COUNTIF($Q$11:Q428,Q428),5)=0,OFFSET(装备属性!$M$1083,1+INT(COUNTA($Q$11:Q428)/5),0),Q428)</f>
        <v>通用属性</v>
      </c>
      <c r="R429" s="83">
        <f ca="1">IF(MOD(COUNTIF($Q$11:Q428,Q428),5)=0,10000*SUBSTITUTE(SUBSTITUTE(OFFSET(装备属性!$F$1083,1+INT(COUNTA($Q$11:Q428)/5),0),"[",""),"]","")+_xlfn.XLOOKUP(C429,$M$3:$M$7,$N$3:$N$7)*100,R428)</f>
        <v>20500</v>
      </c>
    </row>
    <row r="430" customHeight="1" spans="1:18">
      <c r="A430" s="78">
        <f ca="1" t="shared" si="18"/>
        <v>20501</v>
      </c>
      <c r="B430" s="82">
        <f ca="1">IFERROR(R430+COUNTIFS($R$11:$R430,R430),"")</f>
        <v>20525</v>
      </c>
      <c r="C430" s="83" t="str">
        <f ca="1">IF(MOD(COUNTIF($Q$11:Q429,Q429),5)=0,OFFSET(装备属性!$D$1083,1+INT(COUNTA($Q$11:Q429)/5),0),C429)</f>
        <v>橙</v>
      </c>
      <c r="D430" s="82">
        <f t="shared" si="20"/>
        <v>1000</v>
      </c>
      <c r="F430" s="82">
        <f ca="1" t="shared" si="19"/>
        <v>20504</v>
      </c>
      <c r="G430" s="78" t="str">
        <f ca="1">IF(AND(LEFT("[{"&amp;M430&amp;","&amp;CEILING(N430*10000+(O430-N430)/4*(COUNTIF($F$11:F430,F430)-1)*10000,10)&amp;"}]",7)="[{equip",MID("[{"&amp;M430&amp;","&amp;CEILING(N430*10000+(O430-N430)/4*(COUNTIF($F$11:F430,F430)-1)*10000,10)&amp;"}]",8,1)&lt;&gt;"_"),"[{"&amp;M430&amp;","&amp;1&amp;"}]","[{"&amp;M430&amp;","&amp;CEILING(N430*10000+(O430-N430)/4*(COUNTIF($F$11:F430,F430)-1)*10000,10)&amp;"}]")</f>
        <v>[{mage_crit_dmg,2700}]</v>
      </c>
      <c r="H430" s="82" t="s">
        <v>563</v>
      </c>
      <c r="J430" s="78">
        <f ca="1">IF(MOD(COUNTIF($Q$11:Q429,Q429),5)=0,OFFSET(装备属性!$P$1083,1+INT(COUNTA($Q$11:Q429)/5),0),J429)</f>
        <v>10</v>
      </c>
      <c r="K430" s="83" t="str">
        <f ca="1">IF(RIGHT(G430,13)="rune_slot,1}]",_xlfn.XLOOKUP(LEFT(SUBSTITUTE(G430,"[{",""),FIND(",",SUBSTITUTE(G430,"[{",""))-1),Sheet2!B:B,Sheet2!C:C)&amp;"+"&amp;1,_xlfn.XLOOKUP(LEFT(SUBSTITUTE(G430,"[{",""),FIND(",",SUBSTITUTE(G430,"[{",""))-1),Sheet2!B:B,Sheet2!C:C)&amp;"+"&amp;SUBSTITUTE(RIGHT(G430,LEN(G430)-FIND(",",G430)),"}]","")/100&amp;"%")</f>
        <v>法师暴击伤害+27%</v>
      </c>
      <c r="L430" s="83" t="str">
        <f ca="1">IF(MOD(COUNTIF($Q$11:Q429,Q429),5)=0,OFFSET(装备属性!$G$1083,1+INT(COUNTA($Q$11:Q429)/5),0),L429)</f>
        <v>暴走施法Ⅱ</v>
      </c>
      <c r="M430" s="89" t="str">
        <f ca="1">IF(MOD(COUNTIF($Q$11:Q429,Q429),5)=0,OFFSET(装备属性!$H$1083,1+INT(COUNTA($Q$11:Q429)/5),0),M429)</f>
        <v>mage_crit_dmg</v>
      </c>
      <c r="N430" s="76">
        <f ca="1">IF(MOD(COUNTIF($Q$11:Q429,Q429),5)=0,OFFSET(装备属性!$K$1083,1+INT(COUNTA($Q$11:Q429)/5),0),N429)</f>
        <v>0.24</v>
      </c>
      <c r="O430" s="76">
        <f ca="1">IF(MOD(COUNTIF($Q$11:Q429,Q429),5)=0,OFFSET(装备属性!$L$1083,1+INT(COUNTA($Q$11:Q429)/5),0),O429)</f>
        <v>0.27</v>
      </c>
      <c r="Q430" s="89" t="str">
        <f ca="1">IF(MOD(COUNTIF($Q$11:Q429,Q429),5)=0,OFFSET(装备属性!$M$1083,1+INT(COUNTA($Q$11:Q429)/5),0),Q429)</f>
        <v>通用属性</v>
      </c>
      <c r="R430" s="83">
        <f ca="1">IF(MOD(COUNTIF($Q$11:Q429,Q429),5)=0,10000*SUBSTITUTE(SUBSTITUTE(OFFSET(装备属性!$F$1083,1+INT(COUNTA($Q$11:Q429)/5),0),"[",""),"]","")+_xlfn.XLOOKUP(C430,$M$3:$M$7,$N$3:$N$7)*100,R429)</f>
        <v>20500</v>
      </c>
    </row>
    <row r="431" customHeight="1" spans="1:18">
      <c r="A431" s="78" t="str">
        <f ca="1" t="shared" si="18"/>
        <v/>
      </c>
      <c r="B431" s="82" t="str">
        <f ca="1">IFERROR(R431+COUNTIFS($R$11:$R431,R431),"")</f>
        <v/>
      </c>
      <c r="C431" s="83">
        <f ca="1">IF(MOD(COUNTIF($Q$11:Q430,Q430),5)=0,OFFSET(装备属性!$D$1083,1+INT(COUNTA($Q$11:Q430)/5),0),C430)</f>
        <v>0</v>
      </c>
      <c r="D431" s="82">
        <f t="shared" si="20"/>
        <v>3000</v>
      </c>
      <c r="F431" s="82" t="str">
        <f ca="1" t="shared" si="19"/>
        <v/>
      </c>
      <c r="G431" s="78" t="str">
        <f ca="1">IF(AND(LEFT("[{"&amp;M431&amp;","&amp;CEILING(N431*10000+(O431-N431)/4*(COUNTIF($F$11:F431,F431)-1)*10000,10)&amp;"}]",7)="[{equip",MID("[{"&amp;M431&amp;","&amp;CEILING(N431*10000+(O431-N431)/4*(COUNTIF($F$11:F431,F431)-1)*10000,10)&amp;"}]",8,1)&lt;&gt;"_"),"[{"&amp;M431&amp;","&amp;1&amp;"}]","[{"&amp;M431&amp;","&amp;CEILING(N431*10000+(O431-N431)/4*(COUNTIF($F$11:F431,F431)-1)*10000,10)&amp;"}]")</f>
        <v>[{global_dmg_rate,3300}]</v>
      </c>
      <c r="H431" s="82" t="s">
        <v>563</v>
      </c>
      <c r="J431" s="78">
        <f ca="1">IF(MOD(COUNTIF($Q$11:Q430,Q430),5)=0,OFFSET(装备属性!$P$1083,1+INT(COUNTA($Q$11:Q430)/5),0),J430)</f>
        <v>2</v>
      </c>
      <c r="K431" s="83" t="str">
        <f ca="1">IF(RIGHT(G431,13)="rune_slot,1}]",_xlfn.XLOOKUP(LEFT(SUBSTITUTE(G431,"[{",""),FIND(",",SUBSTITUTE(G431,"[{",""))-1),Sheet2!B:B,Sheet2!C:C)&amp;"+"&amp;1,_xlfn.XLOOKUP(LEFT(SUBSTITUTE(G431,"[{",""),FIND(",",SUBSTITUTE(G431,"[{",""))-1),Sheet2!B:B,Sheet2!C:C)&amp;"+"&amp;SUBSTITUTE(RIGHT(G431,LEN(G431)-FIND(",",G431)),"}]","")/100&amp;"%")</f>
        <v>伤害加成+33%</v>
      </c>
      <c r="L431" s="83" t="str">
        <f ca="1">IF(MOD(COUNTIF($Q$11:Q430,Q430),5)=0,OFFSET(装备属性!$G$1083,1+INT(COUNTA($Q$11:Q430)/5),0),L430)</f>
        <v>全职小队Ⅲ</v>
      </c>
      <c r="M431" s="89" t="str">
        <f ca="1">IF(MOD(COUNTIF($Q$11:Q430,Q430),5)=0,OFFSET(装备属性!$H$1083,1+INT(COUNTA($Q$11:Q430)/5),0),M430)</f>
        <v>global_dmg_rate</v>
      </c>
      <c r="N431" s="76">
        <f ca="1">IF(MOD(COUNTIF($Q$11:Q430,Q430),5)=0,OFFSET(装备属性!$K$1083,1+INT(COUNTA($Q$11:Q430)/5),0),N430)</f>
        <v>0.052</v>
      </c>
      <c r="O431" s="76">
        <f ca="1">IF(MOD(COUNTIF($Q$11:Q430,Q430),5)=0,OFFSET(装备属性!$L$1083,1+INT(COUNTA($Q$11:Q430)/5),0),O430)</f>
        <v>0.058</v>
      </c>
      <c r="Q431" s="89" t="str">
        <f ca="1">IF(MOD(COUNTIF($Q$11:Q430,Q430),5)=0,OFFSET(装备属性!$M$1083,1+INT(COUNTA($Q$11:Q430)/5),0),Q430)</f>
        <v>通用属性</v>
      </c>
      <c r="R431" s="83" t="e">
        <f ca="1">IF(MOD(COUNTIF($Q$11:Q430,Q430),5)=0,10000*SUBSTITUTE(SUBSTITUTE(OFFSET(装备属性!$F$1083,1+INT(COUNTA($Q$11:Q430)/5),0),"[",""),"]","")+_xlfn.XLOOKUP(C431,$M$3:$M$7,$N$3:$N$7)*100,R430)</f>
        <v>#N/A</v>
      </c>
    </row>
    <row r="432" customHeight="1" spans="1:18">
      <c r="A432" s="78" t="str">
        <f ca="1" t="shared" si="18"/>
        <v/>
      </c>
      <c r="B432" s="82" t="str">
        <f ca="1">IFERROR(R432+COUNTIFS($R$11:$R432,R432),"")</f>
        <v/>
      </c>
      <c r="C432" s="83">
        <f ca="1">IF(MOD(COUNTIF($Q$11:Q431,Q431),5)=0,OFFSET(装备属性!$D$1083,1+INT(COUNTA($Q$11:Q431)/5),0),C431)</f>
        <v>0</v>
      </c>
      <c r="D432" s="82">
        <f t="shared" si="20"/>
        <v>2500</v>
      </c>
      <c r="F432" s="82" t="str">
        <f ca="1" t="shared" si="19"/>
        <v/>
      </c>
      <c r="G432" s="78" t="str">
        <f ca="1">IF(AND(LEFT("[{"&amp;M432&amp;","&amp;CEILING(N432*10000+(O432-N432)/4*(COUNTIF($F$11:F432,F432)-1)*10000,10)&amp;"}]",7)="[{equip",MID("[{"&amp;M432&amp;","&amp;CEILING(N432*10000+(O432-N432)/4*(COUNTIF($F$11:F432,F432)-1)*10000,10)&amp;"}]",8,1)&lt;&gt;"_"),"[{"&amp;M432&amp;","&amp;1&amp;"}]","[{"&amp;M432&amp;","&amp;CEILING(N432*10000+(O432-N432)/4*(COUNTIF($F$11:F432,F432)-1)*10000,10)&amp;"}]")</f>
        <v>[{global_dmg_rate,3320}]</v>
      </c>
      <c r="H432" s="82" t="s">
        <v>563</v>
      </c>
      <c r="J432" s="78">
        <f ca="1">IF(MOD(COUNTIF($Q$11:Q431,Q431),5)=0,OFFSET(装备属性!$P$1083,1+INT(COUNTA($Q$11:Q431)/5),0),J431)</f>
        <v>2</v>
      </c>
      <c r="K432" s="83" t="str">
        <f ca="1">IF(RIGHT(G432,13)="rune_slot,1}]",_xlfn.XLOOKUP(LEFT(SUBSTITUTE(G432,"[{",""),FIND(",",SUBSTITUTE(G432,"[{",""))-1),Sheet2!B:B,Sheet2!C:C)&amp;"+"&amp;1,_xlfn.XLOOKUP(LEFT(SUBSTITUTE(G432,"[{",""),FIND(",",SUBSTITUTE(G432,"[{",""))-1),Sheet2!B:B,Sheet2!C:C)&amp;"+"&amp;SUBSTITUTE(RIGHT(G432,LEN(G432)-FIND(",",G432)),"}]","")/100&amp;"%")</f>
        <v>伤害加成+33.2%</v>
      </c>
      <c r="L432" s="83" t="str">
        <f ca="1">IF(MOD(COUNTIF($Q$11:Q431,Q431),5)=0,OFFSET(装备属性!$G$1083,1+INT(COUNTA($Q$11:Q431)/5),0),L431)</f>
        <v>全职小队Ⅲ</v>
      </c>
      <c r="M432" s="89" t="str">
        <f ca="1">IF(MOD(COUNTIF($Q$11:Q431,Q431),5)=0,OFFSET(装备属性!$H$1083,1+INT(COUNTA($Q$11:Q431)/5),0),M431)</f>
        <v>global_dmg_rate</v>
      </c>
      <c r="N432" s="76">
        <f ca="1">IF(MOD(COUNTIF($Q$11:Q431,Q431),5)=0,OFFSET(装备属性!$K$1083,1+INT(COUNTA($Q$11:Q431)/5),0),N431)</f>
        <v>0.052</v>
      </c>
      <c r="O432" s="76">
        <f ca="1">IF(MOD(COUNTIF($Q$11:Q431,Q431),5)=0,OFFSET(装备属性!$L$1083,1+INT(COUNTA($Q$11:Q431)/5),0),O431)</f>
        <v>0.058</v>
      </c>
      <c r="Q432" s="89" t="str">
        <f ca="1">IF(MOD(COUNTIF($Q$11:Q431,Q431),5)=0,OFFSET(装备属性!$M$1083,1+INT(COUNTA($Q$11:Q431)/5),0),Q431)</f>
        <v>通用属性</v>
      </c>
      <c r="R432" s="83" t="e">
        <f ca="1">IF(MOD(COUNTIF($Q$11:Q431,Q431),5)=0,10000*SUBSTITUTE(SUBSTITUTE(OFFSET(装备属性!$F$1083,1+INT(COUNTA($Q$11:Q431)/5),0),"[",""),"]","")+_xlfn.XLOOKUP(C432,$M$3:$M$7,$N$3:$N$7)*100,R431)</f>
        <v>#N/A</v>
      </c>
    </row>
    <row r="433" customHeight="1" spans="1:18">
      <c r="A433" s="78" t="str">
        <f ca="1" t="shared" si="18"/>
        <v/>
      </c>
      <c r="B433" s="82" t="str">
        <f ca="1">IFERROR(R433+COUNTIFS($R$11:$R433,R433),"")</f>
        <v/>
      </c>
      <c r="C433" s="83">
        <f ca="1">IF(MOD(COUNTIF($Q$11:Q432,Q432),5)=0,OFFSET(装备属性!$D$1083,1+INT(COUNTA($Q$11:Q432)/5),0),C432)</f>
        <v>0</v>
      </c>
      <c r="D433" s="82">
        <f t="shared" si="20"/>
        <v>2000</v>
      </c>
      <c r="F433" s="82" t="str">
        <f ca="1" t="shared" si="19"/>
        <v/>
      </c>
      <c r="G433" s="78" t="str">
        <f ca="1">IF(AND(LEFT("[{"&amp;M433&amp;","&amp;CEILING(N433*10000+(O433-N433)/4*(COUNTIF($F$11:F433,F433)-1)*10000,10)&amp;"}]",7)="[{equip",MID("[{"&amp;M433&amp;","&amp;CEILING(N433*10000+(O433-N433)/4*(COUNTIF($F$11:F433,F433)-1)*10000,10)&amp;"}]",8,1)&lt;&gt;"_"),"[{"&amp;M433&amp;","&amp;1&amp;"}]","[{"&amp;M433&amp;","&amp;CEILING(N433*10000+(O433-N433)/4*(COUNTIF($F$11:F433,F433)-1)*10000,10)&amp;"}]")</f>
        <v>[{global_dmg_rate,3330}]</v>
      </c>
      <c r="H433" s="82" t="s">
        <v>563</v>
      </c>
      <c r="J433" s="78">
        <f ca="1">IF(MOD(COUNTIF($Q$11:Q432,Q432),5)=0,OFFSET(装备属性!$P$1083,1+INT(COUNTA($Q$11:Q432)/5),0),J432)</f>
        <v>2</v>
      </c>
      <c r="K433" s="83" t="str">
        <f ca="1">IF(RIGHT(G433,13)="rune_slot,1}]",_xlfn.XLOOKUP(LEFT(SUBSTITUTE(G433,"[{",""),FIND(",",SUBSTITUTE(G433,"[{",""))-1),Sheet2!B:B,Sheet2!C:C)&amp;"+"&amp;1,_xlfn.XLOOKUP(LEFT(SUBSTITUTE(G433,"[{",""),FIND(",",SUBSTITUTE(G433,"[{",""))-1),Sheet2!B:B,Sheet2!C:C)&amp;"+"&amp;SUBSTITUTE(RIGHT(G433,LEN(G433)-FIND(",",G433)),"}]","")/100&amp;"%")</f>
        <v>伤害加成+33.3%</v>
      </c>
      <c r="L433" s="83" t="str">
        <f ca="1">IF(MOD(COUNTIF($Q$11:Q432,Q432),5)=0,OFFSET(装备属性!$G$1083,1+INT(COUNTA($Q$11:Q432)/5),0),L432)</f>
        <v>全职小队Ⅲ</v>
      </c>
      <c r="M433" s="89" t="str">
        <f ca="1">IF(MOD(COUNTIF($Q$11:Q432,Q432),5)=0,OFFSET(装备属性!$H$1083,1+INT(COUNTA($Q$11:Q432)/5),0),M432)</f>
        <v>global_dmg_rate</v>
      </c>
      <c r="N433" s="76">
        <f ca="1">IF(MOD(COUNTIF($Q$11:Q432,Q432),5)=0,OFFSET(装备属性!$K$1083,1+INT(COUNTA($Q$11:Q432)/5),0),N432)</f>
        <v>0.052</v>
      </c>
      <c r="O433" s="76">
        <f ca="1">IF(MOD(COUNTIF($Q$11:Q432,Q432),5)=0,OFFSET(装备属性!$L$1083,1+INT(COUNTA($Q$11:Q432)/5),0),O432)</f>
        <v>0.058</v>
      </c>
      <c r="Q433" s="89" t="str">
        <f ca="1">IF(MOD(COUNTIF($Q$11:Q432,Q432),5)=0,OFFSET(装备属性!$M$1083,1+INT(COUNTA($Q$11:Q432)/5),0),Q432)</f>
        <v>通用属性</v>
      </c>
      <c r="R433" s="83" t="e">
        <f ca="1">IF(MOD(COUNTIF($Q$11:Q432,Q432),5)=0,10000*SUBSTITUTE(SUBSTITUTE(OFFSET(装备属性!$F$1083,1+INT(COUNTA($Q$11:Q432)/5),0),"[",""),"]","")+_xlfn.XLOOKUP(C433,$M$3:$M$7,$N$3:$N$7)*100,R432)</f>
        <v>#N/A</v>
      </c>
    </row>
    <row r="434" customHeight="1" spans="1:18">
      <c r="A434" s="78" t="str">
        <f ca="1" t="shared" si="18"/>
        <v/>
      </c>
      <c r="B434" s="82" t="str">
        <f ca="1">IFERROR(R434+COUNTIFS($R$11:$R434,R434),"")</f>
        <v/>
      </c>
      <c r="C434" s="83">
        <f ca="1">IF(MOD(COUNTIF($Q$11:Q433,Q433),5)=0,OFFSET(装备属性!$D$1083,1+INT(COUNTA($Q$11:Q433)/5),0),C433)</f>
        <v>0</v>
      </c>
      <c r="D434" s="82">
        <f t="shared" si="20"/>
        <v>1500</v>
      </c>
      <c r="F434" s="82" t="str">
        <f ca="1" t="shared" si="19"/>
        <v/>
      </c>
      <c r="G434" s="78" t="str">
        <f ca="1">IF(AND(LEFT("[{"&amp;M434&amp;","&amp;CEILING(N434*10000+(O434-N434)/4*(COUNTIF($F$11:F434,F434)-1)*10000,10)&amp;"}]",7)="[{equip",MID("[{"&amp;M434&amp;","&amp;CEILING(N434*10000+(O434-N434)/4*(COUNTIF($F$11:F434,F434)-1)*10000,10)&amp;"}]",8,1)&lt;&gt;"_"),"[{"&amp;M434&amp;","&amp;1&amp;"}]","[{"&amp;M434&amp;","&amp;CEILING(N434*10000+(O434-N434)/4*(COUNTIF($F$11:F434,F434)-1)*10000,10)&amp;"}]")</f>
        <v>[{global_dmg_rate,3350}]</v>
      </c>
      <c r="H434" s="82" t="s">
        <v>563</v>
      </c>
      <c r="J434" s="78">
        <f ca="1">IF(MOD(COUNTIF($Q$11:Q433,Q433),5)=0,OFFSET(装备属性!$P$1083,1+INT(COUNTA($Q$11:Q433)/5),0),J433)</f>
        <v>2</v>
      </c>
      <c r="K434" s="83" t="str">
        <f ca="1">IF(RIGHT(G434,13)="rune_slot,1}]",_xlfn.XLOOKUP(LEFT(SUBSTITUTE(G434,"[{",""),FIND(",",SUBSTITUTE(G434,"[{",""))-1),Sheet2!B:B,Sheet2!C:C)&amp;"+"&amp;1,_xlfn.XLOOKUP(LEFT(SUBSTITUTE(G434,"[{",""),FIND(",",SUBSTITUTE(G434,"[{",""))-1),Sheet2!B:B,Sheet2!C:C)&amp;"+"&amp;SUBSTITUTE(RIGHT(G434,LEN(G434)-FIND(",",G434)),"}]","")/100&amp;"%")</f>
        <v>伤害加成+33.5%</v>
      </c>
      <c r="L434" s="83" t="str">
        <f ca="1">IF(MOD(COUNTIF($Q$11:Q433,Q433),5)=0,OFFSET(装备属性!$G$1083,1+INT(COUNTA($Q$11:Q433)/5),0),L433)</f>
        <v>全职小队Ⅲ</v>
      </c>
      <c r="M434" s="89" t="str">
        <f ca="1">IF(MOD(COUNTIF($Q$11:Q433,Q433),5)=0,OFFSET(装备属性!$H$1083,1+INT(COUNTA($Q$11:Q433)/5),0),M433)</f>
        <v>global_dmg_rate</v>
      </c>
      <c r="N434" s="76">
        <f ca="1">IF(MOD(COUNTIF($Q$11:Q433,Q433),5)=0,OFFSET(装备属性!$K$1083,1+INT(COUNTA($Q$11:Q433)/5),0),N433)</f>
        <v>0.052</v>
      </c>
      <c r="O434" s="76">
        <f ca="1">IF(MOD(COUNTIF($Q$11:Q433,Q433),5)=0,OFFSET(装备属性!$L$1083,1+INT(COUNTA($Q$11:Q433)/5),0),O433)</f>
        <v>0.058</v>
      </c>
      <c r="Q434" s="89" t="str">
        <f ca="1">IF(MOD(COUNTIF($Q$11:Q433,Q433),5)=0,OFFSET(装备属性!$M$1083,1+INT(COUNTA($Q$11:Q433)/5),0),Q433)</f>
        <v>通用属性</v>
      </c>
      <c r="R434" s="83" t="e">
        <f ca="1">IF(MOD(COUNTIF($Q$11:Q433,Q433),5)=0,10000*SUBSTITUTE(SUBSTITUTE(OFFSET(装备属性!$F$1083,1+INT(COUNTA($Q$11:Q433)/5),0),"[",""),"]","")+_xlfn.XLOOKUP(C434,$M$3:$M$7,$N$3:$N$7)*100,R433)</f>
        <v>#N/A</v>
      </c>
    </row>
    <row r="435" customHeight="1" spans="1:18">
      <c r="A435" s="78" t="str">
        <f ca="1" t="shared" si="18"/>
        <v/>
      </c>
      <c r="B435" s="82" t="str">
        <f ca="1">IFERROR(R435+COUNTIFS($R$11:$R435,R435),"")</f>
        <v/>
      </c>
      <c r="C435" s="83">
        <f ca="1">IF(MOD(COUNTIF($Q$11:Q434,Q434),5)=0,OFFSET(装备属性!$D$1083,1+INT(COUNTA($Q$11:Q434)/5),0),C434)</f>
        <v>0</v>
      </c>
      <c r="D435" s="82">
        <f t="shared" si="20"/>
        <v>1000</v>
      </c>
      <c r="F435" s="82" t="str">
        <f ca="1" t="shared" si="19"/>
        <v/>
      </c>
      <c r="G435" s="78" t="str">
        <f ca="1">IF(AND(LEFT("[{"&amp;M435&amp;","&amp;CEILING(N435*10000+(O435-N435)/4*(COUNTIF($F$11:F435,F435)-1)*10000,10)&amp;"}]",7)="[{equip",MID("[{"&amp;M435&amp;","&amp;CEILING(N435*10000+(O435-N435)/4*(COUNTIF($F$11:F435,F435)-1)*10000,10)&amp;"}]",8,1)&lt;&gt;"_"),"[{"&amp;M435&amp;","&amp;1&amp;"}]","[{"&amp;M435&amp;","&amp;CEILING(N435*10000+(O435-N435)/4*(COUNTIF($F$11:F435,F435)-1)*10000,10)&amp;"}]")</f>
        <v>[{global_dmg_rate,3360}]</v>
      </c>
      <c r="H435" s="82" t="s">
        <v>563</v>
      </c>
      <c r="J435" s="78">
        <f ca="1">IF(MOD(COUNTIF($Q$11:Q434,Q434),5)=0,OFFSET(装备属性!$P$1083,1+INT(COUNTA($Q$11:Q434)/5),0),J434)</f>
        <v>2</v>
      </c>
      <c r="K435" s="83" t="str">
        <f ca="1">IF(RIGHT(G435,13)="rune_slot,1}]",_xlfn.XLOOKUP(LEFT(SUBSTITUTE(G435,"[{",""),FIND(",",SUBSTITUTE(G435,"[{",""))-1),Sheet2!B:B,Sheet2!C:C)&amp;"+"&amp;1,_xlfn.XLOOKUP(LEFT(SUBSTITUTE(G435,"[{",""),FIND(",",SUBSTITUTE(G435,"[{",""))-1),Sheet2!B:B,Sheet2!C:C)&amp;"+"&amp;SUBSTITUTE(RIGHT(G435,LEN(G435)-FIND(",",G435)),"}]","")/100&amp;"%")</f>
        <v>伤害加成+33.6%</v>
      </c>
      <c r="L435" s="83" t="str">
        <f ca="1">IF(MOD(COUNTIF($Q$11:Q434,Q434),5)=0,OFFSET(装备属性!$G$1083,1+INT(COUNTA($Q$11:Q434)/5),0),L434)</f>
        <v>全职小队Ⅲ</v>
      </c>
      <c r="M435" s="89" t="str">
        <f ca="1">IF(MOD(COUNTIF($Q$11:Q434,Q434),5)=0,OFFSET(装备属性!$H$1083,1+INT(COUNTA($Q$11:Q434)/5),0),M434)</f>
        <v>global_dmg_rate</v>
      </c>
      <c r="N435" s="76">
        <f ca="1">IF(MOD(COUNTIF($Q$11:Q434,Q434),5)=0,OFFSET(装备属性!$K$1083,1+INT(COUNTA($Q$11:Q434)/5),0),N434)</f>
        <v>0.052</v>
      </c>
      <c r="O435" s="76">
        <f ca="1">IF(MOD(COUNTIF($Q$11:Q434,Q434),5)=0,OFFSET(装备属性!$L$1083,1+INT(COUNTA($Q$11:Q434)/5),0),O434)</f>
        <v>0.058</v>
      </c>
      <c r="Q435" s="89" t="str">
        <f ca="1">IF(MOD(COUNTIF($Q$11:Q434,Q434),5)=0,OFFSET(装备属性!$M$1083,1+INT(COUNTA($Q$11:Q434)/5),0),Q434)</f>
        <v>通用属性</v>
      </c>
      <c r="R435" s="83" t="e">
        <f ca="1">IF(MOD(COUNTIF($Q$11:Q434,Q434),5)=0,10000*SUBSTITUTE(SUBSTITUTE(OFFSET(装备属性!$F$1083,1+INT(COUNTA($Q$11:Q434)/5),0),"[",""),"]","")+_xlfn.XLOOKUP(C435,$M$3:$M$7,$N$3:$N$7)*100,R434)</f>
        <v>#N/A</v>
      </c>
    </row>
    <row r="436" customHeight="1" spans="1:18">
      <c r="A436" s="78">
        <f ca="1" t="shared" si="18"/>
        <v>20601</v>
      </c>
      <c r="B436" s="82">
        <f ca="1">IFERROR(R436+COUNTIFS($R$11:$R436,R436),"")</f>
        <v>20601</v>
      </c>
      <c r="C436" s="83" t="str">
        <f ca="1">IF(MOD(COUNTIF($Q$11:Q435,Q435),5)=0,OFFSET(装备属性!$D$1083,1+INT(COUNTA($Q$11:Q435)/5),0),C435)</f>
        <v>红</v>
      </c>
      <c r="D436" s="82">
        <f t="shared" si="20"/>
        <v>3000</v>
      </c>
      <c r="F436" s="82">
        <f ca="1" t="shared" si="19"/>
        <v>20600</v>
      </c>
      <c r="G436" s="78" t="str">
        <f ca="1">IF(AND(LEFT("[{"&amp;M436&amp;","&amp;CEILING(N436*10000+(O436-N436)/4*(COUNTIF($F$11:F436,F436)-1)*10000,10)&amp;"}]",7)="[{equip",MID("[{"&amp;M436&amp;","&amp;CEILING(N436*10000+(O436-N436)/4*(COUNTIF($F$11:F436,F436)-1)*10000,10)&amp;"}]",8,1)&lt;&gt;"_"),"[{"&amp;M436&amp;","&amp;1&amp;"}]","[{"&amp;M436&amp;","&amp;CEILING(N436*10000+(O436-N436)/4*(COUNTIF($F$11:F436,F436)-1)*10000,10)&amp;"}]")</f>
        <v>[{dmg_red_rate,200}]</v>
      </c>
      <c r="H436" s="82" t="s">
        <v>563</v>
      </c>
      <c r="J436" s="78">
        <f ca="1">IF(MOD(COUNTIF($Q$11:Q435,Q435),5)=0,OFFSET(装备属性!$P$1083,1+INT(COUNTA($Q$11:Q435)/5),0),J435)</f>
        <v>6</v>
      </c>
      <c r="K436" s="83" t="str">
        <f ca="1">IF(RIGHT(G436,13)="rune_slot,1}]",_xlfn.XLOOKUP(LEFT(SUBSTITUTE(G436,"[{",""),FIND(",",SUBSTITUTE(G436,"[{",""))-1),Sheet2!B:B,Sheet2!C:C)&amp;"+"&amp;1,_xlfn.XLOOKUP(LEFT(SUBSTITUTE(G436,"[{",""),FIND(",",SUBSTITUTE(G436,"[{",""))-1),Sheet2!B:B,Sheet2!C:C)&amp;"+"&amp;SUBSTITUTE(RIGHT(G436,LEN(G436)-FIND(",",G436)),"}]","")/100&amp;"%")</f>
        <v>伤害减免+2%</v>
      </c>
      <c r="L436" s="83" t="str">
        <f ca="1">IF(MOD(COUNTIF($Q$11:Q435,Q435),5)=0,OFFSET(装备属性!$G$1083,1+INT(COUNTA($Q$11:Q435)/5),0),L435)</f>
        <v>全员抗揍Ⅲ</v>
      </c>
      <c r="M436" s="89" t="str">
        <f ca="1">IF(MOD(COUNTIF($Q$11:Q435,Q435),5)=0,OFFSET(装备属性!$H$1083,1+INT(COUNTA($Q$11:Q435)/5),0),M435)</f>
        <v>dmg_red_rate</v>
      </c>
      <c r="N436" s="76">
        <f ca="1">IF(MOD(COUNTIF($Q$11:Q435,Q435),5)=0,OFFSET(装备属性!$K$1083,1+INT(COUNTA($Q$11:Q435)/5),0),N435)</f>
        <v>0.02</v>
      </c>
      <c r="O436" s="76">
        <f ca="1">IF(MOD(COUNTIF($Q$11:Q435,Q435),5)=0,OFFSET(装备属性!$L$1083,1+INT(COUNTA($Q$11:Q435)/5),0),O435)</f>
        <v>0.024</v>
      </c>
      <c r="Q436" s="89" t="str">
        <f ca="1">IF(MOD(COUNTIF($Q$11:Q435,Q435),5)=0,OFFSET(装备属性!$M$1083,1+INT(COUNTA($Q$11:Q435)/5),0),Q435)</f>
        <v>通用属性</v>
      </c>
      <c r="R436" s="83">
        <f ca="1">IF(MOD(COUNTIF($Q$11:Q435,Q435),5)=0,10000*SUBSTITUTE(SUBSTITUTE(OFFSET(装备属性!$F$1083,1+INT(COUNTA($Q$11:Q435)/5),0),"[",""),"]","")+_xlfn.XLOOKUP(C436,$M$3:$M$7,$N$3:$N$7)*100,R435)</f>
        <v>20600</v>
      </c>
    </row>
    <row r="437" customHeight="1" spans="1:18">
      <c r="A437" s="78">
        <f ca="1" t="shared" si="18"/>
        <v>20601</v>
      </c>
      <c r="B437" s="82">
        <f ca="1">IFERROR(R437+COUNTIFS($R$11:$R437,R437),"")</f>
        <v>20602</v>
      </c>
      <c r="C437" s="83" t="str">
        <f ca="1">IF(MOD(COUNTIF($Q$11:Q436,Q436),5)=0,OFFSET(装备属性!$D$1083,1+INT(COUNTA($Q$11:Q436)/5),0),C436)</f>
        <v>红</v>
      </c>
      <c r="D437" s="82">
        <f t="shared" si="20"/>
        <v>2500</v>
      </c>
      <c r="F437" s="82">
        <f ca="1" t="shared" si="19"/>
        <v>20600</v>
      </c>
      <c r="G437" s="78" t="str">
        <f ca="1">IF(AND(LEFT("[{"&amp;M437&amp;","&amp;CEILING(N437*10000+(O437-N437)/4*(COUNTIF($F$11:F437,F437)-1)*10000,10)&amp;"}]",7)="[{equip",MID("[{"&amp;M437&amp;","&amp;CEILING(N437*10000+(O437-N437)/4*(COUNTIF($F$11:F437,F437)-1)*10000,10)&amp;"}]",8,1)&lt;&gt;"_"),"[{"&amp;M437&amp;","&amp;1&amp;"}]","[{"&amp;M437&amp;","&amp;CEILING(N437*10000+(O437-N437)/4*(COUNTIF($F$11:F437,F437)-1)*10000,10)&amp;"}]")</f>
        <v>[{dmg_red_rate,210}]</v>
      </c>
      <c r="H437" s="82" t="s">
        <v>563</v>
      </c>
      <c r="J437" s="78">
        <f ca="1">IF(MOD(COUNTIF($Q$11:Q436,Q436),5)=0,OFFSET(装备属性!$P$1083,1+INT(COUNTA($Q$11:Q436)/5),0),J436)</f>
        <v>6</v>
      </c>
      <c r="K437" s="83" t="str">
        <f ca="1">IF(RIGHT(G437,13)="rune_slot,1}]",_xlfn.XLOOKUP(LEFT(SUBSTITUTE(G437,"[{",""),FIND(",",SUBSTITUTE(G437,"[{",""))-1),Sheet2!B:B,Sheet2!C:C)&amp;"+"&amp;1,_xlfn.XLOOKUP(LEFT(SUBSTITUTE(G437,"[{",""),FIND(",",SUBSTITUTE(G437,"[{",""))-1),Sheet2!B:B,Sheet2!C:C)&amp;"+"&amp;SUBSTITUTE(RIGHT(G437,LEN(G437)-FIND(",",G437)),"}]","")/100&amp;"%")</f>
        <v>伤害减免+2.1%</v>
      </c>
      <c r="L437" s="83" t="str">
        <f ca="1">IF(MOD(COUNTIF($Q$11:Q436,Q436),5)=0,OFFSET(装备属性!$G$1083,1+INT(COUNTA($Q$11:Q436)/5),0),L436)</f>
        <v>全员抗揍Ⅲ</v>
      </c>
      <c r="M437" s="89" t="str">
        <f ca="1">IF(MOD(COUNTIF($Q$11:Q436,Q436),5)=0,OFFSET(装备属性!$H$1083,1+INT(COUNTA($Q$11:Q436)/5),0),M436)</f>
        <v>dmg_red_rate</v>
      </c>
      <c r="N437" s="76">
        <f ca="1">IF(MOD(COUNTIF($Q$11:Q436,Q436),5)=0,OFFSET(装备属性!$K$1083,1+INT(COUNTA($Q$11:Q436)/5),0),N436)</f>
        <v>0.02</v>
      </c>
      <c r="O437" s="76">
        <f ca="1">IF(MOD(COUNTIF($Q$11:Q436,Q436),5)=0,OFFSET(装备属性!$L$1083,1+INT(COUNTA($Q$11:Q436)/5),0),O436)</f>
        <v>0.024</v>
      </c>
      <c r="Q437" s="89" t="str">
        <f ca="1">IF(MOD(COUNTIF($Q$11:Q436,Q436),5)=0,OFFSET(装备属性!$M$1083,1+INT(COUNTA($Q$11:Q436)/5),0),Q436)</f>
        <v>通用属性</v>
      </c>
      <c r="R437" s="83">
        <f ca="1">IF(MOD(COUNTIF($Q$11:Q436,Q436),5)=0,10000*SUBSTITUTE(SUBSTITUTE(OFFSET(装备属性!$F$1083,1+INT(COUNTA($Q$11:Q436)/5),0),"[",""),"]","")+_xlfn.XLOOKUP(C437,$M$3:$M$7,$N$3:$N$7)*100,R436)</f>
        <v>20600</v>
      </c>
    </row>
    <row r="438" customHeight="1" spans="1:18">
      <c r="A438" s="78">
        <f ca="1" t="shared" si="18"/>
        <v>20601</v>
      </c>
      <c r="B438" s="82">
        <f ca="1">IFERROR(R438+COUNTIFS($R$11:$R438,R438),"")</f>
        <v>20603</v>
      </c>
      <c r="C438" s="83" t="str">
        <f ca="1">IF(MOD(COUNTIF($Q$11:Q437,Q437),5)=0,OFFSET(装备属性!$D$1083,1+INT(COUNTA($Q$11:Q437)/5),0),C437)</f>
        <v>红</v>
      </c>
      <c r="D438" s="82">
        <f t="shared" si="20"/>
        <v>2000</v>
      </c>
      <c r="F438" s="82">
        <f ca="1" t="shared" si="19"/>
        <v>20600</v>
      </c>
      <c r="G438" s="78" t="str">
        <f ca="1">IF(AND(LEFT("[{"&amp;M438&amp;","&amp;CEILING(N438*10000+(O438-N438)/4*(COUNTIF($F$11:F438,F438)-1)*10000,10)&amp;"}]",7)="[{equip",MID("[{"&amp;M438&amp;","&amp;CEILING(N438*10000+(O438-N438)/4*(COUNTIF($F$11:F438,F438)-1)*10000,10)&amp;"}]",8,1)&lt;&gt;"_"),"[{"&amp;M438&amp;","&amp;1&amp;"}]","[{"&amp;M438&amp;","&amp;CEILING(N438*10000+(O438-N438)/4*(COUNTIF($F$11:F438,F438)-1)*10000,10)&amp;"}]")</f>
        <v>[{dmg_red_rate,220}]</v>
      </c>
      <c r="H438" s="82" t="s">
        <v>563</v>
      </c>
      <c r="J438" s="78">
        <f ca="1">IF(MOD(COUNTIF($Q$11:Q437,Q437),5)=0,OFFSET(装备属性!$P$1083,1+INT(COUNTA($Q$11:Q437)/5),0),J437)</f>
        <v>6</v>
      </c>
      <c r="K438" s="83" t="str">
        <f ca="1">IF(RIGHT(G438,13)="rune_slot,1}]",_xlfn.XLOOKUP(LEFT(SUBSTITUTE(G438,"[{",""),FIND(",",SUBSTITUTE(G438,"[{",""))-1),Sheet2!B:B,Sheet2!C:C)&amp;"+"&amp;1,_xlfn.XLOOKUP(LEFT(SUBSTITUTE(G438,"[{",""),FIND(",",SUBSTITUTE(G438,"[{",""))-1),Sheet2!B:B,Sheet2!C:C)&amp;"+"&amp;SUBSTITUTE(RIGHT(G438,LEN(G438)-FIND(",",G438)),"}]","")/100&amp;"%")</f>
        <v>伤害减免+2.2%</v>
      </c>
      <c r="L438" s="83" t="str">
        <f ca="1">IF(MOD(COUNTIF($Q$11:Q437,Q437),5)=0,OFFSET(装备属性!$G$1083,1+INT(COUNTA($Q$11:Q437)/5),0),L437)</f>
        <v>全员抗揍Ⅲ</v>
      </c>
      <c r="M438" s="89" t="str">
        <f ca="1">IF(MOD(COUNTIF($Q$11:Q437,Q437),5)=0,OFFSET(装备属性!$H$1083,1+INT(COUNTA($Q$11:Q437)/5),0),M437)</f>
        <v>dmg_red_rate</v>
      </c>
      <c r="N438" s="76">
        <f ca="1">IF(MOD(COUNTIF($Q$11:Q437,Q437),5)=0,OFFSET(装备属性!$K$1083,1+INT(COUNTA($Q$11:Q437)/5),0),N437)</f>
        <v>0.02</v>
      </c>
      <c r="O438" s="76">
        <f ca="1">IF(MOD(COUNTIF($Q$11:Q437,Q437),5)=0,OFFSET(装备属性!$L$1083,1+INT(COUNTA($Q$11:Q437)/5),0),O437)</f>
        <v>0.024</v>
      </c>
      <c r="Q438" s="89" t="str">
        <f ca="1">IF(MOD(COUNTIF($Q$11:Q437,Q437),5)=0,OFFSET(装备属性!$M$1083,1+INT(COUNTA($Q$11:Q437)/5),0),Q437)</f>
        <v>通用属性</v>
      </c>
      <c r="R438" s="83">
        <f ca="1">IF(MOD(COUNTIF($Q$11:Q437,Q437),5)=0,10000*SUBSTITUTE(SUBSTITUTE(OFFSET(装备属性!$F$1083,1+INT(COUNTA($Q$11:Q437)/5),0),"[",""),"]","")+_xlfn.XLOOKUP(C438,$M$3:$M$7,$N$3:$N$7)*100,R437)</f>
        <v>20600</v>
      </c>
    </row>
    <row r="439" customHeight="1" spans="1:18">
      <c r="A439" s="78">
        <f ca="1" t="shared" si="18"/>
        <v>20601</v>
      </c>
      <c r="B439" s="82">
        <f ca="1">IFERROR(R439+COUNTIFS($R$11:$R439,R439),"")</f>
        <v>20604</v>
      </c>
      <c r="C439" s="83" t="str">
        <f ca="1">IF(MOD(COUNTIF($Q$11:Q438,Q438),5)=0,OFFSET(装备属性!$D$1083,1+INT(COUNTA($Q$11:Q438)/5),0),C438)</f>
        <v>红</v>
      </c>
      <c r="D439" s="82">
        <f t="shared" si="20"/>
        <v>1500</v>
      </c>
      <c r="F439" s="82">
        <f ca="1" t="shared" si="19"/>
        <v>20600</v>
      </c>
      <c r="G439" s="78" t="str">
        <f ca="1">IF(AND(LEFT("[{"&amp;M439&amp;","&amp;CEILING(N439*10000+(O439-N439)/4*(COUNTIF($F$11:F439,F439)-1)*10000,10)&amp;"}]",7)="[{equip",MID("[{"&amp;M439&amp;","&amp;CEILING(N439*10000+(O439-N439)/4*(COUNTIF($F$11:F439,F439)-1)*10000,10)&amp;"}]",8,1)&lt;&gt;"_"),"[{"&amp;M439&amp;","&amp;1&amp;"}]","[{"&amp;M439&amp;","&amp;CEILING(N439*10000+(O439-N439)/4*(COUNTIF($F$11:F439,F439)-1)*10000,10)&amp;"}]")</f>
        <v>[{dmg_red_rate,230}]</v>
      </c>
      <c r="H439" s="82" t="s">
        <v>563</v>
      </c>
      <c r="J439" s="78">
        <f ca="1">IF(MOD(COUNTIF($Q$11:Q438,Q438),5)=0,OFFSET(装备属性!$P$1083,1+INT(COUNTA($Q$11:Q438)/5),0),J438)</f>
        <v>6</v>
      </c>
      <c r="K439" s="83" t="str">
        <f ca="1">IF(RIGHT(G439,13)="rune_slot,1}]",_xlfn.XLOOKUP(LEFT(SUBSTITUTE(G439,"[{",""),FIND(",",SUBSTITUTE(G439,"[{",""))-1),Sheet2!B:B,Sheet2!C:C)&amp;"+"&amp;1,_xlfn.XLOOKUP(LEFT(SUBSTITUTE(G439,"[{",""),FIND(",",SUBSTITUTE(G439,"[{",""))-1),Sheet2!B:B,Sheet2!C:C)&amp;"+"&amp;SUBSTITUTE(RIGHT(G439,LEN(G439)-FIND(",",G439)),"}]","")/100&amp;"%")</f>
        <v>伤害减免+2.3%</v>
      </c>
      <c r="L439" s="83" t="str">
        <f ca="1">IF(MOD(COUNTIF($Q$11:Q438,Q438),5)=0,OFFSET(装备属性!$G$1083,1+INT(COUNTA($Q$11:Q438)/5),0),L438)</f>
        <v>全员抗揍Ⅲ</v>
      </c>
      <c r="M439" s="89" t="str">
        <f ca="1">IF(MOD(COUNTIF($Q$11:Q438,Q438),5)=0,OFFSET(装备属性!$H$1083,1+INT(COUNTA($Q$11:Q438)/5),0),M438)</f>
        <v>dmg_red_rate</v>
      </c>
      <c r="N439" s="76">
        <f ca="1">IF(MOD(COUNTIF($Q$11:Q438,Q438),5)=0,OFFSET(装备属性!$K$1083,1+INT(COUNTA($Q$11:Q438)/5),0),N438)</f>
        <v>0.02</v>
      </c>
      <c r="O439" s="76">
        <f ca="1">IF(MOD(COUNTIF($Q$11:Q438,Q438),5)=0,OFFSET(装备属性!$L$1083,1+INT(COUNTA($Q$11:Q438)/5),0),O438)</f>
        <v>0.024</v>
      </c>
      <c r="Q439" s="89" t="str">
        <f ca="1">IF(MOD(COUNTIF($Q$11:Q438,Q438),5)=0,OFFSET(装备属性!$M$1083,1+INT(COUNTA($Q$11:Q438)/5),0),Q438)</f>
        <v>通用属性</v>
      </c>
      <c r="R439" s="83">
        <f ca="1">IF(MOD(COUNTIF($Q$11:Q438,Q438),5)=0,10000*SUBSTITUTE(SUBSTITUTE(OFFSET(装备属性!$F$1083,1+INT(COUNTA($Q$11:Q438)/5),0),"[",""),"]","")+_xlfn.XLOOKUP(C439,$M$3:$M$7,$N$3:$N$7)*100,R438)</f>
        <v>20600</v>
      </c>
    </row>
    <row r="440" customHeight="1" spans="1:18">
      <c r="A440" s="78">
        <f ca="1" t="shared" si="18"/>
        <v>20601</v>
      </c>
      <c r="B440" s="82">
        <f ca="1">IFERROR(R440+COUNTIFS($R$11:$R440,R440),"")</f>
        <v>20605</v>
      </c>
      <c r="C440" s="83" t="str">
        <f ca="1">IF(MOD(COUNTIF($Q$11:Q439,Q439),5)=0,OFFSET(装备属性!$D$1083,1+INT(COUNTA($Q$11:Q439)/5),0),C439)</f>
        <v>红</v>
      </c>
      <c r="D440" s="82">
        <f t="shared" si="20"/>
        <v>1000</v>
      </c>
      <c r="F440" s="82">
        <f ca="1" t="shared" si="19"/>
        <v>20600</v>
      </c>
      <c r="G440" s="78" t="str">
        <f ca="1">IF(AND(LEFT("[{"&amp;M440&amp;","&amp;CEILING(N440*10000+(O440-N440)/4*(COUNTIF($F$11:F440,F440)-1)*10000,10)&amp;"}]",7)="[{equip",MID("[{"&amp;M440&amp;","&amp;CEILING(N440*10000+(O440-N440)/4*(COUNTIF($F$11:F440,F440)-1)*10000,10)&amp;"}]",8,1)&lt;&gt;"_"),"[{"&amp;M440&amp;","&amp;1&amp;"}]","[{"&amp;M440&amp;","&amp;CEILING(N440*10000+(O440-N440)/4*(COUNTIF($F$11:F440,F440)-1)*10000,10)&amp;"}]")</f>
        <v>[{dmg_red_rate,240}]</v>
      </c>
      <c r="H440" s="82" t="s">
        <v>563</v>
      </c>
      <c r="J440" s="78">
        <f ca="1">IF(MOD(COUNTIF($Q$11:Q439,Q439),5)=0,OFFSET(装备属性!$P$1083,1+INT(COUNTA($Q$11:Q439)/5),0),J439)</f>
        <v>6</v>
      </c>
      <c r="K440" s="83" t="str">
        <f ca="1">IF(RIGHT(G440,13)="rune_slot,1}]",_xlfn.XLOOKUP(LEFT(SUBSTITUTE(G440,"[{",""),FIND(",",SUBSTITUTE(G440,"[{",""))-1),Sheet2!B:B,Sheet2!C:C)&amp;"+"&amp;1,_xlfn.XLOOKUP(LEFT(SUBSTITUTE(G440,"[{",""),FIND(",",SUBSTITUTE(G440,"[{",""))-1),Sheet2!B:B,Sheet2!C:C)&amp;"+"&amp;SUBSTITUTE(RIGHT(G440,LEN(G440)-FIND(",",G440)),"}]","")/100&amp;"%")</f>
        <v>伤害减免+2.4%</v>
      </c>
      <c r="L440" s="83" t="str">
        <f ca="1">IF(MOD(COUNTIF($Q$11:Q439,Q439),5)=0,OFFSET(装备属性!$G$1083,1+INT(COUNTA($Q$11:Q439)/5),0),L439)</f>
        <v>全员抗揍Ⅲ</v>
      </c>
      <c r="M440" s="89" t="str">
        <f ca="1">IF(MOD(COUNTIF($Q$11:Q439,Q439),5)=0,OFFSET(装备属性!$H$1083,1+INT(COUNTA($Q$11:Q439)/5),0),M439)</f>
        <v>dmg_red_rate</v>
      </c>
      <c r="N440" s="76">
        <f ca="1">IF(MOD(COUNTIF($Q$11:Q439,Q439),5)=0,OFFSET(装备属性!$K$1083,1+INT(COUNTA($Q$11:Q439)/5),0),N439)</f>
        <v>0.02</v>
      </c>
      <c r="O440" s="76">
        <f ca="1">IF(MOD(COUNTIF($Q$11:Q439,Q439),5)=0,OFFSET(装备属性!$L$1083,1+INT(COUNTA($Q$11:Q439)/5),0),O439)</f>
        <v>0.024</v>
      </c>
      <c r="Q440" s="89" t="str">
        <f ca="1">IF(MOD(COUNTIF($Q$11:Q439,Q439),5)=0,OFFSET(装备属性!$M$1083,1+INT(COUNTA($Q$11:Q439)/5),0),Q439)</f>
        <v>通用属性</v>
      </c>
      <c r="R440" s="83">
        <f ca="1">IF(MOD(COUNTIF($Q$11:Q439,Q439),5)=0,10000*SUBSTITUTE(SUBSTITUTE(OFFSET(装备属性!$F$1083,1+INT(COUNTA($Q$11:Q439)/5),0),"[",""),"]","")+_xlfn.XLOOKUP(C440,$M$3:$M$7,$N$3:$N$7)*100,R439)</f>
        <v>20600</v>
      </c>
    </row>
    <row r="441" customHeight="1" spans="1:18">
      <c r="A441" s="78">
        <f ca="1" t="shared" si="18"/>
        <v>20601</v>
      </c>
      <c r="B441" s="82">
        <f ca="1">IFERROR(R441+COUNTIFS($R$11:$R441,R441),"")</f>
        <v>20606</v>
      </c>
      <c r="C441" s="83" t="str">
        <f ca="1">IF(MOD(COUNTIF($Q$11:Q440,Q440),5)=0,OFFSET(装备属性!$D$1083,1+INT(COUNTA($Q$11:Q440)/5),0),C440)</f>
        <v>红</v>
      </c>
      <c r="D441" s="82">
        <f t="shared" si="20"/>
        <v>3000</v>
      </c>
      <c r="F441" s="82">
        <f ca="1" t="shared" si="19"/>
        <v>20601</v>
      </c>
      <c r="G441" s="78" t="str">
        <f ca="1">IF(AND(LEFT("[{"&amp;M441&amp;","&amp;CEILING(N441*10000+(O441-N441)/4*(COUNTIF($F$11:F441,F441)-1)*10000,10)&amp;"}]",7)="[{equip",MID("[{"&amp;M441&amp;","&amp;CEILING(N441*10000+(O441-N441)/4*(COUNTIF($F$11:F441,F441)-1)*10000,10)&amp;"}]",8,1)&lt;&gt;"_"),"[{"&amp;M441&amp;","&amp;1&amp;"}]","[{"&amp;M441&amp;","&amp;CEILING(N441*10000+(O441-N441)/4*(COUNTIF($F$11:F441,F441)-1)*10000,10)&amp;"}]")</f>
        <v>[{all_class_dmg,520}]</v>
      </c>
      <c r="H441" s="82" t="s">
        <v>563</v>
      </c>
      <c r="J441" s="78">
        <f ca="1">IF(MOD(COUNTIF($Q$11:Q440,Q440),5)=0,OFFSET(装备属性!$P$1083,1+INT(COUNTA($Q$11:Q440)/5),0),J440)</f>
        <v>2</v>
      </c>
      <c r="K441" s="83" t="str">
        <f ca="1">IF(RIGHT(G441,13)="rune_slot,1}]",_xlfn.XLOOKUP(LEFT(SUBSTITUTE(G441,"[{",""),FIND(",",SUBSTITUTE(G441,"[{",""))-1),Sheet2!B:B,Sheet2!C:C)&amp;"+"&amp;1,_xlfn.XLOOKUP(LEFT(SUBSTITUTE(G441,"[{",""),FIND(",",SUBSTITUTE(G441,"[{",""))-1),Sheet2!B:B,Sheet2!C:C)&amp;"+"&amp;SUBSTITUTE(RIGHT(G441,LEN(G441)-FIND(",",G441)),"}]","")/100&amp;"%")</f>
        <v>上阵五个不同职业增伤+5.2%</v>
      </c>
      <c r="L441" s="83" t="str">
        <f ca="1">IF(MOD(COUNTIF($Q$11:Q440,Q440),5)=0,OFFSET(装备属性!$G$1083,1+INT(COUNTA($Q$11:Q440)/5),0),L440)</f>
        <v>全员出力Ⅲ</v>
      </c>
      <c r="M441" s="89" t="str">
        <f ca="1">IF(MOD(COUNTIF($Q$11:Q440,Q440),5)=0,OFFSET(装备属性!$H$1083,1+INT(COUNTA($Q$11:Q440)/5),0),M440)</f>
        <v>all_class_dmg</v>
      </c>
      <c r="N441" s="76">
        <f ca="1">IF(MOD(COUNTIF($Q$11:Q440,Q440),5)=0,OFFSET(装备属性!$K$1083,1+INT(COUNTA($Q$11:Q440)/5),0),N440)</f>
        <v>0.052</v>
      </c>
      <c r="O441" s="76">
        <f ca="1">IF(MOD(COUNTIF($Q$11:Q440,Q440),5)=0,OFFSET(装备属性!$L$1083,1+INT(COUNTA($Q$11:Q440)/5),0),O440)</f>
        <v>0.058</v>
      </c>
      <c r="Q441" s="89" t="str">
        <f ca="1">IF(MOD(COUNTIF($Q$11:Q440,Q440),5)=0,OFFSET(装备属性!$M$1083,1+INT(COUNTA($Q$11:Q440)/5),0),Q440)</f>
        <v>通用属性</v>
      </c>
      <c r="R441" s="83">
        <f ca="1">IF(MOD(COUNTIF($Q$11:Q440,Q440),5)=0,10000*SUBSTITUTE(SUBSTITUTE(OFFSET(装备属性!$F$1083,1+INT(COUNTA($Q$11:Q440)/5),0),"[",""),"]","")+_xlfn.XLOOKUP(C441,$M$3:$M$7,$N$3:$N$7)*100,R440)</f>
        <v>20600</v>
      </c>
    </row>
    <row r="442" customHeight="1" spans="1:18">
      <c r="A442" s="78">
        <f ca="1" t="shared" si="18"/>
        <v>20601</v>
      </c>
      <c r="B442" s="82">
        <f ca="1">IFERROR(R442+COUNTIFS($R$11:$R442,R442),"")</f>
        <v>20607</v>
      </c>
      <c r="C442" s="83" t="str">
        <f ca="1">IF(MOD(COUNTIF($Q$11:Q441,Q441),5)=0,OFFSET(装备属性!$D$1083,1+INT(COUNTA($Q$11:Q441)/5),0),C441)</f>
        <v>红</v>
      </c>
      <c r="D442" s="82">
        <f t="shared" si="20"/>
        <v>2500</v>
      </c>
      <c r="F442" s="82">
        <f ca="1" t="shared" si="19"/>
        <v>20601</v>
      </c>
      <c r="G442" s="78" t="str">
        <f ca="1">IF(AND(LEFT("[{"&amp;M442&amp;","&amp;CEILING(N442*10000+(O442-N442)/4*(COUNTIF($F$11:F442,F442)-1)*10000,10)&amp;"}]",7)="[{equip",MID("[{"&amp;M442&amp;","&amp;CEILING(N442*10000+(O442-N442)/4*(COUNTIF($F$11:F442,F442)-1)*10000,10)&amp;"}]",8,1)&lt;&gt;"_"),"[{"&amp;M442&amp;","&amp;1&amp;"}]","[{"&amp;M442&amp;","&amp;CEILING(N442*10000+(O442-N442)/4*(COUNTIF($F$11:F442,F442)-1)*10000,10)&amp;"}]")</f>
        <v>[{all_class_dmg,540}]</v>
      </c>
      <c r="H442" s="82" t="s">
        <v>563</v>
      </c>
      <c r="J442" s="78">
        <f ca="1">IF(MOD(COUNTIF($Q$11:Q441,Q441),5)=0,OFFSET(装备属性!$P$1083,1+INT(COUNTA($Q$11:Q441)/5),0),J441)</f>
        <v>2</v>
      </c>
      <c r="K442" s="83" t="str">
        <f ca="1">IF(RIGHT(G442,13)="rune_slot,1}]",_xlfn.XLOOKUP(LEFT(SUBSTITUTE(G442,"[{",""),FIND(",",SUBSTITUTE(G442,"[{",""))-1),Sheet2!B:B,Sheet2!C:C)&amp;"+"&amp;1,_xlfn.XLOOKUP(LEFT(SUBSTITUTE(G442,"[{",""),FIND(",",SUBSTITUTE(G442,"[{",""))-1),Sheet2!B:B,Sheet2!C:C)&amp;"+"&amp;SUBSTITUTE(RIGHT(G442,LEN(G442)-FIND(",",G442)),"}]","")/100&amp;"%")</f>
        <v>上阵五个不同职业增伤+5.4%</v>
      </c>
      <c r="L442" s="83" t="str">
        <f ca="1">IF(MOD(COUNTIF($Q$11:Q441,Q441),5)=0,OFFSET(装备属性!$G$1083,1+INT(COUNTA($Q$11:Q441)/5),0),L441)</f>
        <v>全员出力Ⅲ</v>
      </c>
      <c r="M442" s="89" t="str">
        <f ca="1">IF(MOD(COUNTIF($Q$11:Q441,Q441),5)=0,OFFSET(装备属性!$H$1083,1+INT(COUNTA($Q$11:Q441)/5),0),M441)</f>
        <v>all_class_dmg</v>
      </c>
      <c r="N442" s="76">
        <f ca="1">IF(MOD(COUNTIF($Q$11:Q441,Q441),5)=0,OFFSET(装备属性!$K$1083,1+INT(COUNTA($Q$11:Q441)/5),0),N441)</f>
        <v>0.052</v>
      </c>
      <c r="O442" s="76">
        <f ca="1">IF(MOD(COUNTIF($Q$11:Q441,Q441),5)=0,OFFSET(装备属性!$L$1083,1+INT(COUNTA($Q$11:Q441)/5),0),O441)</f>
        <v>0.058</v>
      </c>
      <c r="Q442" s="89" t="str">
        <f ca="1">IF(MOD(COUNTIF($Q$11:Q441,Q441),5)=0,OFFSET(装备属性!$M$1083,1+INT(COUNTA($Q$11:Q441)/5),0),Q441)</f>
        <v>通用属性</v>
      </c>
      <c r="R442" s="83">
        <f ca="1">IF(MOD(COUNTIF($Q$11:Q441,Q441),5)=0,10000*SUBSTITUTE(SUBSTITUTE(OFFSET(装备属性!$F$1083,1+INT(COUNTA($Q$11:Q441)/5),0),"[",""),"]","")+_xlfn.XLOOKUP(C442,$M$3:$M$7,$N$3:$N$7)*100,R441)</f>
        <v>20600</v>
      </c>
    </row>
    <row r="443" customHeight="1" spans="1:18">
      <c r="A443" s="78">
        <f ca="1" t="shared" si="18"/>
        <v>20601</v>
      </c>
      <c r="B443" s="82">
        <f ca="1">IFERROR(R443+COUNTIFS($R$11:$R443,R443),"")</f>
        <v>20608</v>
      </c>
      <c r="C443" s="83" t="str">
        <f ca="1">IF(MOD(COUNTIF($Q$11:Q442,Q442),5)=0,OFFSET(装备属性!$D$1083,1+INT(COUNTA($Q$11:Q442)/5),0),C442)</f>
        <v>红</v>
      </c>
      <c r="D443" s="82">
        <f t="shared" si="20"/>
        <v>2000</v>
      </c>
      <c r="F443" s="82">
        <f ca="1" t="shared" si="19"/>
        <v>20601</v>
      </c>
      <c r="G443" s="78" t="str">
        <f ca="1">IF(AND(LEFT("[{"&amp;M443&amp;","&amp;CEILING(N443*10000+(O443-N443)/4*(COUNTIF($F$11:F443,F443)-1)*10000,10)&amp;"}]",7)="[{equip",MID("[{"&amp;M443&amp;","&amp;CEILING(N443*10000+(O443-N443)/4*(COUNTIF($F$11:F443,F443)-1)*10000,10)&amp;"}]",8,1)&lt;&gt;"_"),"[{"&amp;M443&amp;","&amp;1&amp;"}]","[{"&amp;M443&amp;","&amp;CEILING(N443*10000+(O443-N443)/4*(COUNTIF($F$11:F443,F443)-1)*10000,10)&amp;"}]")</f>
        <v>[{all_class_dmg,550}]</v>
      </c>
      <c r="H443" s="82" t="s">
        <v>563</v>
      </c>
      <c r="J443" s="78">
        <f ca="1">IF(MOD(COUNTIF($Q$11:Q442,Q442),5)=0,OFFSET(装备属性!$P$1083,1+INT(COUNTA($Q$11:Q442)/5),0),J442)</f>
        <v>2</v>
      </c>
      <c r="K443" s="83" t="str">
        <f ca="1">IF(RIGHT(G443,13)="rune_slot,1}]",_xlfn.XLOOKUP(LEFT(SUBSTITUTE(G443,"[{",""),FIND(",",SUBSTITUTE(G443,"[{",""))-1),Sheet2!B:B,Sheet2!C:C)&amp;"+"&amp;1,_xlfn.XLOOKUP(LEFT(SUBSTITUTE(G443,"[{",""),FIND(",",SUBSTITUTE(G443,"[{",""))-1),Sheet2!B:B,Sheet2!C:C)&amp;"+"&amp;SUBSTITUTE(RIGHT(G443,LEN(G443)-FIND(",",G443)),"}]","")/100&amp;"%")</f>
        <v>上阵五个不同职业增伤+5.5%</v>
      </c>
      <c r="L443" s="83" t="str">
        <f ca="1">IF(MOD(COUNTIF($Q$11:Q442,Q442),5)=0,OFFSET(装备属性!$G$1083,1+INT(COUNTA($Q$11:Q442)/5),0),L442)</f>
        <v>全员出力Ⅲ</v>
      </c>
      <c r="M443" s="89" t="str">
        <f ca="1">IF(MOD(COUNTIF($Q$11:Q442,Q442),5)=0,OFFSET(装备属性!$H$1083,1+INT(COUNTA($Q$11:Q442)/5),0),M442)</f>
        <v>all_class_dmg</v>
      </c>
      <c r="N443" s="76">
        <f ca="1">IF(MOD(COUNTIF($Q$11:Q442,Q442),5)=0,OFFSET(装备属性!$K$1083,1+INT(COUNTA($Q$11:Q442)/5),0),N442)</f>
        <v>0.052</v>
      </c>
      <c r="O443" s="76">
        <f ca="1">IF(MOD(COUNTIF($Q$11:Q442,Q442),5)=0,OFFSET(装备属性!$L$1083,1+INT(COUNTA($Q$11:Q442)/5),0),O442)</f>
        <v>0.058</v>
      </c>
      <c r="Q443" s="89" t="str">
        <f ca="1">IF(MOD(COUNTIF($Q$11:Q442,Q442),5)=0,OFFSET(装备属性!$M$1083,1+INT(COUNTA($Q$11:Q442)/5),0),Q442)</f>
        <v>通用属性</v>
      </c>
      <c r="R443" s="83">
        <f ca="1">IF(MOD(COUNTIF($Q$11:Q442,Q442),5)=0,10000*SUBSTITUTE(SUBSTITUTE(OFFSET(装备属性!$F$1083,1+INT(COUNTA($Q$11:Q442)/5),0),"[",""),"]","")+_xlfn.XLOOKUP(C443,$M$3:$M$7,$N$3:$N$7)*100,R442)</f>
        <v>20600</v>
      </c>
    </row>
    <row r="444" customHeight="1" spans="1:18">
      <c r="A444" s="78">
        <f ca="1" t="shared" si="18"/>
        <v>20601</v>
      </c>
      <c r="B444" s="82">
        <f ca="1">IFERROR(R444+COUNTIFS($R$11:$R444,R444),"")</f>
        <v>20609</v>
      </c>
      <c r="C444" s="83" t="str">
        <f ca="1">IF(MOD(COUNTIF($Q$11:Q443,Q443),5)=0,OFFSET(装备属性!$D$1083,1+INT(COUNTA($Q$11:Q443)/5),0),C443)</f>
        <v>红</v>
      </c>
      <c r="D444" s="82">
        <f t="shared" si="20"/>
        <v>1500</v>
      </c>
      <c r="F444" s="82">
        <f ca="1" t="shared" si="19"/>
        <v>20601</v>
      </c>
      <c r="G444" s="78" t="str">
        <f ca="1">IF(AND(LEFT("[{"&amp;M444&amp;","&amp;CEILING(N444*10000+(O444-N444)/4*(COUNTIF($F$11:F444,F444)-1)*10000,10)&amp;"}]",7)="[{equip",MID("[{"&amp;M444&amp;","&amp;CEILING(N444*10000+(O444-N444)/4*(COUNTIF($F$11:F444,F444)-1)*10000,10)&amp;"}]",8,1)&lt;&gt;"_"),"[{"&amp;M444&amp;","&amp;1&amp;"}]","[{"&amp;M444&amp;","&amp;CEILING(N444*10000+(O444-N444)/4*(COUNTIF($F$11:F444,F444)-1)*10000,10)&amp;"}]")</f>
        <v>[{all_class_dmg,570}]</v>
      </c>
      <c r="H444" s="82" t="s">
        <v>563</v>
      </c>
      <c r="J444" s="78">
        <f ca="1">IF(MOD(COUNTIF($Q$11:Q443,Q443),5)=0,OFFSET(装备属性!$P$1083,1+INT(COUNTA($Q$11:Q443)/5),0),J443)</f>
        <v>2</v>
      </c>
      <c r="K444" s="83" t="str">
        <f ca="1">IF(RIGHT(G444,13)="rune_slot,1}]",_xlfn.XLOOKUP(LEFT(SUBSTITUTE(G444,"[{",""),FIND(",",SUBSTITUTE(G444,"[{",""))-1),Sheet2!B:B,Sheet2!C:C)&amp;"+"&amp;1,_xlfn.XLOOKUP(LEFT(SUBSTITUTE(G444,"[{",""),FIND(",",SUBSTITUTE(G444,"[{",""))-1),Sheet2!B:B,Sheet2!C:C)&amp;"+"&amp;SUBSTITUTE(RIGHT(G444,LEN(G444)-FIND(",",G444)),"}]","")/100&amp;"%")</f>
        <v>上阵五个不同职业增伤+5.7%</v>
      </c>
      <c r="L444" s="83" t="str">
        <f ca="1">IF(MOD(COUNTIF($Q$11:Q443,Q443),5)=0,OFFSET(装备属性!$G$1083,1+INT(COUNTA($Q$11:Q443)/5),0),L443)</f>
        <v>全员出力Ⅲ</v>
      </c>
      <c r="M444" s="89" t="str">
        <f ca="1">IF(MOD(COUNTIF($Q$11:Q443,Q443),5)=0,OFFSET(装备属性!$H$1083,1+INT(COUNTA($Q$11:Q443)/5),0),M443)</f>
        <v>all_class_dmg</v>
      </c>
      <c r="N444" s="76">
        <f ca="1">IF(MOD(COUNTIF($Q$11:Q443,Q443),5)=0,OFFSET(装备属性!$K$1083,1+INT(COUNTA($Q$11:Q443)/5),0),N443)</f>
        <v>0.052</v>
      </c>
      <c r="O444" s="76">
        <f ca="1">IF(MOD(COUNTIF($Q$11:Q443,Q443),5)=0,OFFSET(装备属性!$L$1083,1+INT(COUNTA($Q$11:Q443)/5),0),O443)</f>
        <v>0.058</v>
      </c>
      <c r="Q444" s="89" t="str">
        <f ca="1">IF(MOD(COUNTIF($Q$11:Q443,Q443),5)=0,OFFSET(装备属性!$M$1083,1+INT(COUNTA($Q$11:Q443)/5),0),Q443)</f>
        <v>通用属性</v>
      </c>
      <c r="R444" s="83">
        <f ca="1">IF(MOD(COUNTIF($Q$11:Q443,Q443),5)=0,10000*SUBSTITUTE(SUBSTITUTE(OFFSET(装备属性!$F$1083,1+INT(COUNTA($Q$11:Q443)/5),0),"[",""),"]","")+_xlfn.XLOOKUP(C444,$M$3:$M$7,$N$3:$N$7)*100,R443)</f>
        <v>20600</v>
      </c>
    </row>
    <row r="445" customHeight="1" spans="1:18">
      <c r="A445" s="78">
        <f ca="1" t="shared" si="18"/>
        <v>20601</v>
      </c>
      <c r="B445" s="82">
        <f ca="1">IFERROR(R445+COUNTIFS($R$11:$R445,R445),"")</f>
        <v>20610</v>
      </c>
      <c r="C445" s="83" t="str">
        <f ca="1">IF(MOD(COUNTIF($Q$11:Q444,Q444),5)=0,OFFSET(装备属性!$D$1083,1+INT(COUNTA($Q$11:Q444)/5),0),C444)</f>
        <v>红</v>
      </c>
      <c r="D445" s="82">
        <f t="shared" si="20"/>
        <v>1000</v>
      </c>
      <c r="F445" s="82">
        <f ca="1" t="shared" si="19"/>
        <v>20601</v>
      </c>
      <c r="G445" s="78" t="str">
        <f ca="1">IF(AND(LEFT("[{"&amp;M445&amp;","&amp;CEILING(N445*10000+(O445-N445)/4*(COUNTIF($F$11:F445,F445)-1)*10000,10)&amp;"}]",7)="[{equip",MID("[{"&amp;M445&amp;","&amp;CEILING(N445*10000+(O445-N445)/4*(COUNTIF($F$11:F445,F445)-1)*10000,10)&amp;"}]",8,1)&lt;&gt;"_"),"[{"&amp;M445&amp;","&amp;1&amp;"}]","[{"&amp;M445&amp;","&amp;CEILING(N445*10000+(O445-N445)/4*(COUNTIF($F$11:F445,F445)-1)*10000,10)&amp;"}]")</f>
        <v>[{all_class_dmg,580}]</v>
      </c>
      <c r="H445" s="82" t="s">
        <v>563</v>
      </c>
      <c r="J445" s="78">
        <f ca="1">IF(MOD(COUNTIF($Q$11:Q444,Q444),5)=0,OFFSET(装备属性!$P$1083,1+INT(COUNTA($Q$11:Q444)/5),0),J444)</f>
        <v>2</v>
      </c>
      <c r="K445" s="83" t="str">
        <f ca="1">IF(RIGHT(G445,13)="rune_slot,1}]",_xlfn.XLOOKUP(LEFT(SUBSTITUTE(G445,"[{",""),FIND(",",SUBSTITUTE(G445,"[{",""))-1),Sheet2!B:B,Sheet2!C:C)&amp;"+"&amp;1,_xlfn.XLOOKUP(LEFT(SUBSTITUTE(G445,"[{",""),FIND(",",SUBSTITUTE(G445,"[{",""))-1),Sheet2!B:B,Sheet2!C:C)&amp;"+"&amp;SUBSTITUTE(RIGHT(G445,LEN(G445)-FIND(",",G445)),"}]","")/100&amp;"%")</f>
        <v>上阵五个不同职业增伤+5.8%</v>
      </c>
      <c r="L445" s="83" t="str">
        <f ca="1">IF(MOD(COUNTIF($Q$11:Q444,Q444),5)=0,OFFSET(装备属性!$G$1083,1+INT(COUNTA($Q$11:Q444)/5),0),L444)</f>
        <v>全员出力Ⅲ</v>
      </c>
      <c r="M445" s="89" t="str">
        <f ca="1">IF(MOD(COUNTIF($Q$11:Q444,Q444),5)=0,OFFSET(装备属性!$H$1083,1+INT(COUNTA($Q$11:Q444)/5),0),M444)</f>
        <v>all_class_dmg</v>
      </c>
      <c r="N445" s="76">
        <f ca="1">IF(MOD(COUNTIF($Q$11:Q444,Q444),5)=0,OFFSET(装备属性!$K$1083,1+INT(COUNTA($Q$11:Q444)/5),0),N444)</f>
        <v>0.052</v>
      </c>
      <c r="O445" s="76">
        <f ca="1">IF(MOD(COUNTIF($Q$11:Q444,Q444),5)=0,OFFSET(装备属性!$L$1083,1+INT(COUNTA($Q$11:Q444)/5),0),O444)</f>
        <v>0.058</v>
      </c>
      <c r="Q445" s="89" t="str">
        <f ca="1">IF(MOD(COUNTIF($Q$11:Q444,Q444),5)=0,OFFSET(装备属性!$M$1083,1+INT(COUNTA($Q$11:Q444)/5),0),Q444)</f>
        <v>通用属性</v>
      </c>
      <c r="R445" s="83">
        <f ca="1">IF(MOD(COUNTIF($Q$11:Q444,Q444),5)=0,10000*SUBSTITUTE(SUBSTITUTE(OFFSET(装备属性!$F$1083,1+INT(COUNTA($Q$11:Q444)/5),0),"[",""),"]","")+_xlfn.XLOOKUP(C445,$M$3:$M$7,$N$3:$N$7)*100,R444)</f>
        <v>20600</v>
      </c>
    </row>
    <row r="446" customHeight="1" spans="1:18">
      <c r="A446" s="78" t="str">
        <f ca="1" t="shared" si="18"/>
        <v/>
      </c>
      <c r="B446" s="82" t="str">
        <f ca="1">IFERROR(R446+COUNTIFS($R$11:$R446,R446),"")</f>
        <v/>
      </c>
      <c r="C446" s="83">
        <f ca="1">IF(MOD(COUNTIF($Q$11:Q445,Q445),5)=0,OFFSET(装备属性!$D$1083,1+INT(COUNTA($Q$11:Q445)/5),0),C445)</f>
        <v>0</v>
      </c>
      <c r="D446" s="82">
        <f t="shared" si="20"/>
        <v>3000</v>
      </c>
      <c r="F446" s="82" t="str">
        <f ca="1" t="shared" si="19"/>
        <v/>
      </c>
      <c r="G446" s="78" t="str">
        <f ca="1">IF(AND(LEFT("[{"&amp;M446&amp;","&amp;CEILING(N446*10000+(O446-N446)/4*(COUNTIF($F$11:F446,F446)-1)*10000,10)&amp;"}]",7)="[{equip",MID("[{"&amp;M446&amp;","&amp;CEILING(N446*10000+(O446-N446)/4*(COUNTIF($F$11:F446,F446)-1)*10000,10)&amp;"}]",8,1)&lt;&gt;"_"),"[{"&amp;M446&amp;","&amp;1&amp;"}]","[{"&amp;M446&amp;","&amp;CEILING(N446*10000+(O446-N446)/4*(COUNTIF($F$11:F446,F446)-1)*10000,10)&amp;"}]")</f>
        <v>[{exp_boost,2000}]</v>
      </c>
      <c r="H446" s="82" t="s">
        <v>563</v>
      </c>
      <c r="J446" s="78">
        <f ca="1">IF(MOD(COUNTIF($Q$11:Q445,Q445),5)=0,OFFSET(装备属性!$P$1083,1+INT(COUNTA($Q$11:Q445)/5),0),J445)</f>
        <v>9</v>
      </c>
      <c r="K446" s="83" t="str">
        <f ca="1">IF(RIGHT(G446,13)="rune_slot,1}]",_xlfn.XLOOKUP(LEFT(SUBSTITUTE(G446,"[{",""),FIND(",",SUBSTITUTE(G446,"[{",""))-1),Sheet2!B:B,Sheet2!C:C)&amp;"+"&amp;1,_xlfn.XLOOKUP(LEFT(SUBSTITUTE(G446,"[{",""),FIND(",",SUBSTITUTE(G446,"[{",""))-1),Sheet2!B:B,Sheet2!C:C)&amp;"+"&amp;SUBSTITUTE(RIGHT(G446,LEN(G446)-FIND(",",G446)),"}]","")/100&amp;"%")</f>
        <v>经验加成+20%</v>
      </c>
      <c r="L446" s="83" t="str">
        <f ca="1">IF(MOD(COUNTIF($Q$11:Q445,Q445),5)=0,OFFSET(装备属性!$G$1083,1+INT(COUNTA($Q$11:Q445)/5),0),L445)</f>
        <v>涨见识</v>
      </c>
      <c r="M446" s="89" t="str">
        <f ca="1">IF(MOD(COUNTIF($Q$11:Q445,Q445),5)=0,OFFSET(装备属性!$H$1083,1+INT(COUNTA($Q$11:Q445)/5),0),M445)</f>
        <v>exp_boost</v>
      </c>
      <c r="N446" s="76">
        <f ca="1">IF(MOD(COUNTIF($Q$11:Q445,Q445),5)=0,OFFSET(装备属性!$K$1083,1+INT(COUNTA($Q$11:Q445)/5),0),N445)</f>
        <v>0.2</v>
      </c>
      <c r="O446" s="76">
        <f ca="1">IF(MOD(COUNTIF($Q$11:Q445,Q445),5)=0,OFFSET(装备属性!$L$1083,1+INT(COUNTA($Q$11:Q445)/5),0),O445)</f>
        <v>0.2</v>
      </c>
      <c r="Q446" s="89" t="str">
        <f ca="1">IF(MOD(COUNTIF($Q$11:Q445,Q445),5)=0,OFFSET(装备属性!$M$1083,1+INT(COUNTA($Q$11:Q445)/5),0),Q445)</f>
        <v>稀有词条</v>
      </c>
      <c r="R446" s="83" t="e">
        <f ca="1">IF(MOD(COUNTIF($Q$11:Q445,Q445),5)=0,10000*SUBSTITUTE(SUBSTITUTE(OFFSET(装备属性!$F$1083,1+INT(COUNTA($Q$11:Q445)/5),0),"[",""),"]","")+_xlfn.XLOOKUP(C446,$M$3:$M$7,$N$3:$N$7)*100,R445)</f>
        <v>#N/A</v>
      </c>
    </row>
    <row r="447" customHeight="1" spans="1:18">
      <c r="A447" s="78" t="str">
        <f ca="1" t="shared" si="18"/>
        <v/>
      </c>
      <c r="B447" s="82" t="str">
        <f ca="1">IFERROR(R447+COUNTIFS($R$11:$R447,R447),"")</f>
        <v/>
      </c>
      <c r="C447" s="83">
        <f ca="1">IF(MOD(COUNTIF($Q$11:Q446,Q446),5)=0,OFFSET(装备属性!$D$1083,1+INT(COUNTA($Q$11:Q446)/5),0),C446)</f>
        <v>0</v>
      </c>
      <c r="D447" s="82">
        <f t="shared" si="20"/>
        <v>2500</v>
      </c>
      <c r="F447" s="82" t="str">
        <f ca="1" t="shared" si="19"/>
        <v/>
      </c>
      <c r="G447" s="78" t="str">
        <f ca="1">IF(AND(LEFT("[{"&amp;M447&amp;","&amp;CEILING(N447*10000+(O447-N447)/4*(COUNTIF($F$11:F447,F447)-1)*10000,10)&amp;"}]",7)="[{equip",MID("[{"&amp;M447&amp;","&amp;CEILING(N447*10000+(O447-N447)/4*(COUNTIF($F$11:F447,F447)-1)*10000,10)&amp;"}]",8,1)&lt;&gt;"_"),"[{"&amp;M447&amp;","&amp;1&amp;"}]","[{"&amp;M447&amp;","&amp;CEILING(N447*10000+(O447-N447)/4*(COUNTIF($F$11:F447,F447)-1)*10000,10)&amp;"}]")</f>
        <v>[{exp_boost,2000}]</v>
      </c>
      <c r="H447" s="82" t="s">
        <v>563</v>
      </c>
      <c r="J447" s="78">
        <f ca="1">IF(MOD(COUNTIF($Q$11:Q446,Q446),5)=0,OFFSET(装备属性!$P$1083,1+INT(COUNTA($Q$11:Q446)/5),0),J446)</f>
        <v>9</v>
      </c>
      <c r="K447" s="83" t="str">
        <f ca="1">IF(RIGHT(G447,13)="rune_slot,1}]",_xlfn.XLOOKUP(LEFT(SUBSTITUTE(G447,"[{",""),FIND(",",SUBSTITUTE(G447,"[{",""))-1),Sheet2!B:B,Sheet2!C:C)&amp;"+"&amp;1,_xlfn.XLOOKUP(LEFT(SUBSTITUTE(G447,"[{",""),FIND(",",SUBSTITUTE(G447,"[{",""))-1),Sheet2!B:B,Sheet2!C:C)&amp;"+"&amp;SUBSTITUTE(RIGHT(G447,LEN(G447)-FIND(",",G447)),"}]","")/100&amp;"%")</f>
        <v>经验加成+20%</v>
      </c>
      <c r="L447" s="83" t="str">
        <f ca="1">IF(MOD(COUNTIF($Q$11:Q446,Q446),5)=0,OFFSET(装备属性!$G$1083,1+INT(COUNTA($Q$11:Q446)/5),0),L446)</f>
        <v>涨见识</v>
      </c>
      <c r="M447" s="89" t="str">
        <f ca="1">IF(MOD(COUNTIF($Q$11:Q446,Q446),5)=0,OFFSET(装备属性!$H$1083,1+INT(COUNTA($Q$11:Q446)/5),0),M446)</f>
        <v>exp_boost</v>
      </c>
      <c r="N447" s="76">
        <f ca="1">IF(MOD(COUNTIF($Q$11:Q446,Q446),5)=0,OFFSET(装备属性!$K$1083,1+INT(COUNTA($Q$11:Q446)/5),0),N446)</f>
        <v>0.2</v>
      </c>
      <c r="O447" s="76">
        <f ca="1">IF(MOD(COUNTIF($Q$11:Q446,Q446),5)=0,OFFSET(装备属性!$L$1083,1+INT(COUNTA($Q$11:Q446)/5),0),O446)</f>
        <v>0.2</v>
      </c>
      <c r="Q447" s="89" t="str">
        <f ca="1">IF(MOD(COUNTIF($Q$11:Q446,Q446),5)=0,OFFSET(装备属性!$M$1083,1+INT(COUNTA($Q$11:Q446)/5),0),Q446)</f>
        <v>稀有词条</v>
      </c>
      <c r="R447" s="83" t="e">
        <f ca="1">IF(MOD(COUNTIF($Q$11:Q446,Q446),5)=0,10000*SUBSTITUTE(SUBSTITUTE(OFFSET(装备属性!$F$1083,1+INT(COUNTA($Q$11:Q446)/5),0),"[",""),"]","")+_xlfn.XLOOKUP(C447,$M$3:$M$7,$N$3:$N$7)*100,R446)</f>
        <v>#N/A</v>
      </c>
    </row>
    <row r="448" customHeight="1" spans="1:18">
      <c r="A448" s="78" t="str">
        <f ca="1" t="shared" si="18"/>
        <v/>
      </c>
      <c r="B448" s="82" t="str">
        <f ca="1">IFERROR(R448+COUNTIFS($R$11:$R448,R448),"")</f>
        <v/>
      </c>
      <c r="C448" s="83">
        <f ca="1">IF(MOD(COUNTIF($Q$11:Q447,Q447),5)=0,OFFSET(装备属性!$D$1083,1+INT(COUNTA($Q$11:Q447)/5),0),C447)</f>
        <v>0</v>
      </c>
      <c r="D448" s="82">
        <f t="shared" si="20"/>
        <v>2000</v>
      </c>
      <c r="F448" s="82" t="str">
        <f ca="1" t="shared" si="19"/>
        <v/>
      </c>
      <c r="G448" s="78" t="str">
        <f ca="1">IF(AND(LEFT("[{"&amp;M448&amp;","&amp;CEILING(N448*10000+(O448-N448)/4*(COUNTIF($F$11:F448,F448)-1)*10000,10)&amp;"}]",7)="[{equip",MID("[{"&amp;M448&amp;","&amp;CEILING(N448*10000+(O448-N448)/4*(COUNTIF($F$11:F448,F448)-1)*10000,10)&amp;"}]",8,1)&lt;&gt;"_"),"[{"&amp;M448&amp;","&amp;1&amp;"}]","[{"&amp;M448&amp;","&amp;CEILING(N448*10000+(O448-N448)/4*(COUNTIF($F$11:F448,F448)-1)*10000,10)&amp;"}]")</f>
        <v>[{exp_boost,2000}]</v>
      </c>
      <c r="H448" s="82" t="s">
        <v>563</v>
      </c>
      <c r="J448" s="78">
        <f ca="1">IF(MOD(COUNTIF($Q$11:Q447,Q447),5)=0,OFFSET(装备属性!$P$1083,1+INT(COUNTA($Q$11:Q447)/5),0),J447)</f>
        <v>9</v>
      </c>
      <c r="K448" s="83" t="str">
        <f ca="1">IF(RIGHT(G448,13)="rune_slot,1}]",_xlfn.XLOOKUP(LEFT(SUBSTITUTE(G448,"[{",""),FIND(",",SUBSTITUTE(G448,"[{",""))-1),Sheet2!B:B,Sheet2!C:C)&amp;"+"&amp;1,_xlfn.XLOOKUP(LEFT(SUBSTITUTE(G448,"[{",""),FIND(",",SUBSTITUTE(G448,"[{",""))-1),Sheet2!B:B,Sheet2!C:C)&amp;"+"&amp;SUBSTITUTE(RIGHT(G448,LEN(G448)-FIND(",",G448)),"}]","")/100&amp;"%")</f>
        <v>经验加成+20%</v>
      </c>
      <c r="L448" s="83" t="str">
        <f ca="1">IF(MOD(COUNTIF($Q$11:Q447,Q447),5)=0,OFFSET(装备属性!$G$1083,1+INT(COUNTA($Q$11:Q447)/5),0),L447)</f>
        <v>涨见识</v>
      </c>
      <c r="M448" s="89" t="str">
        <f ca="1">IF(MOD(COUNTIF($Q$11:Q447,Q447),5)=0,OFFSET(装备属性!$H$1083,1+INT(COUNTA($Q$11:Q447)/5),0),M447)</f>
        <v>exp_boost</v>
      </c>
      <c r="N448" s="76">
        <f ca="1">IF(MOD(COUNTIF($Q$11:Q447,Q447),5)=0,OFFSET(装备属性!$K$1083,1+INT(COUNTA($Q$11:Q447)/5),0),N447)</f>
        <v>0.2</v>
      </c>
      <c r="O448" s="76">
        <f ca="1">IF(MOD(COUNTIF($Q$11:Q447,Q447),5)=0,OFFSET(装备属性!$L$1083,1+INT(COUNTA($Q$11:Q447)/5),0),O447)</f>
        <v>0.2</v>
      </c>
      <c r="Q448" s="89" t="str">
        <f ca="1">IF(MOD(COUNTIF($Q$11:Q447,Q447),5)=0,OFFSET(装备属性!$M$1083,1+INT(COUNTA($Q$11:Q447)/5),0),Q447)</f>
        <v>稀有词条</v>
      </c>
      <c r="R448" s="83" t="e">
        <f ca="1">IF(MOD(COUNTIF($Q$11:Q447,Q447),5)=0,10000*SUBSTITUTE(SUBSTITUTE(OFFSET(装备属性!$F$1083,1+INT(COUNTA($Q$11:Q447)/5),0),"[",""),"]","")+_xlfn.XLOOKUP(C448,$M$3:$M$7,$N$3:$N$7)*100,R447)</f>
        <v>#N/A</v>
      </c>
    </row>
    <row r="449" customHeight="1" spans="1:18">
      <c r="A449" s="78" t="str">
        <f ca="1" t="shared" si="18"/>
        <v/>
      </c>
      <c r="B449" s="82" t="str">
        <f ca="1">IFERROR(R449+COUNTIFS($R$11:$R449,R449),"")</f>
        <v/>
      </c>
      <c r="C449" s="83">
        <f ca="1">IF(MOD(COUNTIF($Q$11:Q448,Q448),5)=0,OFFSET(装备属性!$D$1083,1+INT(COUNTA($Q$11:Q448)/5),0),C448)</f>
        <v>0</v>
      </c>
      <c r="D449" s="82">
        <f t="shared" si="20"/>
        <v>1500</v>
      </c>
      <c r="F449" s="82" t="str">
        <f ca="1" t="shared" si="19"/>
        <v/>
      </c>
      <c r="G449" s="78" t="str">
        <f ca="1">IF(AND(LEFT("[{"&amp;M449&amp;","&amp;CEILING(N449*10000+(O449-N449)/4*(COUNTIF($F$11:F449,F449)-1)*10000,10)&amp;"}]",7)="[{equip",MID("[{"&amp;M449&amp;","&amp;CEILING(N449*10000+(O449-N449)/4*(COUNTIF($F$11:F449,F449)-1)*10000,10)&amp;"}]",8,1)&lt;&gt;"_"),"[{"&amp;M449&amp;","&amp;1&amp;"}]","[{"&amp;M449&amp;","&amp;CEILING(N449*10000+(O449-N449)/4*(COUNTIF($F$11:F449,F449)-1)*10000,10)&amp;"}]")</f>
        <v>[{exp_boost,2000}]</v>
      </c>
      <c r="H449" s="82" t="s">
        <v>563</v>
      </c>
      <c r="J449" s="78">
        <f ca="1">IF(MOD(COUNTIF($Q$11:Q448,Q448),5)=0,OFFSET(装备属性!$P$1083,1+INT(COUNTA($Q$11:Q448)/5),0),J448)</f>
        <v>9</v>
      </c>
      <c r="K449" s="83" t="str">
        <f ca="1">IF(RIGHT(G449,13)="rune_slot,1}]",_xlfn.XLOOKUP(LEFT(SUBSTITUTE(G449,"[{",""),FIND(",",SUBSTITUTE(G449,"[{",""))-1),Sheet2!B:B,Sheet2!C:C)&amp;"+"&amp;1,_xlfn.XLOOKUP(LEFT(SUBSTITUTE(G449,"[{",""),FIND(",",SUBSTITUTE(G449,"[{",""))-1),Sheet2!B:B,Sheet2!C:C)&amp;"+"&amp;SUBSTITUTE(RIGHT(G449,LEN(G449)-FIND(",",G449)),"}]","")/100&amp;"%")</f>
        <v>经验加成+20%</v>
      </c>
      <c r="L449" s="83" t="str">
        <f ca="1">IF(MOD(COUNTIF($Q$11:Q448,Q448),5)=0,OFFSET(装备属性!$G$1083,1+INT(COUNTA($Q$11:Q448)/5),0),L448)</f>
        <v>涨见识</v>
      </c>
      <c r="M449" s="89" t="str">
        <f ca="1">IF(MOD(COUNTIF($Q$11:Q448,Q448),5)=0,OFFSET(装备属性!$H$1083,1+INT(COUNTA($Q$11:Q448)/5),0),M448)</f>
        <v>exp_boost</v>
      </c>
      <c r="N449" s="76">
        <f ca="1">IF(MOD(COUNTIF($Q$11:Q448,Q448),5)=0,OFFSET(装备属性!$K$1083,1+INT(COUNTA($Q$11:Q448)/5),0),N448)</f>
        <v>0.2</v>
      </c>
      <c r="O449" s="76">
        <f ca="1">IF(MOD(COUNTIF($Q$11:Q448,Q448),5)=0,OFFSET(装备属性!$L$1083,1+INT(COUNTA($Q$11:Q448)/5),0),O448)</f>
        <v>0.2</v>
      </c>
      <c r="Q449" s="89" t="str">
        <f ca="1">IF(MOD(COUNTIF($Q$11:Q448,Q448),5)=0,OFFSET(装备属性!$M$1083,1+INT(COUNTA($Q$11:Q448)/5),0),Q448)</f>
        <v>稀有词条</v>
      </c>
      <c r="R449" s="83" t="e">
        <f ca="1">IF(MOD(COUNTIF($Q$11:Q448,Q448),5)=0,10000*SUBSTITUTE(SUBSTITUTE(OFFSET(装备属性!$F$1083,1+INT(COUNTA($Q$11:Q448)/5),0),"[",""),"]","")+_xlfn.XLOOKUP(C449,$M$3:$M$7,$N$3:$N$7)*100,R448)</f>
        <v>#N/A</v>
      </c>
    </row>
    <row r="450" customHeight="1" spans="1:18">
      <c r="A450" s="78" t="str">
        <f ca="1" t="shared" si="18"/>
        <v/>
      </c>
      <c r="B450" s="82" t="str">
        <f ca="1">IFERROR(R450+COUNTIFS($R$11:$R450,R450),"")</f>
        <v/>
      </c>
      <c r="C450" s="83">
        <f ca="1">IF(MOD(COUNTIF($Q$11:Q449,Q449),5)=0,OFFSET(装备属性!$D$1083,1+INT(COUNTA($Q$11:Q449)/5),0),C449)</f>
        <v>0</v>
      </c>
      <c r="D450" s="82">
        <f t="shared" si="20"/>
        <v>1000</v>
      </c>
      <c r="F450" s="82" t="str">
        <f ca="1" t="shared" si="19"/>
        <v/>
      </c>
      <c r="G450" s="78" t="str">
        <f ca="1">IF(AND(LEFT("[{"&amp;M450&amp;","&amp;CEILING(N450*10000+(O450-N450)/4*(COUNTIF($F$11:F450,F450)-1)*10000,10)&amp;"}]",7)="[{equip",MID("[{"&amp;M450&amp;","&amp;CEILING(N450*10000+(O450-N450)/4*(COUNTIF($F$11:F450,F450)-1)*10000,10)&amp;"}]",8,1)&lt;&gt;"_"),"[{"&amp;M450&amp;","&amp;1&amp;"}]","[{"&amp;M450&amp;","&amp;CEILING(N450*10000+(O450-N450)/4*(COUNTIF($F$11:F450,F450)-1)*10000,10)&amp;"}]")</f>
        <v>[{exp_boost,2000}]</v>
      </c>
      <c r="H450" s="82" t="s">
        <v>563</v>
      </c>
      <c r="J450" s="78">
        <f ca="1">IF(MOD(COUNTIF($Q$11:Q449,Q449),5)=0,OFFSET(装备属性!$P$1083,1+INT(COUNTA($Q$11:Q449)/5),0),J449)</f>
        <v>9</v>
      </c>
      <c r="K450" s="83" t="str">
        <f ca="1">IF(RIGHT(G450,13)="rune_slot,1}]",_xlfn.XLOOKUP(LEFT(SUBSTITUTE(G450,"[{",""),FIND(",",SUBSTITUTE(G450,"[{",""))-1),Sheet2!B:B,Sheet2!C:C)&amp;"+"&amp;1,_xlfn.XLOOKUP(LEFT(SUBSTITUTE(G450,"[{",""),FIND(",",SUBSTITUTE(G450,"[{",""))-1),Sheet2!B:B,Sheet2!C:C)&amp;"+"&amp;SUBSTITUTE(RIGHT(G450,LEN(G450)-FIND(",",G450)),"}]","")/100&amp;"%")</f>
        <v>经验加成+20%</v>
      </c>
      <c r="L450" s="83" t="str">
        <f ca="1">IF(MOD(COUNTIF($Q$11:Q449,Q449),5)=0,OFFSET(装备属性!$G$1083,1+INT(COUNTA($Q$11:Q449)/5),0),L449)</f>
        <v>涨见识</v>
      </c>
      <c r="M450" s="89" t="str">
        <f ca="1">IF(MOD(COUNTIF($Q$11:Q449,Q449),5)=0,OFFSET(装备属性!$H$1083,1+INT(COUNTA($Q$11:Q449)/5),0),M449)</f>
        <v>exp_boost</v>
      </c>
      <c r="N450" s="76">
        <f ca="1">IF(MOD(COUNTIF($Q$11:Q449,Q449),5)=0,OFFSET(装备属性!$K$1083,1+INT(COUNTA($Q$11:Q449)/5),0),N449)</f>
        <v>0.2</v>
      </c>
      <c r="O450" s="76">
        <f ca="1">IF(MOD(COUNTIF($Q$11:Q449,Q449),5)=0,OFFSET(装备属性!$L$1083,1+INT(COUNTA($Q$11:Q449)/5),0),O449)</f>
        <v>0.2</v>
      </c>
      <c r="Q450" s="89" t="str">
        <f ca="1">IF(MOD(COUNTIF($Q$11:Q449,Q449),5)=0,OFFSET(装备属性!$M$1083,1+INT(COUNTA($Q$11:Q449)/5),0),Q449)</f>
        <v>稀有词条</v>
      </c>
      <c r="R450" s="83" t="e">
        <f ca="1">IF(MOD(COUNTIF($Q$11:Q449,Q449),5)=0,10000*SUBSTITUTE(SUBSTITUTE(OFFSET(装备属性!$F$1083,1+INT(COUNTA($Q$11:Q449)/5),0),"[",""),"]","")+_xlfn.XLOOKUP(C450,$M$3:$M$7,$N$3:$N$7)*100,R449)</f>
        <v>#N/A</v>
      </c>
    </row>
    <row r="451" customHeight="1" spans="1:18">
      <c r="A451" s="78" t="str">
        <f ca="1" t="shared" si="18"/>
        <v/>
      </c>
      <c r="B451" s="82" t="str">
        <f ca="1">IFERROR(R451+COUNTIFS($R$11:$R451,R451),"")</f>
        <v/>
      </c>
      <c r="C451" s="83">
        <f ca="1">IF(MOD(COUNTIF($Q$11:Q450,Q450),5)=0,OFFSET(装备属性!$D$1083,1+INT(COUNTA($Q$11:Q450)/5),0),C450)</f>
        <v>0</v>
      </c>
      <c r="D451" s="82">
        <f t="shared" si="20"/>
        <v>3000</v>
      </c>
      <c r="F451" s="82" t="str">
        <f ca="1" t="shared" si="19"/>
        <v/>
      </c>
      <c r="G451" s="78" t="str">
        <f ca="1">IF(AND(LEFT("[{"&amp;M451&amp;","&amp;CEILING(N451*10000+(O451-N451)/4*(COUNTIF($F$11:F451,F451)-1)*10000,10)&amp;"}]",7)="[{equip",MID("[{"&amp;M451&amp;","&amp;CEILING(N451*10000+(O451-N451)/4*(COUNTIF($F$11:F451,F451)-1)*10000,10)&amp;"}]",8,1)&lt;&gt;"_"),"[{"&amp;M451&amp;","&amp;1&amp;"}]","[{"&amp;M451&amp;","&amp;CEILING(N451*10000+(O451-N451)/4*(COUNTIF($F$11:F451,F451)-1)*10000,10)&amp;"}]")</f>
        <v>[{equip_base_attr,2500}]</v>
      </c>
      <c r="H451" s="82" t="s">
        <v>563</v>
      </c>
      <c r="J451" s="78">
        <f ca="1">IF(MOD(COUNTIF($Q$11:Q450,Q450),5)=0,OFFSET(装备属性!$P$1083,1+INT(COUNTA($Q$11:Q450)/5),0),J450)</f>
        <v>7</v>
      </c>
      <c r="K451" s="83" t="str">
        <f ca="1">IF(RIGHT(G451,13)="rune_slot,1}]",_xlfn.XLOOKUP(LEFT(SUBSTITUTE(G451,"[{",""),FIND(",",SUBSTITUTE(G451,"[{",""))-1),Sheet2!B:B,Sheet2!C:C)&amp;"+"&amp;1,_xlfn.XLOOKUP(LEFT(SUBSTITUTE(G451,"[{",""),FIND(",",SUBSTITUTE(G451,"[{",""))-1),Sheet2!B:B,Sheet2!C:C)&amp;"+"&amp;SUBSTITUTE(RIGHT(G451,LEN(G451)-FIND(",",G451)),"}]","")/100&amp;"%")</f>
        <v>装备基础属性加成+25%</v>
      </c>
      <c r="L451" s="83" t="str">
        <f ca="1">IF(MOD(COUNTIF($Q$11:Q450,Q450),5)=0,OFFSET(装备属性!$G$1083,1+INT(COUNTA($Q$11:Q450)/5),0),L450)</f>
        <v>厚底子</v>
      </c>
      <c r="M451" s="89" t="str">
        <f ca="1">IF(MOD(COUNTIF($Q$11:Q450,Q450),5)=0,OFFSET(装备属性!$H$1083,1+INT(COUNTA($Q$11:Q450)/5),0),M450)</f>
        <v>equip_base_attr</v>
      </c>
      <c r="N451" s="76">
        <f ca="1">IF(MOD(COUNTIF($Q$11:Q450,Q450),5)=0,OFFSET(装备属性!$K$1083,1+INT(COUNTA($Q$11:Q450)/5),0),N450)</f>
        <v>0.25</v>
      </c>
      <c r="O451" s="76">
        <f ca="1">IF(MOD(COUNTIF($Q$11:Q450,Q450),5)=0,OFFSET(装备属性!$L$1083,1+INT(COUNTA($Q$11:Q450)/5),0),O450)</f>
        <v>0.25</v>
      </c>
      <c r="Q451" s="89" t="str">
        <f ca="1">IF(MOD(COUNTIF($Q$11:Q450,Q450),5)=0,OFFSET(装备属性!$M$1083,1+INT(COUNTA($Q$11:Q450)/5),0),Q450)</f>
        <v>稀有词条</v>
      </c>
      <c r="R451" s="83" t="e">
        <f ca="1">IF(MOD(COUNTIF($Q$11:Q450,Q450),5)=0,10000*SUBSTITUTE(SUBSTITUTE(OFFSET(装备属性!$F$1083,1+INT(COUNTA($Q$11:Q450)/5),0),"[",""),"]","")+_xlfn.XLOOKUP(C451,$M$3:$M$7,$N$3:$N$7)*100,R450)</f>
        <v>#N/A</v>
      </c>
    </row>
    <row r="452" customHeight="1" spans="1:18">
      <c r="A452" s="78" t="str">
        <f ca="1" t="shared" si="18"/>
        <v/>
      </c>
      <c r="B452" s="82" t="str">
        <f ca="1">IFERROR(R452+COUNTIFS($R$11:$R452,R452),"")</f>
        <v/>
      </c>
      <c r="C452" s="83">
        <f ca="1">IF(MOD(COUNTIF($Q$11:Q451,Q451),5)=0,OFFSET(装备属性!$D$1083,1+INT(COUNTA($Q$11:Q451)/5),0),C451)</f>
        <v>0</v>
      </c>
      <c r="D452" s="82">
        <f t="shared" si="20"/>
        <v>2500</v>
      </c>
      <c r="F452" s="82" t="str">
        <f ca="1" t="shared" si="19"/>
        <v/>
      </c>
      <c r="G452" s="78" t="str">
        <f ca="1">IF(AND(LEFT("[{"&amp;M452&amp;","&amp;CEILING(N452*10000+(O452-N452)/4*(COUNTIF($F$11:F452,F452)-1)*10000,10)&amp;"}]",7)="[{equip",MID("[{"&amp;M452&amp;","&amp;CEILING(N452*10000+(O452-N452)/4*(COUNTIF($F$11:F452,F452)-1)*10000,10)&amp;"}]",8,1)&lt;&gt;"_"),"[{"&amp;M452&amp;","&amp;1&amp;"}]","[{"&amp;M452&amp;","&amp;CEILING(N452*10000+(O452-N452)/4*(COUNTIF($F$11:F452,F452)-1)*10000,10)&amp;"}]")</f>
        <v>[{equip_base_attr,2500}]</v>
      </c>
      <c r="H452" s="82" t="s">
        <v>563</v>
      </c>
      <c r="J452" s="78">
        <f ca="1">IF(MOD(COUNTIF($Q$11:Q451,Q451),5)=0,OFFSET(装备属性!$P$1083,1+INT(COUNTA($Q$11:Q451)/5),0),J451)</f>
        <v>7</v>
      </c>
      <c r="K452" s="83" t="str">
        <f ca="1">IF(RIGHT(G452,13)="rune_slot,1}]",_xlfn.XLOOKUP(LEFT(SUBSTITUTE(G452,"[{",""),FIND(",",SUBSTITUTE(G452,"[{",""))-1),Sheet2!B:B,Sheet2!C:C)&amp;"+"&amp;1,_xlfn.XLOOKUP(LEFT(SUBSTITUTE(G452,"[{",""),FIND(",",SUBSTITUTE(G452,"[{",""))-1),Sheet2!B:B,Sheet2!C:C)&amp;"+"&amp;SUBSTITUTE(RIGHT(G452,LEN(G452)-FIND(",",G452)),"}]","")/100&amp;"%")</f>
        <v>装备基础属性加成+25%</v>
      </c>
      <c r="L452" s="83" t="str">
        <f ca="1">IF(MOD(COUNTIF($Q$11:Q451,Q451),5)=0,OFFSET(装备属性!$G$1083,1+INT(COUNTA($Q$11:Q451)/5),0),L451)</f>
        <v>厚底子</v>
      </c>
      <c r="M452" s="89" t="str">
        <f ca="1">IF(MOD(COUNTIF($Q$11:Q451,Q451),5)=0,OFFSET(装备属性!$H$1083,1+INT(COUNTA($Q$11:Q451)/5),0),M451)</f>
        <v>equip_base_attr</v>
      </c>
      <c r="N452" s="76">
        <f ca="1">IF(MOD(COUNTIF($Q$11:Q451,Q451),5)=0,OFFSET(装备属性!$K$1083,1+INT(COUNTA($Q$11:Q451)/5),0),N451)</f>
        <v>0.25</v>
      </c>
      <c r="O452" s="76">
        <f ca="1">IF(MOD(COUNTIF($Q$11:Q451,Q451),5)=0,OFFSET(装备属性!$L$1083,1+INT(COUNTA($Q$11:Q451)/5),0),O451)</f>
        <v>0.25</v>
      </c>
      <c r="Q452" s="89" t="str">
        <f ca="1">IF(MOD(COUNTIF($Q$11:Q451,Q451),5)=0,OFFSET(装备属性!$M$1083,1+INT(COUNTA($Q$11:Q451)/5),0),Q451)</f>
        <v>稀有词条</v>
      </c>
      <c r="R452" s="83" t="e">
        <f ca="1">IF(MOD(COUNTIF($Q$11:Q451,Q451),5)=0,10000*SUBSTITUTE(SUBSTITUTE(OFFSET(装备属性!$F$1083,1+INT(COUNTA($Q$11:Q451)/5),0),"[",""),"]","")+_xlfn.XLOOKUP(C452,$M$3:$M$7,$N$3:$N$7)*100,R451)</f>
        <v>#N/A</v>
      </c>
    </row>
    <row r="453" customHeight="1" spans="1:18">
      <c r="A453" s="78" t="str">
        <f ca="1" t="shared" si="18"/>
        <v/>
      </c>
      <c r="B453" s="82" t="str">
        <f ca="1">IFERROR(R453+COUNTIFS($R$11:$R453,R453),"")</f>
        <v/>
      </c>
      <c r="C453" s="83">
        <f ca="1">IF(MOD(COUNTIF($Q$11:Q452,Q452),5)=0,OFFSET(装备属性!$D$1083,1+INT(COUNTA($Q$11:Q452)/5),0),C452)</f>
        <v>0</v>
      </c>
      <c r="D453" s="82">
        <f t="shared" si="20"/>
        <v>2000</v>
      </c>
      <c r="F453" s="82" t="str">
        <f ca="1" t="shared" si="19"/>
        <v/>
      </c>
      <c r="G453" s="78" t="str">
        <f ca="1">IF(AND(LEFT("[{"&amp;M453&amp;","&amp;CEILING(N453*10000+(O453-N453)/4*(COUNTIF($F$11:F453,F453)-1)*10000,10)&amp;"}]",7)="[{equip",MID("[{"&amp;M453&amp;","&amp;CEILING(N453*10000+(O453-N453)/4*(COUNTIF($F$11:F453,F453)-1)*10000,10)&amp;"}]",8,1)&lt;&gt;"_"),"[{"&amp;M453&amp;","&amp;1&amp;"}]","[{"&amp;M453&amp;","&amp;CEILING(N453*10000+(O453-N453)/4*(COUNTIF($F$11:F453,F453)-1)*10000,10)&amp;"}]")</f>
        <v>[{equip_base_attr,2500}]</v>
      </c>
      <c r="H453" s="82" t="s">
        <v>563</v>
      </c>
      <c r="J453" s="78">
        <f ca="1">IF(MOD(COUNTIF($Q$11:Q452,Q452),5)=0,OFFSET(装备属性!$P$1083,1+INT(COUNTA($Q$11:Q452)/5),0),J452)</f>
        <v>7</v>
      </c>
      <c r="K453" s="83" t="str">
        <f ca="1">IF(RIGHT(G453,13)="rune_slot,1}]",_xlfn.XLOOKUP(LEFT(SUBSTITUTE(G453,"[{",""),FIND(",",SUBSTITUTE(G453,"[{",""))-1),Sheet2!B:B,Sheet2!C:C)&amp;"+"&amp;1,_xlfn.XLOOKUP(LEFT(SUBSTITUTE(G453,"[{",""),FIND(",",SUBSTITUTE(G453,"[{",""))-1),Sheet2!B:B,Sheet2!C:C)&amp;"+"&amp;SUBSTITUTE(RIGHT(G453,LEN(G453)-FIND(",",G453)),"}]","")/100&amp;"%")</f>
        <v>装备基础属性加成+25%</v>
      </c>
      <c r="L453" s="83" t="str">
        <f ca="1">IF(MOD(COUNTIF($Q$11:Q452,Q452),5)=0,OFFSET(装备属性!$G$1083,1+INT(COUNTA($Q$11:Q452)/5),0),L452)</f>
        <v>厚底子</v>
      </c>
      <c r="M453" s="89" t="str">
        <f ca="1">IF(MOD(COUNTIF($Q$11:Q452,Q452),5)=0,OFFSET(装备属性!$H$1083,1+INT(COUNTA($Q$11:Q452)/5),0),M452)</f>
        <v>equip_base_attr</v>
      </c>
      <c r="N453" s="76">
        <f ca="1">IF(MOD(COUNTIF($Q$11:Q452,Q452),5)=0,OFFSET(装备属性!$K$1083,1+INT(COUNTA($Q$11:Q452)/5),0),N452)</f>
        <v>0.25</v>
      </c>
      <c r="O453" s="76">
        <f ca="1">IF(MOD(COUNTIF($Q$11:Q452,Q452),5)=0,OFFSET(装备属性!$L$1083,1+INT(COUNTA($Q$11:Q452)/5),0),O452)</f>
        <v>0.25</v>
      </c>
      <c r="Q453" s="89" t="str">
        <f ca="1">IF(MOD(COUNTIF($Q$11:Q452,Q452),5)=0,OFFSET(装备属性!$M$1083,1+INT(COUNTA($Q$11:Q452)/5),0),Q452)</f>
        <v>稀有词条</v>
      </c>
      <c r="R453" s="83" t="e">
        <f ca="1">IF(MOD(COUNTIF($Q$11:Q452,Q452),5)=0,10000*SUBSTITUTE(SUBSTITUTE(OFFSET(装备属性!$F$1083,1+INT(COUNTA($Q$11:Q452)/5),0),"[",""),"]","")+_xlfn.XLOOKUP(C453,$M$3:$M$7,$N$3:$N$7)*100,R452)</f>
        <v>#N/A</v>
      </c>
    </row>
    <row r="454" customHeight="1" spans="1:18">
      <c r="A454" s="78" t="str">
        <f ca="1" t="shared" si="18"/>
        <v/>
      </c>
      <c r="B454" s="82" t="str">
        <f ca="1">IFERROR(R454+COUNTIFS($R$11:$R454,R454),"")</f>
        <v/>
      </c>
      <c r="C454" s="83">
        <f ca="1">IF(MOD(COUNTIF($Q$11:Q453,Q453),5)=0,OFFSET(装备属性!$D$1083,1+INT(COUNTA($Q$11:Q453)/5),0),C453)</f>
        <v>0</v>
      </c>
      <c r="D454" s="82">
        <f t="shared" si="20"/>
        <v>1500</v>
      </c>
      <c r="F454" s="82" t="str">
        <f ca="1" t="shared" si="19"/>
        <v/>
      </c>
      <c r="G454" s="78" t="str">
        <f ca="1">IF(AND(LEFT("[{"&amp;M454&amp;","&amp;CEILING(N454*10000+(O454-N454)/4*(COUNTIF($F$11:F454,F454)-1)*10000,10)&amp;"}]",7)="[{equip",MID("[{"&amp;M454&amp;","&amp;CEILING(N454*10000+(O454-N454)/4*(COUNTIF($F$11:F454,F454)-1)*10000,10)&amp;"}]",8,1)&lt;&gt;"_"),"[{"&amp;M454&amp;","&amp;1&amp;"}]","[{"&amp;M454&amp;","&amp;CEILING(N454*10000+(O454-N454)/4*(COUNTIF($F$11:F454,F454)-1)*10000,10)&amp;"}]")</f>
        <v>[{equip_base_attr,2500}]</v>
      </c>
      <c r="H454" s="82" t="s">
        <v>563</v>
      </c>
      <c r="J454" s="78">
        <f ca="1">IF(MOD(COUNTIF($Q$11:Q453,Q453),5)=0,OFFSET(装备属性!$P$1083,1+INT(COUNTA($Q$11:Q453)/5),0),J453)</f>
        <v>7</v>
      </c>
      <c r="K454" s="83" t="str">
        <f ca="1">IF(RIGHT(G454,13)="rune_slot,1}]",_xlfn.XLOOKUP(LEFT(SUBSTITUTE(G454,"[{",""),FIND(",",SUBSTITUTE(G454,"[{",""))-1),Sheet2!B:B,Sheet2!C:C)&amp;"+"&amp;1,_xlfn.XLOOKUP(LEFT(SUBSTITUTE(G454,"[{",""),FIND(",",SUBSTITUTE(G454,"[{",""))-1),Sheet2!B:B,Sheet2!C:C)&amp;"+"&amp;SUBSTITUTE(RIGHT(G454,LEN(G454)-FIND(",",G454)),"}]","")/100&amp;"%")</f>
        <v>装备基础属性加成+25%</v>
      </c>
      <c r="L454" s="83" t="str">
        <f ca="1">IF(MOD(COUNTIF($Q$11:Q453,Q453),5)=0,OFFSET(装备属性!$G$1083,1+INT(COUNTA($Q$11:Q453)/5),0),L453)</f>
        <v>厚底子</v>
      </c>
      <c r="M454" s="89" t="str">
        <f ca="1">IF(MOD(COUNTIF($Q$11:Q453,Q453),5)=0,OFFSET(装备属性!$H$1083,1+INT(COUNTA($Q$11:Q453)/5),0),M453)</f>
        <v>equip_base_attr</v>
      </c>
      <c r="N454" s="76">
        <f ca="1">IF(MOD(COUNTIF($Q$11:Q453,Q453),5)=0,OFFSET(装备属性!$K$1083,1+INT(COUNTA($Q$11:Q453)/5),0),N453)</f>
        <v>0.25</v>
      </c>
      <c r="O454" s="76">
        <f ca="1">IF(MOD(COUNTIF($Q$11:Q453,Q453),5)=0,OFFSET(装备属性!$L$1083,1+INT(COUNTA($Q$11:Q453)/5),0),O453)</f>
        <v>0.25</v>
      </c>
      <c r="Q454" s="89" t="str">
        <f ca="1">IF(MOD(COUNTIF($Q$11:Q453,Q453),5)=0,OFFSET(装备属性!$M$1083,1+INT(COUNTA($Q$11:Q453)/5),0),Q453)</f>
        <v>稀有词条</v>
      </c>
      <c r="R454" s="83" t="e">
        <f ca="1">IF(MOD(COUNTIF($Q$11:Q453,Q453),5)=0,10000*SUBSTITUTE(SUBSTITUTE(OFFSET(装备属性!$F$1083,1+INT(COUNTA($Q$11:Q453)/5),0),"[",""),"]","")+_xlfn.XLOOKUP(C454,$M$3:$M$7,$N$3:$N$7)*100,R453)</f>
        <v>#N/A</v>
      </c>
    </row>
    <row r="455" customHeight="1" spans="1:18">
      <c r="A455" s="78" t="str">
        <f ca="1" t="shared" si="18"/>
        <v/>
      </c>
      <c r="B455" s="82" t="str">
        <f ca="1">IFERROR(R455+COUNTIFS($R$11:$R455,R455),"")</f>
        <v/>
      </c>
      <c r="C455" s="83">
        <f ca="1">IF(MOD(COUNTIF($Q$11:Q454,Q454),5)=0,OFFSET(装备属性!$D$1083,1+INT(COUNTA($Q$11:Q454)/5),0),C454)</f>
        <v>0</v>
      </c>
      <c r="D455" s="82">
        <f t="shared" si="20"/>
        <v>1000</v>
      </c>
      <c r="F455" s="82" t="str">
        <f ca="1" t="shared" si="19"/>
        <v/>
      </c>
      <c r="G455" s="78" t="str">
        <f ca="1">IF(AND(LEFT("[{"&amp;M455&amp;","&amp;CEILING(N455*10000+(O455-N455)/4*(COUNTIF($F$11:F455,F455)-1)*10000,10)&amp;"}]",7)="[{equip",MID("[{"&amp;M455&amp;","&amp;CEILING(N455*10000+(O455-N455)/4*(COUNTIF($F$11:F455,F455)-1)*10000,10)&amp;"}]",8,1)&lt;&gt;"_"),"[{"&amp;M455&amp;","&amp;1&amp;"}]","[{"&amp;M455&amp;","&amp;CEILING(N455*10000+(O455-N455)/4*(COUNTIF($F$11:F455,F455)-1)*10000,10)&amp;"}]")</f>
        <v>[{equip_base_attr,2500}]</v>
      </c>
      <c r="H455" s="82" t="s">
        <v>563</v>
      </c>
      <c r="J455" s="78">
        <f ca="1">IF(MOD(COUNTIF($Q$11:Q454,Q454),5)=0,OFFSET(装备属性!$P$1083,1+INT(COUNTA($Q$11:Q454)/5),0),J454)</f>
        <v>7</v>
      </c>
      <c r="K455" s="83" t="str">
        <f ca="1">IF(RIGHT(G455,13)="rune_slot,1}]",_xlfn.XLOOKUP(LEFT(SUBSTITUTE(G455,"[{",""),FIND(",",SUBSTITUTE(G455,"[{",""))-1),Sheet2!B:B,Sheet2!C:C)&amp;"+"&amp;1,_xlfn.XLOOKUP(LEFT(SUBSTITUTE(G455,"[{",""),FIND(",",SUBSTITUTE(G455,"[{",""))-1),Sheet2!B:B,Sheet2!C:C)&amp;"+"&amp;SUBSTITUTE(RIGHT(G455,LEN(G455)-FIND(",",G455)),"}]","")/100&amp;"%")</f>
        <v>装备基础属性加成+25%</v>
      </c>
      <c r="L455" s="83" t="str">
        <f ca="1">IF(MOD(COUNTIF($Q$11:Q454,Q454),5)=0,OFFSET(装备属性!$G$1083,1+INT(COUNTA($Q$11:Q454)/5),0),L454)</f>
        <v>厚底子</v>
      </c>
      <c r="M455" s="89" t="str">
        <f ca="1">IF(MOD(COUNTIF($Q$11:Q454,Q454),5)=0,OFFSET(装备属性!$H$1083,1+INT(COUNTA($Q$11:Q454)/5),0),M454)</f>
        <v>equip_base_attr</v>
      </c>
      <c r="N455" s="76">
        <f ca="1">IF(MOD(COUNTIF($Q$11:Q454,Q454),5)=0,OFFSET(装备属性!$K$1083,1+INT(COUNTA($Q$11:Q454)/5),0),N454)</f>
        <v>0.25</v>
      </c>
      <c r="O455" s="76">
        <f ca="1">IF(MOD(COUNTIF($Q$11:Q454,Q454),5)=0,OFFSET(装备属性!$L$1083,1+INT(COUNTA($Q$11:Q454)/5),0),O454)</f>
        <v>0.25</v>
      </c>
      <c r="Q455" s="89" t="str">
        <f ca="1">IF(MOD(COUNTIF($Q$11:Q454,Q454),5)=0,OFFSET(装备属性!$M$1083,1+INT(COUNTA($Q$11:Q454)/5),0),Q454)</f>
        <v>稀有词条</v>
      </c>
      <c r="R455" s="83" t="e">
        <f ca="1">IF(MOD(COUNTIF($Q$11:Q454,Q454),5)=0,10000*SUBSTITUTE(SUBSTITUTE(OFFSET(装备属性!$F$1083,1+INT(COUNTA($Q$11:Q454)/5),0),"[",""),"]","")+_xlfn.XLOOKUP(C455,$M$3:$M$7,$N$3:$N$7)*100,R454)</f>
        <v>#N/A</v>
      </c>
    </row>
    <row r="456" customHeight="1" spans="1:18">
      <c r="A456" s="78" t="str">
        <f ca="1" t="shared" si="18"/>
        <v/>
      </c>
      <c r="B456" s="82" t="str">
        <f ca="1">IFERROR(R456+COUNTIFS($R$11:$R456,R456),"")</f>
        <v/>
      </c>
      <c r="C456" s="83">
        <f ca="1">IF(MOD(COUNTIF($Q$11:Q455,Q455),5)=0,OFFSET(装备属性!$D$1083,1+INT(COUNTA($Q$11:Q455)/5),0),C455)</f>
        <v>0</v>
      </c>
      <c r="D456" s="82">
        <f t="shared" si="20"/>
        <v>3000</v>
      </c>
      <c r="F456" s="82" t="str">
        <f ca="1" t="shared" si="19"/>
        <v/>
      </c>
      <c r="G456" s="78" t="str">
        <f ca="1">IF(AND(LEFT("[{"&amp;M456&amp;","&amp;CEILING(N456*10000+(O456-N456)/4*(COUNTIF($F$11:F456,F456)-1)*10000,10)&amp;"}]",7)="[{equip",MID("[{"&amp;M456&amp;","&amp;CEILING(N456*10000+(O456-N456)/4*(COUNTIF($F$11:F456,F456)-1)*10000,10)&amp;"}]",8,1)&lt;&gt;"_"),"[{"&amp;M456&amp;","&amp;1&amp;"}]","[{"&amp;M456&amp;","&amp;CEILING(N456*10000+(O456-N456)/4*(COUNTIF($F$11:F456,F456)-1)*10000,10)&amp;"}]")</f>
        <v>[{equip_extra_attr,5000}]</v>
      </c>
      <c r="H456" s="82" t="s">
        <v>563</v>
      </c>
      <c r="J456" s="78">
        <f ca="1">IF(MOD(COUNTIF($Q$11:Q455,Q455),5)=0,OFFSET(装备属性!$P$1083,1+INT(COUNTA($Q$11:Q455)/5),0),J455)</f>
        <v>8</v>
      </c>
      <c r="K456" s="83" t="str">
        <f ca="1">IF(RIGHT(G456,13)="rune_slot,1}]",_xlfn.XLOOKUP(LEFT(SUBSTITUTE(G456,"[{",""),FIND(",",SUBSTITUTE(G456,"[{",""))-1),Sheet2!B:B,Sheet2!C:C)&amp;"+"&amp;1,_xlfn.XLOOKUP(LEFT(SUBSTITUTE(G456,"[{",""),FIND(",",SUBSTITUTE(G456,"[{",""))-1),Sheet2!B:B,Sheet2!C:C)&amp;"+"&amp;SUBSTITUTE(RIGHT(G456,LEN(G456)-FIND(",",G456)),"}]","")/100&amp;"%")</f>
        <v>装备附加属性加成+50%</v>
      </c>
      <c r="L456" s="83" t="str">
        <f ca="1">IF(MOD(COUNTIF($Q$11:Q455,Q455),5)=0,OFFSET(装备属性!$G$1083,1+INT(COUNTA($Q$11:Q455)/5),0),L455)</f>
        <v>提成色</v>
      </c>
      <c r="M456" s="89" t="str">
        <f ca="1">IF(MOD(COUNTIF($Q$11:Q455,Q455),5)=0,OFFSET(装备属性!$H$1083,1+INT(COUNTA($Q$11:Q455)/5),0),M455)</f>
        <v>equip_extra_attr</v>
      </c>
      <c r="N456" s="76">
        <f ca="1">IF(MOD(COUNTIF($Q$11:Q455,Q455),5)=0,OFFSET(装备属性!$K$1083,1+INT(COUNTA($Q$11:Q455)/5),0),N455)</f>
        <v>0.5</v>
      </c>
      <c r="O456" s="76">
        <f ca="1">IF(MOD(COUNTIF($Q$11:Q455,Q455),5)=0,OFFSET(装备属性!$L$1083,1+INT(COUNTA($Q$11:Q455)/5),0),O455)</f>
        <v>0.5</v>
      </c>
      <c r="Q456" s="89" t="str">
        <f ca="1">IF(MOD(COUNTIF($Q$11:Q455,Q455),5)=0,OFFSET(装备属性!$M$1083,1+INT(COUNTA($Q$11:Q455)/5),0),Q455)</f>
        <v>稀有词条</v>
      </c>
      <c r="R456" s="83" t="e">
        <f ca="1">IF(MOD(COUNTIF($Q$11:Q455,Q455),5)=0,10000*SUBSTITUTE(SUBSTITUTE(OFFSET(装备属性!$F$1083,1+INT(COUNTA($Q$11:Q455)/5),0),"[",""),"]","")+_xlfn.XLOOKUP(C456,$M$3:$M$7,$N$3:$N$7)*100,R455)</f>
        <v>#N/A</v>
      </c>
    </row>
    <row r="457" customHeight="1" spans="1:18">
      <c r="A457" s="78" t="str">
        <f ca="1" t="shared" si="18"/>
        <v/>
      </c>
      <c r="B457" s="82" t="str">
        <f ca="1">IFERROR(R457+COUNTIFS($R$11:$R457,R457),"")</f>
        <v/>
      </c>
      <c r="C457" s="83">
        <f ca="1">IF(MOD(COUNTIF($Q$11:Q456,Q456),5)=0,OFFSET(装备属性!$D$1083,1+INT(COUNTA($Q$11:Q456)/5),0),C456)</f>
        <v>0</v>
      </c>
      <c r="D457" s="82">
        <f t="shared" si="20"/>
        <v>2500</v>
      </c>
      <c r="F457" s="82" t="str">
        <f ca="1" t="shared" si="19"/>
        <v/>
      </c>
      <c r="G457" s="78" t="str">
        <f ca="1">IF(AND(LEFT("[{"&amp;M457&amp;","&amp;CEILING(N457*10000+(O457-N457)/4*(COUNTIF($F$11:F457,F457)-1)*10000,10)&amp;"}]",7)="[{equip",MID("[{"&amp;M457&amp;","&amp;CEILING(N457*10000+(O457-N457)/4*(COUNTIF($F$11:F457,F457)-1)*10000,10)&amp;"}]",8,1)&lt;&gt;"_"),"[{"&amp;M457&amp;","&amp;1&amp;"}]","[{"&amp;M457&amp;","&amp;CEILING(N457*10000+(O457-N457)/4*(COUNTIF($F$11:F457,F457)-1)*10000,10)&amp;"}]")</f>
        <v>[{equip_extra_attr,5000}]</v>
      </c>
      <c r="H457" s="82" t="s">
        <v>563</v>
      </c>
      <c r="J457" s="78">
        <f ca="1">IF(MOD(COUNTIF($Q$11:Q456,Q456),5)=0,OFFSET(装备属性!$P$1083,1+INT(COUNTA($Q$11:Q456)/5),0),J456)</f>
        <v>8</v>
      </c>
      <c r="K457" s="83" t="str">
        <f ca="1">IF(RIGHT(G457,13)="rune_slot,1}]",_xlfn.XLOOKUP(LEFT(SUBSTITUTE(G457,"[{",""),FIND(",",SUBSTITUTE(G457,"[{",""))-1),Sheet2!B:B,Sheet2!C:C)&amp;"+"&amp;1,_xlfn.XLOOKUP(LEFT(SUBSTITUTE(G457,"[{",""),FIND(",",SUBSTITUTE(G457,"[{",""))-1),Sheet2!B:B,Sheet2!C:C)&amp;"+"&amp;SUBSTITUTE(RIGHT(G457,LEN(G457)-FIND(",",G457)),"}]","")/100&amp;"%")</f>
        <v>装备附加属性加成+50%</v>
      </c>
      <c r="L457" s="83" t="str">
        <f ca="1">IF(MOD(COUNTIF($Q$11:Q456,Q456),5)=0,OFFSET(装备属性!$G$1083,1+INT(COUNTA($Q$11:Q456)/5),0),L456)</f>
        <v>提成色</v>
      </c>
      <c r="M457" s="89" t="str">
        <f ca="1">IF(MOD(COUNTIF($Q$11:Q456,Q456),5)=0,OFFSET(装备属性!$H$1083,1+INT(COUNTA($Q$11:Q456)/5),0),M456)</f>
        <v>equip_extra_attr</v>
      </c>
      <c r="N457" s="76">
        <f ca="1">IF(MOD(COUNTIF($Q$11:Q456,Q456),5)=0,OFFSET(装备属性!$K$1083,1+INT(COUNTA($Q$11:Q456)/5),0),N456)</f>
        <v>0.5</v>
      </c>
      <c r="O457" s="76">
        <f ca="1">IF(MOD(COUNTIF($Q$11:Q456,Q456),5)=0,OFFSET(装备属性!$L$1083,1+INT(COUNTA($Q$11:Q456)/5),0),O456)</f>
        <v>0.5</v>
      </c>
      <c r="Q457" s="89" t="str">
        <f ca="1">IF(MOD(COUNTIF($Q$11:Q456,Q456),5)=0,OFFSET(装备属性!$M$1083,1+INT(COUNTA($Q$11:Q456)/5),0),Q456)</f>
        <v>稀有词条</v>
      </c>
      <c r="R457" s="83" t="e">
        <f ca="1">IF(MOD(COUNTIF($Q$11:Q456,Q456),5)=0,10000*SUBSTITUTE(SUBSTITUTE(OFFSET(装备属性!$F$1083,1+INT(COUNTA($Q$11:Q456)/5),0),"[",""),"]","")+_xlfn.XLOOKUP(C457,$M$3:$M$7,$N$3:$N$7)*100,R456)</f>
        <v>#N/A</v>
      </c>
    </row>
    <row r="458" customHeight="1" spans="1:18">
      <c r="A458" s="78" t="str">
        <f ca="1" t="shared" si="18"/>
        <v/>
      </c>
      <c r="B458" s="82" t="str">
        <f ca="1">IFERROR(R458+COUNTIFS($R$11:$R458,R458),"")</f>
        <v/>
      </c>
      <c r="C458" s="83">
        <f ca="1">IF(MOD(COUNTIF($Q$11:Q457,Q457),5)=0,OFFSET(装备属性!$D$1083,1+INT(COUNTA($Q$11:Q457)/5),0),C457)</f>
        <v>0</v>
      </c>
      <c r="D458" s="82">
        <f t="shared" si="20"/>
        <v>2000</v>
      </c>
      <c r="F458" s="82" t="str">
        <f ca="1" t="shared" si="19"/>
        <v/>
      </c>
      <c r="G458" s="78" t="str">
        <f ca="1">IF(AND(LEFT("[{"&amp;M458&amp;","&amp;CEILING(N458*10000+(O458-N458)/4*(COUNTIF($F$11:F458,F458)-1)*10000,10)&amp;"}]",7)="[{equip",MID("[{"&amp;M458&amp;","&amp;CEILING(N458*10000+(O458-N458)/4*(COUNTIF($F$11:F458,F458)-1)*10000,10)&amp;"}]",8,1)&lt;&gt;"_"),"[{"&amp;M458&amp;","&amp;1&amp;"}]","[{"&amp;M458&amp;","&amp;CEILING(N458*10000+(O458-N458)/4*(COUNTIF($F$11:F458,F458)-1)*10000,10)&amp;"}]")</f>
        <v>[{equip_extra_attr,5000}]</v>
      </c>
      <c r="H458" s="82" t="s">
        <v>563</v>
      </c>
      <c r="J458" s="78">
        <f ca="1">IF(MOD(COUNTIF($Q$11:Q457,Q457),5)=0,OFFSET(装备属性!$P$1083,1+INT(COUNTA($Q$11:Q457)/5),0),J457)</f>
        <v>8</v>
      </c>
      <c r="K458" s="83" t="str">
        <f ca="1">IF(RIGHT(G458,13)="rune_slot,1}]",_xlfn.XLOOKUP(LEFT(SUBSTITUTE(G458,"[{",""),FIND(",",SUBSTITUTE(G458,"[{",""))-1),Sheet2!B:B,Sheet2!C:C)&amp;"+"&amp;1,_xlfn.XLOOKUP(LEFT(SUBSTITUTE(G458,"[{",""),FIND(",",SUBSTITUTE(G458,"[{",""))-1),Sheet2!B:B,Sheet2!C:C)&amp;"+"&amp;SUBSTITUTE(RIGHT(G458,LEN(G458)-FIND(",",G458)),"}]","")/100&amp;"%")</f>
        <v>装备附加属性加成+50%</v>
      </c>
      <c r="L458" s="83" t="str">
        <f ca="1">IF(MOD(COUNTIF($Q$11:Q457,Q457),5)=0,OFFSET(装备属性!$G$1083,1+INT(COUNTA($Q$11:Q457)/5),0),L457)</f>
        <v>提成色</v>
      </c>
      <c r="M458" s="89" t="str">
        <f ca="1">IF(MOD(COUNTIF($Q$11:Q457,Q457),5)=0,OFFSET(装备属性!$H$1083,1+INT(COUNTA($Q$11:Q457)/5),0),M457)</f>
        <v>equip_extra_attr</v>
      </c>
      <c r="N458" s="76">
        <f ca="1">IF(MOD(COUNTIF($Q$11:Q457,Q457),5)=0,OFFSET(装备属性!$K$1083,1+INT(COUNTA($Q$11:Q457)/5),0),N457)</f>
        <v>0.5</v>
      </c>
      <c r="O458" s="76">
        <f ca="1">IF(MOD(COUNTIF($Q$11:Q457,Q457),5)=0,OFFSET(装备属性!$L$1083,1+INT(COUNTA($Q$11:Q457)/5),0),O457)</f>
        <v>0.5</v>
      </c>
      <c r="Q458" s="89" t="str">
        <f ca="1">IF(MOD(COUNTIF($Q$11:Q457,Q457),5)=0,OFFSET(装备属性!$M$1083,1+INT(COUNTA($Q$11:Q457)/5),0),Q457)</f>
        <v>稀有词条</v>
      </c>
      <c r="R458" s="83" t="e">
        <f ca="1">IF(MOD(COUNTIF($Q$11:Q457,Q457),5)=0,10000*SUBSTITUTE(SUBSTITUTE(OFFSET(装备属性!$F$1083,1+INT(COUNTA($Q$11:Q457)/5),0),"[",""),"]","")+_xlfn.XLOOKUP(C458,$M$3:$M$7,$N$3:$N$7)*100,R457)</f>
        <v>#N/A</v>
      </c>
    </row>
    <row r="459" customHeight="1" spans="1:18">
      <c r="A459" s="78" t="str">
        <f ca="1" t="shared" si="18"/>
        <v/>
      </c>
      <c r="B459" s="82" t="str">
        <f ca="1">IFERROR(R459+COUNTIFS($R$11:$R459,R459),"")</f>
        <v/>
      </c>
      <c r="C459" s="83">
        <f ca="1">IF(MOD(COUNTIF($Q$11:Q458,Q458),5)=0,OFFSET(装备属性!$D$1083,1+INT(COUNTA($Q$11:Q458)/5),0),C458)</f>
        <v>0</v>
      </c>
      <c r="D459" s="82">
        <f t="shared" si="20"/>
        <v>1500</v>
      </c>
      <c r="F459" s="82" t="str">
        <f ca="1" t="shared" si="19"/>
        <v/>
      </c>
      <c r="G459" s="78" t="str">
        <f ca="1">IF(AND(LEFT("[{"&amp;M459&amp;","&amp;CEILING(N459*10000+(O459-N459)/4*(COUNTIF($F$11:F459,F459)-1)*10000,10)&amp;"}]",7)="[{equip",MID("[{"&amp;M459&amp;","&amp;CEILING(N459*10000+(O459-N459)/4*(COUNTIF($F$11:F459,F459)-1)*10000,10)&amp;"}]",8,1)&lt;&gt;"_"),"[{"&amp;M459&amp;","&amp;1&amp;"}]","[{"&amp;M459&amp;","&amp;CEILING(N459*10000+(O459-N459)/4*(COUNTIF($F$11:F459,F459)-1)*10000,10)&amp;"}]")</f>
        <v>[{equip_extra_attr,5000}]</v>
      </c>
      <c r="H459" s="82" t="s">
        <v>563</v>
      </c>
      <c r="J459" s="78">
        <f ca="1">IF(MOD(COUNTIF($Q$11:Q458,Q458),5)=0,OFFSET(装备属性!$P$1083,1+INT(COUNTA($Q$11:Q458)/5),0),J458)</f>
        <v>8</v>
      </c>
      <c r="K459" s="83" t="str">
        <f ca="1">IF(RIGHT(G459,13)="rune_slot,1}]",_xlfn.XLOOKUP(LEFT(SUBSTITUTE(G459,"[{",""),FIND(",",SUBSTITUTE(G459,"[{",""))-1),Sheet2!B:B,Sheet2!C:C)&amp;"+"&amp;1,_xlfn.XLOOKUP(LEFT(SUBSTITUTE(G459,"[{",""),FIND(",",SUBSTITUTE(G459,"[{",""))-1),Sheet2!B:B,Sheet2!C:C)&amp;"+"&amp;SUBSTITUTE(RIGHT(G459,LEN(G459)-FIND(",",G459)),"}]","")/100&amp;"%")</f>
        <v>装备附加属性加成+50%</v>
      </c>
      <c r="L459" s="83" t="str">
        <f ca="1">IF(MOD(COUNTIF($Q$11:Q458,Q458),5)=0,OFFSET(装备属性!$G$1083,1+INT(COUNTA($Q$11:Q458)/5),0),L458)</f>
        <v>提成色</v>
      </c>
      <c r="M459" s="89" t="str">
        <f ca="1">IF(MOD(COUNTIF($Q$11:Q458,Q458),5)=0,OFFSET(装备属性!$H$1083,1+INT(COUNTA($Q$11:Q458)/5),0),M458)</f>
        <v>equip_extra_attr</v>
      </c>
      <c r="N459" s="76">
        <f ca="1">IF(MOD(COUNTIF($Q$11:Q458,Q458),5)=0,OFFSET(装备属性!$K$1083,1+INT(COUNTA($Q$11:Q458)/5),0),N458)</f>
        <v>0.5</v>
      </c>
      <c r="O459" s="76">
        <f ca="1">IF(MOD(COUNTIF($Q$11:Q458,Q458),5)=0,OFFSET(装备属性!$L$1083,1+INT(COUNTA($Q$11:Q458)/5),0),O458)</f>
        <v>0.5</v>
      </c>
      <c r="Q459" s="89" t="str">
        <f ca="1">IF(MOD(COUNTIF($Q$11:Q458,Q458),5)=0,OFFSET(装备属性!$M$1083,1+INT(COUNTA($Q$11:Q458)/5),0),Q458)</f>
        <v>稀有词条</v>
      </c>
      <c r="R459" s="83" t="e">
        <f ca="1">IF(MOD(COUNTIF($Q$11:Q458,Q458),5)=0,10000*SUBSTITUTE(SUBSTITUTE(OFFSET(装备属性!$F$1083,1+INT(COUNTA($Q$11:Q458)/5),0),"[",""),"]","")+_xlfn.XLOOKUP(C459,$M$3:$M$7,$N$3:$N$7)*100,R458)</f>
        <v>#N/A</v>
      </c>
    </row>
    <row r="460" customHeight="1" spans="1:18">
      <c r="A460" s="78" t="str">
        <f ca="1" t="shared" ref="A460:A523" si="21">IFERROR(R460+IF(Q460="通用属性",1,IF(Q460="玩法类",2,IF(Q460="稀有词条",3,0))),"")</f>
        <v/>
      </c>
      <c r="B460" s="82" t="str">
        <f ca="1">IFERROR(R460+COUNTIFS($R$11:$R460,R460),"")</f>
        <v/>
      </c>
      <c r="C460" s="83">
        <f ca="1">IF(MOD(COUNTIF($Q$11:Q459,Q459),5)=0,OFFSET(装备属性!$D$1083,1+INT(COUNTA($Q$11:Q459)/5),0),C459)</f>
        <v>0</v>
      </c>
      <c r="D460" s="82">
        <f t="shared" si="20"/>
        <v>1000</v>
      </c>
      <c r="F460" s="82" t="str">
        <f ca="1" t="shared" ref="F460:F523" si="22">IFERROR(R460+INT((B460-R460-1)/5),"")</f>
        <v/>
      </c>
      <c r="G460" s="78" t="str">
        <f ca="1">IF(AND(LEFT("[{"&amp;M460&amp;","&amp;CEILING(N460*10000+(O460-N460)/4*(COUNTIF($F$11:F460,F460)-1)*10000,10)&amp;"}]",7)="[{equip",MID("[{"&amp;M460&amp;","&amp;CEILING(N460*10000+(O460-N460)/4*(COUNTIF($F$11:F460,F460)-1)*10000,10)&amp;"}]",8,1)&lt;&gt;"_"),"[{"&amp;M460&amp;","&amp;1&amp;"}]","[{"&amp;M460&amp;","&amp;CEILING(N460*10000+(O460-N460)/4*(COUNTIF($F$11:F460,F460)-1)*10000,10)&amp;"}]")</f>
        <v>[{equip_extra_attr,5000}]</v>
      </c>
      <c r="H460" s="82" t="s">
        <v>563</v>
      </c>
      <c r="J460" s="78">
        <f ca="1">IF(MOD(COUNTIF($Q$11:Q459,Q459),5)=0,OFFSET(装备属性!$P$1083,1+INT(COUNTA($Q$11:Q459)/5),0),J459)</f>
        <v>8</v>
      </c>
      <c r="K460" s="83" t="str">
        <f ca="1">IF(RIGHT(G460,13)="rune_slot,1}]",_xlfn.XLOOKUP(LEFT(SUBSTITUTE(G460,"[{",""),FIND(",",SUBSTITUTE(G460,"[{",""))-1),Sheet2!B:B,Sheet2!C:C)&amp;"+"&amp;1,_xlfn.XLOOKUP(LEFT(SUBSTITUTE(G460,"[{",""),FIND(",",SUBSTITUTE(G460,"[{",""))-1),Sheet2!B:B,Sheet2!C:C)&amp;"+"&amp;SUBSTITUTE(RIGHT(G460,LEN(G460)-FIND(",",G460)),"}]","")/100&amp;"%")</f>
        <v>装备附加属性加成+50%</v>
      </c>
      <c r="L460" s="83" t="str">
        <f ca="1">IF(MOD(COUNTIF($Q$11:Q459,Q459),5)=0,OFFSET(装备属性!$G$1083,1+INT(COUNTA($Q$11:Q459)/5),0),L459)</f>
        <v>提成色</v>
      </c>
      <c r="M460" s="89" t="str">
        <f ca="1">IF(MOD(COUNTIF($Q$11:Q459,Q459),5)=0,OFFSET(装备属性!$H$1083,1+INT(COUNTA($Q$11:Q459)/5),0),M459)</f>
        <v>equip_extra_attr</v>
      </c>
      <c r="N460" s="76">
        <f ca="1">IF(MOD(COUNTIF($Q$11:Q459,Q459),5)=0,OFFSET(装备属性!$K$1083,1+INT(COUNTA($Q$11:Q459)/5),0),N459)</f>
        <v>0.5</v>
      </c>
      <c r="O460" s="76">
        <f ca="1">IF(MOD(COUNTIF($Q$11:Q459,Q459),5)=0,OFFSET(装备属性!$L$1083,1+INT(COUNTA($Q$11:Q459)/5),0),O459)</f>
        <v>0.5</v>
      </c>
      <c r="Q460" s="89" t="str">
        <f ca="1">IF(MOD(COUNTIF($Q$11:Q459,Q459),5)=0,OFFSET(装备属性!$M$1083,1+INT(COUNTA($Q$11:Q459)/5),0),Q459)</f>
        <v>稀有词条</v>
      </c>
      <c r="R460" s="83" t="e">
        <f ca="1">IF(MOD(COUNTIF($Q$11:Q459,Q459),5)=0,10000*SUBSTITUTE(SUBSTITUTE(OFFSET(装备属性!$F$1083,1+INT(COUNTA($Q$11:Q459)/5),0),"[",""),"]","")+_xlfn.XLOOKUP(C460,$M$3:$M$7,$N$3:$N$7)*100,R459)</f>
        <v>#N/A</v>
      </c>
    </row>
    <row r="461" customHeight="1" spans="1:18">
      <c r="A461" s="78" t="str">
        <f ca="1" t="shared" si="21"/>
        <v/>
      </c>
      <c r="B461" s="82" t="str">
        <f ca="1">IFERROR(R461+COUNTIFS($R$11:$R461,R461),"")</f>
        <v/>
      </c>
      <c r="C461" s="83">
        <f ca="1">IF(MOD(COUNTIF($Q$11:Q460,Q460),5)=0,OFFSET(装备属性!$D$1083,1+INT(COUNTA($Q$11:Q460)/5),0),C460)</f>
        <v>0</v>
      </c>
      <c r="D461" s="82">
        <f t="shared" si="20"/>
        <v>3000</v>
      </c>
      <c r="F461" s="82" t="str">
        <f ca="1" t="shared" si="22"/>
        <v/>
      </c>
      <c r="G461" s="78" t="str">
        <f ca="1">IF(AND(LEFT("[{"&amp;M461&amp;","&amp;CEILING(N461*10000+(O461-N461)/4*(COUNTIF($F$11:F461,F461)-1)*10000,10)&amp;"}]",7)="[{equip",MID("[{"&amp;M461&amp;","&amp;CEILING(N461*10000+(O461-N461)/4*(COUNTIF($F$11:F461,F461)-1)*10000,10)&amp;"}]",8,1)&lt;&gt;"_"),"[{"&amp;M461&amp;","&amp;1&amp;"}]","[{"&amp;M461&amp;","&amp;CEILING(N461*10000+(O461-N461)/4*(COUNTIF($F$11:F461,F461)-1)*10000,10)&amp;"}]")</f>
        <v>[{equip1_rune_slot,1}]</v>
      </c>
      <c r="H461" s="82" t="s">
        <v>563</v>
      </c>
      <c r="J461" s="78">
        <f ca="1">IF(MOD(COUNTIF($Q$11:Q460,Q460),5)=0,OFFSET(装备属性!$P$1083,1+INT(COUNTA($Q$11:Q460)/5),0),J460)</f>
        <v>1</v>
      </c>
      <c r="K461" s="83" t="str">
        <f ca="1">IF(RIGHT(G461,13)="rune_slot,1}]",_xlfn.XLOOKUP(LEFT(SUBSTITUTE(G461,"[{",""),FIND(",",SUBSTITUTE(G461,"[{",""))-1),Sheet2!B:B,Sheet2!C:C)&amp;"+"&amp;1,_xlfn.XLOOKUP(LEFT(SUBSTITUTE(G461,"[{",""),FIND(",",SUBSTITUTE(G461,"[{",""))-1),Sheet2!B:B,Sheet2!C:C)&amp;"+"&amp;SUBSTITUTE(RIGHT(G461,LEN(G461)-FIND(",",G461)),"}]","")/100&amp;"%")</f>
        <v>衣服符文孔位+1</v>
      </c>
      <c r="L461" s="83" t="str">
        <f ca="1">IF(MOD(COUNTIF($Q$11:Q460,Q460),5)=0,OFFSET(装备属性!$G$1083,1+INT(COUNTA($Q$11:Q460)/5),0),L460)</f>
        <v>扩符槽</v>
      </c>
      <c r="M461" s="89" t="str">
        <f ca="1">IF(MOD(COUNTIF($Q$11:Q460,Q460),5)=0,OFFSET(装备属性!$H$1083,1+INT(COUNTA($Q$11:Q460)/5),0),M460)</f>
        <v>equip1_rune_slot</v>
      </c>
      <c r="N461" s="76">
        <f ca="1">IF(MOD(COUNTIF($Q$11:Q460,Q460),5)=0,OFFSET(装备属性!$K$1083,1+INT(COUNTA($Q$11:Q460)/5),0),N460)</f>
        <v>1</v>
      </c>
      <c r="O461" s="76">
        <f ca="1">IF(MOD(COUNTIF($Q$11:Q460,Q460),5)=0,OFFSET(装备属性!$L$1083,1+INT(COUNTA($Q$11:Q460)/5),0),O460)</f>
        <v>1</v>
      </c>
      <c r="Q461" s="89" t="str">
        <f ca="1">IF(MOD(COUNTIF($Q$11:Q460,Q460),5)=0,OFFSET(装备属性!$M$1083,1+INT(COUNTA($Q$11:Q460)/5),0),Q460)</f>
        <v>稀有词条</v>
      </c>
      <c r="R461" s="83" t="e">
        <f ca="1">IF(MOD(COUNTIF($Q$11:Q460,Q460),5)=0,10000*SUBSTITUTE(SUBSTITUTE(OFFSET(装备属性!$F$1083,1+INT(COUNTA($Q$11:Q460)/5),0),"[",""),"]","")+_xlfn.XLOOKUP(C461,$M$3:$M$7,$N$3:$N$7)*100,R460)</f>
        <v>#N/A</v>
      </c>
    </row>
    <row r="462" customHeight="1" spans="1:18">
      <c r="A462" s="78" t="str">
        <f ca="1" t="shared" si="21"/>
        <v/>
      </c>
      <c r="B462" s="82" t="str">
        <f ca="1">IFERROR(R462+COUNTIFS($R$11:$R462,R462),"")</f>
        <v/>
      </c>
      <c r="C462" s="83">
        <f ca="1">IF(MOD(COUNTIF($Q$11:Q461,Q461),5)=0,OFFSET(装备属性!$D$1083,1+INT(COUNTA($Q$11:Q461)/5),0),C461)</f>
        <v>0</v>
      </c>
      <c r="D462" s="82">
        <f t="shared" si="20"/>
        <v>2500</v>
      </c>
      <c r="F462" s="82" t="str">
        <f ca="1" t="shared" si="22"/>
        <v/>
      </c>
      <c r="G462" s="78" t="str">
        <f ca="1">IF(AND(LEFT("[{"&amp;M462&amp;","&amp;CEILING(N462*10000+(O462-N462)/4*(COUNTIF($F$11:F462,F462)-1)*10000,10)&amp;"}]",7)="[{equip",MID("[{"&amp;M462&amp;","&amp;CEILING(N462*10000+(O462-N462)/4*(COUNTIF($F$11:F462,F462)-1)*10000,10)&amp;"}]",8,1)&lt;&gt;"_"),"[{"&amp;M462&amp;","&amp;1&amp;"}]","[{"&amp;M462&amp;","&amp;CEILING(N462*10000+(O462-N462)/4*(COUNTIF($F$11:F462,F462)-1)*10000,10)&amp;"}]")</f>
        <v>[{equip1_rune_slot,1}]</v>
      </c>
      <c r="H462" s="82" t="s">
        <v>563</v>
      </c>
      <c r="J462" s="78">
        <f ca="1">IF(MOD(COUNTIF($Q$11:Q461,Q461),5)=0,OFFSET(装备属性!$P$1083,1+INT(COUNTA($Q$11:Q461)/5),0),J461)</f>
        <v>1</v>
      </c>
      <c r="K462" s="83" t="str">
        <f ca="1">IF(RIGHT(G462,13)="rune_slot,1}]",_xlfn.XLOOKUP(LEFT(SUBSTITUTE(G462,"[{",""),FIND(",",SUBSTITUTE(G462,"[{",""))-1),Sheet2!B:B,Sheet2!C:C)&amp;"+"&amp;1,_xlfn.XLOOKUP(LEFT(SUBSTITUTE(G462,"[{",""),FIND(",",SUBSTITUTE(G462,"[{",""))-1),Sheet2!B:B,Sheet2!C:C)&amp;"+"&amp;SUBSTITUTE(RIGHT(G462,LEN(G462)-FIND(",",G462)),"}]","")/100&amp;"%")</f>
        <v>衣服符文孔位+1</v>
      </c>
      <c r="L462" s="83" t="str">
        <f ca="1">IF(MOD(COUNTIF($Q$11:Q461,Q461),5)=0,OFFSET(装备属性!$G$1083,1+INT(COUNTA($Q$11:Q461)/5),0),L461)</f>
        <v>扩符槽</v>
      </c>
      <c r="M462" s="89" t="str">
        <f ca="1">IF(MOD(COUNTIF($Q$11:Q461,Q461),5)=0,OFFSET(装备属性!$H$1083,1+INT(COUNTA($Q$11:Q461)/5),0),M461)</f>
        <v>equip1_rune_slot</v>
      </c>
      <c r="N462" s="76">
        <f ca="1">IF(MOD(COUNTIF($Q$11:Q461,Q461),5)=0,OFFSET(装备属性!$K$1083,1+INT(COUNTA($Q$11:Q461)/5),0),N461)</f>
        <v>1</v>
      </c>
      <c r="O462" s="76">
        <f ca="1">IF(MOD(COUNTIF($Q$11:Q461,Q461),5)=0,OFFSET(装备属性!$L$1083,1+INT(COUNTA($Q$11:Q461)/5),0),O461)</f>
        <v>1</v>
      </c>
      <c r="Q462" s="89" t="str">
        <f ca="1">IF(MOD(COUNTIF($Q$11:Q461,Q461),5)=0,OFFSET(装备属性!$M$1083,1+INT(COUNTA($Q$11:Q461)/5),0),Q461)</f>
        <v>稀有词条</v>
      </c>
      <c r="R462" s="83" t="e">
        <f ca="1">IF(MOD(COUNTIF($Q$11:Q461,Q461),5)=0,10000*SUBSTITUTE(SUBSTITUTE(OFFSET(装备属性!$F$1083,1+INT(COUNTA($Q$11:Q461)/5),0),"[",""),"]","")+_xlfn.XLOOKUP(C462,$M$3:$M$7,$N$3:$N$7)*100,R461)</f>
        <v>#N/A</v>
      </c>
    </row>
    <row r="463" customHeight="1" spans="1:18">
      <c r="A463" s="78" t="str">
        <f ca="1" t="shared" si="21"/>
        <v/>
      </c>
      <c r="B463" s="82" t="str">
        <f ca="1">IFERROR(R463+COUNTIFS($R$11:$R463,R463),"")</f>
        <v/>
      </c>
      <c r="C463" s="83">
        <f ca="1">IF(MOD(COUNTIF($Q$11:Q462,Q462),5)=0,OFFSET(装备属性!$D$1083,1+INT(COUNTA($Q$11:Q462)/5),0),C462)</f>
        <v>0</v>
      </c>
      <c r="D463" s="82">
        <f t="shared" si="20"/>
        <v>2000</v>
      </c>
      <c r="F463" s="82" t="str">
        <f ca="1" t="shared" si="22"/>
        <v/>
      </c>
      <c r="G463" s="78" t="str">
        <f ca="1">IF(AND(LEFT("[{"&amp;M463&amp;","&amp;CEILING(N463*10000+(O463-N463)/4*(COUNTIF($F$11:F463,F463)-1)*10000,10)&amp;"}]",7)="[{equip",MID("[{"&amp;M463&amp;","&amp;CEILING(N463*10000+(O463-N463)/4*(COUNTIF($F$11:F463,F463)-1)*10000,10)&amp;"}]",8,1)&lt;&gt;"_"),"[{"&amp;M463&amp;","&amp;1&amp;"}]","[{"&amp;M463&amp;","&amp;CEILING(N463*10000+(O463-N463)/4*(COUNTIF($F$11:F463,F463)-1)*10000,10)&amp;"}]")</f>
        <v>[{equip1_rune_slot,1}]</v>
      </c>
      <c r="H463" s="82" t="s">
        <v>563</v>
      </c>
      <c r="J463" s="78">
        <f ca="1">IF(MOD(COUNTIF($Q$11:Q462,Q462),5)=0,OFFSET(装备属性!$P$1083,1+INT(COUNTA($Q$11:Q462)/5),0),J462)</f>
        <v>1</v>
      </c>
      <c r="K463" s="83" t="str">
        <f ca="1">IF(RIGHT(G463,13)="rune_slot,1}]",_xlfn.XLOOKUP(LEFT(SUBSTITUTE(G463,"[{",""),FIND(",",SUBSTITUTE(G463,"[{",""))-1),Sheet2!B:B,Sheet2!C:C)&amp;"+"&amp;1,_xlfn.XLOOKUP(LEFT(SUBSTITUTE(G463,"[{",""),FIND(",",SUBSTITUTE(G463,"[{",""))-1),Sheet2!B:B,Sheet2!C:C)&amp;"+"&amp;SUBSTITUTE(RIGHT(G463,LEN(G463)-FIND(",",G463)),"}]","")/100&amp;"%")</f>
        <v>衣服符文孔位+1</v>
      </c>
      <c r="L463" s="83" t="str">
        <f ca="1">IF(MOD(COUNTIF($Q$11:Q462,Q462),5)=0,OFFSET(装备属性!$G$1083,1+INT(COUNTA($Q$11:Q462)/5),0),L462)</f>
        <v>扩符槽</v>
      </c>
      <c r="M463" s="89" t="str">
        <f ca="1">IF(MOD(COUNTIF($Q$11:Q462,Q462),5)=0,OFFSET(装备属性!$H$1083,1+INT(COUNTA($Q$11:Q462)/5),0),M462)</f>
        <v>equip1_rune_slot</v>
      </c>
      <c r="N463" s="76">
        <f ca="1">IF(MOD(COUNTIF($Q$11:Q462,Q462),5)=0,OFFSET(装备属性!$K$1083,1+INT(COUNTA($Q$11:Q462)/5),0),N462)</f>
        <v>1</v>
      </c>
      <c r="O463" s="76">
        <f ca="1">IF(MOD(COUNTIF($Q$11:Q462,Q462),5)=0,OFFSET(装备属性!$L$1083,1+INT(COUNTA($Q$11:Q462)/5),0),O462)</f>
        <v>1</v>
      </c>
      <c r="Q463" s="89" t="str">
        <f ca="1">IF(MOD(COUNTIF($Q$11:Q462,Q462),5)=0,OFFSET(装备属性!$M$1083,1+INT(COUNTA($Q$11:Q462)/5),0),Q462)</f>
        <v>稀有词条</v>
      </c>
      <c r="R463" s="83" t="e">
        <f ca="1">IF(MOD(COUNTIF($Q$11:Q462,Q462),5)=0,10000*SUBSTITUTE(SUBSTITUTE(OFFSET(装备属性!$F$1083,1+INT(COUNTA($Q$11:Q462)/5),0),"[",""),"]","")+_xlfn.XLOOKUP(C463,$M$3:$M$7,$N$3:$N$7)*100,R462)</f>
        <v>#N/A</v>
      </c>
    </row>
    <row r="464" customHeight="1" spans="1:18">
      <c r="A464" s="78" t="str">
        <f ca="1" t="shared" si="21"/>
        <v/>
      </c>
      <c r="B464" s="82" t="str">
        <f ca="1">IFERROR(R464+COUNTIFS($R$11:$R464,R464),"")</f>
        <v/>
      </c>
      <c r="C464" s="83">
        <f ca="1">IF(MOD(COUNTIF($Q$11:Q463,Q463),5)=0,OFFSET(装备属性!$D$1083,1+INT(COUNTA($Q$11:Q463)/5),0),C463)</f>
        <v>0</v>
      </c>
      <c r="D464" s="82">
        <f t="shared" si="20"/>
        <v>1500</v>
      </c>
      <c r="F464" s="82" t="str">
        <f ca="1" t="shared" si="22"/>
        <v/>
      </c>
      <c r="G464" s="78" t="str">
        <f ca="1">IF(AND(LEFT("[{"&amp;M464&amp;","&amp;CEILING(N464*10000+(O464-N464)/4*(COUNTIF($F$11:F464,F464)-1)*10000,10)&amp;"}]",7)="[{equip",MID("[{"&amp;M464&amp;","&amp;CEILING(N464*10000+(O464-N464)/4*(COUNTIF($F$11:F464,F464)-1)*10000,10)&amp;"}]",8,1)&lt;&gt;"_"),"[{"&amp;M464&amp;","&amp;1&amp;"}]","[{"&amp;M464&amp;","&amp;CEILING(N464*10000+(O464-N464)/4*(COUNTIF($F$11:F464,F464)-1)*10000,10)&amp;"}]")</f>
        <v>[{equip1_rune_slot,1}]</v>
      </c>
      <c r="H464" s="82" t="s">
        <v>563</v>
      </c>
      <c r="J464" s="78">
        <f ca="1">IF(MOD(COUNTIF($Q$11:Q463,Q463),5)=0,OFFSET(装备属性!$P$1083,1+INT(COUNTA($Q$11:Q463)/5),0),J463)</f>
        <v>1</v>
      </c>
      <c r="K464" s="83" t="str">
        <f ca="1">IF(RIGHT(G464,13)="rune_slot,1}]",_xlfn.XLOOKUP(LEFT(SUBSTITUTE(G464,"[{",""),FIND(",",SUBSTITUTE(G464,"[{",""))-1),Sheet2!B:B,Sheet2!C:C)&amp;"+"&amp;1,_xlfn.XLOOKUP(LEFT(SUBSTITUTE(G464,"[{",""),FIND(",",SUBSTITUTE(G464,"[{",""))-1),Sheet2!B:B,Sheet2!C:C)&amp;"+"&amp;SUBSTITUTE(RIGHT(G464,LEN(G464)-FIND(",",G464)),"}]","")/100&amp;"%")</f>
        <v>衣服符文孔位+1</v>
      </c>
      <c r="L464" s="83" t="str">
        <f ca="1">IF(MOD(COUNTIF($Q$11:Q463,Q463),5)=0,OFFSET(装备属性!$G$1083,1+INT(COUNTA($Q$11:Q463)/5),0),L463)</f>
        <v>扩符槽</v>
      </c>
      <c r="M464" s="89" t="str">
        <f ca="1">IF(MOD(COUNTIF($Q$11:Q463,Q463),5)=0,OFFSET(装备属性!$H$1083,1+INT(COUNTA($Q$11:Q463)/5),0),M463)</f>
        <v>equip1_rune_slot</v>
      </c>
      <c r="N464" s="76">
        <f ca="1">IF(MOD(COUNTIF($Q$11:Q463,Q463),5)=0,OFFSET(装备属性!$K$1083,1+INT(COUNTA($Q$11:Q463)/5),0),N463)</f>
        <v>1</v>
      </c>
      <c r="O464" s="76">
        <f ca="1">IF(MOD(COUNTIF($Q$11:Q463,Q463),5)=0,OFFSET(装备属性!$L$1083,1+INT(COUNTA($Q$11:Q463)/5),0),O463)</f>
        <v>1</v>
      </c>
      <c r="Q464" s="89" t="str">
        <f ca="1">IF(MOD(COUNTIF($Q$11:Q463,Q463),5)=0,OFFSET(装备属性!$M$1083,1+INT(COUNTA($Q$11:Q463)/5),0),Q463)</f>
        <v>稀有词条</v>
      </c>
      <c r="R464" s="83" t="e">
        <f ca="1">IF(MOD(COUNTIF($Q$11:Q463,Q463),5)=0,10000*SUBSTITUTE(SUBSTITUTE(OFFSET(装备属性!$F$1083,1+INT(COUNTA($Q$11:Q463)/5),0),"[",""),"]","")+_xlfn.XLOOKUP(C464,$M$3:$M$7,$N$3:$N$7)*100,R463)</f>
        <v>#N/A</v>
      </c>
    </row>
    <row r="465" customHeight="1" spans="1:18">
      <c r="A465" s="78" t="str">
        <f ca="1" t="shared" si="21"/>
        <v/>
      </c>
      <c r="B465" s="82" t="str">
        <f ca="1">IFERROR(R465+COUNTIFS($R$11:$R465,R465),"")</f>
        <v/>
      </c>
      <c r="C465" s="83">
        <f ca="1">IF(MOD(COUNTIF($Q$11:Q464,Q464),5)=0,OFFSET(装备属性!$D$1083,1+INT(COUNTA($Q$11:Q464)/5),0),C464)</f>
        <v>0</v>
      </c>
      <c r="D465" s="82">
        <f t="shared" ref="D465:D528" si="23">D460</f>
        <v>1000</v>
      </c>
      <c r="F465" s="82" t="str">
        <f ca="1" t="shared" si="22"/>
        <v/>
      </c>
      <c r="G465" s="78" t="str">
        <f ca="1">IF(AND(LEFT("[{"&amp;M465&amp;","&amp;CEILING(N465*10000+(O465-N465)/4*(COUNTIF($F$11:F465,F465)-1)*10000,10)&amp;"}]",7)="[{equip",MID("[{"&amp;M465&amp;","&amp;CEILING(N465*10000+(O465-N465)/4*(COUNTIF($F$11:F465,F465)-1)*10000,10)&amp;"}]",8,1)&lt;&gt;"_"),"[{"&amp;M465&amp;","&amp;1&amp;"}]","[{"&amp;M465&amp;","&amp;CEILING(N465*10000+(O465-N465)/4*(COUNTIF($F$11:F465,F465)-1)*10000,10)&amp;"}]")</f>
        <v>[{equip1_rune_slot,1}]</v>
      </c>
      <c r="H465" s="82" t="s">
        <v>563</v>
      </c>
      <c r="J465" s="78">
        <f ca="1">IF(MOD(COUNTIF($Q$11:Q464,Q464),5)=0,OFFSET(装备属性!$P$1083,1+INT(COUNTA($Q$11:Q464)/5),0),J464)</f>
        <v>1</v>
      </c>
      <c r="K465" s="83" t="str">
        <f ca="1">IF(RIGHT(G465,13)="rune_slot,1}]",_xlfn.XLOOKUP(LEFT(SUBSTITUTE(G465,"[{",""),FIND(",",SUBSTITUTE(G465,"[{",""))-1),Sheet2!B:B,Sheet2!C:C)&amp;"+"&amp;1,_xlfn.XLOOKUP(LEFT(SUBSTITUTE(G465,"[{",""),FIND(",",SUBSTITUTE(G465,"[{",""))-1),Sheet2!B:B,Sheet2!C:C)&amp;"+"&amp;SUBSTITUTE(RIGHT(G465,LEN(G465)-FIND(",",G465)),"}]","")/100&amp;"%")</f>
        <v>衣服符文孔位+1</v>
      </c>
      <c r="L465" s="83" t="str">
        <f ca="1">IF(MOD(COUNTIF($Q$11:Q464,Q464),5)=0,OFFSET(装备属性!$G$1083,1+INT(COUNTA($Q$11:Q464)/5),0),L464)</f>
        <v>扩符槽</v>
      </c>
      <c r="M465" s="89" t="str">
        <f ca="1">IF(MOD(COUNTIF($Q$11:Q464,Q464),5)=0,OFFSET(装备属性!$H$1083,1+INT(COUNTA($Q$11:Q464)/5),0),M464)</f>
        <v>equip1_rune_slot</v>
      </c>
      <c r="N465" s="76">
        <f ca="1">IF(MOD(COUNTIF($Q$11:Q464,Q464),5)=0,OFFSET(装备属性!$K$1083,1+INT(COUNTA($Q$11:Q464)/5),0),N464)</f>
        <v>1</v>
      </c>
      <c r="O465" s="76">
        <f ca="1">IF(MOD(COUNTIF($Q$11:Q464,Q464),5)=0,OFFSET(装备属性!$L$1083,1+INT(COUNTA($Q$11:Q464)/5),0),O464)</f>
        <v>1</v>
      </c>
      <c r="Q465" s="89" t="str">
        <f ca="1">IF(MOD(COUNTIF($Q$11:Q464,Q464),5)=0,OFFSET(装备属性!$M$1083,1+INT(COUNTA($Q$11:Q464)/5),0),Q464)</f>
        <v>稀有词条</v>
      </c>
      <c r="R465" s="83" t="e">
        <f ca="1">IF(MOD(COUNTIF($Q$11:Q464,Q464),5)=0,10000*SUBSTITUTE(SUBSTITUTE(OFFSET(装备属性!$F$1083,1+INT(COUNTA($Q$11:Q464)/5),0),"[",""),"]","")+_xlfn.XLOOKUP(C465,$M$3:$M$7,$N$3:$N$7)*100,R464)</f>
        <v>#N/A</v>
      </c>
    </row>
    <row r="466" customHeight="1" spans="1:18">
      <c r="A466" s="78">
        <f ca="1" t="shared" si="21"/>
        <v>20602</v>
      </c>
      <c r="B466" s="82">
        <f ca="1">IFERROR(R466+COUNTIFS($R$11:$R466,R466),"")</f>
        <v>20611</v>
      </c>
      <c r="C466" s="83" t="str">
        <f ca="1">IF(MOD(COUNTIF($Q$11:Q465,Q465),5)=0,OFFSET(装备属性!$D$1083,1+INT(COUNTA($Q$11:Q465)/5),0),C465)</f>
        <v>红</v>
      </c>
      <c r="D466" s="82">
        <f t="shared" si="23"/>
        <v>3000</v>
      </c>
      <c r="F466" s="82">
        <f ca="1" t="shared" si="22"/>
        <v>20602</v>
      </c>
      <c r="G466" s="78" t="str">
        <f ca="1">IF(AND(LEFT("[{"&amp;M466&amp;","&amp;CEILING(N466*10000+(O466-N466)/4*(COUNTIF($F$11:F466,F466)-1)*10000,10)&amp;"}]",7)="[{equip",MID("[{"&amp;M466&amp;","&amp;CEILING(N466*10000+(O466-N466)/4*(COUNTIF($F$11:F466,F466)-1)*10000,10)&amp;"}]",8,1)&lt;&gt;"_"),"[{"&amp;M466&amp;","&amp;1&amp;"}]","[{"&amp;M466&amp;","&amp;CEILING(N466*10000+(O466-N466)/4*(COUNTIF($F$11:F466,F466)-1)*10000,10)&amp;"}]")</f>
        <v>[{chapter_pve_hit_rate,720}]</v>
      </c>
      <c r="H466" s="82" t="s">
        <v>563</v>
      </c>
      <c r="J466" s="78">
        <f ca="1">IF(MOD(COUNTIF($Q$11:Q465,Q465),5)=0,OFFSET(装备属性!$P$1083,1+INT(COUNTA($Q$11:Q465)/5),0),J465)</f>
        <v>6</v>
      </c>
      <c r="K466" s="83" t="str">
        <f ca="1">IF(RIGHT(G466,13)="rune_slot,1}]",_xlfn.XLOOKUP(LEFT(SUBSTITUTE(G466,"[{",""),FIND(",",SUBSTITUTE(G466,"[{",""))-1),Sheet2!B:B,Sheet2!C:C)&amp;"+"&amp;1,_xlfn.XLOOKUP(LEFT(SUBSTITUTE(G466,"[{",""),FIND(",",SUBSTITUTE(G466,"[{",""))-1),Sheet2!B:B,Sheet2!C:C)&amp;"+"&amp;SUBSTITUTE(RIGHT(G466,LEN(G466)-FIND(",",G466)),"}]","")/100&amp;"%")</f>
        <v>主线挑战增伤+7.2%</v>
      </c>
      <c r="L466" s="83" t="str">
        <f ca="1">IF(MOD(COUNTIF($Q$11:Q465,Q465),5)=0,OFFSET(装备属性!$G$1083,1+INT(COUNTA($Q$11:Q465)/5),0),L465)</f>
        <v>主线清场Ⅲ</v>
      </c>
      <c r="M466" s="89" t="str">
        <f ca="1">IF(MOD(COUNTIF($Q$11:Q465,Q465),5)=0,OFFSET(装备属性!$H$1083,1+INT(COUNTA($Q$11:Q465)/5),0),M465)</f>
        <v>chapter_pve_hit_rate</v>
      </c>
      <c r="N466" s="76">
        <f ca="1">IF(MOD(COUNTIF($Q$11:Q465,Q465),5)=0,OFFSET(装备属性!$K$1083,1+INT(COUNTA($Q$11:Q465)/5),0),N465)</f>
        <v>0.072</v>
      </c>
      <c r="O466" s="76">
        <f ca="1">IF(MOD(COUNTIF($Q$11:Q465,Q465),5)=0,OFFSET(装备属性!$L$1083,1+INT(COUNTA($Q$11:Q465)/5),0),O465)</f>
        <v>0.086</v>
      </c>
      <c r="Q466" s="89" t="str">
        <f ca="1">IF(MOD(COUNTIF($Q$11:Q465,Q465),5)=0,OFFSET(装备属性!$M$1083,1+INT(COUNTA($Q$11:Q465)/5),0),Q465)</f>
        <v>玩法类</v>
      </c>
      <c r="R466" s="83">
        <f ca="1">IF(MOD(COUNTIF($Q$11:Q465,Q465),5)=0,10000*SUBSTITUTE(SUBSTITUTE(OFFSET(装备属性!$F$1083,1+INT(COUNTA($Q$11:Q465)/5),0),"[",""),"]","")+_xlfn.XLOOKUP(C466,$M$3:$M$7,$N$3:$N$7)*100,R465)</f>
        <v>20600</v>
      </c>
    </row>
    <row r="467" customHeight="1" spans="1:18">
      <c r="A467" s="78">
        <f ca="1" t="shared" si="21"/>
        <v>20602</v>
      </c>
      <c r="B467" s="82">
        <f ca="1">IFERROR(R467+COUNTIFS($R$11:$R467,R467),"")</f>
        <v>20612</v>
      </c>
      <c r="C467" s="83" t="str">
        <f ca="1">IF(MOD(COUNTIF($Q$11:Q466,Q466),5)=0,OFFSET(装备属性!$D$1083,1+INT(COUNTA($Q$11:Q466)/5),0),C466)</f>
        <v>红</v>
      </c>
      <c r="D467" s="82">
        <f t="shared" si="23"/>
        <v>2500</v>
      </c>
      <c r="F467" s="82">
        <f ca="1" t="shared" si="22"/>
        <v>20602</v>
      </c>
      <c r="G467" s="78" t="str">
        <f ca="1">IF(AND(LEFT("[{"&amp;M467&amp;","&amp;CEILING(N467*10000+(O467-N467)/4*(COUNTIF($F$11:F467,F467)-1)*10000,10)&amp;"}]",7)="[{equip",MID("[{"&amp;M467&amp;","&amp;CEILING(N467*10000+(O467-N467)/4*(COUNTIF($F$11:F467,F467)-1)*10000,10)&amp;"}]",8,1)&lt;&gt;"_"),"[{"&amp;M467&amp;","&amp;1&amp;"}]","[{"&amp;M467&amp;","&amp;CEILING(N467*10000+(O467-N467)/4*(COUNTIF($F$11:F467,F467)-1)*10000,10)&amp;"}]")</f>
        <v>[{chapter_pve_hit_rate,760}]</v>
      </c>
      <c r="H467" s="82" t="s">
        <v>563</v>
      </c>
      <c r="J467" s="78">
        <f ca="1">IF(MOD(COUNTIF($Q$11:Q466,Q466),5)=0,OFFSET(装备属性!$P$1083,1+INT(COUNTA($Q$11:Q466)/5),0),J466)</f>
        <v>6</v>
      </c>
      <c r="K467" s="83" t="str">
        <f ca="1">IF(RIGHT(G467,13)="rune_slot,1}]",_xlfn.XLOOKUP(LEFT(SUBSTITUTE(G467,"[{",""),FIND(",",SUBSTITUTE(G467,"[{",""))-1),Sheet2!B:B,Sheet2!C:C)&amp;"+"&amp;1,_xlfn.XLOOKUP(LEFT(SUBSTITUTE(G467,"[{",""),FIND(",",SUBSTITUTE(G467,"[{",""))-1),Sheet2!B:B,Sheet2!C:C)&amp;"+"&amp;SUBSTITUTE(RIGHT(G467,LEN(G467)-FIND(",",G467)),"}]","")/100&amp;"%")</f>
        <v>主线挑战增伤+7.6%</v>
      </c>
      <c r="L467" s="83" t="str">
        <f ca="1">IF(MOD(COUNTIF($Q$11:Q466,Q466),5)=0,OFFSET(装备属性!$G$1083,1+INT(COUNTA($Q$11:Q466)/5),0),L466)</f>
        <v>主线清场Ⅲ</v>
      </c>
      <c r="M467" s="89" t="str">
        <f ca="1">IF(MOD(COUNTIF($Q$11:Q466,Q466),5)=0,OFFSET(装备属性!$H$1083,1+INT(COUNTA($Q$11:Q466)/5),0),M466)</f>
        <v>chapter_pve_hit_rate</v>
      </c>
      <c r="N467" s="76">
        <f ca="1">IF(MOD(COUNTIF($Q$11:Q466,Q466),5)=0,OFFSET(装备属性!$K$1083,1+INT(COUNTA($Q$11:Q466)/5),0),N466)</f>
        <v>0.072</v>
      </c>
      <c r="O467" s="76">
        <f ca="1">IF(MOD(COUNTIF($Q$11:Q466,Q466),5)=0,OFFSET(装备属性!$L$1083,1+INT(COUNTA($Q$11:Q466)/5),0),O466)</f>
        <v>0.086</v>
      </c>
      <c r="Q467" s="89" t="str">
        <f ca="1">IF(MOD(COUNTIF($Q$11:Q466,Q466),5)=0,OFFSET(装备属性!$M$1083,1+INT(COUNTA($Q$11:Q466)/5),0),Q466)</f>
        <v>玩法类</v>
      </c>
      <c r="R467" s="83">
        <f ca="1">IF(MOD(COUNTIF($Q$11:Q466,Q466),5)=0,10000*SUBSTITUTE(SUBSTITUTE(OFFSET(装备属性!$F$1083,1+INT(COUNTA($Q$11:Q466)/5),0),"[",""),"]","")+_xlfn.XLOOKUP(C467,$M$3:$M$7,$N$3:$N$7)*100,R466)</f>
        <v>20600</v>
      </c>
    </row>
    <row r="468" customHeight="1" spans="1:18">
      <c r="A468" s="78">
        <f ca="1" t="shared" si="21"/>
        <v>20602</v>
      </c>
      <c r="B468" s="82">
        <f ca="1">IFERROR(R468+COUNTIFS($R$11:$R468,R468),"")</f>
        <v>20613</v>
      </c>
      <c r="C468" s="83" t="str">
        <f ca="1">IF(MOD(COUNTIF($Q$11:Q467,Q467),5)=0,OFFSET(装备属性!$D$1083,1+INT(COUNTA($Q$11:Q467)/5),0),C467)</f>
        <v>红</v>
      </c>
      <c r="D468" s="82">
        <f t="shared" si="23"/>
        <v>2000</v>
      </c>
      <c r="F468" s="82">
        <f ca="1" t="shared" si="22"/>
        <v>20602</v>
      </c>
      <c r="G468" s="78" t="str">
        <f ca="1">IF(AND(LEFT("[{"&amp;M468&amp;","&amp;CEILING(N468*10000+(O468-N468)/4*(COUNTIF($F$11:F468,F468)-1)*10000,10)&amp;"}]",7)="[{equip",MID("[{"&amp;M468&amp;","&amp;CEILING(N468*10000+(O468-N468)/4*(COUNTIF($F$11:F468,F468)-1)*10000,10)&amp;"}]",8,1)&lt;&gt;"_"),"[{"&amp;M468&amp;","&amp;1&amp;"}]","[{"&amp;M468&amp;","&amp;CEILING(N468*10000+(O468-N468)/4*(COUNTIF($F$11:F468,F468)-1)*10000,10)&amp;"}]")</f>
        <v>[{chapter_pve_hit_rate,790}]</v>
      </c>
      <c r="H468" s="82" t="s">
        <v>563</v>
      </c>
      <c r="J468" s="78">
        <f ca="1">IF(MOD(COUNTIF($Q$11:Q467,Q467),5)=0,OFFSET(装备属性!$P$1083,1+INT(COUNTA($Q$11:Q467)/5),0),J467)</f>
        <v>6</v>
      </c>
      <c r="K468" s="83" t="str">
        <f ca="1">IF(RIGHT(G468,13)="rune_slot,1}]",_xlfn.XLOOKUP(LEFT(SUBSTITUTE(G468,"[{",""),FIND(",",SUBSTITUTE(G468,"[{",""))-1),Sheet2!B:B,Sheet2!C:C)&amp;"+"&amp;1,_xlfn.XLOOKUP(LEFT(SUBSTITUTE(G468,"[{",""),FIND(",",SUBSTITUTE(G468,"[{",""))-1),Sheet2!B:B,Sheet2!C:C)&amp;"+"&amp;SUBSTITUTE(RIGHT(G468,LEN(G468)-FIND(",",G468)),"}]","")/100&amp;"%")</f>
        <v>主线挑战增伤+7.9%</v>
      </c>
      <c r="L468" s="83" t="str">
        <f ca="1">IF(MOD(COUNTIF($Q$11:Q467,Q467),5)=0,OFFSET(装备属性!$G$1083,1+INT(COUNTA($Q$11:Q467)/5),0),L467)</f>
        <v>主线清场Ⅲ</v>
      </c>
      <c r="M468" s="89" t="str">
        <f ca="1">IF(MOD(COUNTIF($Q$11:Q467,Q467),5)=0,OFFSET(装备属性!$H$1083,1+INT(COUNTA($Q$11:Q467)/5),0),M467)</f>
        <v>chapter_pve_hit_rate</v>
      </c>
      <c r="N468" s="76">
        <f ca="1">IF(MOD(COUNTIF($Q$11:Q467,Q467),5)=0,OFFSET(装备属性!$K$1083,1+INT(COUNTA($Q$11:Q467)/5),0),N467)</f>
        <v>0.072</v>
      </c>
      <c r="O468" s="76">
        <f ca="1">IF(MOD(COUNTIF($Q$11:Q467,Q467),5)=0,OFFSET(装备属性!$L$1083,1+INT(COUNTA($Q$11:Q467)/5),0),O467)</f>
        <v>0.086</v>
      </c>
      <c r="Q468" s="89" t="str">
        <f ca="1">IF(MOD(COUNTIF($Q$11:Q467,Q467),5)=0,OFFSET(装备属性!$M$1083,1+INT(COUNTA($Q$11:Q467)/5),0),Q467)</f>
        <v>玩法类</v>
      </c>
      <c r="R468" s="83">
        <f ca="1">IF(MOD(COUNTIF($Q$11:Q467,Q467),5)=0,10000*SUBSTITUTE(SUBSTITUTE(OFFSET(装备属性!$F$1083,1+INT(COUNTA($Q$11:Q467)/5),0),"[",""),"]","")+_xlfn.XLOOKUP(C468,$M$3:$M$7,$N$3:$N$7)*100,R467)</f>
        <v>20600</v>
      </c>
    </row>
    <row r="469" customHeight="1" spans="1:18">
      <c r="A469" s="78">
        <f ca="1" t="shared" si="21"/>
        <v>20602</v>
      </c>
      <c r="B469" s="82">
        <f ca="1">IFERROR(R469+COUNTIFS($R$11:$R469,R469),"")</f>
        <v>20614</v>
      </c>
      <c r="C469" s="83" t="str">
        <f ca="1">IF(MOD(COUNTIF($Q$11:Q468,Q468),5)=0,OFFSET(装备属性!$D$1083,1+INT(COUNTA($Q$11:Q468)/5),0),C468)</f>
        <v>红</v>
      </c>
      <c r="D469" s="82">
        <f t="shared" si="23"/>
        <v>1500</v>
      </c>
      <c r="F469" s="82">
        <f ca="1" t="shared" si="22"/>
        <v>20602</v>
      </c>
      <c r="G469" s="78" t="str">
        <f ca="1">IF(AND(LEFT("[{"&amp;M469&amp;","&amp;CEILING(N469*10000+(O469-N469)/4*(COUNTIF($F$11:F469,F469)-1)*10000,10)&amp;"}]",7)="[{equip",MID("[{"&amp;M469&amp;","&amp;CEILING(N469*10000+(O469-N469)/4*(COUNTIF($F$11:F469,F469)-1)*10000,10)&amp;"}]",8,1)&lt;&gt;"_"),"[{"&amp;M469&amp;","&amp;1&amp;"}]","[{"&amp;M469&amp;","&amp;CEILING(N469*10000+(O469-N469)/4*(COUNTIF($F$11:F469,F469)-1)*10000,10)&amp;"}]")</f>
        <v>[{chapter_pve_hit_rate,830}]</v>
      </c>
      <c r="H469" s="82" t="s">
        <v>563</v>
      </c>
      <c r="J469" s="78">
        <f ca="1">IF(MOD(COUNTIF($Q$11:Q468,Q468),5)=0,OFFSET(装备属性!$P$1083,1+INT(COUNTA($Q$11:Q468)/5),0),J468)</f>
        <v>6</v>
      </c>
      <c r="K469" s="83" t="str">
        <f ca="1">IF(RIGHT(G469,13)="rune_slot,1}]",_xlfn.XLOOKUP(LEFT(SUBSTITUTE(G469,"[{",""),FIND(",",SUBSTITUTE(G469,"[{",""))-1),Sheet2!B:B,Sheet2!C:C)&amp;"+"&amp;1,_xlfn.XLOOKUP(LEFT(SUBSTITUTE(G469,"[{",""),FIND(",",SUBSTITUTE(G469,"[{",""))-1),Sheet2!B:B,Sheet2!C:C)&amp;"+"&amp;SUBSTITUTE(RIGHT(G469,LEN(G469)-FIND(",",G469)),"}]","")/100&amp;"%")</f>
        <v>主线挑战增伤+8.3%</v>
      </c>
      <c r="L469" s="83" t="str">
        <f ca="1">IF(MOD(COUNTIF($Q$11:Q468,Q468),5)=0,OFFSET(装备属性!$G$1083,1+INT(COUNTA($Q$11:Q468)/5),0),L468)</f>
        <v>主线清场Ⅲ</v>
      </c>
      <c r="M469" s="89" t="str">
        <f ca="1">IF(MOD(COUNTIF($Q$11:Q468,Q468),5)=0,OFFSET(装备属性!$H$1083,1+INT(COUNTA($Q$11:Q468)/5),0),M468)</f>
        <v>chapter_pve_hit_rate</v>
      </c>
      <c r="N469" s="76">
        <f ca="1">IF(MOD(COUNTIF($Q$11:Q468,Q468),5)=0,OFFSET(装备属性!$K$1083,1+INT(COUNTA($Q$11:Q468)/5),0),N468)</f>
        <v>0.072</v>
      </c>
      <c r="O469" s="76">
        <f ca="1">IF(MOD(COUNTIF($Q$11:Q468,Q468),5)=0,OFFSET(装备属性!$L$1083,1+INT(COUNTA($Q$11:Q468)/5),0),O468)</f>
        <v>0.086</v>
      </c>
      <c r="Q469" s="89" t="str">
        <f ca="1">IF(MOD(COUNTIF($Q$11:Q468,Q468),5)=0,OFFSET(装备属性!$M$1083,1+INT(COUNTA($Q$11:Q468)/5),0),Q468)</f>
        <v>玩法类</v>
      </c>
      <c r="R469" s="83">
        <f ca="1">IF(MOD(COUNTIF($Q$11:Q468,Q468),5)=0,10000*SUBSTITUTE(SUBSTITUTE(OFFSET(装备属性!$F$1083,1+INT(COUNTA($Q$11:Q468)/5),0),"[",""),"]","")+_xlfn.XLOOKUP(C469,$M$3:$M$7,$N$3:$N$7)*100,R468)</f>
        <v>20600</v>
      </c>
    </row>
    <row r="470" customHeight="1" spans="1:18">
      <c r="A470" s="78">
        <f ca="1" t="shared" si="21"/>
        <v>20602</v>
      </c>
      <c r="B470" s="82">
        <f ca="1">IFERROR(R470+COUNTIFS($R$11:$R470,R470),"")</f>
        <v>20615</v>
      </c>
      <c r="C470" s="83" t="str">
        <f ca="1">IF(MOD(COUNTIF($Q$11:Q469,Q469),5)=0,OFFSET(装备属性!$D$1083,1+INT(COUNTA($Q$11:Q469)/5),0),C469)</f>
        <v>红</v>
      </c>
      <c r="D470" s="82">
        <f t="shared" si="23"/>
        <v>1000</v>
      </c>
      <c r="F470" s="82">
        <f ca="1" t="shared" si="22"/>
        <v>20602</v>
      </c>
      <c r="G470" s="78" t="str">
        <f ca="1">IF(AND(LEFT("[{"&amp;M470&amp;","&amp;CEILING(N470*10000+(O470-N470)/4*(COUNTIF($F$11:F470,F470)-1)*10000,10)&amp;"}]",7)="[{equip",MID("[{"&amp;M470&amp;","&amp;CEILING(N470*10000+(O470-N470)/4*(COUNTIF($F$11:F470,F470)-1)*10000,10)&amp;"}]",8,1)&lt;&gt;"_"),"[{"&amp;M470&amp;","&amp;1&amp;"}]","[{"&amp;M470&amp;","&amp;CEILING(N470*10000+(O470-N470)/4*(COUNTIF($F$11:F470,F470)-1)*10000,10)&amp;"}]")</f>
        <v>[{chapter_pve_hit_rate,860}]</v>
      </c>
      <c r="H470" s="82" t="s">
        <v>563</v>
      </c>
      <c r="J470" s="78">
        <f ca="1">IF(MOD(COUNTIF($Q$11:Q469,Q469),5)=0,OFFSET(装备属性!$P$1083,1+INT(COUNTA($Q$11:Q469)/5),0),J469)</f>
        <v>6</v>
      </c>
      <c r="K470" s="83" t="str">
        <f ca="1">IF(RIGHT(G470,13)="rune_slot,1}]",_xlfn.XLOOKUP(LEFT(SUBSTITUTE(G470,"[{",""),FIND(",",SUBSTITUTE(G470,"[{",""))-1),Sheet2!B:B,Sheet2!C:C)&amp;"+"&amp;1,_xlfn.XLOOKUP(LEFT(SUBSTITUTE(G470,"[{",""),FIND(",",SUBSTITUTE(G470,"[{",""))-1),Sheet2!B:B,Sheet2!C:C)&amp;"+"&amp;SUBSTITUTE(RIGHT(G470,LEN(G470)-FIND(",",G470)),"}]","")/100&amp;"%")</f>
        <v>主线挑战增伤+8.6%</v>
      </c>
      <c r="L470" s="83" t="str">
        <f ca="1">IF(MOD(COUNTIF($Q$11:Q469,Q469),5)=0,OFFSET(装备属性!$G$1083,1+INT(COUNTA($Q$11:Q469)/5),0),L469)</f>
        <v>主线清场Ⅲ</v>
      </c>
      <c r="M470" s="89" t="str">
        <f ca="1">IF(MOD(COUNTIF($Q$11:Q469,Q469),5)=0,OFFSET(装备属性!$H$1083,1+INT(COUNTA($Q$11:Q469)/5),0),M469)</f>
        <v>chapter_pve_hit_rate</v>
      </c>
      <c r="N470" s="76">
        <f ca="1">IF(MOD(COUNTIF($Q$11:Q469,Q469),5)=0,OFFSET(装备属性!$K$1083,1+INT(COUNTA($Q$11:Q469)/5),0),N469)</f>
        <v>0.072</v>
      </c>
      <c r="O470" s="76">
        <f ca="1">IF(MOD(COUNTIF($Q$11:Q469,Q469),5)=0,OFFSET(装备属性!$L$1083,1+INT(COUNTA($Q$11:Q469)/5),0),O469)</f>
        <v>0.086</v>
      </c>
      <c r="Q470" s="89" t="str">
        <f ca="1">IF(MOD(COUNTIF($Q$11:Q469,Q469),5)=0,OFFSET(装备属性!$M$1083,1+INT(COUNTA($Q$11:Q469)/5),0),Q469)</f>
        <v>玩法类</v>
      </c>
      <c r="R470" s="83">
        <f ca="1">IF(MOD(COUNTIF($Q$11:Q469,Q469),5)=0,10000*SUBSTITUTE(SUBSTITUTE(OFFSET(装备属性!$F$1083,1+INT(COUNTA($Q$11:Q469)/5),0),"[",""),"]","")+_xlfn.XLOOKUP(C470,$M$3:$M$7,$N$3:$N$7)*100,R469)</f>
        <v>20600</v>
      </c>
    </row>
    <row r="471" customHeight="1" spans="1:18">
      <c r="A471" s="78">
        <f ca="1" t="shared" si="21"/>
        <v>20601</v>
      </c>
      <c r="B471" s="82">
        <f ca="1">IFERROR(R471+COUNTIFS($R$11:$R471,R471),"")</f>
        <v>20616</v>
      </c>
      <c r="C471" s="83" t="str">
        <f ca="1">IF(MOD(COUNTIF($Q$11:Q470,Q470),5)=0,OFFSET(装备属性!$D$1083,1+INT(COUNTA($Q$11:Q470)/5),0),C470)</f>
        <v>红</v>
      </c>
      <c r="D471" s="82">
        <f t="shared" si="23"/>
        <v>3000</v>
      </c>
      <c r="F471" s="82">
        <f ca="1" t="shared" si="22"/>
        <v>20603</v>
      </c>
      <c r="G471" s="78" t="str">
        <f ca="1">IF(AND(LEFT("[{"&amp;M471&amp;","&amp;CEILING(N471*10000+(O471-N471)/4*(COUNTIF($F$11:F471,F471)-1)*10000,10)&amp;"}]",7)="[{equip",MID("[{"&amp;M471&amp;","&amp;CEILING(N471*10000+(O471-N471)/4*(COUNTIF($F$11:F471,F471)-1)*10000,10)&amp;"}]",8,1)&lt;&gt;"_"),"[{"&amp;M471&amp;","&amp;1&amp;"}]","[{"&amp;M471&amp;","&amp;CEILING(N471*10000+(O471-N471)/4*(COUNTIF($F$11:F471,F471)-1)*10000,10)&amp;"}]")</f>
        <v>[{mage_dmg_red_rate,250}]</v>
      </c>
      <c r="H471" s="82" t="s">
        <v>563</v>
      </c>
      <c r="J471" s="78">
        <f ca="1">IF(MOD(COUNTIF($Q$11:Q470,Q470),5)=0,OFFSET(装备属性!$P$1083,1+INT(COUNTA($Q$11:Q470)/5),0),J470)</f>
        <v>5</v>
      </c>
      <c r="K471" s="83" t="str">
        <f ca="1">IF(RIGHT(G471,13)="rune_slot,1}]",_xlfn.XLOOKUP(LEFT(SUBSTITUTE(G471,"[{",""),FIND(",",SUBSTITUTE(G471,"[{",""))-1),Sheet2!B:B,Sheet2!C:C)&amp;"+"&amp;1,_xlfn.XLOOKUP(LEFT(SUBSTITUTE(G471,"[{",""),FIND(",",SUBSTITUTE(G471,"[{",""))-1),Sheet2!B:B,Sheet2!C:C)&amp;"+"&amp;SUBSTITUTE(RIGHT(G471,LEN(G471)-FIND(",",G471)),"}]","")/100&amp;"%")</f>
        <v>法师伤害减免+2.5%</v>
      </c>
      <c r="L471" s="83" t="str">
        <f ca="1">IF(MOD(COUNTIF($Q$11:Q470,Q470),5)=0,OFFSET(装备属性!$G$1083,1+INT(COUNTA($Q$11:Q470)/5),0),L470)</f>
        <v>施法防抗Ⅲ</v>
      </c>
      <c r="M471" s="89" t="str">
        <f ca="1">IF(MOD(COUNTIF($Q$11:Q470,Q470),5)=0,OFFSET(装备属性!$H$1083,1+INT(COUNTA($Q$11:Q470)/5),0),M470)</f>
        <v>mage_dmg_red_rate</v>
      </c>
      <c r="N471" s="76">
        <f ca="1">IF(MOD(COUNTIF($Q$11:Q470,Q470),5)=0,OFFSET(装备属性!$K$1083,1+INT(COUNTA($Q$11:Q470)/5),0),N470)</f>
        <v>0.025</v>
      </c>
      <c r="O471" s="76">
        <f ca="1">IF(MOD(COUNTIF($Q$11:Q470,Q470),5)=0,OFFSET(装备属性!$L$1083,1+INT(COUNTA($Q$11:Q470)/5),0),O470)</f>
        <v>0.029</v>
      </c>
      <c r="Q471" s="89" t="str">
        <f ca="1">IF(MOD(COUNTIF($Q$11:Q470,Q470),5)=0,OFFSET(装备属性!$M$1083,1+INT(COUNTA($Q$11:Q470)/5),0),Q470)</f>
        <v>通用属性</v>
      </c>
      <c r="R471" s="83">
        <f ca="1">IF(MOD(COUNTIF($Q$11:Q470,Q470),5)=0,10000*SUBSTITUTE(SUBSTITUTE(OFFSET(装备属性!$F$1083,1+INT(COUNTA($Q$11:Q470)/5),0),"[",""),"]","")+_xlfn.XLOOKUP(C471,$M$3:$M$7,$N$3:$N$7)*100,R470)</f>
        <v>20600</v>
      </c>
    </row>
    <row r="472" customHeight="1" spans="1:18">
      <c r="A472" s="78">
        <f ca="1" t="shared" si="21"/>
        <v>20601</v>
      </c>
      <c r="B472" s="82">
        <f ca="1">IFERROR(R472+COUNTIFS($R$11:$R472,R472),"")</f>
        <v>20617</v>
      </c>
      <c r="C472" s="83" t="str">
        <f ca="1">IF(MOD(COUNTIF($Q$11:Q471,Q471),5)=0,OFFSET(装备属性!$D$1083,1+INT(COUNTA($Q$11:Q471)/5),0),C471)</f>
        <v>红</v>
      </c>
      <c r="D472" s="82">
        <f t="shared" si="23"/>
        <v>2500</v>
      </c>
      <c r="F472" s="82">
        <f ca="1" t="shared" si="22"/>
        <v>20603</v>
      </c>
      <c r="G472" s="78" t="str">
        <f ca="1">IF(AND(LEFT("[{"&amp;M472&amp;","&amp;CEILING(N472*10000+(O472-N472)/4*(COUNTIF($F$11:F472,F472)-1)*10000,10)&amp;"}]",7)="[{equip",MID("[{"&amp;M472&amp;","&amp;CEILING(N472*10000+(O472-N472)/4*(COUNTIF($F$11:F472,F472)-1)*10000,10)&amp;"}]",8,1)&lt;&gt;"_"),"[{"&amp;M472&amp;","&amp;1&amp;"}]","[{"&amp;M472&amp;","&amp;CEILING(N472*10000+(O472-N472)/4*(COUNTIF($F$11:F472,F472)-1)*10000,10)&amp;"}]")</f>
        <v>[{mage_dmg_red_rate,260}]</v>
      </c>
      <c r="H472" s="82" t="s">
        <v>563</v>
      </c>
      <c r="J472" s="78">
        <f ca="1">IF(MOD(COUNTIF($Q$11:Q471,Q471),5)=0,OFFSET(装备属性!$P$1083,1+INT(COUNTA($Q$11:Q471)/5),0),J471)</f>
        <v>5</v>
      </c>
      <c r="K472" s="83" t="str">
        <f ca="1">IF(RIGHT(G472,13)="rune_slot,1}]",_xlfn.XLOOKUP(LEFT(SUBSTITUTE(G472,"[{",""),FIND(",",SUBSTITUTE(G472,"[{",""))-1),Sheet2!B:B,Sheet2!C:C)&amp;"+"&amp;1,_xlfn.XLOOKUP(LEFT(SUBSTITUTE(G472,"[{",""),FIND(",",SUBSTITUTE(G472,"[{",""))-1),Sheet2!B:B,Sheet2!C:C)&amp;"+"&amp;SUBSTITUTE(RIGHT(G472,LEN(G472)-FIND(",",G472)),"}]","")/100&amp;"%")</f>
        <v>法师伤害减免+2.6%</v>
      </c>
      <c r="L472" s="83" t="str">
        <f ca="1">IF(MOD(COUNTIF($Q$11:Q471,Q471),5)=0,OFFSET(装备属性!$G$1083,1+INT(COUNTA($Q$11:Q471)/5),0),L471)</f>
        <v>施法防抗Ⅲ</v>
      </c>
      <c r="M472" s="89" t="str">
        <f ca="1">IF(MOD(COUNTIF($Q$11:Q471,Q471),5)=0,OFFSET(装备属性!$H$1083,1+INT(COUNTA($Q$11:Q471)/5),0),M471)</f>
        <v>mage_dmg_red_rate</v>
      </c>
      <c r="N472" s="76">
        <f ca="1">IF(MOD(COUNTIF($Q$11:Q471,Q471),5)=0,OFFSET(装备属性!$K$1083,1+INT(COUNTA($Q$11:Q471)/5),0),N471)</f>
        <v>0.025</v>
      </c>
      <c r="O472" s="76">
        <f ca="1">IF(MOD(COUNTIF($Q$11:Q471,Q471),5)=0,OFFSET(装备属性!$L$1083,1+INT(COUNTA($Q$11:Q471)/5),0),O471)</f>
        <v>0.029</v>
      </c>
      <c r="Q472" s="89" t="str">
        <f ca="1">IF(MOD(COUNTIF($Q$11:Q471,Q471),5)=0,OFFSET(装备属性!$M$1083,1+INT(COUNTA($Q$11:Q471)/5),0),Q471)</f>
        <v>通用属性</v>
      </c>
      <c r="R472" s="83">
        <f ca="1">IF(MOD(COUNTIF($Q$11:Q471,Q471),5)=0,10000*SUBSTITUTE(SUBSTITUTE(OFFSET(装备属性!$F$1083,1+INT(COUNTA($Q$11:Q471)/5),0),"[",""),"]","")+_xlfn.XLOOKUP(C472,$M$3:$M$7,$N$3:$N$7)*100,R471)</f>
        <v>20600</v>
      </c>
    </row>
    <row r="473" customHeight="1" spans="1:18">
      <c r="A473" s="78">
        <f ca="1" t="shared" si="21"/>
        <v>20601</v>
      </c>
      <c r="B473" s="82">
        <f ca="1">IFERROR(R473+COUNTIFS($R$11:$R473,R473),"")</f>
        <v>20618</v>
      </c>
      <c r="C473" s="83" t="str">
        <f ca="1">IF(MOD(COUNTIF($Q$11:Q472,Q472),5)=0,OFFSET(装备属性!$D$1083,1+INT(COUNTA($Q$11:Q472)/5),0),C472)</f>
        <v>红</v>
      </c>
      <c r="D473" s="82">
        <f t="shared" si="23"/>
        <v>2000</v>
      </c>
      <c r="F473" s="82">
        <f ca="1" t="shared" si="22"/>
        <v>20603</v>
      </c>
      <c r="G473" s="78" t="str">
        <f ca="1">IF(AND(LEFT("[{"&amp;M473&amp;","&amp;CEILING(N473*10000+(O473-N473)/4*(COUNTIF($F$11:F473,F473)-1)*10000,10)&amp;"}]",7)="[{equip",MID("[{"&amp;M473&amp;","&amp;CEILING(N473*10000+(O473-N473)/4*(COUNTIF($F$11:F473,F473)-1)*10000,10)&amp;"}]",8,1)&lt;&gt;"_"),"[{"&amp;M473&amp;","&amp;1&amp;"}]","[{"&amp;M473&amp;","&amp;CEILING(N473*10000+(O473-N473)/4*(COUNTIF($F$11:F473,F473)-1)*10000,10)&amp;"}]")</f>
        <v>[{mage_dmg_red_rate,270}]</v>
      </c>
      <c r="H473" s="82" t="s">
        <v>563</v>
      </c>
      <c r="J473" s="78">
        <f ca="1">IF(MOD(COUNTIF($Q$11:Q472,Q472),5)=0,OFFSET(装备属性!$P$1083,1+INT(COUNTA($Q$11:Q472)/5),0),J472)</f>
        <v>5</v>
      </c>
      <c r="K473" s="83" t="str">
        <f ca="1">IF(RIGHT(G473,13)="rune_slot,1}]",_xlfn.XLOOKUP(LEFT(SUBSTITUTE(G473,"[{",""),FIND(",",SUBSTITUTE(G473,"[{",""))-1),Sheet2!B:B,Sheet2!C:C)&amp;"+"&amp;1,_xlfn.XLOOKUP(LEFT(SUBSTITUTE(G473,"[{",""),FIND(",",SUBSTITUTE(G473,"[{",""))-1),Sheet2!B:B,Sheet2!C:C)&amp;"+"&amp;SUBSTITUTE(RIGHT(G473,LEN(G473)-FIND(",",G473)),"}]","")/100&amp;"%")</f>
        <v>法师伤害减免+2.7%</v>
      </c>
      <c r="L473" s="83" t="str">
        <f ca="1">IF(MOD(COUNTIF($Q$11:Q472,Q472),5)=0,OFFSET(装备属性!$G$1083,1+INT(COUNTA($Q$11:Q472)/5),0),L472)</f>
        <v>施法防抗Ⅲ</v>
      </c>
      <c r="M473" s="89" t="str">
        <f ca="1">IF(MOD(COUNTIF($Q$11:Q472,Q472),5)=0,OFFSET(装备属性!$H$1083,1+INT(COUNTA($Q$11:Q472)/5),0),M472)</f>
        <v>mage_dmg_red_rate</v>
      </c>
      <c r="N473" s="76">
        <f ca="1">IF(MOD(COUNTIF($Q$11:Q472,Q472),5)=0,OFFSET(装备属性!$K$1083,1+INT(COUNTA($Q$11:Q472)/5),0),N472)</f>
        <v>0.025</v>
      </c>
      <c r="O473" s="76">
        <f ca="1">IF(MOD(COUNTIF($Q$11:Q472,Q472),5)=0,OFFSET(装备属性!$L$1083,1+INT(COUNTA($Q$11:Q472)/5),0),O472)</f>
        <v>0.029</v>
      </c>
      <c r="Q473" s="89" t="str">
        <f ca="1">IF(MOD(COUNTIF($Q$11:Q472,Q472),5)=0,OFFSET(装备属性!$M$1083,1+INT(COUNTA($Q$11:Q472)/5),0),Q472)</f>
        <v>通用属性</v>
      </c>
      <c r="R473" s="83">
        <f ca="1">IF(MOD(COUNTIF($Q$11:Q472,Q472),5)=0,10000*SUBSTITUTE(SUBSTITUTE(OFFSET(装备属性!$F$1083,1+INT(COUNTA($Q$11:Q472)/5),0),"[",""),"]","")+_xlfn.XLOOKUP(C473,$M$3:$M$7,$N$3:$N$7)*100,R472)</f>
        <v>20600</v>
      </c>
    </row>
    <row r="474" customHeight="1" spans="1:18">
      <c r="A474" s="78">
        <f ca="1" t="shared" si="21"/>
        <v>20601</v>
      </c>
      <c r="B474" s="82">
        <f ca="1">IFERROR(R474+COUNTIFS($R$11:$R474,R474),"")</f>
        <v>20619</v>
      </c>
      <c r="C474" s="83" t="str">
        <f ca="1">IF(MOD(COUNTIF($Q$11:Q473,Q473),5)=0,OFFSET(装备属性!$D$1083,1+INT(COUNTA($Q$11:Q473)/5),0),C473)</f>
        <v>红</v>
      </c>
      <c r="D474" s="82">
        <f t="shared" si="23"/>
        <v>1500</v>
      </c>
      <c r="F474" s="82">
        <f ca="1" t="shared" si="22"/>
        <v>20603</v>
      </c>
      <c r="G474" s="78" t="str">
        <f ca="1">IF(AND(LEFT("[{"&amp;M474&amp;","&amp;CEILING(N474*10000+(O474-N474)/4*(COUNTIF($F$11:F474,F474)-1)*10000,10)&amp;"}]",7)="[{equip",MID("[{"&amp;M474&amp;","&amp;CEILING(N474*10000+(O474-N474)/4*(COUNTIF($F$11:F474,F474)-1)*10000,10)&amp;"}]",8,1)&lt;&gt;"_"),"[{"&amp;M474&amp;","&amp;1&amp;"}]","[{"&amp;M474&amp;","&amp;CEILING(N474*10000+(O474-N474)/4*(COUNTIF($F$11:F474,F474)-1)*10000,10)&amp;"}]")</f>
        <v>[{mage_dmg_red_rate,280}]</v>
      </c>
      <c r="H474" s="82" t="s">
        <v>563</v>
      </c>
      <c r="J474" s="78">
        <f ca="1">IF(MOD(COUNTIF($Q$11:Q473,Q473),5)=0,OFFSET(装备属性!$P$1083,1+INT(COUNTA($Q$11:Q473)/5),0),J473)</f>
        <v>5</v>
      </c>
      <c r="K474" s="83" t="str">
        <f ca="1">IF(RIGHT(G474,13)="rune_slot,1}]",_xlfn.XLOOKUP(LEFT(SUBSTITUTE(G474,"[{",""),FIND(",",SUBSTITUTE(G474,"[{",""))-1),Sheet2!B:B,Sheet2!C:C)&amp;"+"&amp;1,_xlfn.XLOOKUP(LEFT(SUBSTITUTE(G474,"[{",""),FIND(",",SUBSTITUTE(G474,"[{",""))-1),Sheet2!B:B,Sheet2!C:C)&amp;"+"&amp;SUBSTITUTE(RIGHT(G474,LEN(G474)-FIND(",",G474)),"}]","")/100&amp;"%")</f>
        <v>法师伤害减免+2.8%</v>
      </c>
      <c r="L474" s="83" t="str">
        <f ca="1">IF(MOD(COUNTIF($Q$11:Q473,Q473),5)=0,OFFSET(装备属性!$G$1083,1+INT(COUNTA($Q$11:Q473)/5),0),L473)</f>
        <v>施法防抗Ⅲ</v>
      </c>
      <c r="M474" s="89" t="str">
        <f ca="1">IF(MOD(COUNTIF($Q$11:Q473,Q473),5)=0,OFFSET(装备属性!$H$1083,1+INT(COUNTA($Q$11:Q473)/5),0),M473)</f>
        <v>mage_dmg_red_rate</v>
      </c>
      <c r="N474" s="76">
        <f ca="1">IF(MOD(COUNTIF($Q$11:Q473,Q473),5)=0,OFFSET(装备属性!$K$1083,1+INT(COUNTA($Q$11:Q473)/5),0),N473)</f>
        <v>0.025</v>
      </c>
      <c r="O474" s="76">
        <f ca="1">IF(MOD(COUNTIF($Q$11:Q473,Q473),5)=0,OFFSET(装备属性!$L$1083,1+INT(COUNTA($Q$11:Q473)/5),0),O473)</f>
        <v>0.029</v>
      </c>
      <c r="Q474" s="89" t="str">
        <f ca="1">IF(MOD(COUNTIF($Q$11:Q473,Q473),5)=0,OFFSET(装备属性!$M$1083,1+INT(COUNTA($Q$11:Q473)/5),0),Q473)</f>
        <v>通用属性</v>
      </c>
      <c r="R474" s="83">
        <f ca="1">IF(MOD(COUNTIF($Q$11:Q473,Q473),5)=0,10000*SUBSTITUTE(SUBSTITUTE(OFFSET(装备属性!$F$1083,1+INT(COUNTA($Q$11:Q473)/5),0),"[",""),"]","")+_xlfn.XLOOKUP(C474,$M$3:$M$7,$N$3:$N$7)*100,R473)</f>
        <v>20600</v>
      </c>
    </row>
    <row r="475" customHeight="1" spans="1:18">
      <c r="A475" s="78">
        <f ca="1" t="shared" si="21"/>
        <v>20601</v>
      </c>
      <c r="B475" s="82">
        <f ca="1">IFERROR(R475+COUNTIFS($R$11:$R475,R475),"")</f>
        <v>20620</v>
      </c>
      <c r="C475" s="83" t="str">
        <f ca="1">IF(MOD(COUNTIF($Q$11:Q474,Q474),5)=0,OFFSET(装备属性!$D$1083,1+INT(COUNTA($Q$11:Q474)/5),0),C474)</f>
        <v>红</v>
      </c>
      <c r="D475" s="82">
        <f t="shared" si="23"/>
        <v>1000</v>
      </c>
      <c r="F475" s="82">
        <f ca="1" t="shared" si="22"/>
        <v>20603</v>
      </c>
      <c r="G475" s="78" t="str">
        <f ca="1">IF(AND(LEFT("[{"&amp;M475&amp;","&amp;CEILING(N475*10000+(O475-N475)/4*(COUNTIF($F$11:F475,F475)-1)*10000,10)&amp;"}]",7)="[{equip",MID("[{"&amp;M475&amp;","&amp;CEILING(N475*10000+(O475-N475)/4*(COUNTIF($F$11:F475,F475)-1)*10000,10)&amp;"}]",8,1)&lt;&gt;"_"),"[{"&amp;M475&amp;","&amp;1&amp;"}]","[{"&amp;M475&amp;","&amp;CEILING(N475*10000+(O475-N475)/4*(COUNTIF($F$11:F475,F475)-1)*10000,10)&amp;"}]")</f>
        <v>[{mage_dmg_red_rate,290}]</v>
      </c>
      <c r="H475" s="82" t="s">
        <v>563</v>
      </c>
      <c r="J475" s="78">
        <f ca="1">IF(MOD(COUNTIF($Q$11:Q474,Q474),5)=0,OFFSET(装备属性!$P$1083,1+INT(COUNTA($Q$11:Q474)/5),0),J474)</f>
        <v>5</v>
      </c>
      <c r="K475" s="83" t="str">
        <f ca="1">IF(RIGHT(G475,13)="rune_slot,1}]",_xlfn.XLOOKUP(LEFT(SUBSTITUTE(G475,"[{",""),FIND(",",SUBSTITUTE(G475,"[{",""))-1),Sheet2!B:B,Sheet2!C:C)&amp;"+"&amp;1,_xlfn.XLOOKUP(LEFT(SUBSTITUTE(G475,"[{",""),FIND(",",SUBSTITUTE(G475,"[{",""))-1),Sheet2!B:B,Sheet2!C:C)&amp;"+"&amp;SUBSTITUTE(RIGHT(G475,LEN(G475)-FIND(",",G475)),"}]","")/100&amp;"%")</f>
        <v>法师伤害减免+2.9%</v>
      </c>
      <c r="L475" s="83" t="str">
        <f ca="1">IF(MOD(COUNTIF($Q$11:Q474,Q474),5)=0,OFFSET(装备属性!$G$1083,1+INT(COUNTA($Q$11:Q474)/5),0),L474)</f>
        <v>施法防抗Ⅲ</v>
      </c>
      <c r="M475" s="89" t="str">
        <f ca="1">IF(MOD(COUNTIF($Q$11:Q474,Q474),5)=0,OFFSET(装备属性!$H$1083,1+INT(COUNTA($Q$11:Q474)/5),0),M474)</f>
        <v>mage_dmg_red_rate</v>
      </c>
      <c r="N475" s="76">
        <f ca="1">IF(MOD(COUNTIF($Q$11:Q474,Q474),5)=0,OFFSET(装备属性!$K$1083,1+INT(COUNTA($Q$11:Q474)/5),0),N474)</f>
        <v>0.025</v>
      </c>
      <c r="O475" s="76">
        <f ca="1">IF(MOD(COUNTIF($Q$11:Q474,Q474),5)=0,OFFSET(装备属性!$L$1083,1+INT(COUNTA($Q$11:Q474)/5),0),O474)</f>
        <v>0.029</v>
      </c>
      <c r="Q475" s="89" t="str">
        <f ca="1">IF(MOD(COUNTIF($Q$11:Q474,Q474),5)=0,OFFSET(装备属性!$M$1083,1+INT(COUNTA($Q$11:Q474)/5),0),Q474)</f>
        <v>通用属性</v>
      </c>
      <c r="R475" s="83">
        <f ca="1">IF(MOD(COUNTIF($Q$11:Q474,Q474),5)=0,10000*SUBSTITUTE(SUBSTITUTE(OFFSET(装备属性!$F$1083,1+INT(COUNTA($Q$11:Q474)/5),0),"[",""),"]","")+_xlfn.XLOOKUP(C475,$M$3:$M$7,$N$3:$N$7)*100,R474)</f>
        <v>20600</v>
      </c>
    </row>
    <row r="476" customHeight="1" spans="1:18">
      <c r="A476" s="78">
        <f ca="1" t="shared" si="21"/>
        <v>20601</v>
      </c>
      <c r="B476" s="82">
        <f ca="1">IFERROR(R476+COUNTIFS($R$11:$R476,R476),"")</f>
        <v>20621</v>
      </c>
      <c r="C476" s="83" t="str">
        <f ca="1">IF(MOD(COUNTIF($Q$11:Q475,Q475),5)=0,OFFSET(装备属性!$D$1083,1+INT(COUNTA($Q$11:Q475)/5),0),C475)</f>
        <v>红</v>
      </c>
      <c r="D476" s="82">
        <f t="shared" si="23"/>
        <v>3000</v>
      </c>
      <c r="F476" s="82">
        <f ca="1" t="shared" si="22"/>
        <v>20604</v>
      </c>
      <c r="G476" s="78" t="str">
        <f ca="1">IF(AND(LEFT("[{"&amp;M476&amp;","&amp;CEILING(N476*10000+(O476-N476)/4*(COUNTIF($F$11:F476,F476)-1)*10000,10)&amp;"}]",7)="[{equip",MID("[{"&amp;M476&amp;","&amp;CEILING(N476*10000+(O476-N476)/4*(COUNTIF($F$11:F476,F476)-1)*10000,10)&amp;"}]",8,1)&lt;&gt;"_"),"[{"&amp;M476&amp;","&amp;1&amp;"}]","[{"&amp;M476&amp;","&amp;CEILING(N476*10000+(O476-N476)/4*(COUNTIF($F$11:F476,F476)-1)*10000,10)&amp;"}]")</f>
        <v>[{mage_dmg_rate,720}]</v>
      </c>
      <c r="H476" s="82" t="s">
        <v>563</v>
      </c>
      <c r="J476" s="78">
        <f ca="1">IF(MOD(COUNTIF($Q$11:Q475,Q475),5)=0,OFFSET(装备属性!$P$1083,1+INT(COUNTA($Q$11:Q475)/5),0),J475)</f>
        <v>3</v>
      </c>
      <c r="K476" s="83" t="str">
        <f ca="1">IF(RIGHT(G476,13)="rune_slot,1}]",_xlfn.XLOOKUP(LEFT(SUBSTITUTE(G476,"[{",""),FIND(",",SUBSTITUTE(G476,"[{",""))-1),Sheet2!B:B,Sheet2!C:C)&amp;"+"&amp;1,_xlfn.XLOOKUP(LEFT(SUBSTITUTE(G476,"[{",""),FIND(",",SUBSTITUTE(G476,"[{",""))-1),Sheet2!B:B,Sheet2!C:C)&amp;"+"&amp;SUBSTITUTE(RIGHT(G476,LEN(G476)-FIND(",",G476)),"}]","")/100&amp;"%")</f>
        <v>法师伤害+7.2%</v>
      </c>
      <c r="L476" s="83" t="str">
        <f ca="1">IF(MOD(COUNTIF($Q$11:Q475,Q475),5)=0,OFFSET(装备属性!$G$1083,1+INT(COUNTA($Q$11:Q475)/5),0),L475)</f>
        <v>施法添柴Ⅲ</v>
      </c>
      <c r="M476" s="89" t="str">
        <f ca="1">IF(MOD(COUNTIF($Q$11:Q475,Q475),5)=0,OFFSET(装备属性!$H$1083,1+INT(COUNTA($Q$11:Q475)/5),0),M475)</f>
        <v>mage_dmg_rate</v>
      </c>
      <c r="N476" s="76">
        <f ca="1">IF(MOD(COUNTIF($Q$11:Q475,Q475),5)=0,OFFSET(装备属性!$K$1083,1+INT(COUNTA($Q$11:Q475)/5),0),N475)</f>
        <v>0.072</v>
      </c>
      <c r="O476" s="76">
        <f ca="1">IF(MOD(COUNTIF($Q$11:Q475,Q475),5)=0,OFFSET(装备属性!$L$1083,1+INT(COUNTA($Q$11:Q475)/5),0),O475)</f>
        <v>0.086</v>
      </c>
      <c r="Q476" s="89" t="str">
        <f ca="1">IF(MOD(COUNTIF($Q$11:Q475,Q475),5)=0,OFFSET(装备属性!$M$1083,1+INT(COUNTA($Q$11:Q475)/5),0),Q475)</f>
        <v>通用属性</v>
      </c>
      <c r="R476" s="83">
        <f ca="1">IF(MOD(COUNTIF($Q$11:Q475,Q475),5)=0,10000*SUBSTITUTE(SUBSTITUTE(OFFSET(装备属性!$F$1083,1+INT(COUNTA($Q$11:Q475)/5),0),"[",""),"]","")+_xlfn.XLOOKUP(C476,$M$3:$M$7,$N$3:$N$7)*100,R475)</f>
        <v>20600</v>
      </c>
    </row>
    <row r="477" customHeight="1" spans="1:18">
      <c r="A477" s="78">
        <f ca="1" t="shared" si="21"/>
        <v>20601</v>
      </c>
      <c r="B477" s="82">
        <f ca="1">IFERROR(R477+COUNTIFS($R$11:$R477,R477),"")</f>
        <v>20622</v>
      </c>
      <c r="C477" s="83" t="str">
        <f ca="1">IF(MOD(COUNTIF($Q$11:Q476,Q476),5)=0,OFFSET(装备属性!$D$1083,1+INT(COUNTA($Q$11:Q476)/5),0),C476)</f>
        <v>红</v>
      </c>
      <c r="D477" s="82">
        <f t="shared" si="23"/>
        <v>2500</v>
      </c>
      <c r="F477" s="82">
        <f ca="1" t="shared" si="22"/>
        <v>20604</v>
      </c>
      <c r="G477" s="78" t="str">
        <f ca="1">IF(AND(LEFT("[{"&amp;M477&amp;","&amp;CEILING(N477*10000+(O477-N477)/4*(COUNTIF($F$11:F477,F477)-1)*10000,10)&amp;"}]",7)="[{equip",MID("[{"&amp;M477&amp;","&amp;CEILING(N477*10000+(O477-N477)/4*(COUNTIF($F$11:F477,F477)-1)*10000,10)&amp;"}]",8,1)&lt;&gt;"_"),"[{"&amp;M477&amp;","&amp;1&amp;"}]","[{"&amp;M477&amp;","&amp;CEILING(N477*10000+(O477-N477)/4*(COUNTIF($F$11:F477,F477)-1)*10000,10)&amp;"}]")</f>
        <v>[{mage_dmg_rate,760}]</v>
      </c>
      <c r="H477" s="82" t="s">
        <v>563</v>
      </c>
      <c r="J477" s="78">
        <f ca="1">IF(MOD(COUNTIF($Q$11:Q476,Q476),5)=0,OFFSET(装备属性!$P$1083,1+INT(COUNTA($Q$11:Q476)/5),0),J476)</f>
        <v>3</v>
      </c>
      <c r="K477" s="83" t="str">
        <f ca="1">IF(RIGHT(G477,13)="rune_slot,1}]",_xlfn.XLOOKUP(LEFT(SUBSTITUTE(G477,"[{",""),FIND(",",SUBSTITUTE(G477,"[{",""))-1),Sheet2!B:B,Sheet2!C:C)&amp;"+"&amp;1,_xlfn.XLOOKUP(LEFT(SUBSTITUTE(G477,"[{",""),FIND(",",SUBSTITUTE(G477,"[{",""))-1),Sheet2!B:B,Sheet2!C:C)&amp;"+"&amp;SUBSTITUTE(RIGHT(G477,LEN(G477)-FIND(",",G477)),"}]","")/100&amp;"%")</f>
        <v>法师伤害+7.6%</v>
      </c>
      <c r="L477" s="83" t="str">
        <f ca="1">IF(MOD(COUNTIF($Q$11:Q476,Q476),5)=0,OFFSET(装备属性!$G$1083,1+INT(COUNTA($Q$11:Q476)/5),0),L476)</f>
        <v>施法添柴Ⅲ</v>
      </c>
      <c r="M477" s="89" t="str">
        <f ca="1">IF(MOD(COUNTIF($Q$11:Q476,Q476),5)=0,OFFSET(装备属性!$H$1083,1+INT(COUNTA($Q$11:Q476)/5),0),M476)</f>
        <v>mage_dmg_rate</v>
      </c>
      <c r="N477" s="76">
        <f ca="1">IF(MOD(COUNTIF($Q$11:Q476,Q476),5)=0,OFFSET(装备属性!$K$1083,1+INT(COUNTA($Q$11:Q476)/5),0),N476)</f>
        <v>0.072</v>
      </c>
      <c r="O477" s="76">
        <f ca="1">IF(MOD(COUNTIF($Q$11:Q476,Q476),5)=0,OFFSET(装备属性!$L$1083,1+INT(COUNTA($Q$11:Q476)/5),0),O476)</f>
        <v>0.086</v>
      </c>
      <c r="Q477" s="89" t="str">
        <f ca="1">IF(MOD(COUNTIF($Q$11:Q476,Q476),5)=0,OFFSET(装备属性!$M$1083,1+INT(COUNTA($Q$11:Q476)/5),0),Q476)</f>
        <v>通用属性</v>
      </c>
      <c r="R477" s="83">
        <f ca="1">IF(MOD(COUNTIF($Q$11:Q476,Q476),5)=0,10000*SUBSTITUTE(SUBSTITUTE(OFFSET(装备属性!$F$1083,1+INT(COUNTA($Q$11:Q476)/5),0),"[",""),"]","")+_xlfn.XLOOKUP(C477,$M$3:$M$7,$N$3:$N$7)*100,R476)</f>
        <v>20600</v>
      </c>
    </row>
    <row r="478" customHeight="1" spans="1:18">
      <c r="A478" s="78">
        <f ca="1" t="shared" si="21"/>
        <v>20601</v>
      </c>
      <c r="B478" s="82">
        <f ca="1">IFERROR(R478+COUNTIFS($R$11:$R478,R478),"")</f>
        <v>20623</v>
      </c>
      <c r="C478" s="83" t="str">
        <f ca="1">IF(MOD(COUNTIF($Q$11:Q477,Q477),5)=0,OFFSET(装备属性!$D$1083,1+INT(COUNTA($Q$11:Q477)/5),0),C477)</f>
        <v>红</v>
      </c>
      <c r="D478" s="82">
        <f t="shared" si="23"/>
        <v>2000</v>
      </c>
      <c r="F478" s="82">
        <f ca="1" t="shared" si="22"/>
        <v>20604</v>
      </c>
      <c r="G478" s="78" t="str">
        <f ca="1">IF(AND(LEFT("[{"&amp;M478&amp;","&amp;CEILING(N478*10000+(O478-N478)/4*(COUNTIF($F$11:F478,F478)-1)*10000,10)&amp;"}]",7)="[{equip",MID("[{"&amp;M478&amp;","&amp;CEILING(N478*10000+(O478-N478)/4*(COUNTIF($F$11:F478,F478)-1)*10000,10)&amp;"}]",8,1)&lt;&gt;"_"),"[{"&amp;M478&amp;","&amp;1&amp;"}]","[{"&amp;M478&amp;","&amp;CEILING(N478*10000+(O478-N478)/4*(COUNTIF($F$11:F478,F478)-1)*10000,10)&amp;"}]")</f>
        <v>[{mage_dmg_rate,790}]</v>
      </c>
      <c r="H478" s="82" t="s">
        <v>563</v>
      </c>
      <c r="J478" s="78">
        <f ca="1">IF(MOD(COUNTIF($Q$11:Q477,Q477),5)=0,OFFSET(装备属性!$P$1083,1+INT(COUNTA($Q$11:Q477)/5),0),J477)</f>
        <v>3</v>
      </c>
      <c r="K478" s="83" t="str">
        <f ca="1">IF(RIGHT(G478,13)="rune_slot,1}]",_xlfn.XLOOKUP(LEFT(SUBSTITUTE(G478,"[{",""),FIND(",",SUBSTITUTE(G478,"[{",""))-1),Sheet2!B:B,Sheet2!C:C)&amp;"+"&amp;1,_xlfn.XLOOKUP(LEFT(SUBSTITUTE(G478,"[{",""),FIND(",",SUBSTITUTE(G478,"[{",""))-1),Sheet2!B:B,Sheet2!C:C)&amp;"+"&amp;SUBSTITUTE(RIGHT(G478,LEN(G478)-FIND(",",G478)),"}]","")/100&amp;"%")</f>
        <v>法师伤害+7.9%</v>
      </c>
      <c r="L478" s="83" t="str">
        <f ca="1">IF(MOD(COUNTIF($Q$11:Q477,Q477),5)=0,OFFSET(装备属性!$G$1083,1+INT(COUNTA($Q$11:Q477)/5),0),L477)</f>
        <v>施法添柴Ⅲ</v>
      </c>
      <c r="M478" s="89" t="str">
        <f ca="1">IF(MOD(COUNTIF($Q$11:Q477,Q477),5)=0,OFFSET(装备属性!$H$1083,1+INT(COUNTA($Q$11:Q477)/5),0),M477)</f>
        <v>mage_dmg_rate</v>
      </c>
      <c r="N478" s="76">
        <f ca="1">IF(MOD(COUNTIF($Q$11:Q477,Q477),5)=0,OFFSET(装备属性!$K$1083,1+INT(COUNTA($Q$11:Q477)/5),0),N477)</f>
        <v>0.072</v>
      </c>
      <c r="O478" s="76">
        <f ca="1">IF(MOD(COUNTIF($Q$11:Q477,Q477),5)=0,OFFSET(装备属性!$L$1083,1+INT(COUNTA($Q$11:Q477)/5),0),O477)</f>
        <v>0.086</v>
      </c>
      <c r="Q478" s="89" t="str">
        <f ca="1">IF(MOD(COUNTIF($Q$11:Q477,Q477),5)=0,OFFSET(装备属性!$M$1083,1+INT(COUNTA($Q$11:Q477)/5),0),Q477)</f>
        <v>通用属性</v>
      </c>
      <c r="R478" s="83">
        <f ca="1">IF(MOD(COUNTIF($Q$11:Q477,Q477),5)=0,10000*SUBSTITUTE(SUBSTITUTE(OFFSET(装备属性!$F$1083,1+INT(COUNTA($Q$11:Q477)/5),0),"[",""),"]","")+_xlfn.XLOOKUP(C478,$M$3:$M$7,$N$3:$N$7)*100,R477)</f>
        <v>20600</v>
      </c>
    </row>
    <row r="479" customHeight="1" spans="1:18">
      <c r="A479" s="78">
        <f ca="1" t="shared" si="21"/>
        <v>20601</v>
      </c>
      <c r="B479" s="82">
        <f ca="1">IFERROR(R479+COUNTIFS($R$11:$R479,R479),"")</f>
        <v>20624</v>
      </c>
      <c r="C479" s="83" t="str">
        <f ca="1">IF(MOD(COUNTIF($Q$11:Q478,Q478),5)=0,OFFSET(装备属性!$D$1083,1+INT(COUNTA($Q$11:Q478)/5),0),C478)</f>
        <v>红</v>
      </c>
      <c r="D479" s="82">
        <f t="shared" si="23"/>
        <v>1500</v>
      </c>
      <c r="F479" s="82">
        <f ca="1" t="shared" si="22"/>
        <v>20604</v>
      </c>
      <c r="G479" s="78" t="str">
        <f ca="1">IF(AND(LEFT("[{"&amp;M479&amp;","&amp;CEILING(N479*10000+(O479-N479)/4*(COUNTIF($F$11:F479,F479)-1)*10000,10)&amp;"}]",7)="[{equip",MID("[{"&amp;M479&amp;","&amp;CEILING(N479*10000+(O479-N479)/4*(COUNTIF($F$11:F479,F479)-1)*10000,10)&amp;"}]",8,1)&lt;&gt;"_"),"[{"&amp;M479&amp;","&amp;1&amp;"}]","[{"&amp;M479&amp;","&amp;CEILING(N479*10000+(O479-N479)/4*(COUNTIF($F$11:F479,F479)-1)*10000,10)&amp;"}]")</f>
        <v>[{mage_dmg_rate,830}]</v>
      </c>
      <c r="H479" s="82" t="s">
        <v>563</v>
      </c>
      <c r="J479" s="78">
        <f ca="1">IF(MOD(COUNTIF($Q$11:Q478,Q478),5)=0,OFFSET(装备属性!$P$1083,1+INT(COUNTA($Q$11:Q478)/5),0),J478)</f>
        <v>3</v>
      </c>
      <c r="K479" s="83" t="str">
        <f ca="1">IF(RIGHT(G479,13)="rune_slot,1}]",_xlfn.XLOOKUP(LEFT(SUBSTITUTE(G479,"[{",""),FIND(",",SUBSTITUTE(G479,"[{",""))-1),Sheet2!B:B,Sheet2!C:C)&amp;"+"&amp;1,_xlfn.XLOOKUP(LEFT(SUBSTITUTE(G479,"[{",""),FIND(",",SUBSTITUTE(G479,"[{",""))-1),Sheet2!B:B,Sheet2!C:C)&amp;"+"&amp;SUBSTITUTE(RIGHT(G479,LEN(G479)-FIND(",",G479)),"}]","")/100&amp;"%")</f>
        <v>法师伤害+8.3%</v>
      </c>
      <c r="L479" s="83" t="str">
        <f ca="1">IF(MOD(COUNTIF($Q$11:Q478,Q478),5)=0,OFFSET(装备属性!$G$1083,1+INT(COUNTA($Q$11:Q478)/5),0),L478)</f>
        <v>施法添柴Ⅲ</v>
      </c>
      <c r="M479" s="89" t="str">
        <f ca="1">IF(MOD(COUNTIF($Q$11:Q478,Q478),5)=0,OFFSET(装备属性!$H$1083,1+INT(COUNTA($Q$11:Q478)/5),0),M478)</f>
        <v>mage_dmg_rate</v>
      </c>
      <c r="N479" s="76">
        <f ca="1">IF(MOD(COUNTIF($Q$11:Q478,Q478),5)=0,OFFSET(装备属性!$K$1083,1+INT(COUNTA($Q$11:Q478)/5),0),N478)</f>
        <v>0.072</v>
      </c>
      <c r="O479" s="76">
        <f ca="1">IF(MOD(COUNTIF($Q$11:Q478,Q478),5)=0,OFFSET(装备属性!$L$1083,1+INT(COUNTA($Q$11:Q478)/5),0),O478)</f>
        <v>0.086</v>
      </c>
      <c r="Q479" s="89" t="str">
        <f ca="1">IF(MOD(COUNTIF($Q$11:Q478,Q478),5)=0,OFFSET(装备属性!$M$1083,1+INT(COUNTA($Q$11:Q478)/5),0),Q478)</f>
        <v>通用属性</v>
      </c>
      <c r="R479" s="83">
        <f ca="1">IF(MOD(COUNTIF($Q$11:Q478,Q478),5)=0,10000*SUBSTITUTE(SUBSTITUTE(OFFSET(装备属性!$F$1083,1+INT(COUNTA($Q$11:Q478)/5),0),"[",""),"]","")+_xlfn.XLOOKUP(C479,$M$3:$M$7,$N$3:$N$7)*100,R478)</f>
        <v>20600</v>
      </c>
    </row>
    <row r="480" customHeight="1" spans="1:18">
      <c r="A480" s="78">
        <f ca="1" t="shared" si="21"/>
        <v>20601</v>
      </c>
      <c r="B480" s="82">
        <f ca="1">IFERROR(R480+COUNTIFS($R$11:$R480,R480),"")</f>
        <v>20625</v>
      </c>
      <c r="C480" s="83" t="str">
        <f ca="1">IF(MOD(COUNTIF($Q$11:Q479,Q479),5)=0,OFFSET(装备属性!$D$1083,1+INT(COUNTA($Q$11:Q479)/5),0),C479)</f>
        <v>红</v>
      </c>
      <c r="D480" s="82">
        <f t="shared" si="23"/>
        <v>1000</v>
      </c>
      <c r="F480" s="82">
        <f ca="1" t="shared" si="22"/>
        <v>20604</v>
      </c>
      <c r="G480" s="78" t="str">
        <f ca="1">IF(AND(LEFT("[{"&amp;M480&amp;","&amp;CEILING(N480*10000+(O480-N480)/4*(COUNTIF($F$11:F480,F480)-1)*10000,10)&amp;"}]",7)="[{equip",MID("[{"&amp;M480&amp;","&amp;CEILING(N480*10000+(O480-N480)/4*(COUNTIF($F$11:F480,F480)-1)*10000,10)&amp;"}]",8,1)&lt;&gt;"_"),"[{"&amp;M480&amp;","&amp;1&amp;"}]","[{"&amp;M480&amp;","&amp;CEILING(N480*10000+(O480-N480)/4*(COUNTIF($F$11:F480,F480)-1)*10000,10)&amp;"}]")</f>
        <v>[{mage_dmg_rate,860}]</v>
      </c>
      <c r="H480" s="82" t="s">
        <v>563</v>
      </c>
      <c r="J480" s="78">
        <f ca="1">IF(MOD(COUNTIF($Q$11:Q479,Q479),5)=0,OFFSET(装备属性!$P$1083,1+INT(COUNTA($Q$11:Q479)/5),0),J479)</f>
        <v>3</v>
      </c>
      <c r="K480" s="83" t="str">
        <f ca="1">IF(RIGHT(G480,13)="rune_slot,1}]",_xlfn.XLOOKUP(LEFT(SUBSTITUTE(G480,"[{",""),FIND(",",SUBSTITUTE(G480,"[{",""))-1),Sheet2!B:B,Sheet2!C:C)&amp;"+"&amp;1,_xlfn.XLOOKUP(LEFT(SUBSTITUTE(G480,"[{",""),FIND(",",SUBSTITUTE(G480,"[{",""))-1),Sheet2!B:B,Sheet2!C:C)&amp;"+"&amp;SUBSTITUTE(RIGHT(G480,LEN(G480)-FIND(",",G480)),"}]","")/100&amp;"%")</f>
        <v>法师伤害+8.6%</v>
      </c>
      <c r="L480" s="83" t="str">
        <f ca="1">IF(MOD(COUNTIF($Q$11:Q479,Q479),5)=0,OFFSET(装备属性!$G$1083,1+INT(COUNTA($Q$11:Q479)/5),0),L479)</f>
        <v>施法添柴Ⅲ</v>
      </c>
      <c r="M480" s="89" t="str">
        <f ca="1">IF(MOD(COUNTIF($Q$11:Q479,Q479),5)=0,OFFSET(装备属性!$H$1083,1+INT(COUNTA($Q$11:Q479)/5),0),M479)</f>
        <v>mage_dmg_rate</v>
      </c>
      <c r="N480" s="76">
        <f ca="1">IF(MOD(COUNTIF($Q$11:Q479,Q479),5)=0,OFFSET(装备属性!$K$1083,1+INT(COUNTA($Q$11:Q479)/5),0),N479)</f>
        <v>0.072</v>
      </c>
      <c r="O480" s="76">
        <f ca="1">IF(MOD(COUNTIF($Q$11:Q479,Q479),5)=0,OFFSET(装备属性!$L$1083,1+INT(COUNTA($Q$11:Q479)/5),0),O479)</f>
        <v>0.086</v>
      </c>
      <c r="Q480" s="89" t="str">
        <f ca="1">IF(MOD(COUNTIF($Q$11:Q479,Q479),5)=0,OFFSET(装备属性!$M$1083,1+INT(COUNTA($Q$11:Q479)/5),0),Q479)</f>
        <v>通用属性</v>
      </c>
      <c r="R480" s="83">
        <f ca="1">IF(MOD(COUNTIF($Q$11:Q479,Q479),5)=0,10000*SUBSTITUTE(SUBSTITUTE(OFFSET(装备属性!$F$1083,1+INT(COUNTA($Q$11:Q479)/5),0),"[",""),"]","")+_xlfn.XLOOKUP(C480,$M$3:$M$7,$N$3:$N$7)*100,R479)</f>
        <v>20600</v>
      </c>
    </row>
    <row r="481" customHeight="1" spans="1:18">
      <c r="A481" s="78">
        <f ca="1" t="shared" si="21"/>
        <v>20601</v>
      </c>
      <c r="B481" s="82">
        <f ca="1">IFERROR(R481+COUNTIFS($R$11:$R481,R481),"")</f>
        <v>20626</v>
      </c>
      <c r="C481" s="83" t="str">
        <f ca="1">IF(MOD(COUNTIF($Q$11:Q480,Q480),5)=0,OFFSET(装备属性!$D$1083,1+INT(COUNTA($Q$11:Q480)/5),0),C480)</f>
        <v>红</v>
      </c>
      <c r="D481" s="82">
        <f t="shared" si="23"/>
        <v>3000</v>
      </c>
      <c r="F481" s="82">
        <f ca="1" t="shared" si="22"/>
        <v>20605</v>
      </c>
      <c r="G481" s="78" t="str">
        <f ca="1">IF(AND(LEFT("[{"&amp;M481&amp;","&amp;CEILING(N481*10000+(O481-N481)/4*(COUNTIF($F$11:F481,F481)-1)*10000,10)&amp;"}]",7)="[{equip",MID("[{"&amp;M481&amp;","&amp;CEILING(N481*10000+(O481-N481)/4*(COUNTIF($F$11:F481,F481)-1)*10000,10)&amp;"}]",8,1)&lt;&gt;"_"),"[{"&amp;M481&amp;","&amp;1&amp;"}]","[{"&amp;M481&amp;","&amp;CEILING(N481*10000+(O481-N481)/4*(COUNTIF($F$11:F481,F481)-1)*10000,10)&amp;"}]")</f>
        <v>[{mage_class_dmg_rate,900}]</v>
      </c>
      <c r="H481" s="82" t="s">
        <v>563</v>
      </c>
      <c r="J481" s="78">
        <f ca="1">IF(MOD(COUNTIF($Q$11:Q480,Q480),5)=0,OFFSET(装备属性!$P$1083,1+INT(COUNTA($Q$11:Q480)/5),0),J480)</f>
        <v>4</v>
      </c>
      <c r="K481" s="83" t="str">
        <f ca="1">IF(RIGHT(G481,13)="rune_slot,1}]",_xlfn.XLOOKUP(LEFT(SUBSTITUTE(G481,"[{",""),FIND(",",SUBSTITUTE(G481,"[{",""))-1),Sheet2!B:B,Sheet2!C:C)&amp;"+"&amp;1,_xlfn.XLOOKUP(LEFT(SUBSTITUTE(G481,"[{",""),FIND(",",SUBSTITUTE(G481,"[{",""))-1),Sheet2!B:B,Sheet2!C:C)&amp;"+"&amp;SUBSTITUTE(RIGHT(G481,LEN(G481)-FIND(",",G481)),"}]","")/100&amp;"%")</f>
        <v>上阵两个法师职业增伤+9%</v>
      </c>
      <c r="L481" s="83" t="str">
        <f ca="1">IF(MOD(COUNTIF($Q$11:Q480,Q480),5)=0,OFFSET(装备属性!$G$1083,1+INT(COUNTA($Q$11:Q480)/5),0),L480)</f>
        <v>施法小队Ⅲ</v>
      </c>
      <c r="M481" s="89" t="str">
        <f ca="1">IF(MOD(COUNTIF($Q$11:Q480,Q480),5)=0,OFFSET(装备属性!$H$1083,1+INT(COUNTA($Q$11:Q480)/5),0),M480)</f>
        <v>mage_class_dmg_rate</v>
      </c>
      <c r="N481" s="76">
        <f ca="1">IF(MOD(COUNTIF($Q$11:Q480,Q480),5)=0,OFFSET(装备属性!$K$1083,1+INT(COUNTA($Q$11:Q480)/5),0),N480)</f>
        <v>0.09</v>
      </c>
      <c r="O481" s="76">
        <f ca="1">IF(MOD(COUNTIF($Q$11:Q480,Q480),5)=0,OFFSET(装备属性!$L$1083,1+INT(COUNTA($Q$11:Q480)/5),0),O480)</f>
        <v>0.11</v>
      </c>
      <c r="Q481" s="89" t="str">
        <f ca="1">IF(MOD(COUNTIF($Q$11:Q480,Q480),5)=0,OFFSET(装备属性!$M$1083,1+INT(COUNTA($Q$11:Q480)/5),0),Q480)</f>
        <v>通用属性</v>
      </c>
      <c r="R481" s="83">
        <f ca="1">IF(MOD(COUNTIF($Q$11:Q480,Q480),5)=0,10000*SUBSTITUTE(SUBSTITUTE(OFFSET(装备属性!$F$1083,1+INT(COUNTA($Q$11:Q480)/5),0),"[",""),"]","")+_xlfn.XLOOKUP(C481,$M$3:$M$7,$N$3:$N$7)*100,R480)</f>
        <v>20600</v>
      </c>
    </row>
    <row r="482" customHeight="1" spans="1:18">
      <c r="A482" s="78">
        <f ca="1" t="shared" si="21"/>
        <v>20601</v>
      </c>
      <c r="B482" s="82">
        <f ca="1">IFERROR(R482+COUNTIFS($R$11:$R482,R482),"")</f>
        <v>20627</v>
      </c>
      <c r="C482" s="83" t="str">
        <f ca="1">IF(MOD(COUNTIF($Q$11:Q481,Q481),5)=0,OFFSET(装备属性!$D$1083,1+INT(COUNTA($Q$11:Q481)/5),0),C481)</f>
        <v>红</v>
      </c>
      <c r="D482" s="82">
        <f t="shared" si="23"/>
        <v>2500</v>
      </c>
      <c r="F482" s="82">
        <f ca="1" t="shared" si="22"/>
        <v>20605</v>
      </c>
      <c r="G482" s="78" t="str">
        <f ca="1">IF(AND(LEFT("[{"&amp;M482&amp;","&amp;CEILING(N482*10000+(O482-N482)/4*(COUNTIF($F$11:F482,F482)-1)*10000,10)&amp;"}]",7)="[{equip",MID("[{"&amp;M482&amp;","&amp;CEILING(N482*10000+(O482-N482)/4*(COUNTIF($F$11:F482,F482)-1)*10000,10)&amp;"}]",8,1)&lt;&gt;"_"),"[{"&amp;M482&amp;","&amp;1&amp;"}]","[{"&amp;M482&amp;","&amp;CEILING(N482*10000+(O482-N482)/4*(COUNTIF($F$11:F482,F482)-1)*10000,10)&amp;"}]")</f>
        <v>[{mage_class_dmg_rate,950}]</v>
      </c>
      <c r="H482" s="82" t="s">
        <v>563</v>
      </c>
      <c r="J482" s="78">
        <f ca="1">IF(MOD(COUNTIF($Q$11:Q481,Q481),5)=0,OFFSET(装备属性!$P$1083,1+INT(COUNTA($Q$11:Q481)/5),0),J481)</f>
        <v>4</v>
      </c>
      <c r="K482" s="83" t="str">
        <f ca="1">IF(RIGHT(G482,13)="rune_slot,1}]",_xlfn.XLOOKUP(LEFT(SUBSTITUTE(G482,"[{",""),FIND(",",SUBSTITUTE(G482,"[{",""))-1),Sheet2!B:B,Sheet2!C:C)&amp;"+"&amp;1,_xlfn.XLOOKUP(LEFT(SUBSTITUTE(G482,"[{",""),FIND(",",SUBSTITUTE(G482,"[{",""))-1),Sheet2!B:B,Sheet2!C:C)&amp;"+"&amp;SUBSTITUTE(RIGHT(G482,LEN(G482)-FIND(",",G482)),"}]","")/100&amp;"%")</f>
        <v>上阵两个法师职业增伤+9.5%</v>
      </c>
      <c r="L482" s="83" t="str">
        <f ca="1">IF(MOD(COUNTIF($Q$11:Q481,Q481),5)=0,OFFSET(装备属性!$G$1083,1+INT(COUNTA($Q$11:Q481)/5),0),L481)</f>
        <v>施法小队Ⅲ</v>
      </c>
      <c r="M482" s="89" t="str">
        <f ca="1">IF(MOD(COUNTIF($Q$11:Q481,Q481),5)=0,OFFSET(装备属性!$H$1083,1+INT(COUNTA($Q$11:Q481)/5),0),M481)</f>
        <v>mage_class_dmg_rate</v>
      </c>
      <c r="N482" s="76">
        <f ca="1">IF(MOD(COUNTIF($Q$11:Q481,Q481),5)=0,OFFSET(装备属性!$K$1083,1+INT(COUNTA($Q$11:Q481)/5),0),N481)</f>
        <v>0.09</v>
      </c>
      <c r="O482" s="76">
        <f ca="1">IF(MOD(COUNTIF($Q$11:Q481,Q481),5)=0,OFFSET(装备属性!$L$1083,1+INT(COUNTA($Q$11:Q481)/5),0),O481)</f>
        <v>0.11</v>
      </c>
      <c r="Q482" s="89" t="str">
        <f ca="1">IF(MOD(COUNTIF($Q$11:Q481,Q481),5)=0,OFFSET(装备属性!$M$1083,1+INT(COUNTA($Q$11:Q481)/5),0),Q481)</f>
        <v>通用属性</v>
      </c>
      <c r="R482" s="83">
        <f ca="1">IF(MOD(COUNTIF($Q$11:Q481,Q481),5)=0,10000*SUBSTITUTE(SUBSTITUTE(OFFSET(装备属性!$F$1083,1+INT(COUNTA($Q$11:Q481)/5),0),"[",""),"]","")+_xlfn.XLOOKUP(C482,$M$3:$M$7,$N$3:$N$7)*100,R481)</f>
        <v>20600</v>
      </c>
    </row>
    <row r="483" customHeight="1" spans="1:18">
      <c r="A483" s="78">
        <f ca="1" t="shared" si="21"/>
        <v>20601</v>
      </c>
      <c r="B483" s="82">
        <f ca="1">IFERROR(R483+COUNTIFS($R$11:$R483,R483),"")</f>
        <v>20628</v>
      </c>
      <c r="C483" s="83" t="str">
        <f ca="1">IF(MOD(COUNTIF($Q$11:Q482,Q482),5)=0,OFFSET(装备属性!$D$1083,1+INT(COUNTA($Q$11:Q482)/5),0),C482)</f>
        <v>红</v>
      </c>
      <c r="D483" s="82">
        <f t="shared" si="23"/>
        <v>2000</v>
      </c>
      <c r="F483" s="82">
        <f ca="1" t="shared" si="22"/>
        <v>20605</v>
      </c>
      <c r="G483" s="78" t="str">
        <f ca="1">IF(AND(LEFT("[{"&amp;M483&amp;","&amp;CEILING(N483*10000+(O483-N483)/4*(COUNTIF($F$11:F483,F483)-1)*10000,10)&amp;"}]",7)="[{equip",MID("[{"&amp;M483&amp;","&amp;CEILING(N483*10000+(O483-N483)/4*(COUNTIF($F$11:F483,F483)-1)*10000,10)&amp;"}]",8,1)&lt;&gt;"_"),"[{"&amp;M483&amp;","&amp;1&amp;"}]","[{"&amp;M483&amp;","&amp;CEILING(N483*10000+(O483-N483)/4*(COUNTIF($F$11:F483,F483)-1)*10000,10)&amp;"}]")</f>
        <v>[{mage_class_dmg_rate,1000}]</v>
      </c>
      <c r="H483" s="82" t="s">
        <v>563</v>
      </c>
      <c r="J483" s="78">
        <f ca="1">IF(MOD(COUNTIF($Q$11:Q482,Q482),5)=0,OFFSET(装备属性!$P$1083,1+INT(COUNTA($Q$11:Q482)/5),0),J482)</f>
        <v>4</v>
      </c>
      <c r="K483" s="83" t="str">
        <f ca="1">IF(RIGHT(G483,13)="rune_slot,1}]",_xlfn.XLOOKUP(LEFT(SUBSTITUTE(G483,"[{",""),FIND(",",SUBSTITUTE(G483,"[{",""))-1),Sheet2!B:B,Sheet2!C:C)&amp;"+"&amp;1,_xlfn.XLOOKUP(LEFT(SUBSTITUTE(G483,"[{",""),FIND(",",SUBSTITUTE(G483,"[{",""))-1),Sheet2!B:B,Sheet2!C:C)&amp;"+"&amp;SUBSTITUTE(RIGHT(G483,LEN(G483)-FIND(",",G483)),"}]","")/100&amp;"%")</f>
        <v>上阵两个法师职业增伤+10%</v>
      </c>
      <c r="L483" s="83" t="str">
        <f ca="1">IF(MOD(COUNTIF($Q$11:Q482,Q482),5)=0,OFFSET(装备属性!$G$1083,1+INT(COUNTA($Q$11:Q482)/5),0),L482)</f>
        <v>施法小队Ⅲ</v>
      </c>
      <c r="M483" s="89" t="str">
        <f ca="1">IF(MOD(COUNTIF($Q$11:Q482,Q482),5)=0,OFFSET(装备属性!$H$1083,1+INT(COUNTA($Q$11:Q482)/5),0),M482)</f>
        <v>mage_class_dmg_rate</v>
      </c>
      <c r="N483" s="76">
        <f ca="1">IF(MOD(COUNTIF($Q$11:Q482,Q482),5)=0,OFFSET(装备属性!$K$1083,1+INT(COUNTA($Q$11:Q482)/5),0),N482)</f>
        <v>0.09</v>
      </c>
      <c r="O483" s="76">
        <f ca="1">IF(MOD(COUNTIF($Q$11:Q482,Q482),5)=0,OFFSET(装备属性!$L$1083,1+INT(COUNTA($Q$11:Q482)/5),0),O482)</f>
        <v>0.11</v>
      </c>
      <c r="Q483" s="89" t="str">
        <f ca="1">IF(MOD(COUNTIF($Q$11:Q482,Q482),5)=0,OFFSET(装备属性!$M$1083,1+INT(COUNTA($Q$11:Q482)/5),0),Q482)</f>
        <v>通用属性</v>
      </c>
      <c r="R483" s="83">
        <f ca="1">IF(MOD(COUNTIF($Q$11:Q482,Q482),5)=0,10000*SUBSTITUTE(SUBSTITUTE(OFFSET(装备属性!$F$1083,1+INT(COUNTA($Q$11:Q482)/5),0),"[",""),"]","")+_xlfn.XLOOKUP(C483,$M$3:$M$7,$N$3:$N$7)*100,R482)</f>
        <v>20600</v>
      </c>
    </row>
    <row r="484" customHeight="1" spans="1:18">
      <c r="A484" s="78">
        <f ca="1" t="shared" si="21"/>
        <v>20601</v>
      </c>
      <c r="B484" s="82">
        <f ca="1">IFERROR(R484+COUNTIFS($R$11:$R484,R484),"")</f>
        <v>20629</v>
      </c>
      <c r="C484" s="83" t="str">
        <f ca="1">IF(MOD(COUNTIF($Q$11:Q483,Q483),5)=0,OFFSET(装备属性!$D$1083,1+INT(COUNTA($Q$11:Q483)/5),0),C483)</f>
        <v>红</v>
      </c>
      <c r="D484" s="82">
        <f t="shared" si="23"/>
        <v>1500</v>
      </c>
      <c r="F484" s="82">
        <f ca="1" t="shared" si="22"/>
        <v>20605</v>
      </c>
      <c r="G484" s="78" t="str">
        <f ca="1">IF(AND(LEFT("[{"&amp;M484&amp;","&amp;CEILING(N484*10000+(O484-N484)/4*(COUNTIF($F$11:F484,F484)-1)*10000,10)&amp;"}]",7)="[{equip",MID("[{"&amp;M484&amp;","&amp;CEILING(N484*10000+(O484-N484)/4*(COUNTIF($F$11:F484,F484)-1)*10000,10)&amp;"}]",8,1)&lt;&gt;"_"),"[{"&amp;M484&amp;","&amp;1&amp;"}]","[{"&amp;M484&amp;","&amp;CEILING(N484*10000+(O484-N484)/4*(COUNTIF($F$11:F484,F484)-1)*10000,10)&amp;"}]")</f>
        <v>[{mage_class_dmg_rate,1050}]</v>
      </c>
      <c r="H484" s="82" t="s">
        <v>563</v>
      </c>
      <c r="J484" s="78">
        <f ca="1">IF(MOD(COUNTIF($Q$11:Q483,Q483),5)=0,OFFSET(装备属性!$P$1083,1+INT(COUNTA($Q$11:Q483)/5),0),J483)</f>
        <v>4</v>
      </c>
      <c r="K484" s="83" t="str">
        <f ca="1">IF(RIGHT(G484,13)="rune_slot,1}]",_xlfn.XLOOKUP(LEFT(SUBSTITUTE(G484,"[{",""),FIND(",",SUBSTITUTE(G484,"[{",""))-1),Sheet2!B:B,Sheet2!C:C)&amp;"+"&amp;1,_xlfn.XLOOKUP(LEFT(SUBSTITUTE(G484,"[{",""),FIND(",",SUBSTITUTE(G484,"[{",""))-1),Sheet2!B:B,Sheet2!C:C)&amp;"+"&amp;SUBSTITUTE(RIGHT(G484,LEN(G484)-FIND(",",G484)),"}]","")/100&amp;"%")</f>
        <v>上阵两个法师职业增伤+10.5%</v>
      </c>
      <c r="L484" s="83" t="str">
        <f ca="1">IF(MOD(COUNTIF($Q$11:Q483,Q483),5)=0,OFFSET(装备属性!$G$1083,1+INT(COUNTA($Q$11:Q483)/5),0),L483)</f>
        <v>施法小队Ⅲ</v>
      </c>
      <c r="M484" s="89" t="str">
        <f ca="1">IF(MOD(COUNTIF($Q$11:Q483,Q483),5)=0,OFFSET(装备属性!$H$1083,1+INT(COUNTA($Q$11:Q483)/5),0),M483)</f>
        <v>mage_class_dmg_rate</v>
      </c>
      <c r="N484" s="76">
        <f ca="1">IF(MOD(COUNTIF($Q$11:Q483,Q483),5)=0,OFFSET(装备属性!$K$1083,1+INT(COUNTA($Q$11:Q483)/5),0),N483)</f>
        <v>0.09</v>
      </c>
      <c r="O484" s="76">
        <f ca="1">IF(MOD(COUNTIF($Q$11:Q483,Q483),5)=0,OFFSET(装备属性!$L$1083,1+INT(COUNTA($Q$11:Q483)/5),0),O483)</f>
        <v>0.11</v>
      </c>
      <c r="Q484" s="89" t="str">
        <f ca="1">IF(MOD(COUNTIF($Q$11:Q483,Q483),5)=0,OFFSET(装备属性!$M$1083,1+INT(COUNTA($Q$11:Q483)/5),0),Q483)</f>
        <v>通用属性</v>
      </c>
      <c r="R484" s="83">
        <f ca="1">IF(MOD(COUNTIF($Q$11:Q483,Q483),5)=0,10000*SUBSTITUTE(SUBSTITUTE(OFFSET(装备属性!$F$1083,1+INT(COUNTA($Q$11:Q483)/5),0),"[",""),"]","")+_xlfn.XLOOKUP(C484,$M$3:$M$7,$N$3:$N$7)*100,R483)</f>
        <v>20600</v>
      </c>
    </row>
    <row r="485" customHeight="1" spans="1:18">
      <c r="A485" s="78">
        <f ca="1" t="shared" si="21"/>
        <v>20601</v>
      </c>
      <c r="B485" s="82">
        <f ca="1">IFERROR(R485+COUNTIFS($R$11:$R485,R485),"")</f>
        <v>20630</v>
      </c>
      <c r="C485" s="83" t="str">
        <f ca="1">IF(MOD(COUNTIF($Q$11:Q484,Q484),5)=0,OFFSET(装备属性!$D$1083,1+INT(COUNTA($Q$11:Q484)/5),0),C484)</f>
        <v>红</v>
      </c>
      <c r="D485" s="82">
        <f t="shared" si="23"/>
        <v>1000</v>
      </c>
      <c r="F485" s="82">
        <f ca="1" t="shared" si="22"/>
        <v>20605</v>
      </c>
      <c r="G485" s="78" t="str">
        <f ca="1">IF(AND(LEFT("[{"&amp;M485&amp;","&amp;CEILING(N485*10000+(O485-N485)/4*(COUNTIF($F$11:F485,F485)-1)*10000,10)&amp;"}]",7)="[{equip",MID("[{"&amp;M485&amp;","&amp;CEILING(N485*10000+(O485-N485)/4*(COUNTIF($F$11:F485,F485)-1)*10000,10)&amp;"}]",8,1)&lt;&gt;"_"),"[{"&amp;M485&amp;","&amp;1&amp;"}]","[{"&amp;M485&amp;","&amp;CEILING(N485*10000+(O485-N485)/4*(COUNTIF($F$11:F485,F485)-1)*10000,10)&amp;"}]")</f>
        <v>[{mage_class_dmg_rate,1100}]</v>
      </c>
      <c r="H485" s="82" t="s">
        <v>563</v>
      </c>
      <c r="J485" s="78">
        <f ca="1">IF(MOD(COUNTIF($Q$11:Q484,Q484),5)=0,OFFSET(装备属性!$P$1083,1+INT(COUNTA($Q$11:Q484)/5),0),J484)</f>
        <v>4</v>
      </c>
      <c r="K485" s="83" t="str">
        <f ca="1">IF(RIGHT(G485,13)="rune_slot,1}]",_xlfn.XLOOKUP(LEFT(SUBSTITUTE(G485,"[{",""),FIND(",",SUBSTITUTE(G485,"[{",""))-1),Sheet2!B:B,Sheet2!C:C)&amp;"+"&amp;1,_xlfn.XLOOKUP(LEFT(SUBSTITUTE(G485,"[{",""),FIND(",",SUBSTITUTE(G485,"[{",""))-1),Sheet2!B:B,Sheet2!C:C)&amp;"+"&amp;SUBSTITUTE(RIGHT(G485,LEN(G485)-FIND(",",G485)),"}]","")/100&amp;"%")</f>
        <v>上阵两个法师职业增伤+11%</v>
      </c>
      <c r="L485" s="83" t="str">
        <f ca="1">IF(MOD(COUNTIF($Q$11:Q484,Q484),5)=0,OFFSET(装备属性!$G$1083,1+INT(COUNTA($Q$11:Q484)/5),0),L484)</f>
        <v>施法小队Ⅲ</v>
      </c>
      <c r="M485" s="89" t="str">
        <f ca="1">IF(MOD(COUNTIF($Q$11:Q484,Q484),5)=0,OFFSET(装备属性!$H$1083,1+INT(COUNTA($Q$11:Q484)/5),0),M484)</f>
        <v>mage_class_dmg_rate</v>
      </c>
      <c r="N485" s="76">
        <f ca="1">IF(MOD(COUNTIF($Q$11:Q484,Q484),5)=0,OFFSET(装备属性!$K$1083,1+INT(COUNTA($Q$11:Q484)/5),0),N484)</f>
        <v>0.09</v>
      </c>
      <c r="O485" s="76">
        <f ca="1">IF(MOD(COUNTIF($Q$11:Q484,Q484),5)=0,OFFSET(装备属性!$L$1083,1+INT(COUNTA($Q$11:Q484)/5),0),O484)</f>
        <v>0.11</v>
      </c>
      <c r="Q485" s="89" t="str">
        <f ca="1">IF(MOD(COUNTIF($Q$11:Q484,Q484),5)=0,OFFSET(装备属性!$M$1083,1+INT(COUNTA($Q$11:Q484)/5),0),Q484)</f>
        <v>通用属性</v>
      </c>
      <c r="R485" s="83">
        <f ca="1">IF(MOD(COUNTIF($Q$11:Q484,Q484),5)=0,10000*SUBSTITUTE(SUBSTITUTE(OFFSET(装备属性!$F$1083,1+INT(COUNTA($Q$11:Q484)/5),0),"[",""),"]","")+_xlfn.XLOOKUP(C485,$M$3:$M$7,$N$3:$N$7)*100,R484)</f>
        <v>20600</v>
      </c>
    </row>
    <row r="486" customHeight="1" spans="1:18">
      <c r="A486" s="78">
        <f ca="1" t="shared" si="21"/>
        <v>20601</v>
      </c>
      <c r="B486" s="82">
        <f ca="1">IFERROR(R486+COUNTIFS($R$11:$R486,R486),"")</f>
        <v>20631</v>
      </c>
      <c r="C486" s="83" t="str">
        <f ca="1">IF(MOD(COUNTIF($Q$11:Q485,Q485),5)=0,OFFSET(装备属性!$D$1083,1+INT(COUNTA($Q$11:Q485)/5),0),C485)</f>
        <v>红</v>
      </c>
      <c r="D486" s="82">
        <f t="shared" si="23"/>
        <v>3000</v>
      </c>
      <c r="F486" s="82">
        <f ca="1" t="shared" si="22"/>
        <v>20606</v>
      </c>
      <c r="G486" s="78" t="str">
        <f ca="1">IF(AND(LEFT("[{"&amp;M486&amp;","&amp;CEILING(N486*10000+(O486-N486)/4*(COUNTIF($F$11:F486,F486)-1)*10000,10)&amp;"}]",7)="[{equip",MID("[{"&amp;M486&amp;","&amp;CEILING(N486*10000+(O486-N486)/4*(COUNTIF($F$11:F486,F486)-1)*10000,10)&amp;"}]",8,1)&lt;&gt;"_"),"[{"&amp;M486&amp;","&amp;1&amp;"}]","[{"&amp;M486&amp;","&amp;CEILING(N486*10000+(O486-N486)/4*(COUNTIF($F$11:F486,F486)-1)*10000,10)&amp;"}]")</f>
        <v>[{mage_crit_dmg,2700}]</v>
      </c>
      <c r="H486" s="82" t="s">
        <v>563</v>
      </c>
      <c r="J486" s="78">
        <f ca="1">IF(MOD(COUNTIF($Q$11:Q485,Q485),5)=0,OFFSET(装备属性!$P$1083,1+INT(COUNTA($Q$11:Q485)/5),0),J485)</f>
        <v>10</v>
      </c>
      <c r="K486" s="83" t="str">
        <f ca="1">IF(RIGHT(G486,13)="rune_slot,1}]",_xlfn.XLOOKUP(LEFT(SUBSTITUTE(G486,"[{",""),FIND(",",SUBSTITUTE(G486,"[{",""))-1),Sheet2!B:B,Sheet2!C:C)&amp;"+"&amp;1,_xlfn.XLOOKUP(LEFT(SUBSTITUTE(G486,"[{",""),FIND(",",SUBSTITUTE(G486,"[{",""))-1),Sheet2!B:B,Sheet2!C:C)&amp;"+"&amp;SUBSTITUTE(RIGHT(G486,LEN(G486)-FIND(",",G486)),"}]","")/100&amp;"%")</f>
        <v>法师暴击伤害+27%</v>
      </c>
      <c r="L486" s="83" t="str">
        <f ca="1">IF(MOD(COUNTIF($Q$11:Q485,Q485),5)=0,OFFSET(装备属性!$G$1083,1+INT(COUNTA($Q$11:Q485)/5),0),L485)</f>
        <v>暴走施法Ⅲ</v>
      </c>
      <c r="M486" s="89" t="str">
        <f ca="1">IF(MOD(COUNTIF($Q$11:Q485,Q485),5)=0,OFFSET(装备属性!$H$1083,1+INT(COUNTA($Q$11:Q485)/5),0),M485)</f>
        <v>mage_crit_dmg</v>
      </c>
      <c r="N486" s="76">
        <f ca="1">IF(MOD(COUNTIF($Q$11:Q485,Q485),5)=0,OFFSET(装备属性!$K$1083,1+INT(COUNTA($Q$11:Q485)/5),0),N485)</f>
        <v>0.27</v>
      </c>
      <c r="O486" s="76">
        <f ca="1">IF(MOD(COUNTIF($Q$11:Q485,Q485),5)=0,OFFSET(装备属性!$L$1083,1+INT(COUNTA($Q$11:Q485)/5),0),O485)</f>
        <v>0.33</v>
      </c>
      <c r="Q486" s="89" t="str">
        <f ca="1">IF(MOD(COUNTIF($Q$11:Q485,Q485),5)=0,OFFSET(装备属性!$M$1083,1+INT(COUNTA($Q$11:Q485)/5),0),Q485)</f>
        <v>通用属性</v>
      </c>
      <c r="R486" s="83">
        <f ca="1">IF(MOD(COUNTIF($Q$11:Q485,Q485),5)=0,10000*SUBSTITUTE(SUBSTITUTE(OFFSET(装备属性!$F$1083,1+INT(COUNTA($Q$11:Q485)/5),0),"[",""),"]","")+_xlfn.XLOOKUP(C486,$M$3:$M$7,$N$3:$N$7)*100,R485)</f>
        <v>20600</v>
      </c>
    </row>
    <row r="487" customHeight="1" spans="1:18">
      <c r="A487" s="78">
        <f ca="1" t="shared" si="21"/>
        <v>20601</v>
      </c>
      <c r="B487" s="82">
        <f ca="1">IFERROR(R487+COUNTIFS($R$11:$R487,R487),"")</f>
        <v>20632</v>
      </c>
      <c r="C487" s="83" t="str">
        <f ca="1">IF(MOD(COUNTIF($Q$11:Q486,Q486),5)=0,OFFSET(装备属性!$D$1083,1+INT(COUNTA($Q$11:Q486)/5),0),C486)</f>
        <v>红</v>
      </c>
      <c r="D487" s="82">
        <f t="shared" si="23"/>
        <v>2500</v>
      </c>
      <c r="F487" s="82">
        <f ca="1" t="shared" si="22"/>
        <v>20606</v>
      </c>
      <c r="G487" s="78" t="str">
        <f ca="1">IF(AND(LEFT("[{"&amp;M487&amp;","&amp;CEILING(N487*10000+(O487-N487)/4*(COUNTIF($F$11:F487,F487)-1)*10000,10)&amp;"}]",7)="[{equip",MID("[{"&amp;M487&amp;","&amp;CEILING(N487*10000+(O487-N487)/4*(COUNTIF($F$11:F487,F487)-1)*10000,10)&amp;"}]",8,1)&lt;&gt;"_"),"[{"&amp;M487&amp;","&amp;1&amp;"}]","[{"&amp;M487&amp;","&amp;CEILING(N487*10000+(O487-N487)/4*(COUNTIF($F$11:F487,F487)-1)*10000,10)&amp;"}]")</f>
        <v>[{mage_crit_dmg,2850}]</v>
      </c>
      <c r="H487" s="82" t="s">
        <v>563</v>
      </c>
      <c r="J487" s="78">
        <f ca="1">IF(MOD(COUNTIF($Q$11:Q486,Q486),5)=0,OFFSET(装备属性!$P$1083,1+INT(COUNTA($Q$11:Q486)/5),0),J486)</f>
        <v>10</v>
      </c>
      <c r="K487" s="83" t="str">
        <f ca="1">IF(RIGHT(G487,13)="rune_slot,1}]",_xlfn.XLOOKUP(LEFT(SUBSTITUTE(G487,"[{",""),FIND(",",SUBSTITUTE(G487,"[{",""))-1),Sheet2!B:B,Sheet2!C:C)&amp;"+"&amp;1,_xlfn.XLOOKUP(LEFT(SUBSTITUTE(G487,"[{",""),FIND(",",SUBSTITUTE(G487,"[{",""))-1),Sheet2!B:B,Sheet2!C:C)&amp;"+"&amp;SUBSTITUTE(RIGHT(G487,LEN(G487)-FIND(",",G487)),"}]","")/100&amp;"%")</f>
        <v>法师暴击伤害+28.5%</v>
      </c>
      <c r="L487" s="83" t="str">
        <f ca="1">IF(MOD(COUNTIF($Q$11:Q486,Q486),5)=0,OFFSET(装备属性!$G$1083,1+INT(COUNTA($Q$11:Q486)/5),0),L486)</f>
        <v>暴走施法Ⅲ</v>
      </c>
      <c r="M487" s="89" t="str">
        <f ca="1">IF(MOD(COUNTIF($Q$11:Q486,Q486),5)=0,OFFSET(装备属性!$H$1083,1+INT(COUNTA($Q$11:Q486)/5),0),M486)</f>
        <v>mage_crit_dmg</v>
      </c>
      <c r="N487" s="76">
        <f ca="1">IF(MOD(COUNTIF($Q$11:Q486,Q486),5)=0,OFFSET(装备属性!$K$1083,1+INT(COUNTA($Q$11:Q486)/5),0),N486)</f>
        <v>0.27</v>
      </c>
      <c r="O487" s="76">
        <f ca="1">IF(MOD(COUNTIF($Q$11:Q486,Q486),5)=0,OFFSET(装备属性!$L$1083,1+INT(COUNTA($Q$11:Q486)/5),0),O486)</f>
        <v>0.33</v>
      </c>
      <c r="Q487" s="89" t="str">
        <f ca="1">IF(MOD(COUNTIF($Q$11:Q486,Q486),5)=0,OFFSET(装备属性!$M$1083,1+INT(COUNTA($Q$11:Q486)/5),0),Q486)</f>
        <v>通用属性</v>
      </c>
      <c r="R487" s="83">
        <f ca="1">IF(MOD(COUNTIF($Q$11:Q486,Q486),5)=0,10000*SUBSTITUTE(SUBSTITUTE(OFFSET(装备属性!$F$1083,1+INT(COUNTA($Q$11:Q486)/5),0),"[",""),"]","")+_xlfn.XLOOKUP(C487,$M$3:$M$7,$N$3:$N$7)*100,R486)</f>
        <v>20600</v>
      </c>
    </row>
    <row r="488" customHeight="1" spans="1:18">
      <c r="A488" s="78">
        <f ca="1" t="shared" si="21"/>
        <v>20601</v>
      </c>
      <c r="B488" s="82">
        <f ca="1">IFERROR(R488+COUNTIFS($R$11:$R488,R488),"")</f>
        <v>20633</v>
      </c>
      <c r="C488" s="83" t="str">
        <f ca="1">IF(MOD(COUNTIF($Q$11:Q487,Q487),5)=0,OFFSET(装备属性!$D$1083,1+INT(COUNTA($Q$11:Q487)/5),0),C487)</f>
        <v>红</v>
      </c>
      <c r="D488" s="82">
        <f t="shared" si="23"/>
        <v>2000</v>
      </c>
      <c r="F488" s="82">
        <f ca="1" t="shared" si="22"/>
        <v>20606</v>
      </c>
      <c r="G488" s="78" t="str">
        <f ca="1">IF(AND(LEFT("[{"&amp;M488&amp;","&amp;CEILING(N488*10000+(O488-N488)/4*(COUNTIF($F$11:F488,F488)-1)*10000,10)&amp;"}]",7)="[{equip",MID("[{"&amp;M488&amp;","&amp;CEILING(N488*10000+(O488-N488)/4*(COUNTIF($F$11:F488,F488)-1)*10000,10)&amp;"}]",8,1)&lt;&gt;"_"),"[{"&amp;M488&amp;","&amp;1&amp;"}]","[{"&amp;M488&amp;","&amp;CEILING(N488*10000+(O488-N488)/4*(COUNTIF($F$11:F488,F488)-1)*10000,10)&amp;"}]")</f>
        <v>[{mage_crit_dmg,3000}]</v>
      </c>
      <c r="H488" s="82" t="s">
        <v>563</v>
      </c>
      <c r="J488" s="78">
        <f ca="1">IF(MOD(COUNTIF($Q$11:Q487,Q487),5)=0,OFFSET(装备属性!$P$1083,1+INT(COUNTA($Q$11:Q487)/5),0),J487)</f>
        <v>10</v>
      </c>
      <c r="K488" s="83" t="str">
        <f ca="1">IF(RIGHT(G488,13)="rune_slot,1}]",_xlfn.XLOOKUP(LEFT(SUBSTITUTE(G488,"[{",""),FIND(",",SUBSTITUTE(G488,"[{",""))-1),Sheet2!B:B,Sheet2!C:C)&amp;"+"&amp;1,_xlfn.XLOOKUP(LEFT(SUBSTITUTE(G488,"[{",""),FIND(",",SUBSTITUTE(G488,"[{",""))-1),Sheet2!B:B,Sheet2!C:C)&amp;"+"&amp;SUBSTITUTE(RIGHT(G488,LEN(G488)-FIND(",",G488)),"}]","")/100&amp;"%")</f>
        <v>法师暴击伤害+30%</v>
      </c>
      <c r="L488" s="83" t="str">
        <f ca="1">IF(MOD(COUNTIF($Q$11:Q487,Q487),5)=0,OFFSET(装备属性!$G$1083,1+INT(COUNTA($Q$11:Q487)/5),0),L487)</f>
        <v>暴走施法Ⅲ</v>
      </c>
      <c r="M488" s="89" t="str">
        <f ca="1">IF(MOD(COUNTIF($Q$11:Q487,Q487),5)=0,OFFSET(装备属性!$H$1083,1+INT(COUNTA($Q$11:Q487)/5),0),M487)</f>
        <v>mage_crit_dmg</v>
      </c>
      <c r="N488" s="76">
        <f ca="1">IF(MOD(COUNTIF($Q$11:Q487,Q487),5)=0,OFFSET(装备属性!$K$1083,1+INT(COUNTA($Q$11:Q487)/5),0),N487)</f>
        <v>0.27</v>
      </c>
      <c r="O488" s="76">
        <f ca="1">IF(MOD(COUNTIF($Q$11:Q487,Q487),5)=0,OFFSET(装备属性!$L$1083,1+INT(COUNTA($Q$11:Q487)/5),0),O487)</f>
        <v>0.33</v>
      </c>
      <c r="Q488" s="89" t="str">
        <f ca="1">IF(MOD(COUNTIF($Q$11:Q487,Q487),5)=0,OFFSET(装备属性!$M$1083,1+INT(COUNTA($Q$11:Q487)/5),0),Q487)</f>
        <v>通用属性</v>
      </c>
      <c r="R488" s="83">
        <f ca="1">IF(MOD(COUNTIF($Q$11:Q487,Q487),5)=0,10000*SUBSTITUTE(SUBSTITUTE(OFFSET(装备属性!$F$1083,1+INT(COUNTA($Q$11:Q487)/5),0),"[",""),"]","")+_xlfn.XLOOKUP(C488,$M$3:$M$7,$N$3:$N$7)*100,R487)</f>
        <v>20600</v>
      </c>
    </row>
    <row r="489" customHeight="1" spans="1:18">
      <c r="A489" s="78">
        <f ca="1" t="shared" si="21"/>
        <v>20601</v>
      </c>
      <c r="B489" s="82">
        <f ca="1">IFERROR(R489+COUNTIFS($R$11:$R489,R489),"")</f>
        <v>20634</v>
      </c>
      <c r="C489" s="83" t="str">
        <f ca="1">IF(MOD(COUNTIF($Q$11:Q488,Q488),5)=0,OFFSET(装备属性!$D$1083,1+INT(COUNTA($Q$11:Q488)/5),0),C488)</f>
        <v>红</v>
      </c>
      <c r="D489" s="82">
        <f t="shared" si="23"/>
        <v>1500</v>
      </c>
      <c r="F489" s="82">
        <f ca="1" t="shared" si="22"/>
        <v>20606</v>
      </c>
      <c r="G489" s="78" t="str">
        <f ca="1">IF(AND(LEFT("[{"&amp;M489&amp;","&amp;CEILING(N489*10000+(O489-N489)/4*(COUNTIF($F$11:F489,F489)-1)*10000,10)&amp;"}]",7)="[{equip",MID("[{"&amp;M489&amp;","&amp;CEILING(N489*10000+(O489-N489)/4*(COUNTIF($F$11:F489,F489)-1)*10000,10)&amp;"}]",8,1)&lt;&gt;"_"),"[{"&amp;M489&amp;","&amp;1&amp;"}]","[{"&amp;M489&amp;","&amp;CEILING(N489*10000+(O489-N489)/4*(COUNTIF($F$11:F489,F489)-1)*10000,10)&amp;"}]")</f>
        <v>[{mage_crit_dmg,3150}]</v>
      </c>
      <c r="H489" s="82" t="s">
        <v>563</v>
      </c>
      <c r="J489" s="78">
        <f ca="1">IF(MOD(COUNTIF($Q$11:Q488,Q488),5)=0,OFFSET(装备属性!$P$1083,1+INT(COUNTA($Q$11:Q488)/5),0),J488)</f>
        <v>10</v>
      </c>
      <c r="K489" s="83" t="str">
        <f ca="1">IF(RIGHT(G489,13)="rune_slot,1}]",_xlfn.XLOOKUP(LEFT(SUBSTITUTE(G489,"[{",""),FIND(",",SUBSTITUTE(G489,"[{",""))-1),Sheet2!B:B,Sheet2!C:C)&amp;"+"&amp;1,_xlfn.XLOOKUP(LEFT(SUBSTITUTE(G489,"[{",""),FIND(",",SUBSTITUTE(G489,"[{",""))-1),Sheet2!B:B,Sheet2!C:C)&amp;"+"&amp;SUBSTITUTE(RIGHT(G489,LEN(G489)-FIND(",",G489)),"}]","")/100&amp;"%")</f>
        <v>法师暴击伤害+31.5%</v>
      </c>
      <c r="L489" s="83" t="str">
        <f ca="1">IF(MOD(COUNTIF($Q$11:Q488,Q488),5)=0,OFFSET(装备属性!$G$1083,1+INT(COUNTA($Q$11:Q488)/5),0),L488)</f>
        <v>暴走施法Ⅲ</v>
      </c>
      <c r="M489" s="89" t="str">
        <f ca="1">IF(MOD(COUNTIF($Q$11:Q488,Q488),5)=0,OFFSET(装备属性!$H$1083,1+INT(COUNTA($Q$11:Q488)/5),0),M488)</f>
        <v>mage_crit_dmg</v>
      </c>
      <c r="N489" s="76">
        <f ca="1">IF(MOD(COUNTIF($Q$11:Q488,Q488),5)=0,OFFSET(装备属性!$K$1083,1+INT(COUNTA($Q$11:Q488)/5),0),N488)</f>
        <v>0.27</v>
      </c>
      <c r="O489" s="76">
        <f ca="1">IF(MOD(COUNTIF($Q$11:Q488,Q488),5)=0,OFFSET(装备属性!$L$1083,1+INT(COUNTA($Q$11:Q488)/5),0),O488)</f>
        <v>0.33</v>
      </c>
      <c r="Q489" s="89" t="str">
        <f ca="1">IF(MOD(COUNTIF($Q$11:Q488,Q488),5)=0,OFFSET(装备属性!$M$1083,1+INT(COUNTA($Q$11:Q488)/5),0),Q488)</f>
        <v>通用属性</v>
      </c>
      <c r="R489" s="83">
        <f ca="1">IF(MOD(COUNTIF($Q$11:Q488,Q488),5)=0,10000*SUBSTITUTE(SUBSTITUTE(OFFSET(装备属性!$F$1083,1+INT(COUNTA($Q$11:Q488)/5),0),"[",""),"]","")+_xlfn.XLOOKUP(C489,$M$3:$M$7,$N$3:$N$7)*100,R488)</f>
        <v>20600</v>
      </c>
    </row>
    <row r="490" customHeight="1" spans="1:18">
      <c r="A490" s="78">
        <f ca="1" t="shared" si="21"/>
        <v>20601</v>
      </c>
      <c r="B490" s="82">
        <f ca="1">IFERROR(R490+COUNTIFS($R$11:$R490,R490),"")</f>
        <v>20635</v>
      </c>
      <c r="C490" s="83" t="str">
        <f ca="1">IF(MOD(COUNTIF($Q$11:Q489,Q489),5)=0,OFFSET(装备属性!$D$1083,1+INT(COUNTA($Q$11:Q489)/5),0),C489)</f>
        <v>红</v>
      </c>
      <c r="D490" s="82">
        <f t="shared" si="23"/>
        <v>1000</v>
      </c>
      <c r="F490" s="82">
        <f ca="1" t="shared" si="22"/>
        <v>20606</v>
      </c>
      <c r="G490" s="78" t="str">
        <f ca="1">IF(AND(LEFT("[{"&amp;M490&amp;","&amp;CEILING(N490*10000+(O490-N490)/4*(COUNTIF($F$11:F490,F490)-1)*10000,10)&amp;"}]",7)="[{equip",MID("[{"&amp;M490&amp;","&amp;CEILING(N490*10000+(O490-N490)/4*(COUNTIF($F$11:F490,F490)-1)*10000,10)&amp;"}]",8,1)&lt;&gt;"_"),"[{"&amp;M490&amp;","&amp;1&amp;"}]","[{"&amp;M490&amp;","&amp;CEILING(N490*10000+(O490-N490)/4*(COUNTIF($F$11:F490,F490)-1)*10000,10)&amp;"}]")</f>
        <v>[{mage_crit_dmg,3300}]</v>
      </c>
      <c r="H490" s="82" t="s">
        <v>563</v>
      </c>
      <c r="J490" s="78">
        <f ca="1">IF(MOD(COUNTIF($Q$11:Q489,Q489),5)=0,OFFSET(装备属性!$P$1083,1+INT(COUNTA($Q$11:Q489)/5),0),J489)</f>
        <v>10</v>
      </c>
      <c r="K490" s="83" t="str">
        <f ca="1">IF(RIGHT(G490,13)="rune_slot,1}]",_xlfn.XLOOKUP(LEFT(SUBSTITUTE(G490,"[{",""),FIND(",",SUBSTITUTE(G490,"[{",""))-1),Sheet2!B:B,Sheet2!C:C)&amp;"+"&amp;1,_xlfn.XLOOKUP(LEFT(SUBSTITUTE(G490,"[{",""),FIND(",",SUBSTITUTE(G490,"[{",""))-1),Sheet2!B:B,Sheet2!C:C)&amp;"+"&amp;SUBSTITUTE(RIGHT(G490,LEN(G490)-FIND(",",G490)),"}]","")/100&amp;"%")</f>
        <v>法师暴击伤害+33%</v>
      </c>
      <c r="L490" s="83" t="str">
        <f ca="1">IF(MOD(COUNTIF($Q$11:Q489,Q489),5)=0,OFFSET(装备属性!$G$1083,1+INT(COUNTA($Q$11:Q489)/5),0),L489)</f>
        <v>暴走施法Ⅲ</v>
      </c>
      <c r="M490" s="89" t="str">
        <f ca="1">IF(MOD(COUNTIF($Q$11:Q489,Q489),5)=0,OFFSET(装备属性!$H$1083,1+INT(COUNTA($Q$11:Q489)/5),0),M489)</f>
        <v>mage_crit_dmg</v>
      </c>
      <c r="N490" s="76">
        <f ca="1">IF(MOD(COUNTIF($Q$11:Q489,Q489),5)=0,OFFSET(装备属性!$K$1083,1+INT(COUNTA($Q$11:Q489)/5),0),N489)</f>
        <v>0.27</v>
      </c>
      <c r="O490" s="76">
        <f ca="1">IF(MOD(COUNTIF($Q$11:Q489,Q489),5)=0,OFFSET(装备属性!$L$1083,1+INT(COUNTA($Q$11:Q489)/5),0),O489)</f>
        <v>0.33</v>
      </c>
      <c r="Q490" s="89" t="str">
        <f ca="1">IF(MOD(COUNTIF($Q$11:Q489,Q489),5)=0,OFFSET(装备属性!$M$1083,1+INT(COUNTA($Q$11:Q489)/5),0),Q489)</f>
        <v>通用属性</v>
      </c>
      <c r="R490" s="83">
        <f ca="1">IF(MOD(COUNTIF($Q$11:Q489,Q489),5)=0,10000*SUBSTITUTE(SUBSTITUTE(OFFSET(装备属性!$F$1083,1+INT(COUNTA($Q$11:Q489)/5),0),"[",""),"]","")+_xlfn.XLOOKUP(C490,$M$3:$M$7,$N$3:$N$7)*100,R489)</f>
        <v>20600</v>
      </c>
    </row>
    <row r="491" customHeight="1" spans="1:18">
      <c r="A491" s="78" t="str">
        <f ca="1" t="shared" si="21"/>
        <v/>
      </c>
      <c r="B491" s="82" t="str">
        <f ca="1">IFERROR(R491+COUNTIFS($R$11:$R491,R491),"")</f>
        <v/>
      </c>
      <c r="C491" s="83">
        <f ca="1">IF(MOD(COUNTIF($Q$11:Q490,Q490),5)=0,OFFSET(装备属性!$D$1083,1+INT(COUNTA($Q$11:Q490)/5),0),C490)</f>
        <v>0</v>
      </c>
      <c r="D491" s="82">
        <f t="shared" si="23"/>
        <v>3000</v>
      </c>
      <c r="F491" s="82" t="str">
        <f ca="1" t="shared" si="22"/>
        <v/>
      </c>
      <c r="G491" s="78" t="str">
        <f ca="1">IF(AND(LEFT("[{"&amp;M491&amp;","&amp;CEILING(N491*10000+(O491-N491)/4*(COUNTIF($F$11:F491,F491)-1)*10000,10)&amp;"}]",7)="[{equip",MID("[{"&amp;M491&amp;","&amp;CEILING(N491*10000+(O491-N491)/4*(COUNTIF($F$11:F491,F491)-1)*10000,10)&amp;"}]",8,1)&lt;&gt;"_"),"[{"&amp;M491&amp;","&amp;1&amp;"}]","[{"&amp;M491&amp;","&amp;CEILING(N491*10000+(O491-N491)/4*(COUNTIF($F$11:F491,F491)-1)*10000,10)&amp;"}]")</f>
        <v>[{global_dmg_rate,7930}]</v>
      </c>
      <c r="H491" s="82" t="s">
        <v>563</v>
      </c>
      <c r="J491" s="78">
        <f ca="1">IF(MOD(COUNTIF($Q$11:Q490,Q490),5)=0,OFFSET(装备属性!$P$1083,1+INT(COUNTA($Q$11:Q490)/5),0),J490)</f>
        <v>2</v>
      </c>
      <c r="K491" s="83" t="str">
        <f ca="1">IF(RIGHT(G491,13)="rune_slot,1}]",_xlfn.XLOOKUP(LEFT(SUBSTITUTE(G491,"[{",""),FIND(",",SUBSTITUTE(G491,"[{",""))-1),Sheet2!B:B,Sheet2!C:C)&amp;"+"&amp;1,_xlfn.XLOOKUP(LEFT(SUBSTITUTE(G491,"[{",""),FIND(",",SUBSTITUTE(G491,"[{",""))-1),Sheet2!B:B,Sheet2!C:C)&amp;"+"&amp;SUBSTITUTE(RIGHT(G491,LEN(G491)-FIND(",",G491)),"}]","")/100&amp;"%")</f>
        <v>伤害加成+79.3%</v>
      </c>
      <c r="L491" s="83" t="str">
        <f ca="1">IF(MOD(COUNTIF($Q$11:Q490,Q490),5)=0,OFFSET(装备属性!$G$1083,1+INT(COUNTA($Q$11:Q490)/5),0),L490)</f>
        <v>全职小队Ⅳ</v>
      </c>
      <c r="M491" s="89" t="str">
        <f ca="1">IF(MOD(COUNTIF($Q$11:Q490,Q490),5)=0,OFFSET(装备属性!$H$1083,1+INT(COUNTA($Q$11:Q490)/5),0),M490)</f>
        <v>global_dmg_rate</v>
      </c>
      <c r="N491" s="76">
        <f ca="1">IF(MOD(COUNTIF($Q$11:Q490,Q490),5)=0,OFFSET(装备属性!$K$1083,1+INT(COUNTA($Q$11:Q490)/5),0),N490)</f>
        <v>0.058</v>
      </c>
      <c r="O491" s="76">
        <f ca="1">IF(MOD(COUNTIF($Q$11:Q490,Q490),5)=0,OFFSET(装备属性!$L$1083,1+INT(COUNTA($Q$11:Q490)/5),0),O490)</f>
        <v>0.072</v>
      </c>
      <c r="Q491" s="89" t="str">
        <f ca="1">IF(MOD(COUNTIF($Q$11:Q490,Q490),5)=0,OFFSET(装备属性!$M$1083,1+INT(COUNTA($Q$11:Q490)/5),0),Q490)</f>
        <v>通用属性</v>
      </c>
      <c r="R491" s="83" t="e">
        <f ca="1">IF(MOD(COUNTIF($Q$11:Q490,Q490),5)=0,10000*SUBSTITUTE(SUBSTITUTE(OFFSET(装备属性!$F$1083,1+INT(COUNTA($Q$11:Q490)/5),0),"[",""),"]","")+_xlfn.XLOOKUP(C491,$M$3:$M$7,$N$3:$N$7)*100,R490)</f>
        <v>#N/A</v>
      </c>
    </row>
    <row r="492" customHeight="1" spans="1:18">
      <c r="A492" s="78" t="str">
        <f ca="1" t="shared" si="21"/>
        <v/>
      </c>
      <c r="B492" s="82" t="str">
        <f ca="1">IFERROR(R492+COUNTIFS($R$11:$R492,R492),"")</f>
        <v/>
      </c>
      <c r="C492" s="83">
        <f ca="1">IF(MOD(COUNTIF($Q$11:Q491,Q491),5)=0,OFFSET(装备属性!$D$1083,1+INT(COUNTA($Q$11:Q491)/5),0),C491)</f>
        <v>0</v>
      </c>
      <c r="D492" s="82">
        <f t="shared" si="23"/>
        <v>2500</v>
      </c>
      <c r="F492" s="82" t="str">
        <f ca="1" t="shared" si="22"/>
        <v/>
      </c>
      <c r="G492" s="78" t="str">
        <f ca="1">IF(AND(LEFT("[{"&amp;M492&amp;","&amp;CEILING(N492*10000+(O492-N492)/4*(COUNTIF($F$11:F492,F492)-1)*10000,10)&amp;"}]",7)="[{equip",MID("[{"&amp;M492&amp;","&amp;CEILING(N492*10000+(O492-N492)/4*(COUNTIF($F$11:F492,F492)-1)*10000,10)&amp;"}]",8,1)&lt;&gt;"_"),"[{"&amp;M492&amp;","&amp;1&amp;"}]","[{"&amp;M492&amp;","&amp;CEILING(N492*10000+(O492-N492)/4*(COUNTIF($F$11:F492,F492)-1)*10000,10)&amp;"}]")</f>
        <v>[{global_dmg_rate,7970}]</v>
      </c>
      <c r="H492" s="82" t="s">
        <v>563</v>
      </c>
      <c r="J492" s="78">
        <f ca="1">IF(MOD(COUNTIF($Q$11:Q491,Q491),5)=0,OFFSET(装备属性!$P$1083,1+INT(COUNTA($Q$11:Q491)/5),0),J491)</f>
        <v>2</v>
      </c>
      <c r="K492" s="83" t="str">
        <f ca="1">IF(RIGHT(G492,13)="rune_slot,1}]",_xlfn.XLOOKUP(LEFT(SUBSTITUTE(G492,"[{",""),FIND(",",SUBSTITUTE(G492,"[{",""))-1),Sheet2!B:B,Sheet2!C:C)&amp;"+"&amp;1,_xlfn.XLOOKUP(LEFT(SUBSTITUTE(G492,"[{",""),FIND(",",SUBSTITUTE(G492,"[{",""))-1),Sheet2!B:B,Sheet2!C:C)&amp;"+"&amp;SUBSTITUTE(RIGHT(G492,LEN(G492)-FIND(",",G492)),"}]","")/100&amp;"%")</f>
        <v>伤害加成+79.7%</v>
      </c>
      <c r="L492" s="83" t="str">
        <f ca="1">IF(MOD(COUNTIF($Q$11:Q491,Q491),5)=0,OFFSET(装备属性!$G$1083,1+INT(COUNTA($Q$11:Q491)/5),0),L491)</f>
        <v>全职小队Ⅳ</v>
      </c>
      <c r="M492" s="89" t="str">
        <f ca="1">IF(MOD(COUNTIF($Q$11:Q491,Q491),5)=0,OFFSET(装备属性!$H$1083,1+INT(COUNTA($Q$11:Q491)/5),0),M491)</f>
        <v>global_dmg_rate</v>
      </c>
      <c r="N492" s="76">
        <f ca="1">IF(MOD(COUNTIF($Q$11:Q491,Q491),5)=0,OFFSET(装备属性!$K$1083,1+INT(COUNTA($Q$11:Q491)/5),0),N491)</f>
        <v>0.058</v>
      </c>
      <c r="O492" s="76">
        <f ca="1">IF(MOD(COUNTIF($Q$11:Q491,Q491),5)=0,OFFSET(装备属性!$L$1083,1+INT(COUNTA($Q$11:Q491)/5),0),O491)</f>
        <v>0.072</v>
      </c>
      <c r="Q492" s="89" t="str">
        <f ca="1">IF(MOD(COUNTIF($Q$11:Q491,Q491),5)=0,OFFSET(装备属性!$M$1083,1+INT(COUNTA($Q$11:Q491)/5),0),Q491)</f>
        <v>通用属性</v>
      </c>
      <c r="R492" s="83" t="e">
        <f ca="1">IF(MOD(COUNTIF($Q$11:Q491,Q491),5)=0,10000*SUBSTITUTE(SUBSTITUTE(OFFSET(装备属性!$F$1083,1+INT(COUNTA($Q$11:Q491)/5),0),"[",""),"]","")+_xlfn.XLOOKUP(C492,$M$3:$M$7,$N$3:$N$7)*100,R491)</f>
        <v>#N/A</v>
      </c>
    </row>
    <row r="493" customHeight="1" spans="1:18">
      <c r="A493" s="78" t="str">
        <f ca="1" t="shared" si="21"/>
        <v/>
      </c>
      <c r="B493" s="82" t="str">
        <f ca="1">IFERROR(R493+COUNTIFS($R$11:$R493,R493),"")</f>
        <v/>
      </c>
      <c r="C493" s="83">
        <f ca="1">IF(MOD(COUNTIF($Q$11:Q492,Q492),5)=0,OFFSET(装备属性!$D$1083,1+INT(COUNTA($Q$11:Q492)/5),0),C492)</f>
        <v>0</v>
      </c>
      <c r="D493" s="82">
        <f t="shared" si="23"/>
        <v>2000</v>
      </c>
      <c r="F493" s="82" t="str">
        <f ca="1" t="shared" si="22"/>
        <v/>
      </c>
      <c r="G493" s="78" t="str">
        <f ca="1">IF(AND(LEFT("[{"&amp;M493&amp;","&amp;CEILING(N493*10000+(O493-N493)/4*(COUNTIF($F$11:F493,F493)-1)*10000,10)&amp;"}]",7)="[{equip",MID("[{"&amp;M493&amp;","&amp;CEILING(N493*10000+(O493-N493)/4*(COUNTIF($F$11:F493,F493)-1)*10000,10)&amp;"}]",8,1)&lt;&gt;"_"),"[{"&amp;M493&amp;","&amp;1&amp;"}]","[{"&amp;M493&amp;","&amp;CEILING(N493*10000+(O493-N493)/4*(COUNTIF($F$11:F493,F493)-1)*10000,10)&amp;"}]")</f>
        <v>[{global_dmg_rate,8000}]</v>
      </c>
      <c r="H493" s="82" t="s">
        <v>563</v>
      </c>
      <c r="J493" s="78">
        <f ca="1">IF(MOD(COUNTIF($Q$11:Q492,Q492),5)=0,OFFSET(装备属性!$P$1083,1+INT(COUNTA($Q$11:Q492)/5),0),J492)</f>
        <v>2</v>
      </c>
      <c r="K493" s="83" t="str">
        <f ca="1">IF(RIGHT(G493,13)="rune_slot,1}]",_xlfn.XLOOKUP(LEFT(SUBSTITUTE(G493,"[{",""),FIND(",",SUBSTITUTE(G493,"[{",""))-1),Sheet2!B:B,Sheet2!C:C)&amp;"+"&amp;1,_xlfn.XLOOKUP(LEFT(SUBSTITUTE(G493,"[{",""),FIND(",",SUBSTITUTE(G493,"[{",""))-1),Sheet2!B:B,Sheet2!C:C)&amp;"+"&amp;SUBSTITUTE(RIGHT(G493,LEN(G493)-FIND(",",G493)),"}]","")/100&amp;"%")</f>
        <v>伤害加成+80%</v>
      </c>
      <c r="L493" s="83" t="str">
        <f ca="1">IF(MOD(COUNTIF($Q$11:Q492,Q492),5)=0,OFFSET(装备属性!$G$1083,1+INT(COUNTA($Q$11:Q492)/5),0),L492)</f>
        <v>全职小队Ⅳ</v>
      </c>
      <c r="M493" s="89" t="str">
        <f ca="1">IF(MOD(COUNTIF($Q$11:Q492,Q492),5)=0,OFFSET(装备属性!$H$1083,1+INT(COUNTA($Q$11:Q492)/5),0),M492)</f>
        <v>global_dmg_rate</v>
      </c>
      <c r="N493" s="76">
        <f ca="1">IF(MOD(COUNTIF($Q$11:Q492,Q492),5)=0,OFFSET(装备属性!$K$1083,1+INT(COUNTA($Q$11:Q492)/5),0),N492)</f>
        <v>0.058</v>
      </c>
      <c r="O493" s="76">
        <f ca="1">IF(MOD(COUNTIF($Q$11:Q492,Q492),5)=0,OFFSET(装备属性!$L$1083,1+INT(COUNTA($Q$11:Q492)/5),0),O492)</f>
        <v>0.072</v>
      </c>
      <c r="Q493" s="89" t="str">
        <f ca="1">IF(MOD(COUNTIF($Q$11:Q492,Q492),5)=0,OFFSET(装备属性!$M$1083,1+INT(COUNTA($Q$11:Q492)/5),0),Q492)</f>
        <v>通用属性</v>
      </c>
      <c r="R493" s="83" t="e">
        <f ca="1">IF(MOD(COUNTIF($Q$11:Q492,Q492),5)=0,10000*SUBSTITUTE(SUBSTITUTE(OFFSET(装备属性!$F$1083,1+INT(COUNTA($Q$11:Q492)/5),0),"[",""),"]","")+_xlfn.XLOOKUP(C493,$M$3:$M$7,$N$3:$N$7)*100,R492)</f>
        <v>#N/A</v>
      </c>
    </row>
    <row r="494" customHeight="1" spans="1:18">
      <c r="A494" s="78" t="str">
        <f ca="1" t="shared" si="21"/>
        <v/>
      </c>
      <c r="B494" s="82" t="str">
        <f ca="1">IFERROR(R494+COUNTIFS($R$11:$R494,R494),"")</f>
        <v/>
      </c>
      <c r="C494" s="83">
        <f ca="1">IF(MOD(COUNTIF($Q$11:Q493,Q493),5)=0,OFFSET(装备属性!$D$1083,1+INT(COUNTA($Q$11:Q493)/5),0),C493)</f>
        <v>0</v>
      </c>
      <c r="D494" s="82">
        <f t="shared" si="23"/>
        <v>1500</v>
      </c>
      <c r="F494" s="82" t="str">
        <f ca="1" t="shared" si="22"/>
        <v/>
      </c>
      <c r="G494" s="78" t="str">
        <f ca="1">IF(AND(LEFT("[{"&amp;M494&amp;","&amp;CEILING(N494*10000+(O494-N494)/4*(COUNTIF($F$11:F494,F494)-1)*10000,10)&amp;"}]",7)="[{equip",MID("[{"&amp;M494&amp;","&amp;CEILING(N494*10000+(O494-N494)/4*(COUNTIF($F$11:F494,F494)-1)*10000,10)&amp;"}]",8,1)&lt;&gt;"_"),"[{"&amp;M494&amp;","&amp;1&amp;"}]","[{"&amp;M494&amp;","&amp;CEILING(N494*10000+(O494-N494)/4*(COUNTIF($F$11:F494,F494)-1)*10000,10)&amp;"}]")</f>
        <v>[{global_dmg_rate,8040}]</v>
      </c>
      <c r="H494" s="82" t="s">
        <v>563</v>
      </c>
      <c r="J494" s="78">
        <f ca="1">IF(MOD(COUNTIF($Q$11:Q493,Q493),5)=0,OFFSET(装备属性!$P$1083,1+INT(COUNTA($Q$11:Q493)/5),0),J493)</f>
        <v>2</v>
      </c>
      <c r="K494" s="83" t="str">
        <f ca="1">IF(RIGHT(G494,13)="rune_slot,1}]",_xlfn.XLOOKUP(LEFT(SUBSTITUTE(G494,"[{",""),FIND(",",SUBSTITUTE(G494,"[{",""))-1),Sheet2!B:B,Sheet2!C:C)&amp;"+"&amp;1,_xlfn.XLOOKUP(LEFT(SUBSTITUTE(G494,"[{",""),FIND(",",SUBSTITUTE(G494,"[{",""))-1),Sheet2!B:B,Sheet2!C:C)&amp;"+"&amp;SUBSTITUTE(RIGHT(G494,LEN(G494)-FIND(",",G494)),"}]","")/100&amp;"%")</f>
        <v>伤害加成+80.4%</v>
      </c>
      <c r="L494" s="83" t="str">
        <f ca="1">IF(MOD(COUNTIF($Q$11:Q493,Q493),5)=0,OFFSET(装备属性!$G$1083,1+INT(COUNTA($Q$11:Q493)/5),0),L493)</f>
        <v>全职小队Ⅳ</v>
      </c>
      <c r="M494" s="89" t="str">
        <f ca="1">IF(MOD(COUNTIF($Q$11:Q493,Q493),5)=0,OFFSET(装备属性!$H$1083,1+INT(COUNTA($Q$11:Q493)/5),0),M493)</f>
        <v>global_dmg_rate</v>
      </c>
      <c r="N494" s="76">
        <f ca="1">IF(MOD(COUNTIF($Q$11:Q493,Q493),5)=0,OFFSET(装备属性!$K$1083,1+INT(COUNTA($Q$11:Q493)/5),0),N493)</f>
        <v>0.058</v>
      </c>
      <c r="O494" s="76">
        <f ca="1">IF(MOD(COUNTIF($Q$11:Q493,Q493),5)=0,OFFSET(装备属性!$L$1083,1+INT(COUNTA($Q$11:Q493)/5),0),O493)</f>
        <v>0.072</v>
      </c>
      <c r="Q494" s="89" t="str">
        <f ca="1">IF(MOD(COUNTIF($Q$11:Q493,Q493),5)=0,OFFSET(装备属性!$M$1083,1+INT(COUNTA($Q$11:Q493)/5),0),Q493)</f>
        <v>通用属性</v>
      </c>
      <c r="R494" s="83" t="e">
        <f ca="1">IF(MOD(COUNTIF($Q$11:Q493,Q493),5)=0,10000*SUBSTITUTE(SUBSTITUTE(OFFSET(装备属性!$F$1083,1+INT(COUNTA($Q$11:Q493)/5),0),"[",""),"]","")+_xlfn.XLOOKUP(C494,$M$3:$M$7,$N$3:$N$7)*100,R493)</f>
        <v>#N/A</v>
      </c>
    </row>
    <row r="495" customHeight="1" spans="1:18">
      <c r="A495" s="78" t="str">
        <f ca="1" t="shared" si="21"/>
        <v/>
      </c>
      <c r="B495" s="82" t="str">
        <f ca="1">IFERROR(R495+COUNTIFS($R$11:$R495,R495),"")</f>
        <v/>
      </c>
      <c r="C495" s="83">
        <f ca="1">IF(MOD(COUNTIF($Q$11:Q494,Q494),5)=0,OFFSET(装备属性!$D$1083,1+INT(COUNTA($Q$11:Q494)/5),0),C494)</f>
        <v>0</v>
      </c>
      <c r="D495" s="82">
        <f t="shared" si="23"/>
        <v>1000</v>
      </c>
      <c r="F495" s="82" t="str">
        <f ca="1" t="shared" si="22"/>
        <v/>
      </c>
      <c r="G495" s="78" t="str">
        <f ca="1">IF(AND(LEFT("[{"&amp;M495&amp;","&amp;CEILING(N495*10000+(O495-N495)/4*(COUNTIF($F$11:F495,F495)-1)*10000,10)&amp;"}]",7)="[{equip",MID("[{"&amp;M495&amp;","&amp;CEILING(N495*10000+(O495-N495)/4*(COUNTIF($F$11:F495,F495)-1)*10000,10)&amp;"}]",8,1)&lt;&gt;"_"),"[{"&amp;M495&amp;","&amp;1&amp;"}]","[{"&amp;M495&amp;","&amp;CEILING(N495*10000+(O495-N495)/4*(COUNTIF($F$11:F495,F495)-1)*10000,10)&amp;"}]")</f>
        <v>[{global_dmg_rate,8070}]</v>
      </c>
      <c r="H495" s="82" t="s">
        <v>563</v>
      </c>
      <c r="J495" s="78">
        <f ca="1">IF(MOD(COUNTIF($Q$11:Q494,Q494),5)=0,OFFSET(装备属性!$P$1083,1+INT(COUNTA($Q$11:Q494)/5),0),J494)</f>
        <v>2</v>
      </c>
      <c r="K495" s="83" t="str">
        <f ca="1">IF(RIGHT(G495,13)="rune_slot,1}]",_xlfn.XLOOKUP(LEFT(SUBSTITUTE(G495,"[{",""),FIND(",",SUBSTITUTE(G495,"[{",""))-1),Sheet2!B:B,Sheet2!C:C)&amp;"+"&amp;1,_xlfn.XLOOKUP(LEFT(SUBSTITUTE(G495,"[{",""),FIND(",",SUBSTITUTE(G495,"[{",""))-1),Sheet2!B:B,Sheet2!C:C)&amp;"+"&amp;SUBSTITUTE(RIGHT(G495,LEN(G495)-FIND(",",G495)),"}]","")/100&amp;"%")</f>
        <v>伤害加成+80.7%</v>
      </c>
      <c r="L495" s="83" t="str">
        <f ca="1">IF(MOD(COUNTIF($Q$11:Q494,Q494),5)=0,OFFSET(装备属性!$G$1083,1+INT(COUNTA($Q$11:Q494)/5),0),L494)</f>
        <v>全职小队Ⅳ</v>
      </c>
      <c r="M495" s="89" t="str">
        <f ca="1">IF(MOD(COUNTIF($Q$11:Q494,Q494),5)=0,OFFSET(装备属性!$H$1083,1+INT(COUNTA($Q$11:Q494)/5),0),M494)</f>
        <v>global_dmg_rate</v>
      </c>
      <c r="N495" s="76">
        <f ca="1">IF(MOD(COUNTIF($Q$11:Q494,Q494),5)=0,OFFSET(装备属性!$K$1083,1+INT(COUNTA($Q$11:Q494)/5),0),N494)</f>
        <v>0.058</v>
      </c>
      <c r="O495" s="76">
        <f ca="1">IF(MOD(COUNTIF($Q$11:Q494,Q494),5)=0,OFFSET(装备属性!$L$1083,1+INT(COUNTA($Q$11:Q494)/5),0),O494)</f>
        <v>0.072</v>
      </c>
      <c r="Q495" s="89" t="str">
        <f ca="1">IF(MOD(COUNTIF($Q$11:Q494,Q494),5)=0,OFFSET(装备属性!$M$1083,1+INT(COUNTA($Q$11:Q494)/5),0),Q494)</f>
        <v>通用属性</v>
      </c>
      <c r="R495" s="83" t="e">
        <f ca="1">IF(MOD(COUNTIF($Q$11:Q494,Q494),5)=0,10000*SUBSTITUTE(SUBSTITUTE(OFFSET(装备属性!$F$1083,1+INT(COUNTA($Q$11:Q494)/5),0),"[",""),"]","")+_xlfn.XLOOKUP(C495,$M$3:$M$7,$N$3:$N$7)*100,R494)</f>
        <v>#N/A</v>
      </c>
    </row>
    <row r="496" customHeight="1" spans="1:18">
      <c r="A496" s="78">
        <f ca="1" t="shared" si="21"/>
        <v>20701</v>
      </c>
      <c r="B496" s="82">
        <f ca="1">IFERROR(R496+COUNTIFS($R$11:$R496,R496),"")</f>
        <v>20701</v>
      </c>
      <c r="C496" s="83" t="str">
        <f ca="1">IF(MOD(COUNTIF($Q$11:Q495,Q495),5)=0,OFFSET(装备属性!$D$1083,1+INT(COUNTA($Q$11:Q495)/5),0),C495)</f>
        <v>粉</v>
      </c>
      <c r="D496" s="82">
        <f t="shared" si="23"/>
        <v>3000</v>
      </c>
      <c r="F496" s="82">
        <f ca="1" t="shared" si="22"/>
        <v>20700</v>
      </c>
      <c r="G496" s="78" t="str">
        <f ca="1">IF(AND(LEFT("[{"&amp;M496&amp;","&amp;CEILING(N496*10000+(O496-N496)/4*(COUNTIF($F$11:F496,F496)-1)*10000,10)&amp;"}]",7)="[{equip",MID("[{"&amp;M496&amp;","&amp;CEILING(N496*10000+(O496-N496)/4*(COUNTIF($F$11:F496,F496)-1)*10000,10)&amp;"}]",8,1)&lt;&gt;"_"),"[{"&amp;M496&amp;","&amp;1&amp;"}]","[{"&amp;M496&amp;","&amp;CEILING(N496*10000+(O496-N496)/4*(COUNTIF($F$11:F496,F496)-1)*10000,10)&amp;"}]")</f>
        <v>[{dmg_red_rate,250}]</v>
      </c>
      <c r="H496" s="82" t="s">
        <v>563</v>
      </c>
      <c r="J496" s="78">
        <f ca="1">IF(MOD(COUNTIF($Q$11:Q495,Q495),5)=0,OFFSET(装备属性!$P$1083,1+INT(COUNTA($Q$11:Q495)/5),0),J495)</f>
        <v>6</v>
      </c>
      <c r="K496" s="83" t="str">
        <f ca="1">IF(RIGHT(G496,13)="rune_slot,1}]",_xlfn.XLOOKUP(LEFT(SUBSTITUTE(G496,"[{",""),FIND(",",SUBSTITUTE(G496,"[{",""))-1),Sheet2!B:B,Sheet2!C:C)&amp;"+"&amp;1,_xlfn.XLOOKUP(LEFT(SUBSTITUTE(G496,"[{",""),FIND(",",SUBSTITUTE(G496,"[{",""))-1),Sheet2!B:B,Sheet2!C:C)&amp;"+"&amp;SUBSTITUTE(RIGHT(G496,LEN(G496)-FIND(",",G496)),"}]","")/100&amp;"%")</f>
        <v>伤害减免+2.5%</v>
      </c>
      <c r="L496" s="83" t="str">
        <f ca="1">IF(MOD(COUNTIF($Q$11:Q495,Q495),5)=0,OFFSET(装备属性!$G$1083,1+INT(COUNTA($Q$11:Q495)/5),0),L495)</f>
        <v>全员抗揍Ⅳ</v>
      </c>
      <c r="M496" s="89" t="str">
        <f ca="1">IF(MOD(COUNTIF($Q$11:Q495,Q495),5)=0,OFFSET(装备属性!$H$1083,1+INT(COUNTA($Q$11:Q495)/5),0),M495)</f>
        <v>dmg_red_rate</v>
      </c>
      <c r="N496" s="76">
        <f ca="1">IF(MOD(COUNTIF($Q$11:Q495,Q495),5)=0,OFFSET(装备属性!$K$1083,1+INT(COUNTA($Q$11:Q495)/5),0),N495)</f>
        <v>0.025</v>
      </c>
      <c r="O496" s="76">
        <f ca="1">IF(MOD(COUNTIF($Q$11:Q495,Q495),5)=0,OFFSET(装备属性!$L$1083,1+INT(COUNTA($Q$11:Q495)/5),0),O495)</f>
        <v>0.029</v>
      </c>
      <c r="Q496" s="89" t="str">
        <f ca="1">IF(MOD(COUNTIF($Q$11:Q495,Q495),5)=0,OFFSET(装备属性!$M$1083,1+INT(COUNTA($Q$11:Q495)/5),0),Q495)</f>
        <v>通用属性</v>
      </c>
      <c r="R496" s="83">
        <f ca="1">IF(MOD(COUNTIF($Q$11:Q495,Q495),5)=0,10000*SUBSTITUTE(SUBSTITUTE(OFFSET(装备属性!$F$1083,1+INT(COUNTA($Q$11:Q495)/5),0),"[",""),"]","")+_xlfn.XLOOKUP(C496,$M$3:$M$7,$N$3:$N$7)*100,R495)</f>
        <v>20700</v>
      </c>
    </row>
    <row r="497" customHeight="1" spans="1:18">
      <c r="A497" s="78">
        <f ca="1" t="shared" si="21"/>
        <v>20701</v>
      </c>
      <c r="B497" s="82">
        <f ca="1">IFERROR(R497+COUNTIFS($R$11:$R497,R497),"")</f>
        <v>20702</v>
      </c>
      <c r="C497" s="83" t="str">
        <f ca="1">IF(MOD(COUNTIF($Q$11:Q496,Q496),5)=0,OFFSET(装备属性!$D$1083,1+INT(COUNTA($Q$11:Q496)/5),0),C496)</f>
        <v>粉</v>
      </c>
      <c r="D497" s="82">
        <f t="shared" si="23"/>
        <v>2500</v>
      </c>
      <c r="F497" s="82">
        <f ca="1" t="shared" si="22"/>
        <v>20700</v>
      </c>
      <c r="G497" s="78" t="str">
        <f ca="1">IF(AND(LEFT("[{"&amp;M497&amp;","&amp;CEILING(N497*10000+(O497-N497)/4*(COUNTIF($F$11:F497,F497)-1)*10000,10)&amp;"}]",7)="[{equip",MID("[{"&amp;M497&amp;","&amp;CEILING(N497*10000+(O497-N497)/4*(COUNTIF($F$11:F497,F497)-1)*10000,10)&amp;"}]",8,1)&lt;&gt;"_"),"[{"&amp;M497&amp;","&amp;1&amp;"}]","[{"&amp;M497&amp;","&amp;CEILING(N497*10000+(O497-N497)/4*(COUNTIF($F$11:F497,F497)-1)*10000,10)&amp;"}]")</f>
        <v>[{dmg_red_rate,260}]</v>
      </c>
      <c r="H497" s="82" t="s">
        <v>563</v>
      </c>
      <c r="J497" s="78">
        <f ca="1">IF(MOD(COUNTIF($Q$11:Q496,Q496),5)=0,OFFSET(装备属性!$P$1083,1+INT(COUNTA($Q$11:Q496)/5),0),J496)</f>
        <v>6</v>
      </c>
      <c r="K497" s="83" t="str">
        <f ca="1">IF(RIGHT(G497,13)="rune_slot,1}]",_xlfn.XLOOKUP(LEFT(SUBSTITUTE(G497,"[{",""),FIND(",",SUBSTITUTE(G497,"[{",""))-1),Sheet2!B:B,Sheet2!C:C)&amp;"+"&amp;1,_xlfn.XLOOKUP(LEFT(SUBSTITUTE(G497,"[{",""),FIND(",",SUBSTITUTE(G497,"[{",""))-1),Sheet2!B:B,Sheet2!C:C)&amp;"+"&amp;SUBSTITUTE(RIGHT(G497,LEN(G497)-FIND(",",G497)),"}]","")/100&amp;"%")</f>
        <v>伤害减免+2.6%</v>
      </c>
      <c r="L497" s="83" t="str">
        <f ca="1">IF(MOD(COUNTIF($Q$11:Q496,Q496),5)=0,OFFSET(装备属性!$G$1083,1+INT(COUNTA($Q$11:Q496)/5),0),L496)</f>
        <v>全员抗揍Ⅳ</v>
      </c>
      <c r="M497" s="89" t="str">
        <f ca="1">IF(MOD(COUNTIF($Q$11:Q496,Q496),5)=0,OFFSET(装备属性!$H$1083,1+INT(COUNTA($Q$11:Q496)/5),0),M496)</f>
        <v>dmg_red_rate</v>
      </c>
      <c r="N497" s="76">
        <f ca="1">IF(MOD(COUNTIF($Q$11:Q496,Q496),5)=0,OFFSET(装备属性!$K$1083,1+INT(COUNTA($Q$11:Q496)/5),0),N496)</f>
        <v>0.025</v>
      </c>
      <c r="O497" s="76">
        <f ca="1">IF(MOD(COUNTIF($Q$11:Q496,Q496),5)=0,OFFSET(装备属性!$L$1083,1+INT(COUNTA($Q$11:Q496)/5),0),O496)</f>
        <v>0.029</v>
      </c>
      <c r="Q497" s="89" t="str">
        <f ca="1">IF(MOD(COUNTIF($Q$11:Q496,Q496),5)=0,OFFSET(装备属性!$M$1083,1+INT(COUNTA($Q$11:Q496)/5),0),Q496)</f>
        <v>通用属性</v>
      </c>
      <c r="R497" s="83">
        <f ca="1">IF(MOD(COUNTIF($Q$11:Q496,Q496),5)=0,10000*SUBSTITUTE(SUBSTITUTE(OFFSET(装备属性!$F$1083,1+INT(COUNTA($Q$11:Q496)/5),0),"[",""),"]","")+_xlfn.XLOOKUP(C497,$M$3:$M$7,$N$3:$N$7)*100,R496)</f>
        <v>20700</v>
      </c>
    </row>
    <row r="498" customHeight="1" spans="1:18">
      <c r="A498" s="78">
        <f ca="1" t="shared" si="21"/>
        <v>20701</v>
      </c>
      <c r="B498" s="82">
        <f ca="1">IFERROR(R498+COUNTIFS($R$11:$R498,R498),"")</f>
        <v>20703</v>
      </c>
      <c r="C498" s="83" t="str">
        <f ca="1">IF(MOD(COUNTIF($Q$11:Q497,Q497),5)=0,OFFSET(装备属性!$D$1083,1+INT(COUNTA($Q$11:Q497)/5),0),C497)</f>
        <v>粉</v>
      </c>
      <c r="D498" s="82">
        <f t="shared" si="23"/>
        <v>2000</v>
      </c>
      <c r="F498" s="82">
        <f ca="1" t="shared" si="22"/>
        <v>20700</v>
      </c>
      <c r="G498" s="78" t="str">
        <f ca="1">IF(AND(LEFT("[{"&amp;M498&amp;","&amp;CEILING(N498*10000+(O498-N498)/4*(COUNTIF($F$11:F498,F498)-1)*10000,10)&amp;"}]",7)="[{equip",MID("[{"&amp;M498&amp;","&amp;CEILING(N498*10000+(O498-N498)/4*(COUNTIF($F$11:F498,F498)-1)*10000,10)&amp;"}]",8,1)&lt;&gt;"_"),"[{"&amp;M498&amp;","&amp;1&amp;"}]","[{"&amp;M498&amp;","&amp;CEILING(N498*10000+(O498-N498)/4*(COUNTIF($F$11:F498,F498)-1)*10000,10)&amp;"}]")</f>
        <v>[{dmg_red_rate,270}]</v>
      </c>
      <c r="H498" s="82" t="s">
        <v>563</v>
      </c>
      <c r="J498" s="78">
        <f ca="1">IF(MOD(COUNTIF($Q$11:Q497,Q497),5)=0,OFFSET(装备属性!$P$1083,1+INT(COUNTA($Q$11:Q497)/5),0),J497)</f>
        <v>6</v>
      </c>
      <c r="K498" s="83" t="str">
        <f ca="1">IF(RIGHT(G498,13)="rune_slot,1}]",_xlfn.XLOOKUP(LEFT(SUBSTITUTE(G498,"[{",""),FIND(",",SUBSTITUTE(G498,"[{",""))-1),Sheet2!B:B,Sheet2!C:C)&amp;"+"&amp;1,_xlfn.XLOOKUP(LEFT(SUBSTITUTE(G498,"[{",""),FIND(",",SUBSTITUTE(G498,"[{",""))-1),Sheet2!B:B,Sheet2!C:C)&amp;"+"&amp;SUBSTITUTE(RIGHT(G498,LEN(G498)-FIND(",",G498)),"}]","")/100&amp;"%")</f>
        <v>伤害减免+2.7%</v>
      </c>
      <c r="L498" s="83" t="str">
        <f ca="1">IF(MOD(COUNTIF($Q$11:Q497,Q497),5)=0,OFFSET(装备属性!$G$1083,1+INT(COUNTA($Q$11:Q497)/5),0),L497)</f>
        <v>全员抗揍Ⅳ</v>
      </c>
      <c r="M498" s="89" t="str">
        <f ca="1">IF(MOD(COUNTIF($Q$11:Q497,Q497),5)=0,OFFSET(装备属性!$H$1083,1+INT(COUNTA($Q$11:Q497)/5),0),M497)</f>
        <v>dmg_red_rate</v>
      </c>
      <c r="N498" s="76">
        <f ca="1">IF(MOD(COUNTIF($Q$11:Q497,Q497),5)=0,OFFSET(装备属性!$K$1083,1+INT(COUNTA($Q$11:Q497)/5),0),N497)</f>
        <v>0.025</v>
      </c>
      <c r="O498" s="76">
        <f ca="1">IF(MOD(COUNTIF($Q$11:Q497,Q497),5)=0,OFFSET(装备属性!$L$1083,1+INT(COUNTA($Q$11:Q497)/5),0),O497)</f>
        <v>0.029</v>
      </c>
      <c r="Q498" s="89" t="str">
        <f ca="1">IF(MOD(COUNTIF($Q$11:Q497,Q497),5)=0,OFFSET(装备属性!$M$1083,1+INT(COUNTA($Q$11:Q497)/5),0),Q497)</f>
        <v>通用属性</v>
      </c>
      <c r="R498" s="83">
        <f ca="1">IF(MOD(COUNTIF($Q$11:Q497,Q497),5)=0,10000*SUBSTITUTE(SUBSTITUTE(OFFSET(装备属性!$F$1083,1+INT(COUNTA($Q$11:Q497)/5),0),"[",""),"]","")+_xlfn.XLOOKUP(C498,$M$3:$M$7,$N$3:$N$7)*100,R497)</f>
        <v>20700</v>
      </c>
    </row>
    <row r="499" customHeight="1" spans="1:18">
      <c r="A499" s="78">
        <f ca="1" t="shared" si="21"/>
        <v>20701</v>
      </c>
      <c r="B499" s="82">
        <f ca="1">IFERROR(R499+COUNTIFS($R$11:$R499,R499),"")</f>
        <v>20704</v>
      </c>
      <c r="C499" s="83" t="str">
        <f ca="1">IF(MOD(COUNTIF($Q$11:Q498,Q498),5)=0,OFFSET(装备属性!$D$1083,1+INT(COUNTA($Q$11:Q498)/5),0),C498)</f>
        <v>粉</v>
      </c>
      <c r="D499" s="82">
        <f t="shared" si="23"/>
        <v>1500</v>
      </c>
      <c r="F499" s="82">
        <f ca="1" t="shared" si="22"/>
        <v>20700</v>
      </c>
      <c r="G499" s="78" t="str">
        <f ca="1">IF(AND(LEFT("[{"&amp;M499&amp;","&amp;CEILING(N499*10000+(O499-N499)/4*(COUNTIF($F$11:F499,F499)-1)*10000,10)&amp;"}]",7)="[{equip",MID("[{"&amp;M499&amp;","&amp;CEILING(N499*10000+(O499-N499)/4*(COUNTIF($F$11:F499,F499)-1)*10000,10)&amp;"}]",8,1)&lt;&gt;"_"),"[{"&amp;M499&amp;","&amp;1&amp;"}]","[{"&amp;M499&amp;","&amp;CEILING(N499*10000+(O499-N499)/4*(COUNTIF($F$11:F499,F499)-1)*10000,10)&amp;"}]")</f>
        <v>[{dmg_red_rate,280}]</v>
      </c>
      <c r="H499" s="82" t="s">
        <v>563</v>
      </c>
      <c r="J499" s="78">
        <f ca="1">IF(MOD(COUNTIF($Q$11:Q498,Q498),5)=0,OFFSET(装备属性!$P$1083,1+INT(COUNTA($Q$11:Q498)/5),0),J498)</f>
        <v>6</v>
      </c>
      <c r="K499" s="83" t="str">
        <f ca="1">IF(RIGHT(G499,13)="rune_slot,1}]",_xlfn.XLOOKUP(LEFT(SUBSTITUTE(G499,"[{",""),FIND(",",SUBSTITUTE(G499,"[{",""))-1),Sheet2!B:B,Sheet2!C:C)&amp;"+"&amp;1,_xlfn.XLOOKUP(LEFT(SUBSTITUTE(G499,"[{",""),FIND(",",SUBSTITUTE(G499,"[{",""))-1),Sheet2!B:B,Sheet2!C:C)&amp;"+"&amp;SUBSTITUTE(RIGHT(G499,LEN(G499)-FIND(",",G499)),"}]","")/100&amp;"%")</f>
        <v>伤害减免+2.8%</v>
      </c>
      <c r="L499" s="83" t="str">
        <f ca="1">IF(MOD(COUNTIF($Q$11:Q498,Q498),5)=0,OFFSET(装备属性!$G$1083,1+INT(COUNTA($Q$11:Q498)/5),0),L498)</f>
        <v>全员抗揍Ⅳ</v>
      </c>
      <c r="M499" s="89" t="str">
        <f ca="1">IF(MOD(COUNTIF($Q$11:Q498,Q498),5)=0,OFFSET(装备属性!$H$1083,1+INT(COUNTA($Q$11:Q498)/5),0),M498)</f>
        <v>dmg_red_rate</v>
      </c>
      <c r="N499" s="76">
        <f ca="1">IF(MOD(COUNTIF($Q$11:Q498,Q498),5)=0,OFFSET(装备属性!$K$1083,1+INT(COUNTA($Q$11:Q498)/5),0),N498)</f>
        <v>0.025</v>
      </c>
      <c r="O499" s="76">
        <f ca="1">IF(MOD(COUNTIF($Q$11:Q498,Q498),5)=0,OFFSET(装备属性!$L$1083,1+INT(COUNTA($Q$11:Q498)/5),0),O498)</f>
        <v>0.029</v>
      </c>
      <c r="Q499" s="89" t="str">
        <f ca="1">IF(MOD(COUNTIF($Q$11:Q498,Q498),5)=0,OFFSET(装备属性!$M$1083,1+INT(COUNTA($Q$11:Q498)/5),0),Q498)</f>
        <v>通用属性</v>
      </c>
      <c r="R499" s="83">
        <f ca="1">IF(MOD(COUNTIF($Q$11:Q498,Q498),5)=0,10000*SUBSTITUTE(SUBSTITUTE(OFFSET(装备属性!$F$1083,1+INT(COUNTA($Q$11:Q498)/5),0),"[",""),"]","")+_xlfn.XLOOKUP(C499,$M$3:$M$7,$N$3:$N$7)*100,R498)</f>
        <v>20700</v>
      </c>
    </row>
    <row r="500" customHeight="1" spans="1:18">
      <c r="A500" s="78">
        <f ca="1" t="shared" si="21"/>
        <v>20701</v>
      </c>
      <c r="B500" s="82">
        <f ca="1">IFERROR(R500+COUNTIFS($R$11:$R500,R500),"")</f>
        <v>20705</v>
      </c>
      <c r="C500" s="83" t="str">
        <f ca="1">IF(MOD(COUNTIF($Q$11:Q499,Q499),5)=0,OFFSET(装备属性!$D$1083,1+INT(COUNTA($Q$11:Q499)/5),0),C499)</f>
        <v>粉</v>
      </c>
      <c r="D500" s="82">
        <f t="shared" si="23"/>
        <v>1000</v>
      </c>
      <c r="F500" s="82">
        <f ca="1" t="shared" si="22"/>
        <v>20700</v>
      </c>
      <c r="G500" s="78" t="str">
        <f ca="1">IF(AND(LEFT("[{"&amp;M500&amp;","&amp;CEILING(N500*10000+(O500-N500)/4*(COUNTIF($F$11:F500,F500)-1)*10000,10)&amp;"}]",7)="[{equip",MID("[{"&amp;M500&amp;","&amp;CEILING(N500*10000+(O500-N500)/4*(COUNTIF($F$11:F500,F500)-1)*10000,10)&amp;"}]",8,1)&lt;&gt;"_"),"[{"&amp;M500&amp;","&amp;1&amp;"}]","[{"&amp;M500&amp;","&amp;CEILING(N500*10000+(O500-N500)/4*(COUNTIF($F$11:F500,F500)-1)*10000,10)&amp;"}]")</f>
        <v>[{dmg_red_rate,290}]</v>
      </c>
      <c r="H500" s="82" t="s">
        <v>563</v>
      </c>
      <c r="J500" s="78">
        <f ca="1">IF(MOD(COUNTIF($Q$11:Q499,Q499),5)=0,OFFSET(装备属性!$P$1083,1+INT(COUNTA($Q$11:Q499)/5),0),J499)</f>
        <v>6</v>
      </c>
      <c r="K500" s="83" t="str">
        <f ca="1">IF(RIGHT(G500,13)="rune_slot,1}]",_xlfn.XLOOKUP(LEFT(SUBSTITUTE(G500,"[{",""),FIND(",",SUBSTITUTE(G500,"[{",""))-1),Sheet2!B:B,Sheet2!C:C)&amp;"+"&amp;1,_xlfn.XLOOKUP(LEFT(SUBSTITUTE(G500,"[{",""),FIND(",",SUBSTITUTE(G500,"[{",""))-1),Sheet2!B:B,Sheet2!C:C)&amp;"+"&amp;SUBSTITUTE(RIGHT(G500,LEN(G500)-FIND(",",G500)),"}]","")/100&amp;"%")</f>
        <v>伤害减免+2.9%</v>
      </c>
      <c r="L500" s="83" t="str">
        <f ca="1">IF(MOD(COUNTIF($Q$11:Q499,Q499),5)=0,OFFSET(装备属性!$G$1083,1+INT(COUNTA($Q$11:Q499)/5),0),L499)</f>
        <v>全员抗揍Ⅳ</v>
      </c>
      <c r="M500" s="89" t="str">
        <f ca="1">IF(MOD(COUNTIF($Q$11:Q499,Q499),5)=0,OFFSET(装备属性!$H$1083,1+INT(COUNTA($Q$11:Q499)/5),0),M499)</f>
        <v>dmg_red_rate</v>
      </c>
      <c r="N500" s="76">
        <f ca="1">IF(MOD(COUNTIF($Q$11:Q499,Q499),5)=0,OFFSET(装备属性!$K$1083,1+INT(COUNTA($Q$11:Q499)/5),0),N499)</f>
        <v>0.025</v>
      </c>
      <c r="O500" s="76">
        <f ca="1">IF(MOD(COUNTIF($Q$11:Q499,Q499),5)=0,OFFSET(装备属性!$L$1083,1+INT(COUNTA($Q$11:Q499)/5),0),O499)</f>
        <v>0.029</v>
      </c>
      <c r="Q500" s="89" t="str">
        <f ca="1">IF(MOD(COUNTIF($Q$11:Q499,Q499),5)=0,OFFSET(装备属性!$M$1083,1+INT(COUNTA($Q$11:Q499)/5),0),Q499)</f>
        <v>通用属性</v>
      </c>
      <c r="R500" s="83">
        <f ca="1">IF(MOD(COUNTIF($Q$11:Q499,Q499),5)=0,10000*SUBSTITUTE(SUBSTITUTE(OFFSET(装备属性!$F$1083,1+INT(COUNTA($Q$11:Q499)/5),0),"[",""),"]","")+_xlfn.XLOOKUP(C500,$M$3:$M$7,$N$3:$N$7)*100,R499)</f>
        <v>20700</v>
      </c>
    </row>
    <row r="501" customHeight="1" spans="1:18">
      <c r="A501" s="78">
        <f ca="1" t="shared" si="21"/>
        <v>20701</v>
      </c>
      <c r="B501" s="82">
        <f ca="1">IFERROR(R501+COUNTIFS($R$11:$R501,R501),"")</f>
        <v>20706</v>
      </c>
      <c r="C501" s="83" t="str">
        <f ca="1">IF(MOD(COUNTIF($Q$11:Q500,Q500),5)=0,OFFSET(装备属性!$D$1083,1+INT(COUNTA($Q$11:Q500)/5),0),C500)</f>
        <v>粉</v>
      </c>
      <c r="D501" s="82">
        <f t="shared" si="23"/>
        <v>3000</v>
      </c>
      <c r="F501" s="82">
        <f ca="1" t="shared" si="22"/>
        <v>20701</v>
      </c>
      <c r="G501" s="78" t="str">
        <f ca="1">IF(AND(LEFT("[{"&amp;M501&amp;","&amp;CEILING(N501*10000+(O501-N501)/4*(COUNTIF($F$11:F501,F501)-1)*10000,10)&amp;"}]",7)="[{equip",MID("[{"&amp;M501&amp;","&amp;CEILING(N501*10000+(O501-N501)/4*(COUNTIF($F$11:F501,F501)-1)*10000,10)&amp;"}]",8,1)&lt;&gt;"_"),"[{"&amp;M501&amp;","&amp;1&amp;"}]","[{"&amp;M501&amp;","&amp;CEILING(N501*10000+(O501-N501)/4*(COUNTIF($F$11:F501,F501)-1)*10000,10)&amp;"}]")</f>
        <v>[{all_class_dmg,580}]</v>
      </c>
      <c r="H501" s="82" t="s">
        <v>563</v>
      </c>
      <c r="J501" s="78">
        <f ca="1">IF(MOD(COUNTIF($Q$11:Q500,Q500),5)=0,OFFSET(装备属性!$P$1083,1+INT(COUNTA($Q$11:Q500)/5),0),J500)</f>
        <v>2</v>
      </c>
      <c r="K501" s="83" t="str">
        <f ca="1">IF(RIGHT(G501,13)="rune_slot,1}]",_xlfn.XLOOKUP(LEFT(SUBSTITUTE(G501,"[{",""),FIND(",",SUBSTITUTE(G501,"[{",""))-1),Sheet2!B:B,Sheet2!C:C)&amp;"+"&amp;1,_xlfn.XLOOKUP(LEFT(SUBSTITUTE(G501,"[{",""),FIND(",",SUBSTITUTE(G501,"[{",""))-1),Sheet2!B:B,Sheet2!C:C)&amp;"+"&amp;SUBSTITUTE(RIGHT(G501,LEN(G501)-FIND(",",G501)),"}]","")/100&amp;"%")</f>
        <v>上阵五个不同职业增伤+5.8%</v>
      </c>
      <c r="L501" s="83" t="str">
        <f ca="1">IF(MOD(COUNTIF($Q$11:Q500,Q500),5)=0,OFFSET(装备属性!$G$1083,1+INT(COUNTA($Q$11:Q500)/5),0),L500)</f>
        <v>全员出力Ⅳ</v>
      </c>
      <c r="M501" s="89" t="str">
        <f ca="1">IF(MOD(COUNTIF($Q$11:Q500,Q500),5)=0,OFFSET(装备属性!$H$1083,1+INT(COUNTA($Q$11:Q500)/5),0),M500)</f>
        <v>all_class_dmg</v>
      </c>
      <c r="N501" s="76">
        <f ca="1">IF(MOD(COUNTIF($Q$11:Q500,Q500),5)=0,OFFSET(装备属性!$K$1083,1+INT(COUNTA($Q$11:Q500)/5),0),N500)</f>
        <v>0.058</v>
      </c>
      <c r="O501" s="76">
        <f ca="1">IF(MOD(COUNTIF($Q$11:Q500,Q500),5)=0,OFFSET(装备属性!$L$1083,1+INT(COUNTA($Q$11:Q500)/5),0),O500)</f>
        <v>0.072</v>
      </c>
      <c r="Q501" s="89" t="str">
        <f ca="1">IF(MOD(COUNTIF($Q$11:Q500,Q500),5)=0,OFFSET(装备属性!$M$1083,1+INT(COUNTA($Q$11:Q500)/5),0),Q500)</f>
        <v>通用属性</v>
      </c>
      <c r="R501" s="83">
        <f ca="1">IF(MOD(COUNTIF($Q$11:Q500,Q500),5)=0,10000*SUBSTITUTE(SUBSTITUTE(OFFSET(装备属性!$F$1083,1+INT(COUNTA($Q$11:Q500)/5),0),"[",""),"]","")+_xlfn.XLOOKUP(C501,$M$3:$M$7,$N$3:$N$7)*100,R500)</f>
        <v>20700</v>
      </c>
    </row>
    <row r="502" customHeight="1" spans="1:18">
      <c r="A502" s="78">
        <f ca="1" t="shared" si="21"/>
        <v>20701</v>
      </c>
      <c r="B502" s="82">
        <f ca="1">IFERROR(R502+COUNTIFS($R$11:$R502,R502),"")</f>
        <v>20707</v>
      </c>
      <c r="C502" s="83" t="str">
        <f ca="1">IF(MOD(COUNTIF($Q$11:Q501,Q501),5)=0,OFFSET(装备属性!$D$1083,1+INT(COUNTA($Q$11:Q501)/5),0),C501)</f>
        <v>粉</v>
      </c>
      <c r="D502" s="82">
        <f t="shared" si="23"/>
        <v>2500</v>
      </c>
      <c r="F502" s="82">
        <f ca="1" t="shared" si="22"/>
        <v>20701</v>
      </c>
      <c r="G502" s="78" t="str">
        <f ca="1">IF(AND(LEFT("[{"&amp;M502&amp;","&amp;CEILING(N502*10000+(O502-N502)/4*(COUNTIF($F$11:F502,F502)-1)*10000,10)&amp;"}]",7)="[{equip",MID("[{"&amp;M502&amp;","&amp;CEILING(N502*10000+(O502-N502)/4*(COUNTIF($F$11:F502,F502)-1)*10000,10)&amp;"}]",8,1)&lt;&gt;"_"),"[{"&amp;M502&amp;","&amp;1&amp;"}]","[{"&amp;M502&amp;","&amp;CEILING(N502*10000+(O502-N502)/4*(COUNTIF($F$11:F502,F502)-1)*10000,10)&amp;"}]")</f>
        <v>[{all_class_dmg,620}]</v>
      </c>
      <c r="H502" s="82" t="s">
        <v>563</v>
      </c>
      <c r="J502" s="78">
        <f ca="1">IF(MOD(COUNTIF($Q$11:Q501,Q501),5)=0,OFFSET(装备属性!$P$1083,1+INT(COUNTA($Q$11:Q501)/5),0),J501)</f>
        <v>2</v>
      </c>
      <c r="K502" s="83" t="str">
        <f ca="1">IF(RIGHT(G502,13)="rune_slot,1}]",_xlfn.XLOOKUP(LEFT(SUBSTITUTE(G502,"[{",""),FIND(",",SUBSTITUTE(G502,"[{",""))-1),Sheet2!B:B,Sheet2!C:C)&amp;"+"&amp;1,_xlfn.XLOOKUP(LEFT(SUBSTITUTE(G502,"[{",""),FIND(",",SUBSTITUTE(G502,"[{",""))-1),Sheet2!B:B,Sheet2!C:C)&amp;"+"&amp;SUBSTITUTE(RIGHT(G502,LEN(G502)-FIND(",",G502)),"}]","")/100&amp;"%")</f>
        <v>上阵五个不同职业增伤+6.2%</v>
      </c>
      <c r="L502" s="83" t="str">
        <f ca="1">IF(MOD(COUNTIF($Q$11:Q501,Q501),5)=0,OFFSET(装备属性!$G$1083,1+INT(COUNTA($Q$11:Q501)/5),0),L501)</f>
        <v>全员出力Ⅳ</v>
      </c>
      <c r="M502" s="89" t="str">
        <f ca="1">IF(MOD(COUNTIF($Q$11:Q501,Q501),5)=0,OFFSET(装备属性!$H$1083,1+INT(COUNTA($Q$11:Q501)/5),0),M501)</f>
        <v>all_class_dmg</v>
      </c>
      <c r="N502" s="76">
        <f ca="1">IF(MOD(COUNTIF($Q$11:Q501,Q501),5)=0,OFFSET(装备属性!$K$1083,1+INT(COUNTA($Q$11:Q501)/5),0),N501)</f>
        <v>0.058</v>
      </c>
      <c r="O502" s="76">
        <f ca="1">IF(MOD(COUNTIF($Q$11:Q501,Q501),5)=0,OFFSET(装备属性!$L$1083,1+INT(COUNTA($Q$11:Q501)/5),0),O501)</f>
        <v>0.072</v>
      </c>
      <c r="Q502" s="89" t="str">
        <f ca="1">IF(MOD(COUNTIF($Q$11:Q501,Q501),5)=0,OFFSET(装备属性!$M$1083,1+INT(COUNTA($Q$11:Q501)/5),0),Q501)</f>
        <v>通用属性</v>
      </c>
      <c r="R502" s="83">
        <f ca="1">IF(MOD(COUNTIF($Q$11:Q501,Q501),5)=0,10000*SUBSTITUTE(SUBSTITUTE(OFFSET(装备属性!$F$1083,1+INT(COUNTA($Q$11:Q501)/5),0),"[",""),"]","")+_xlfn.XLOOKUP(C502,$M$3:$M$7,$N$3:$N$7)*100,R501)</f>
        <v>20700</v>
      </c>
    </row>
    <row r="503" customHeight="1" spans="1:18">
      <c r="A503" s="78">
        <f ca="1" t="shared" si="21"/>
        <v>20701</v>
      </c>
      <c r="B503" s="82">
        <f ca="1">IFERROR(R503+COUNTIFS($R$11:$R503,R503),"")</f>
        <v>20708</v>
      </c>
      <c r="C503" s="83" t="str">
        <f ca="1">IF(MOD(COUNTIF($Q$11:Q502,Q502),5)=0,OFFSET(装备属性!$D$1083,1+INT(COUNTA($Q$11:Q502)/5),0),C502)</f>
        <v>粉</v>
      </c>
      <c r="D503" s="82">
        <f t="shared" si="23"/>
        <v>2000</v>
      </c>
      <c r="F503" s="82">
        <f ca="1" t="shared" si="22"/>
        <v>20701</v>
      </c>
      <c r="G503" s="78" t="str">
        <f ca="1">IF(AND(LEFT("[{"&amp;M503&amp;","&amp;CEILING(N503*10000+(O503-N503)/4*(COUNTIF($F$11:F503,F503)-1)*10000,10)&amp;"}]",7)="[{equip",MID("[{"&amp;M503&amp;","&amp;CEILING(N503*10000+(O503-N503)/4*(COUNTIF($F$11:F503,F503)-1)*10000,10)&amp;"}]",8,1)&lt;&gt;"_"),"[{"&amp;M503&amp;","&amp;1&amp;"}]","[{"&amp;M503&amp;","&amp;CEILING(N503*10000+(O503-N503)/4*(COUNTIF($F$11:F503,F503)-1)*10000,10)&amp;"}]")</f>
        <v>[{all_class_dmg,650}]</v>
      </c>
      <c r="H503" s="82" t="s">
        <v>563</v>
      </c>
      <c r="J503" s="78">
        <f ca="1">IF(MOD(COUNTIF($Q$11:Q502,Q502),5)=0,OFFSET(装备属性!$P$1083,1+INT(COUNTA($Q$11:Q502)/5),0),J502)</f>
        <v>2</v>
      </c>
      <c r="K503" s="83" t="str">
        <f ca="1">IF(RIGHT(G503,13)="rune_slot,1}]",_xlfn.XLOOKUP(LEFT(SUBSTITUTE(G503,"[{",""),FIND(",",SUBSTITUTE(G503,"[{",""))-1),Sheet2!B:B,Sheet2!C:C)&amp;"+"&amp;1,_xlfn.XLOOKUP(LEFT(SUBSTITUTE(G503,"[{",""),FIND(",",SUBSTITUTE(G503,"[{",""))-1),Sheet2!B:B,Sheet2!C:C)&amp;"+"&amp;SUBSTITUTE(RIGHT(G503,LEN(G503)-FIND(",",G503)),"}]","")/100&amp;"%")</f>
        <v>上阵五个不同职业增伤+6.5%</v>
      </c>
      <c r="L503" s="83" t="str">
        <f ca="1">IF(MOD(COUNTIF($Q$11:Q502,Q502),5)=0,OFFSET(装备属性!$G$1083,1+INT(COUNTA($Q$11:Q502)/5),0),L502)</f>
        <v>全员出力Ⅳ</v>
      </c>
      <c r="M503" s="89" t="str">
        <f ca="1">IF(MOD(COUNTIF($Q$11:Q502,Q502),5)=0,OFFSET(装备属性!$H$1083,1+INT(COUNTA($Q$11:Q502)/5),0),M502)</f>
        <v>all_class_dmg</v>
      </c>
      <c r="N503" s="76">
        <f ca="1">IF(MOD(COUNTIF($Q$11:Q502,Q502),5)=0,OFFSET(装备属性!$K$1083,1+INT(COUNTA($Q$11:Q502)/5),0),N502)</f>
        <v>0.058</v>
      </c>
      <c r="O503" s="76">
        <f ca="1">IF(MOD(COUNTIF($Q$11:Q502,Q502),5)=0,OFFSET(装备属性!$L$1083,1+INT(COUNTA($Q$11:Q502)/5),0),O502)</f>
        <v>0.072</v>
      </c>
      <c r="Q503" s="89" t="str">
        <f ca="1">IF(MOD(COUNTIF($Q$11:Q502,Q502),5)=0,OFFSET(装备属性!$M$1083,1+INT(COUNTA($Q$11:Q502)/5),0),Q502)</f>
        <v>通用属性</v>
      </c>
      <c r="R503" s="83">
        <f ca="1">IF(MOD(COUNTIF($Q$11:Q502,Q502),5)=0,10000*SUBSTITUTE(SUBSTITUTE(OFFSET(装备属性!$F$1083,1+INT(COUNTA($Q$11:Q502)/5),0),"[",""),"]","")+_xlfn.XLOOKUP(C503,$M$3:$M$7,$N$3:$N$7)*100,R502)</f>
        <v>20700</v>
      </c>
    </row>
    <row r="504" customHeight="1" spans="1:18">
      <c r="A504" s="78">
        <f ca="1" t="shared" si="21"/>
        <v>20701</v>
      </c>
      <c r="B504" s="82">
        <f ca="1">IFERROR(R504+COUNTIFS($R$11:$R504,R504),"")</f>
        <v>20709</v>
      </c>
      <c r="C504" s="83" t="str">
        <f ca="1">IF(MOD(COUNTIF($Q$11:Q503,Q503),5)=0,OFFSET(装备属性!$D$1083,1+INT(COUNTA($Q$11:Q503)/5),0),C503)</f>
        <v>粉</v>
      </c>
      <c r="D504" s="82">
        <f t="shared" si="23"/>
        <v>1500</v>
      </c>
      <c r="F504" s="82">
        <f ca="1" t="shared" si="22"/>
        <v>20701</v>
      </c>
      <c r="G504" s="78" t="str">
        <f ca="1">IF(AND(LEFT("[{"&amp;M504&amp;","&amp;CEILING(N504*10000+(O504-N504)/4*(COUNTIF($F$11:F504,F504)-1)*10000,10)&amp;"}]",7)="[{equip",MID("[{"&amp;M504&amp;","&amp;CEILING(N504*10000+(O504-N504)/4*(COUNTIF($F$11:F504,F504)-1)*10000,10)&amp;"}]",8,1)&lt;&gt;"_"),"[{"&amp;M504&amp;","&amp;1&amp;"}]","[{"&amp;M504&amp;","&amp;CEILING(N504*10000+(O504-N504)/4*(COUNTIF($F$11:F504,F504)-1)*10000,10)&amp;"}]")</f>
        <v>[{all_class_dmg,690}]</v>
      </c>
      <c r="H504" s="82" t="s">
        <v>563</v>
      </c>
      <c r="J504" s="78">
        <f ca="1">IF(MOD(COUNTIF($Q$11:Q503,Q503),5)=0,OFFSET(装备属性!$P$1083,1+INT(COUNTA($Q$11:Q503)/5),0),J503)</f>
        <v>2</v>
      </c>
      <c r="K504" s="83" t="str">
        <f ca="1">IF(RIGHT(G504,13)="rune_slot,1}]",_xlfn.XLOOKUP(LEFT(SUBSTITUTE(G504,"[{",""),FIND(",",SUBSTITUTE(G504,"[{",""))-1),Sheet2!B:B,Sheet2!C:C)&amp;"+"&amp;1,_xlfn.XLOOKUP(LEFT(SUBSTITUTE(G504,"[{",""),FIND(",",SUBSTITUTE(G504,"[{",""))-1),Sheet2!B:B,Sheet2!C:C)&amp;"+"&amp;SUBSTITUTE(RIGHT(G504,LEN(G504)-FIND(",",G504)),"}]","")/100&amp;"%")</f>
        <v>上阵五个不同职业增伤+6.9%</v>
      </c>
      <c r="L504" s="83" t="str">
        <f ca="1">IF(MOD(COUNTIF($Q$11:Q503,Q503),5)=0,OFFSET(装备属性!$G$1083,1+INT(COUNTA($Q$11:Q503)/5),0),L503)</f>
        <v>全员出力Ⅳ</v>
      </c>
      <c r="M504" s="89" t="str">
        <f ca="1">IF(MOD(COUNTIF($Q$11:Q503,Q503),5)=0,OFFSET(装备属性!$H$1083,1+INT(COUNTA($Q$11:Q503)/5),0),M503)</f>
        <v>all_class_dmg</v>
      </c>
      <c r="N504" s="76">
        <f ca="1">IF(MOD(COUNTIF($Q$11:Q503,Q503),5)=0,OFFSET(装备属性!$K$1083,1+INT(COUNTA($Q$11:Q503)/5),0),N503)</f>
        <v>0.058</v>
      </c>
      <c r="O504" s="76">
        <f ca="1">IF(MOD(COUNTIF($Q$11:Q503,Q503),5)=0,OFFSET(装备属性!$L$1083,1+INT(COUNTA($Q$11:Q503)/5),0),O503)</f>
        <v>0.072</v>
      </c>
      <c r="Q504" s="89" t="str">
        <f ca="1">IF(MOD(COUNTIF($Q$11:Q503,Q503),5)=0,OFFSET(装备属性!$M$1083,1+INT(COUNTA($Q$11:Q503)/5),0),Q503)</f>
        <v>通用属性</v>
      </c>
      <c r="R504" s="83">
        <f ca="1">IF(MOD(COUNTIF($Q$11:Q503,Q503),5)=0,10000*SUBSTITUTE(SUBSTITUTE(OFFSET(装备属性!$F$1083,1+INT(COUNTA($Q$11:Q503)/5),0),"[",""),"]","")+_xlfn.XLOOKUP(C504,$M$3:$M$7,$N$3:$N$7)*100,R503)</f>
        <v>20700</v>
      </c>
    </row>
    <row r="505" customHeight="1" spans="1:18">
      <c r="A505" s="78">
        <f ca="1" t="shared" si="21"/>
        <v>20701</v>
      </c>
      <c r="B505" s="82">
        <f ca="1">IFERROR(R505+COUNTIFS($R$11:$R505,R505),"")</f>
        <v>20710</v>
      </c>
      <c r="C505" s="83" t="str">
        <f ca="1">IF(MOD(COUNTIF($Q$11:Q504,Q504),5)=0,OFFSET(装备属性!$D$1083,1+INT(COUNTA($Q$11:Q504)/5),0),C504)</f>
        <v>粉</v>
      </c>
      <c r="D505" s="82">
        <f t="shared" si="23"/>
        <v>1000</v>
      </c>
      <c r="F505" s="82">
        <f ca="1" t="shared" si="22"/>
        <v>20701</v>
      </c>
      <c r="G505" s="78" t="str">
        <f ca="1">IF(AND(LEFT("[{"&amp;M505&amp;","&amp;CEILING(N505*10000+(O505-N505)/4*(COUNTIF($F$11:F505,F505)-1)*10000,10)&amp;"}]",7)="[{equip",MID("[{"&amp;M505&amp;","&amp;CEILING(N505*10000+(O505-N505)/4*(COUNTIF($F$11:F505,F505)-1)*10000,10)&amp;"}]",8,1)&lt;&gt;"_"),"[{"&amp;M505&amp;","&amp;1&amp;"}]","[{"&amp;M505&amp;","&amp;CEILING(N505*10000+(O505-N505)/4*(COUNTIF($F$11:F505,F505)-1)*10000,10)&amp;"}]")</f>
        <v>[{all_class_dmg,720}]</v>
      </c>
      <c r="H505" s="82" t="s">
        <v>563</v>
      </c>
      <c r="J505" s="78">
        <f ca="1">IF(MOD(COUNTIF($Q$11:Q504,Q504),5)=0,OFFSET(装备属性!$P$1083,1+INT(COUNTA($Q$11:Q504)/5),0),J504)</f>
        <v>2</v>
      </c>
      <c r="K505" s="83" t="str">
        <f ca="1">IF(RIGHT(G505,13)="rune_slot,1}]",_xlfn.XLOOKUP(LEFT(SUBSTITUTE(G505,"[{",""),FIND(",",SUBSTITUTE(G505,"[{",""))-1),Sheet2!B:B,Sheet2!C:C)&amp;"+"&amp;1,_xlfn.XLOOKUP(LEFT(SUBSTITUTE(G505,"[{",""),FIND(",",SUBSTITUTE(G505,"[{",""))-1),Sheet2!B:B,Sheet2!C:C)&amp;"+"&amp;SUBSTITUTE(RIGHT(G505,LEN(G505)-FIND(",",G505)),"}]","")/100&amp;"%")</f>
        <v>上阵五个不同职业增伤+7.2%</v>
      </c>
      <c r="L505" s="83" t="str">
        <f ca="1">IF(MOD(COUNTIF($Q$11:Q504,Q504),5)=0,OFFSET(装备属性!$G$1083,1+INT(COUNTA($Q$11:Q504)/5),0),L504)</f>
        <v>全员出力Ⅳ</v>
      </c>
      <c r="M505" s="89" t="str">
        <f ca="1">IF(MOD(COUNTIF($Q$11:Q504,Q504),5)=0,OFFSET(装备属性!$H$1083,1+INT(COUNTA($Q$11:Q504)/5),0),M504)</f>
        <v>all_class_dmg</v>
      </c>
      <c r="N505" s="76">
        <f ca="1">IF(MOD(COUNTIF($Q$11:Q504,Q504),5)=0,OFFSET(装备属性!$K$1083,1+INT(COUNTA($Q$11:Q504)/5),0),N504)</f>
        <v>0.058</v>
      </c>
      <c r="O505" s="76">
        <f ca="1">IF(MOD(COUNTIF($Q$11:Q504,Q504),5)=0,OFFSET(装备属性!$L$1083,1+INT(COUNTA($Q$11:Q504)/5),0),O504)</f>
        <v>0.072</v>
      </c>
      <c r="Q505" s="89" t="str">
        <f ca="1">IF(MOD(COUNTIF($Q$11:Q504,Q504),5)=0,OFFSET(装备属性!$M$1083,1+INT(COUNTA($Q$11:Q504)/5),0),Q504)</f>
        <v>通用属性</v>
      </c>
      <c r="R505" s="83">
        <f ca="1">IF(MOD(COUNTIF($Q$11:Q504,Q504),5)=0,10000*SUBSTITUTE(SUBSTITUTE(OFFSET(装备属性!$F$1083,1+INT(COUNTA($Q$11:Q504)/5),0),"[",""),"]","")+_xlfn.XLOOKUP(C505,$M$3:$M$7,$N$3:$N$7)*100,R504)</f>
        <v>20700</v>
      </c>
    </row>
    <row r="506" customHeight="1" spans="1:18">
      <c r="A506" s="78" t="str">
        <f ca="1" t="shared" si="21"/>
        <v/>
      </c>
      <c r="B506" s="82" t="str">
        <f ca="1">IFERROR(R506+COUNTIFS($R$11:$R506,R506),"")</f>
        <v/>
      </c>
      <c r="C506" s="83">
        <f ca="1">IF(MOD(COUNTIF($Q$11:Q505,Q505),5)=0,OFFSET(装备属性!$D$1083,1+INT(COUNTA($Q$11:Q505)/5),0),C505)</f>
        <v>0</v>
      </c>
      <c r="D506" s="82">
        <f t="shared" si="23"/>
        <v>3000</v>
      </c>
      <c r="F506" s="82" t="str">
        <f ca="1" t="shared" si="22"/>
        <v/>
      </c>
      <c r="G506" s="78" t="str">
        <f ca="1">IF(AND(LEFT("[{"&amp;M506&amp;","&amp;CEILING(N506*10000+(O506-N506)/4*(COUNTIF($F$11:F506,F506)-1)*10000,10)&amp;"}]",7)="[{equip",MID("[{"&amp;M506&amp;","&amp;CEILING(N506*10000+(O506-N506)/4*(COUNTIF($F$11:F506,F506)-1)*10000,10)&amp;"}]",8,1)&lt;&gt;"_"),"[{"&amp;M506&amp;","&amp;1&amp;"}]","[{"&amp;M506&amp;","&amp;CEILING(N506*10000+(O506-N506)/4*(COUNTIF($F$11:F506,F506)-1)*10000,10)&amp;"}]")</f>
        <v>[{exp_boost,2000}]</v>
      </c>
      <c r="H506" s="82" t="s">
        <v>563</v>
      </c>
      <c r="J506" s="78">
        <f ca="1">IF(MOD(COUNTIF($Q$11:Q505,Q505),5)=0,OFFSET(装备属性!$P$1083,1+INT(COUNTA($Q$11:Q505)/5),0),J505)</f>
        <v>9</v>
      </c>
      <c r="K506" s="83" t="str">
        <f ca="1">IF(RIGHT(G506,13)="rune_slot,1}]",_xlfn.XLOOKUP(LEFT(SUBSTITUTE(G506,"[{",""),FIND(",",SUBSTITUTE(G506,"[{",""))-1),Sheet2!B:B,Sheet2!C:C)&amp;"+"&amp;1,_xlfn.XLOOKUP(LEFT(SUBSTITUTE(G506,"[{",""),FIND(",",SUBSTITUTE(G506,"[{",""))-1),Sheet2!B:B,Sheet2!C:C)&amp;"+"&amp;SUBSTITUTE(RIGHT(G506,LEN(G506)-FIND(",",G506)),"}]","")/100&amp;"%")</f>
        <v>经验加成+20%</v>
      </c>
      <c r="L506" s="83" t="str">
        <f ca="1">IF(MOD(COUNTIF($Q$11:Q505,Q505),5)=0,OFFSET(装备属性!$G$1083,1+INT(COUNTA($Q$11:Q505)/5),0),L505)</f>
        <v>涨见识</v>
      </c>
      <c r="M506" s="89" t="str">
        <f ca="1">IF(MOD(COUNTIF($Q$11:Q505,Q505),5)=0,OFFSET(装备属性!$H$1083,1+INT(COUNTA($Q$11:Q505)/5),0),M505)</f>
        <v>exp_boost</v>
      </c>
      <c r="N506" s="76">
        <f ca="1">IF(MOD(COUNTIF($Q$11:Q505,Q505),5)=0,OFFSET(装备属性!$K$1083,1+INT(COUNTA($Q$11:Q505)/5),0),N505)</f>
        <v>0.2</v>
      </c>
      <c r="O506" s="76">
        <f ca="1">IF(MOD(COUNTIF($Q$11:Q505,Q505),5)=0,OFFSET(装备属性!$L$1083,1+INT(COUNTA($Q$11:Q505)/5),0),O505)</f>
        <v>0.2</v>
      </c>
      <c r="Q506" s="89" t="str">
        <f ca="1">IF(MOD(COUNTIF($Q$11:Q505,Q505),5)=0,OFFSET(装备属性!$M$1083,1+INT(COUNTA($Q$11:Q505)/5),0),Q505)</f>
        <v>稀有词条</v>
      </c>
      <c r="R506" s="83" t="e">
        <f ca="1">IF(MOD(COUNTIF($Q$11:Q505,Q505),5)=0,10000*SUBSTITUTE(SUBSTITUTE(OFFSET(装备属性!$F$1083,1+INT(COUNTA($Q$11:Q505)/5),0),"[",""),"]","")+_xlfn.XLOOKUP(C506,$M$3:$M$7,$N$3:$N$7)*100,R505)</f>
        <v>#N/A</v>
      </c>
    </row>
    <row r="507" customHeight="1" spans="1:18">
      <c r="A507" s="78" t="str">
        <f ca="1" t="shared" si="21"/>
        <v/>
      </c>
      <c r="B507" s="82" t="str">
        <f ca="1">IFERROR(R507+COUNTIFS($R$11:$R507,R507),"")</f>
        <v/>
      </c>
      <c r="C507" s="83">
        <f ca="1">IF(MOD(COUNTIF($Q$11:Q506,Q506),5)=0,OFFSET(装备属性!$D$1083,1+INT(COUNTA($Q$11:Q506)/5),0),C506)</f>
        <v>0</v>
      </c>
      <c r="D507" s="82">
        <f t="shared" si="23"/>
        <v>2500</v>
      </c>
      <c r="F507" s="82" t="str">
        <f ca="1" t="shared" si="22"/>
        <v/>
      </c>
      <c r="G507" s="78" t="str">
        <f ca="1">IF(AND(LEFT("[{"&amp;M507&amp;","&amp;CEILING(N507*10000+(O507-N507)/4*(COUNTIF($F$11:F507,F507)-1)*10000,10)&amp;"}]",7)="[{equip",MID("[{"&amp;M507&amp;","&amp;CEILING(N507*10000+(O507-N507)/4*(COUNTIF($F$11:F507,F507)-1)*10000,10)&amp;"}]",8,1)&lt;&gt;"_"),"[{"&amp;M507&amp;","&amp;1&amp;"}]","[{"&amp;M507&amp;","&amp;CEILING(N507*10000+(O507-N507)/4*(COUNTIF($F$11:F507,F507)-1)*10000,10)&amp;"}]")</f>
        <v>[{exp_boost,2000}]</v>
      </c>
      <c r="H507" s="82" t="s">
        <v>563</v>
      </c>
      <c r="J507" s="78">
        <f ca="1">IF(MOD(COUNTIF($Q$11:Q506,Q506),5)=0,OFFSET(装备属性!$P$1083,1+INT(COUNTA($Q$11:Q506)/5),0),J506)</f>
        <v>9</v>
      </c>
      <c r="K507" s="83" t="str">
        <f ca="1">IF(RIGHT(G507,13)="rune_slot,1}]",_xlfn.XLOOKUP(LEFT(SUBSTITUTE(G507,"[{",""),FIND(",",SUBSTITUTE(G507,"[{",""))-1),Sheet2!B:B,Sheet2!C:C)&amp;"+"&amp;1,_xlfn.XLOOKUP(LEFT(SUBSTITUTE(G507,"[{",""),FIND(",",SUBSTITUTE(G507,"[{",""))-1),Sheet2!B:B,Sheet2!C:C)&amp;"+"&amp;SUBSTITUTE(RIGHT(G507,LEN(G507)-FIND(",",G507)),"}]","")/100&amp;"%")</f>
        <v>经验加成+20%</v>
      </c>
      <c r="L507" s="83" t="str">
        <f ca="1">IF(MOD(COUNTIF($Q$11:Q506,Q506),5)=0,OFFSET(装备属性!$G$1083,1+INT(COUNTA($Q$11:Q506)/5),0),L506)</f>
        <v>涨见识</v>
      </c>
      <c r="M507" s="89" t="str">
        <f ca="1">IF(MOD(COUNTIF($Q$11:Q506,Q506),5)=0,OFFSET(装备属性!$H$1083,1+INT(COUNTA($Q$11:Q506)/5),0),M506)</f>
        <v>exp_boost</v>
      </c>
      <c r="N507" s="76">
        <f ca="1">IF(MOD(COUNTIF($Q$11:Q506,Q506),5)=0,OFFSET(装备属性!$K$1083,1+INT(COUNTA($Q$11:Q506)/5),0),N506)</f>
        <v>0.2</v>
      </c>
      <c r="O507" s="76">
        <f ca="1">IF(MOD(COUNTIF($Q$11:Q506,Q506),5)=0,OFFSET(装备属性!$L$1083,1+INT(COUNTA($Q$11:Q506)/5),0),O506)</f>
        <v>0.2</v>
      </c>
      <c r="Q507" s="89" t="str">
        <f ca="1">IF(MOD(COUNTIF($Q$11:Q506,Q506),5)=0,OFFSET(装备属性!$M$1083,1+INT(COUNTA($Q$11:Q506)/5),0),Q506)</f>
        <v>稀有词条</v>
      </c>
      <c r="R507" s="83" t="e">
        <f ca="1">IF(MOD(COUNTIF($Q$11:Q506,Q506),5)=0,10000*SUBSTITUTE(SUBSTITUTE(OFFSET(装备属性!$F$1083,1+INT(COUNTA($Q$11:Q506)/5),0),"[",""),"]","")+_xlfn.XLOOKUP(C507,$M$3:$M$7,$N$3:$N$7)*100,R506)</f>
        <v>#N/A</v>
      </c>
    </row>
    <row r="508" customHeight="1" spans="1:18">
      <c r="A508" s="78" t="str">
        <f ca="1" t="shared" si="21"/>
        <v/>
      </c>
      <c r="B508" s="82" t="str">
        <f ca="1">IFERROR(R508+COUNTIFS($R$11:$R508,R508),"")</f>
        <v/>
      </c>
      <c r="C508" s="83">
        <f ca="1">IF(MOD(COUNTIF($Q$11:Q507,Q507),5)=0,OFFSET(装备属性!$D$1083,1+INT(COUNTA($Q$11:Q507)/5),0),C507)</f>
        <v>0</v>
      </c>
      <c r="D508" s="82">
        <f t="shared" si="23"/>
        <v>2000</v>
      </c>
      <c r="F508" s="82" t="str">
        <f ca="1" t="shared" si="22"/>
        <v/>
      </c>
      <c r="G508" s="78" t="str">
        <f ca="1">IF(AND(LEFT("[{"&amp;M508&amp;","&amp;CEILING(N508*10000+(O508-N508)/4*(COUNTIF($F$11:F508,F508)-1)*10000,10)&amp;"}]",7)="[{equip",MID("[{"&amp;M508&amp;","&amp;CEILING(N508*10000+(O508-N508)/4*(COUNTIF($F$11:F508,F508)-1)*10000,10)&amp;"}]",8,1)&lt;&gt;"_"),"[{"&amp;M508&amp;","&amp;1&amp;"}]","[{"&amp;M508&amp;","&amp;CEILING(N508*10000+(O508-N508)/4*(COUNTIF($F$11:F508,F508)-1)*10000,10)&amp;"}]")</f>
        <v>[{exp_boost,2000}]</v>
      </c>
      <c r="H508" s="82" t="s">
        <v>563</v>
      </c>
      <c r="J508" s="78">
        <f ca="1">IF(MOD(COUNTIF($Q$11:Q507,Q507),5)=0,OFFSET(装备属性!$P$1083,1+INT(COUNTA($Q$11:Q507)/5),0),J507)</f>
        <v>9</v>
      </c>
      <c r="K508" s="83" t="str">
        <f ca="1">IF(RIGHT(G508,13)="rune_slot,1}]",_xlfn.XLOOKUP(LEFT(SUBSTITUTE(G508,"[{",""),FIND(",",SUBSTITUTE(G508,"[{",""))-1),Sheet2!B:B,Sheet2!C:C)&amp;"+"&amp;1,_xlfn.XLOOKUP(LEFT(SUBSTITUTE(G508,"[{",""),FIND(",",SUBSTITUTE(G508,"[{",""))-1),Sheet2!B:B,Sheet2!C:C)&amp;"+"&amp;SUBSTITUTE(RIGHT(G508,LEN(G508)-FIND(",",G508)),"}]","")/100&amp;"%")</f>
        <v>经验加成+20%</v>
      </c>
      <c r="L508" s="83" t="str">
        <f ca="1">IF(MOD(COUNTIF($Q$11:Q507,Q507),5)=0,OFFSET(装备属性!$G$1083,1+INT(COUNTA($Q$11:Q507)/5),0),L507)</f>
        <v>涨见识</v>
      </c>
      <c r="M508" s="89" t="str">
        <f ca="1">IF(MOD(COUNTIF($Q$11:Q507,Q507),5)=0,OFFSET(装备属性!$H$1083,1+INT(COUNTA($Q$11:Q507)/5),0),M507)</f>
        <v>exp_boost</v>
      </c>
      <c r="N508" s="76">
        <f ca="1">IF(MOD(COUNTIF($Q$11:Q507,Q507),5)=0,OFFSET(装备属性!$K$1083,1+INT(COUNTA($Q$11:Q507)/5),0),N507)</f>
        <v>0.2</v>
      </c>
      <c r="O508" s="76">
        <f ca="1">IF(MOD(COUNTIF($Q$11:Q507,Q507),5)=0,OFFSET(装备属性!$L$1083,1+INT(COUNTA($Q$11:Q507)/5),0),O507)</f>
        <v>0.2</v>
      </c>
      <c r="Q508" s="89" t="str">
        <f ca="1">IF(MOD(COUNTIF($Q$11:Q507,Q507),5)=0,OFFSET(装备属性!$M$1083,1+INT(COUNTA($Q$11:Q507)/5),0),Q507)</f>
        <v>稀有词条</v>
      </c>
      <c r="R508" s="83" t="e">
        <f ca="1">IF(MOD(COUNTIF($Q$11:Q507,Q507),5)=0,10000*SUBSTITUTE(SUBSTITUTE(OFFSET(装备属性!$F$1083,1+INT(COUNTA($Q$11:Q507)/5),0),"[",""),"]","")+_xlfn.XLOOKUP(C508,$M$3:$M$7,$N$3:$N$7)*100,R507)</f>
        <v>#N/A</v>
      </c>
    </row>
    <row r="509" customHeight="1" spans="1:18">
      <c r="A509" s="78" t="str">
        <f ca="1" t="shared" si="21"/>
        <v/>
      </c>
      <c r="B509" s="82" t="str">
        <f ca="1">IFERROR(R509+COUNTIFS($R$11:$R509,R509),"")</f>
        <v/>
      </c>
      <c r="C509" s="83">
        <f ca="1">IF(MOD(COUNTIF($Q$11:Q508,Q508),5)=0,OFFSET(装备属性!$D$1083,1+INT(COUNTA($Q$11:Q508)/5),0),C508)</f>
        <v>0</v>
      </c>
      <c r="D509" s="82">
        <f t="shared" si="23"/>
        <v>1500</v>
      </c>
      <c r="F509" s="82" t="str">
        <f ca="1" t="shared" si="22"/>
        <v/>
      </c>
      <c r="G509" s="78" t="str">
        <f ca="1">IF(AND(LEFT("[{"&amp;M509&amp;","&amp;CEILING(N509*10000+(O509-N509)/4*(COUNTIF($F$11:F509,F509)-1)*10000,10)&amp;"}]",7)="[{equip",MID("[{"&amp;M509&amp;","&amp;CEILING(N509*10000+(O509-N509)/4*(COUNTIF($F$11:F509,F509)-1)*10000,10)&amp;"}]",8,1)&lt;&gt;"_"),"[{"&amp;M509&amp;","&amp;1&amp;"}]","[{"&amp;M509&amp;","&amp;CEILING(N509*10000+(O509-N509)/4*(COUNTIF($F$11:F509,F509)-1)*10000,10)&amp;"}]")</f>
        <v>[{exp_boost,2000}]</v>
      </c>
      <c r="H509" s="82" t="s">
        <v>563</v>
      </c>
      <c r="J509" s="78">
        <f ca="1">IF(MOD(COUNTIF($Q$11:Q508,Q508),5)=0,OFFSET(装备属性!$P$1083,1+INT(COUNTA($Q$11:Q508)/5),0),J508)</f>
        <v>9</v>
      </c>
      <c r="K509" s="83" t="str">
        <f ca="1">IF(RIGHT(G509,13)="rune_slot,1}]",_xlfn.XLOOKUP(LEFT(SUBSTITUTE(G509,"[{",""),FIND(",",SUBSTITUTE(G509,"[{",""))-1),Sheet2!B:B,Sheet2!C:C)&amp;"+"&amp;1,_xlfn.XLOOKUP(LEFT(SUBSTITUTE(G509,"[{",""),FIND(",",SUBSTITUTE(G509,"[{",""))-1),Sheet2!B:B,Sheet2!C:C)&amp;"+"&amp;SUBSTITUTE(RIGHT(G509,LEN(G509)-FIND(",",G509)),"}]","")/100&amp;"%")</f>
        <v>经验加成+20%</v>
      </c>
      <c r="L509" s="83" t="str">
        <f ca="1">IF(MOD(COUNTIF($Q$11:Q508,Q508),5)=0,OFFSET(装备属性!$G$1083,1+INT(COUNTA($Q$11:Q508)/5),0),L508)</f>
        <v>涨见识</v>
      </c>
      <c r="M509" s="89" t="str">
        <f ca="1">IF(MOD(COUNTIF($Q$11:Q508,Q508),5)=0,OFFSET(装备属性!$H$1083,1+INT(COUNTA($Q$11:Q508)/5),0),M508)</f>
        <v>exp_boost</v>
      </c>
      <c r="N509" s="76">
        <f ca="1">IF(MOD(COUNTIF($Q$11:Q508,Q508),5)=0,OFFSET(装备属性!$K$1083,1+INT(COUNTA($Q$11:Q508)/5),0),N508)</f>
        <v>0.2</v>
      </c>
      <c r="O509" s="76">
        <f ca="1">IF(MOD(COUNTIF($Q$11:Q508,Q508),5)=0,OFFSET(装备属性!$L$1083,1+INT(COUNTA($Q$11:Q508)/5),0),O508)</f>
        <v>0.2</v>
      </c>
      <c r="Q509" s="89" t="str">
        <f ca="1">IF(MOD(COUNTIF($Q$11:Q508,Q508),5)=0,OFFSET(装备属性!$M$1083,1+INT(COUNTA($Q$11:Q508)/5),0),Q508)</f>
        <v>稀有词条</v>
      </c>
      <c r="R509" s="83" t="e">
        <f ca="1">IF(MOD(COUNTIF($Q$11:Q508,Q508),5)=0,10000*SUBSTITUTE(SUBSTITUTE(OFFSET(装备属性!$F$1083,1+INT(COUNTA($Q$11:Q508)/5),0),"[",""),"]","")+_xlfn.XLOOKUP(C509,$M$3:$M$7,$N$3:$N$7)*100,R508)</f>
        <v>#N/A</v>
      </c>
    </row>
    <row r="510" customHeight="1" spans="1:18">
      <c r="A510" s="78" t="str">
        <f ca="1" t="shared" si="21"/>
        <v/>
      </c>
      <c r="B510" s="82" t="str">
        <f ca="1">IFERROR(R510+COUNTIFS($R$11:$R510,R510),"")</f>
        <v/>
      </c>
      <c r="C510" s="83">
        <f ca="1">IF(MOD(COUNTIF($Q$11:Q509,Q509),5)=0,OFFSET(装备属性!$D$1083,1+INT(COUNTA($Q$11:Q509)/5),0),C509)</f>
        <v>0</v>
      </c>
      <c r="D510" s="82">
        <f t="shared" si="23"/>
        <v>1000</v>
      </c>
      <c r="F510" s="82" t="str">
        <f ca="1" t="shared" si="22"/>
        <v/>
      </c>
      <c r="G510" s="78" t="str">
        <f ca="1">IF(AND(LEFT("[{"&amp;M510&amp;","&amp;CEILING(N510*10000+(O510-N510)/4*(COUNTIF($F$11:F510,F510)-1)*10000,10)&amp;"}]",7)="[{equip",MID("[{"&amp;M510&amp;","&amp;CEILING(N510*10000+(O510-N510)/4*(COUNTIF($F$11:F510,F510)-1)*10000,10)&amp;"}]",8,1)&lt;&gt;"_"),"[{"&amp;M510&amp;","&amp;1&amp;"}]","[{"&amp;M510&amp;","&amp;CEILING(N510*10000+(O510-N510)/4*(COUNTIF($F$11:F510,F510)-1)*10000,10)&amp;"}]")</f>
        <v>[{exp_boost,2000}]</v>
      </c>
      <c r="H510" s="82" t="s">
        <v>563</v>
      </c>
      <c r="J510" s="78">
        <f ca="1">IF(MOD(COUNTIF($Q$11:Q509,Q509),5)=0,OFFSET(装备属性!$P$1083,1+INT(COUNTA($Q$11:Q509)/5),0),J509)</f>
        <v>9</v>
      </c>
      <c r="K510" s="83" t="str">
        <f ca="1">IF(RIGHT(G510,13)="rune_slot,1}]",_xlfn.XLOOKUP(LEFT(SUBSTITUTE(G510,"[{",""),FIND(",",SUBSTITUTE(G510,"[{",""))-1),Sheet2!B:B,Sheet2!C:C)&amp;"+"&amp;1,_xlfn.XLOOKUP(LEFT(SUBSTITUTE(G510,"[{",""),FIND(",",SUBSTITUTE(G510,"[{",""))-1),Sheet2!B:B,Sheet2!C:C)&amp;"+"&amp;SUBSTITUTE(RIGHT(G510,LEN(G510)-FIND(",",G510)),"}]","")/100&amp;"%")</f>
        <v>经验加成+20%</v>
      </c>
      <c r="L510" s="83" t="str">
        <f ca="1">IF(MOD(COUNTIF($Q$11:Q509,Q509),5)=0,OFFSET(装备属性!$G$1083,1+INT(COUNTA($Q$11:Q509)/5),0),L509)</f>
        <v>涨见识</v>
      </c>
      <c r="M510" s="89" t="str">
        <f ca="1">IF(MOD(COUNTIF($Q$11:Q509,Q509),5)=0,OFFSET(装备属性!$H$1083,1+INT(COUNTA($Q$11:Q509)/5),0),M509)</f>
        <v>exp_boost</v>
      </c>
      <c r="N510" s="76">
        <f ca="1">IF(MOD(COUNTIF($Q$11:Q509,Q509),5)=0,OFFSET(装备属性!$K$1083,1+INT(COUNTA($Q$11:Q509)/5),0),N509)</f>
        <v>0.2</v>
      </c>
      <c r="O510" s="76">
        <f ca="1">IF(MOD(COUNTIF($Q$11:Q509,Q509),5)=0,OFFSET(装备属性!$L$1083,1+INT(COUNTA($Q$11:Q509)/5),0),O509)</f>
        <v>0.2</v>
      </c>
      <c r="Q510" s="89" t="str">
        <f ca="1">IF(MOD(COUNTIF($Q$11:Q509,Q509),5)=0,OFFSET(装备属性!$M$1083,1+INT(COUNTA($Q$11:Q509)/5),0),Q509)</f>
        <v>稀有词条</v>
      </c>
      <c r="R510" s="83" t="e">
        <f ca="1">IF(MOD(COUNTIF($Q$11:Q509,Q509),5)=0,10000*SUBSTITUTE(SUBSTITUTE(OFFSET(装备属性!$F$1083,1+INT(COUNTA($Q$11:Q509)/5),0),"[",""),"]","")+_xlfn.XLOOKUP(C510,$M$3:$M$7,$N$3:$N$7)*100,R509)</f>
        <v>#N/A</v>
      </c>
    </row>
    <row r="511" customHeight="1" spans="1:18">
      <c r="A511" s="78">
        <f ca="1" t="shared" si="21"/>
        <v>20703</v>
      </c>
      <c r="B511" s="82">
        <f ca="1">IFERROR(R511+COUNTIFS($R$11:$R511,R511),"")</f>
        <v>20711</v>
      </c>
      <c r="C511" s="83" t="str">
        <f ca="1">IF(MOD(COUNTIF($Q$11:Q510,Q510),5)=0,OFFSET(装备属性!$D$1083,1+INT(COUNTA($Q$11:Q510)/5),0),C510)</f>
        <v>粉</v>
      </c>
      <c r="D511" s="82">
        <f t="shared" si="23"/>
        <v>3000</v>
      </c>
      <c r="F511" s="82">
        <f ca="1" t="shared" si="22"/>
        <v>20702</v>
      </c>
      <c r="G511" s="78" t="str">
        <f ca="1">IF(AND(LEFT("[{"&amp;M511&amp;","&amp;CEILING(N511*10000+(O511-N511)/4*(COUNTIF($F$11:F511,F511)-1)*10000,10)&amp;"}]",7)="[{equip",MID("[{"&amp;M511&amp;","&amp;CEILING(N511*10000+(O511-N511)/4*(COUNTIF($F$11:F511,F511)-1)*10000,10)&amp;"}]",8,1)&lt;&gt;"_"),"[{"&amp;M511&amp;","&amp;1&amp;"}]","[{"&amp;M511&amp;","&amp;CEILING(N511*10000+(O511-N511)/4*(COUNTIF($F$11:F511,F511)-1)*10000,10)&amp;"}]")</f>
        <v>[{equip_base_attr,2500}]</v>
      </c>
      <c r="H511" s="82" t="s">
        <v>563</v>
      </c>
      <c r="J511" s="78">
        <f ca="1">IF(MOD(COUNTIF($Q$11:Q510,Q510),5)=0,OFFSET(装备属性!$P$1083,1+INT(COUNTA($Q$11:Q510)/5),0),J510)</f>
        <v>7</v>
      </c>
      <c r="K511" s="83" t="str">
        <f ca="1">IF(RIGHT(G511,13)="rune_slot,1}]",_xlfn.XLOOKUP(LEFT(SUBSTITUTE(G511,"[{",""),FIND(",",SUBSTITUTE(G511,"[{",""))-1),Sheet2!B:B,Sheet2!C:C)&amp;"+"&amp;1,_xlfn.XLOOKUP(LEFT(SUBSTITUTE(G511,"[{",""),FIND(",",SUBSTITUTE(G511,"[{",""))-1),Sheet2!B:B,Sheet2!C:C)&amp;"+"&amp;SUBSTITUTE(RIGHT(G511,LEN(G511)-FIND(",",G511)),"}]","")/100&amp;"%")</f>
        <v>装备基础属性加成+25%</v>
      </c>
      <c r="L511" s="83" t="str">
        <f ca="1">IF(MOD(COUNTIF($Q$11:Q510,Q510),5)=0,OFFSET(装备属性!$G$1083,1+INT(COUNTA($Q$11:Q510)/5),0),L510)</f>
        <v>厚底子</v>
      </c>
      <c r="M511" s="89" t="str">
        <f ca="1">IF(MOD(COUNTIF($Q$11:Q510,Q510),5)=0,OFFSET(装备属性!$H$1083,1+INT(COUNTA($Q$11:Q510)/5),0),M510)</f>
        <v>equip_base_attr</v>
      </c>
      <c r="N511" s="76">
        <f ca="1">IF(MOD(COUNTIF($Q$11:Q510,Q510),5)=0,OFFSET(装备属性!$K$1083,1+INT(COUNTA($Q$11:Q510)/5),0),N510)</f>
        <v>0.25</v>
      </c>
      <c r="O511" s="76">
        <f ca="1">IF(MOD(COUNTIF($Q$11:Q510,Q510),5)=0,OFFSET(装备属性!$L$1083,1+INT(COUNTA($Q$11:Q510)/5),0),O510)</f>
        <v>0.25</v>
      </c>
      <c r="Q511" s="89" t="str">
        <f ca="1">IF(MOD(COUNTIF($Q$11:Q510,Q510),5)=0,OFFSET(装备属性!$M$1083,1+INT(COUNTA($Q$11:Q510)/5),0),Q510)</f>
        <v>稀有词条</v>
      </c>
      <c r="R511" s="83">
        <f ca="1">IF(MOD(COUNTIF($Q$11:Q510,Q510),5)=0,10000*SUBSTITUTE(SUBSTITUTE(OFFSET(装备属性!$F$1083,1+INT(COUNTA($Q$11:Q510)/5),0),"[",""),"]","")+_xlfn.XLOOKUP(C511,$M$3:$M$7,$N$3:$N$7)*100,R510)</f>
        <v>20700</v>
      </c>
    </row>
    <row r="512" customHeight="1" spans="1:18">
      <c r="A512" s="78">
        <f ca="1" t="shared" si="21"/>
        <v>20703</v>
      </c>
      <c r="B512" s="82">
        <f ca="1">IFERROR(R512+COUNTIFS($R$11:$R512,R512),"")</f>
        <v>20712</v>
      </c>
      <c r="C512" s="83" t="str">
        <f ca="1">IF(MOD(COUNTIF($Q$11:Q511,Q511),5)=0,OFFSET(装备属性!$D$1083,1+INT(COUNTA($Q$11:Q511)/5),0),C511)</f>
        <v>粉</v>
      </c>
      <c r="D512" s="82">
        <f t="shared" si="23"/>
        <v>2500</v>
      </c>
      <c r="F512" s="82">
        <f ca="1" t="shared" si="22"/>
        <v>20702</v>
      </c>
      <c r="G512" s="78" t="str">
        <f ca="1">IF(AND(LEFT("[{"&amp;M512&amp;","&amp;CEILING(N512*10000+(O512-N512)/4*(COUNTIF($F$11:F512,F512)-1)*10000,10)&amp;"}]",7)="[{equip",MID("[{"&amp;M512&amp;","&amp;CEILING(N512*10000+(O512-N512)/4*(COUNTIF($F$11:F512,F512)-1)*10000,10)&amp;"}]",8,1)&lt;&gt;"_"),"[{"&amp;M512&amp;","&amp;1&amp;"}]","[{"&amp;M512&amp;","&amp;CEILING(N512*10000+(O512-N512)/4*(COUNTIF($F$11:F512,F512)-1)*10000,10)&amp;"}]")</f>
        <v>[{equip_base_attr,2500}]</v>
      </c>
      <c r="H512" s="82" t="s">
        <v>563</v>
      </c>
      <c r="J512" s="78">
        <f ca="1">IF(MOD(COUNTIF($Q$11:Q511,Q511),5)=0,OFFSET(装备属性!$P$1083,1+INT(COUNTA($Q$11:Q511)/5),0),J511)</f>
        <v>7</v>
      </c>
      <c r="K512" s="83" t="str">
        <f ca="1">IF(RIGHT(G512,13)="rune_slot,1}]",_xlfn.XLOOKUP(LEFT(SUBSTITUTE(G512,"[{",""),FIND(",",SUBSTITUTE(G512,"[{",""))-1),Sheet2!B:B,Sheet2!C:C)&amp;"+"&amp;1,_xlfn.XLOOKUP(LEFT(SUBSTITUTE(G512,"[{",""),FIND(",",SUBSTITUTE(G512,"[{",""))-1),Sheet2!B:B,Sheet2!C:C)&amp;"+"&amp;SUBSTITUTE(RIGHT(G512,LEN(G512)-FIND(",",G512)),"}]","")/100&amp;"%")</f>
        <v>装备基础属性加成+25%</v>
      </c>
      <c r="L512" s="83" t="str">
        <f ca="1">IF(MOD(COUNTIF($Q$11:Q511,Q511),5)=0,OFFSET(装备属性!$G$1083,1+INT(COUNTA($Q$11:Q511)/5),0),L511)</f>
        <v>厚底子</v>
      </c>
      <c r="M512" s="89" t="str">
        <f ca="1">IF(MOD(COUNTIF($Q$11:Q511,Q511),5)=0,OFFSET(装备属性!$H$1083,1+INT(COUNTA($Q$11:Q511)/5),0),M511)</f>
        <v>equip_base_attr</v>
      </c>
      <c r="N512" s="76">
        <f ca="1">IF(MOD(COUNTIF($Q$11:Q511,Q511),5)=0,OFFSET(装备属性!$K$1083,1+INT(COUNTA($Q$11:Q511)/5),0),N511)</f>
        <v>0.25</v>
      </c>
      <c r="O512" s="76">
        <f ca="1">IF(MOD(COUNTIF($Q$11:Q511,Q511),5)=0,OFFSET(装备属性!$L$1083,1+INT(COUNTA($Q$11:Q511)/5),0),O511)</f>
        <v>0.25</v>
      </c>
      <c r="Q512" s="89" t="str">
        <f ca="1">IF(MOD(COUNTIF($Q$11:Q511,Q511),5)=0,OFFSET(装备属性!$M$1083,1+INT(COUNTA($Q$11:Q511)/5),0),Q511)</f>
        <v>稀有词条</v>
      </c>
      <c r="R512" s="83">
        <f ca="1">IF(MOD(COUNTIF($Q$11:Q511,Q511),5)=0,10000*SUBSTITUTE(SUBSTITUTE(OFFSET(装备属性!$F$1083,1+INT(COUNTA($Q$11:Q511)/5),0),"[",""),"]","")+_xlfn.XLOOKUP(C512,$M$3:$M$7,$N$3:$N$7)*100,R511)</f>
        <v>20700</v>
      </c>
    </row>
    <row r="513" customHeight="1" spans="1:18">
      <c r="A513" s="78">
        <f ca="1" t="shared" si="21"/>
        <v>20703</v>
      </c>
      <c r="B513" s="82">
        <f ca="1">IFERROR(R513+COUNTIFS($R$11:$R513,R513),"")</f>
        <v>20713</v>
      </c>
      <c r="C513" s="83" t="str">
        <f ca="1">IF(MOD(COUNTIF($Q$11:Q512,Q512),5)=0,OFFSET(装备属性!$D$1083,1+INT(COUNTA($Q$11:Q512)/5),0),C512)</f>
        <v>粉</v>
      </c>
      <c r="D513" s="82">
        <f t="shared" si="23"/>
        <v>2000</v>
      </c>
      <c r="F513" s="82">
        <f ca="1" t="shared" si="22"/>
        <v>20702</v>
      </c>
      <c r="G513" s="78" t="str">
        <f ca="1">IF(AND(LEFT("[{"&amp;M513&amp;","&amp;CEILING(N513*10000+(O513-N513)/4*(COUNTIF($F$11:F513,F513)-1)*10000,10)&amp;"}]",7)="[{equip",MID("[{"&amp;M513&amp;","&amp;CEILING(N513*10000+(O513-N513)/4*(COUNTIF($F$11:F513,F513)-1)*10000,10)&amp;"}]",8,1)&lt;&gt;"_"),"[{"&amp;M513&amp;","&amp;1&amp;"}]","[{"&amp;M513&amp;","&amp;CEILING(N513*10000+(O513-N513)/4*(COUNTIF($F$11:F513,F513)-1)*10000,10)&amp;"}]")</f>
        <v>[{equip_base_attr,2500}]</v>
      </c>
      <c r="H513" s="82" t="s">
        <v>563</v>
      </c>
      <c r="J513" s="78">
        <f ca="1">IF(MOD(COUNTIF($Q$11:Q512,Q512),5)=0,OFFSET(装备属性!$P$1083,1+INT(COUNTA($Q$11:Q512)/5),0),J512)</f>
        <v>7</v>
      </c>
      <c r="K513" s="83" t="str">
        <f ca="1">IF(RIGHT(G513,13)="rune_slot,1}]",_xlfn.XLOOKUP(LEFT(SUBSTITUTE(G513,"[{",""),FIND(",",SUBSTITUTE(G513,"[{",""))-1),Sheet2!B:B,Sheet2!C:C)&amp;"+"&amp;1,_xlfn.XLOOKUP(LEFT(SUBSTITUTE(G513,"[{",""),FIND(",",SUBSTITUTE(G513,"[{",""))-1),Sheet2!B:B,Sheet2!C:C)&amp;"+"&amp;SUBSTITUTE(RIGHT(G513,LEN(G513)-FIND(",",G513)),"}]","")/100&amp;"%")</f>
        <v>装备基础属性加成+25%</v>
      </c>
      <c r="L513" s="83" t="str">
        <f ca="1">IF(MOD(COUNTIF($Q$11:Q512,Q512),5)=0,OFFSET(装备属性!$G$1083,1+INT(COUNTA($Q$11:Q512)/5),0),L512)</f>
        <v>厚底子</v>
      </c>
      <c r="M513" s="89" t="str">
        <f ca="1">IF(MOD(COUNTIF($Q$11:Q512,Q512),5)=0,OFFSET(装备属性!$H$1083,1+INT(COUNTA($Q$11:Q512)/5),0),M512)</f>
        <v>equip_base_attr</v>
      </c>
      <c r="N513" s="76">
        <f ca="1">IF(MOD(COUNTIF($Q$11:Q512,Q512),5)=0,OFFSET(装备属性!$K$1083,1+INT(COUNTA($Q$11:Q512)/5),0),N512)</f>
        <v>0.25</v>
      </c>
      <c r="O513" s="76">
        <f ca="1">IF(MOD(COUNTIF($Q$11:Q512,Q512),5)=0,OFFSET(装备属性!$L$1083,1+INT(COUNTA($Q$11:Q512)/5),0),O512)</f>
        <v>0.25</v>
      </c>
      <c r="Q513" s="89" t="str">
        <f ca="1">IF(MOD(COUNTIF($Q$11:Q512,Q512),5)=0,OFFSET(装备属性!$M$1083,1+INT(COUNTA($Q$11:Q512)/5),0),Q512)</f>
        <v>稀有词条</v>
      </c>
      <c r="R513" s="83">
        <f ca="1">IF(MOD(COUNTIF($Q$11:Q512,Q512),5)=0,10000*SUBSTITUTE(SUBSTITUTE(OFFSET(装备属性!$F$1083,1+INT(COUNTA($Q$11:Q512)/5),0),"[",""),"]","")+_xlfn.XLOOKUP(C513,$M$3:$M$7,$N$3:$N$7)*100,R512)</f>
        <v>20700</v>
      </c>
    </row>
    <row r="514" customHeight="1" spans="1:18">
      <c r="A514" s="78">
        <f ca="1" t="shared" si="21"/>
        <v>20703</v>
      </c>
      <c r="B514" s="82">
        <f ca="1">IFERROR(R514+COUNTIFS($R$11:$R514,R514),"")</f>
        <v>20714</v>
      </c>
      <c r="C514" s="83" t="str">
        <f ca="1">IF(MOD(COUNTIF($Q$11:Q513,Q513),5)=0,OFFSET(装备属性!$D$1083,1+INT(COUNTA($Q$11:Q513)/5),0),C513)</f>
        <v>粉</v>
      </c>
      <c r="D514" s="82">
        <f t="shared" si="23"/>
        <v>1500</v>
      </c>
      <c r="F514" s="82">
        <f ca="1" t="shared" si="22"/>
        <v>20702</v>
      </c>
      <c r="G514" s="78" t="str">
        <f ca="1">IF(AND(LEFT("[{"&amp;M514&amp;","&amp;CEILING(N514*10000+(O514-N514)/4*(COUNTIF($F$11:F514,F514)-1)*10000,10)&amp;"}]",7)="[{equip",MID("[{"&amp;M514&amp;","&amp;CEILING(N514*10000+(O514-N514)/4*(COUNTIF($F$11:F514,F514)-1)*10000,10)&amp;"}]",8,1)&lt;&gt;"_"),"[{"&amp;M514&amp;","&amp;1&amp;"}]","[{"&amp;M514&amp;","&amp;CEILING(N514*10000+(O514-N514)/4*(COUNTIF($F$11:F514,F514)-1)*10000,10)&amp;"}]")</f>
        <v>[{equip_base_attr,2500}]</v>
      </c>
      <c r="H514" s="82" t="s">
        <v>563</v>
      </c>
      <c r="J514" s="78">
        <f ca="1">IF(MOD(COUNTIF($Q$11:Q513,Q513),5)=0,OFFSET(装备属性!$P$1083,1+INT(COUNTA($Q$11:Q513)/5),0),J513)</f>
        <v>7</v>
      </c>
      <c r="K514" s="83" t="str">
        <f ca="1">IF(RIGHT(G514,13)="rune_slot,1}]",_xlfn.XLOOKUP(LEFT(SUBSTITUTE(G514,"[{",""),FIND(",",SUBSTITUTE(G514,"[{",""))-1),Sheet2!B:B,Sheet2!C:C)&amp;"+"&amp;1,_xlfn.XLOOKUP(LEFT(SUBSTITUTE(G514,"[{",""),FIND(",",SUBSTITUTE(G514,"[{",""))-1),Sheet2!B:B,Sheet2!C:C)&amp;"+"&amp;SUBSTITUTE(RIGHT(G514,LEN(G514)-FIND(",",G514)),"}]","")/100&amp;"%")</f>
        <v>装备基础属性加成+25%</v>
      </c>
      <c r="L514" s="83" t="str">
        <f ca="1">IF(MOD(COUNTIF($Q$11:Q513,Q513),5)=0,OFFSET(装备属性!$G$1083,1+INT(COUNTA($Q$11:Q513)/5),0),L513)</f>
        <v>厚底子</v>
      </c>
      <c r="M514" s="89" t="str">
        <f ca="1">IF(MOD(COUNTIF($Q$11:Q513,Q513),5)=0,OFFSET(装备属性!$H$1083,1+INT(COUNTA($Q$11:Q513)/5),0),M513)</f>
        <v>equip_base_attr</v>
      </c>
      <c r="N514" s="76">
        <f ca="1">IF(MOD(COUNTIF($Q$11:Q513,Q513),5)=0,OFFSET(装备属性!$K$1083,1+INT(COUNTA($Q$11:Q513)/5),0),N513)</f>
        <v>0.25</v>
      </c>
      <c r="O514" s="76">
        <f ca="1">IF(MOD(COUNTIF($Q$11:Q513,Q513),5)=0,OFFSET(装备属性!$L$1083,1+INT(COUNTA($Q$11:Q513)/5),0),O513)</f>
        <v>0.25</v>
      </c>
      <c r="Q514" s="89" t="str">
        <f ca="1">IF(MOD(COUNTIF($Q$11:Q513,Q513),5)=0,OFFSET(装备属性!$M$1083,1+INT(COUNTA($Q$11:Q513)/5),0),Q513)</f>
        <v>稀有词条</v>
      </c>
      <c r="R514" s="83">
        <f ca="1">IF(MOD(COUNTIF($Q$11:Q513,Q513),5)=0,10000*SUBSTITUTE(SUBSTITUTE(OFFSET(装备属性!$F$1083,1+INT(COUNTA($Q$11:Q513)/5),0),"[",""),"]","")+_xlfn.XLOOKUP(C514,$M$3:$M$7,$N$3:$N$7)*100,R513)</f>
        <v>20700</v>
      </c>
    </row>
    <row r="515" customHeight="1" spans="1:18">
      <c r="A515" s="78">
        <f ca="1" t="shared" si="21"/>
        <v>20703</v>
      </c>
      <c r="B515" s="82">
        <f ca="1">IFERROR(R515+COUNTIFS($R$11:$R515,R515),"")</f>
        <v>20715</v>
      </c>
      <c r="C515" s="83" t="str">
        <f ca="1">IF(MOD(COUNTIF($Q$11:Q514,Q514),5)=0,OFFSET(装备属性!$D$1083,1+INT(COUNTA($Q$11:Q514)/5),0),C514)</f>
        <v>粉</v>
      </c>
      <c r="D515" s="82">
        <f t="shared" si="23"/>
        <v>1000</v>
      </c>
      <c r="F515" s="82">
        <f ca="1" t="shared" si="22"/>
        <v>20702</v>
      </c>
      <c r="G515" s="78" t="str">
        <f ca="1">IF(AND(LEFT("[{"&amp;M515&amp;","&amp;CEILING(N515*10000+(O515-N515)/4*(COUNTIF($F$11:F515,F515)-1)*10000,10)&amp;"}]",7)="[{equip",MID("[{"&amp;M515&amp;","&amp;CEILING(N515*10000+(O515-N515)/4*(COUNTIF($F$11:F515,F515)-1)*10000,10)&amp;"}]",8,1)&lt;&gt;"_"),"[{"&amp;M515&amp;","&amp;1&amp;"}]","[{"&amp;M515&amp;","&amp;CEILING(N515*10000+(O515-N515)/4*(COUNTIF($F$11:F515,F515)-1)*10000,10)&amp;"}]")</f>
        <v>[{equip_base_attr,2500}]</v>
      </c>
      <c r="H515" s="82" t="s">
        <v>563</v>
      </c>
      <c r="J515" s="78">
        <f ca="1">IF(MOD(COUNTIF($Q$11:Q514,Q514),5)=0,OFFSET(装备属性!$P$1083,1+INT(COUNTA($Q$11:Q514)/5),0),J514)</f>
        <v>7</v>
      </c>
      <c r="K515" s="83" t="str">
        <f ca="1">IF(RIGHT(G515,13)="rune_slot,1}]",_xlfn.XLOOKUP(LEFT(SUBSTITUTE(G515,"[{",""),FIND(",",SUBSTITUTE(G515,"[{",""))-1),Sheet2!B:B,Sheet2!C:C)&amp;"+"&amp;1,_xlfn.XLOOKUP(LEFT(SUBSTITUTE(G515,"[{",""),FIND(",",SUBSTITUTE(G515,"[{",""))-1),Sheet2!B:B,Sheet2!C:C)&amp;"+"&amp;SUBSTITUTE(RIGHT(G515,LEN(G515)-FIND(",",G515)),"}]","")/100&amp;"%")</f>
        <v>装备基础属性加成+25%</v>
      </c>
      <c r="L515" s="83" t="str">
        <f ca="1">IF(MOD(COUNTIF($Q$11:Q514,Q514),5)=0,OFFSET(装备属性!$G$1083,1+INT(COUNTA($Q$11:Q514)/5),0),L514)</f>
        <v>厚底子</v>
      </c>
      <c r="M515" s="89" t="str">
        <f ca="1">IF(MOD(COUNTIF($Q$11:Q514,Q514),5)=0,OFFSET(装备属性!$H$1083,1+INT(COUNTA($Q$11:Q514)/5),0),M514)</f>
        <v>equip_base_attr</v>
      </c>
      <c r="N515" s="76">
        <f ca="1">IF(MOD(COUNTIF($Q$11:Q514,Q514),5)=0,OFFSET(装备属性!$K$1083,1+INT(COUNTA($Q$11:Q514)/5),0),N514)</f>
        <v>0.25</v>
      </c>
      <c r="O515" s="76">
        <f ca="1">IF(MOD(COUNTIF($Q$11:Q514,Q514),5)=0,OFFSET(装备属性!$L$1083,1+INT(COUNTA($Q$11:Q514)/5),0),O514)</f>
        <v>0.25</v>
      </c>
      <c r="Q515" s="89" t="str">
        <f ca="1">IF(MOD(COUNTIF($Q$11:Q514,Q514),5)=0,OFFSET(装备属性!$M$1083,1+INT(COUNTA($Q$11:Q514)/5),0),Q514)</f>
        <v>稀有词条</v>
      </c>
      <c r="R515" s="83">
        <f ca="1">IF(MOD(COUNTIF($Q$11:Q514,Q514),5)=0,10000*SUBSTITUTE(SUBSTITUTE(OFFSET(装备属性!$F$1083,1+INT(COUNTA($Q$11:Q514)/5),0),"[",""),"]","")+_xlfn.XLOOKUP(C515,$M$3:$M$7,$N$3:$N$7)*100,R514)</f>
        <v>20700</v>
      </c>
    </row>
    <row r="516" customHeight="1" spans="1:18">
      <c r="A516" s="78" t="str">
        <f ca="1" t="shared" si="21"/>
        <v/>
      </c>
      <c r="B516" s="82" t="str">
        <f ca="1">IFERROR(R516+COUNTIFS($R$11:$R516,R516),"")</f>
        <v/>
      </c>
      <c r="C516" s="83">
        <f ca="1">IF(MOD(COUNTIF($Q$11:Q515,Q515),5)=0,OFFSET(装备属性!$D$1083,1+INT(COUNTA($Q$11:Q515)/5),0),C515)</f>
        <v>0</v>
      </c>
      <c r="D516" s="82">
        <f t="shared" si="23"/>
        <v>3000</v>
      </c>
      <c r="F516" s="82" t="str">
        <f ca="1" t="shared" si="22"/>
        <v/>
      </c>
      <c r="G516" s="78" t="str">
        <f ca="1">IF(AND(LEFT("[{"&amp;M516&amp;","&amp;CEILING(N516*10000+(O516-N516)/4*(COUNTIF($F$11:F516,F516)-1)*10000,10)&amp;"}]",7)="[{equip",MID("[{"&amp;M516&amp;","&amp;CEILING(N516*10000+(O516-N516)/4*(COUNTIF($F$11:F516,F516)-1)*10000,10)&amp;"}]",8,1)&lt;&gt;"_"),"[{"&amp;M516&amp;","&amp;1&amp;"}]","[{"&amp;M516&amp;","&amp;CEILING(N516*10000+(O516-N516)/4*(COUNTIF($F$11:F516,F516)-1)*10000,10)&amp;"}]")</f>
        <v>[{equip_extra_attr,5000}]</v>
      </c>
      <c r="H516" s="82" t="s">
        <v>563</v>
      </c>
      <c r="J516" s="78">
        <f ca="1">IF(MOD(COUNTIF($Q$11:Q515,Q515),5)=0,OFFSET(装备属性!$P$1083,1+INT(COUNTA($Q$11:Q515)/5),0),J515)</f>
        <v>8</v>
      </c>
      <c r="K516" s="83" t="str">
        <f ca="1">IF(RIGHT(G516,13)="rune_slot,1}]",_xlfn.XLOOKUP(LEFT(SUBSTITUTE(G516,"[{",""),FIND(",",SUBSTITUTE(G516,"[{",""))-1),Sheet2!B:B,Sheet2!C:C)&amp;"+"&amp;1,_xlfn.XLOOKUP(LEFT(SUBSTITUTE(G516,"[{",""),FIND(",",SUBSTITUTE(G516,"[{",""))-1),Sheet2!B:B,Sheet2!C:C)&amp;"+"&amp;SUBSTITUTE(RIGHT(G516,LEN(G516)-FIND(",",G516)),"}]","")/100&amp;"%")</f>
        <v>装备附加属性加成+50%</v>
      </c>
      <c r="L516" s="83" t="str">
        <f ca="1">IF(MOD(COUNTIF($Q$11:Q515,Q515),5)=0,OFFSET(装备属性!$G$1083,1+INT(COUNTA($Q$11:Q515)/5),0),L515)</f>
        <v>提成色</v>
      </c>
      <c r="M516" s="89" t="str">
        <f ca="1">IF(MOD(COUNTIF($Q$11:Q515,Q515),5)=0,OFFSET(装备属性!$H$1083,1+INT(COUNTA($Q$11:Q515)/5),0),M515)</f>
        <v>equip_extra_attr</v>
      </c>
      <c r="N516" s="76">
        <f ca="1">IF(MOD(COUNTIF($Q$11:Q515,Q515),5)=0,OFFSET(装备属性!$K$1083,1+INT(COUNTA($Q$11:Q515)/5),0),N515)</f>
        <v>0.5</v>
      </c>
      <c r="O516" s="76">
        <f ca="1">IF(MOD(COUNTIF($Q$11:Q515,Q515),5)=0,OFFSET(装备属性!$L$1083,1+INT(COUNTA($Q$11:Q515)/5),0),O515)</f>
        <v>0.5</v>
      </c>
      <c r="Q516" s="89" t="str">
        <f ca="1">IF(MOD(COUNTIF($Q$11:Q515,Q515),5)=0,OFFSET(装备属性!$M$1083,1+INT(COUNTA($Q$11:Q515)/5),0),Q515)</f>
        <v>稀有词条</v>
      </c>
      <c r="R516" s="83" t="e">
        <f ca="1">IF(MOD(COUNTIF($Q$11:Q515,Q515),5)=0,10000*SUBSTITUTE(SUBSTITUTE(OFFSET(装备属性!$F$1083,1+INT(COUNTA($Q$11:Q515)/5),0),"[",""),"]","")+_xlfn.XLOOKUP(C516,$M$3:$M$7,$N$3:$N$7)*100,R515)</f>
        <v>#N/A</v>
      </c>
    </row>
    <row r="517" customHeight="1" spans="1:18">
      <c r="A517" s="78" t="str">
        <f ca="1" t="shared" si="21"/>
        <v/>
      </c>
      <c r="B517" s="82" t="str">
        <f ca="1">IFERROR(R517+COUNTIFS($R$11:$R517,R517),"")</f>
        <v/>
      </c>
      <c r="C517" s="83">
        <f ca="1">IF(MOD(COUNTIF($Q$11:Q516,Q516),5)=0,OFFSET(装备属性!$D$1083,1+INT(COUNTA($Q$11:Q516)/5),0),C516)</f>
        <v>0</v>
      </c>
      <c r="D517" s="82">
        <f t="shared" si="23"/>
        <v>2500</v>
      </c>
      <c r="F517" s="82" t="str">
        <f ca="1" t="shared" si="22"/>
        <v/>
      </c>
      <c r="G517" s="78" t="str">
        <f ca="1">IF(AND(LEFT("[{"&amp;M517&amp;","&amp;CEILING(N517*10000+(O517-N517)/4*(COUNTIF($F$11:F517,F517)-1)*10000,10)&amp;"}]",7)="[{equip",MID("[{"&amp;M517&amp;","&amp;CEILING(N517*10000+(O517-N517)/4*(COUNTIF($F$11:F517,F517)-1)*10000,10)&amp;"}]",8,1)&lt;&gt;"_"),"[{"&amp;M517&amp;","&amp;1&amp;"}]","[{"&amp;M517&amp;","&amp;CEILING(N517*10000+(O517-N517)/4*(COUNTIF($F$11:F517,F517)-1)*10000,10)&amp;"}]")</f>
        <v>[{equip_extra_attr,5000}]</v>
      </c>
      <c r="H517" s="82" t="s">
        <v>563</v>
      </c>
      <c r="J517" s="78">
        <f ca="1">IF(MOD(COUNTIF($Q$11:Q516,Q516),5)=0,OFFSET(装备属性!$P$1083,1+INT(COUNTA($Q$11:Q516)/5),0),J516)</f>
        <v>8</v>
      </c>
      <c r="K517" s="83" t="str">
        <f ca="1">IF(RIGHT(G517,13)="rune_slot,1}]",_xlfn.XLOOKUP(LEFT(SUBSTITUTE(G517,"[{",""),FIND(",",SUBSTITUTE(G517,"[{",""))-1),Sheet2!B:B,Sheet2!C:C)&amp;"+"&amp;1,_xlfn.XLOOKUP(LEFT(SUBSTITUTE(G517,"[{",""),FIND(",",SUBSTITUTE(G517,"[{",""))-1),Sheet2!B:B,Sheet2!C:C)&amp;"+"&amp;SUBSTITUTE(RIGHT(G517,LEN(G517)-FIND(",",G517)),"}]","")/100&amp;"%")</f>
        <v>装备附加属性加成+50%</v>
      </c>
      <c r="L517" s="83" t="str">
        <f ca="1">IF(MOD(COUNTIF($Q$11:Q516,Q516),5)=0,OFFSET(装备属性!$G$1083,1+INT(COUNTA($Q$11:Q516)/5),0),L516)</f>
        <v>提成色</v>
      </c>
      <c r="M517" s="89" t="str">
        <f ca="1">IF(MOD(COUNTIF($Q$11:Q516,Q516),5)=0,OFFSET(装备属性!$H$1083,1+INT(COUNTA($Q$11:Q516)/5),0),M516)</f>
        <v>equip_extra_attr</v>
      </c>
      <c r="N517" s="76">
        <f ca="1">IF(MOD(COUNTIF($Q$11:Q516,Q516),5)=0,OFFSET(装备属性!$K$1083,1+INT(COUNTA($Q$11:Q516)/5),0),N516)</f>
        <v>0.5</v>
      </c>
      <c r="O517" s="76">
        <f ca="1">IF(MOD(COUNTIF($Q$11:Q516,Q516),5)=0,OFFSET(装备属性!$L$1083,1+INT(COUNTA($Q$11:Q516)/5),0),O516)</f>
        <v>0.5</v>
      </c>
      <c r="Q517" s="89" t="str">
        <f ca="1">IF(MOD(COUNTIF($Q$11:Q516,Q516),5)=0,OFFSET(装备属性!$M$1083,1+INT(COUNTA($Q$11:Q516)/5),0),Q516)</f>
        <v>稀有词条</v>
      </c>
      <c r="R517" s="83" t="e">
        <f ca="1">IF(MOD(COUNTIF($Q$11:Q516,Q516),5)=0,10000*SUBSTITUTE(SUBSTITUTE(OFFSET(装备属性!$F$1083,1+INT(COUNTA($Q$11:Q516)/5),0),"[",""),"]","")+_xlfn.XLOOKUP(C517,$M$3:$M$7,$N$3:$N$7)*100,R516)</f>
        <v>#N/A</v>
      </c>
    </row>
    <row r="518" customHeight="1" spans="1:18">
      <c r="A518" s="78" t="str">
        <f ca="1" t="shared" si="21"/>
        <v/>
      </c>
      <c r="B518" s="82" t="str">
        <f ca="1">IFERROR(R518+COUNTIFS($R$11:$R518,R518),"")</f>
        <v/>
      </c>
      <c r="C518" s="83">
        <f ca="1">IF(MOD(COUNTIF($Q$11:Q517,Q517),5)=0,OFFSET(装备属性!$D$1083,1+INT(COUNTA($Q$11:Q517)/5),0),C517)</f>
        <v>0</v>
      </c>
      <c r="D518" s="82">
        <f t="shared" si="23"/>
        <v>2000</v>
      </c>
      <c r="F518" s="82" t="str">
        <f ca="1" t="shared" si="22"/>
        <v/>
      </c>
      <c r="G518" s="78" t="str">
        <f ca="1">IF(AND(LEFT("[{"&amp;M518&amp;","&amp;CEILING(N518*10000+(O518-N518)/4*(COUNTIF($F$11:F518,F518)-1)*10000,10)&amp;"}]",7)="[{equip",MID("[{"&amp;M518&amp;","&amp;CEILING(N518*10000+(O518-N518)/4*(COUNTIF($F$11:F518,F518)-1)*10000,10)&amp;"}]",8,1)&lt;&gt;"_"),"[{"&amp;M518&amp;","&amp;1&amp;"}]","[{"&amp;M518&amp;","&amp;CEILING(N518*10000+(O518-N518)/4*(COUNTIF($F$11:F518,F518)-1)*10000,10)&amp;"}]")</f>
        <v>[{equip_extra_attr,5000}]</v>
      </c>
      <c r="H518" s="82" t="s">
        <v>563</v>
      </c>
      <c r="J518" s="78">
        <f ca="1">IF(MOD(COUNTIF($Q$11:Q517,Q517),5)=0,OFFSET(装备属性!$P$1083,1+INT(COUNTA($Q$11:Q517)/5),0),J517)</f>
        <v>8</v>
      </c>
      <c r="K518" s="83" t="str">
        <f ca="1">IF(RIGHT(G518,13)="rune_slot,1}]",_xlfn.XLOOKUP(LEFT(SUBSTITUTE(G518,"[{",""),FIND(",",SUBSTITUTE(G518,"[{",""))-1),Sheet2!B:B,Sheet2!C:C)&amp;"+"&amp;1,_xlfn.XLOOKUP(LEFT(SUBSTITUTE(G518,"[{",""),FIND(",",SUBSTITUTE(G518,"[{",""))-1),Sheet2!B:B,Sheet2!C:C)&amp;"+"&amp;SUBSTITUTE(RIGHT(G518,LEN(G518)-FIND(",",G518)),"}]","")/100&amp;"%")</f>
        <v>装备附加属性加成+50%</v>
      </c>
      <c r="L518" s="83" t="str">
        <f ca="1">IF(MOD(COUNTIF($Q$11:Q517,Q517),5)=0,OFFSET(装备属性!$G$1083,1+INT(COUNTA($Q$11:Q517)/5),0),L517)</f>
        <v>提成色</v>
      </c>
      <c r="M518" s="89" t="str">
        <f ca="1">IF(MOD(COUNTIF($Q$11:Q517,Q517),5)=0,OFFSET(装备属性!$H$1083,1+INT(COUNTA($Q$11:Q517)/5),0),M517)</f>
        <v>equip_extra_attr</v>
      </c>
      <c r="N518" s="76">
        <f ca="1">IF(MOD(COUNTIF($Q$11:Q517,Q517),5)=0,OFFSET(装备属性!$K$1083,1+INT(COUNTA($Q$11:Q517)/5),0),N517)</f>
        <v>0.5</v>
      </c>
      <c r="O518" s="76">
        <f ca="1">IF(MOD(COUNTIF($Q$11:Q517,Q517),5)=0,OFFSET(装备属性!$L$1083,1+INT(COUNTA($Q$11:Q517)/5),0),O517)</f>
        <v>0.5</v>
      </c>
      <c r="Q518" s="89" t="str">
        <f ca="1">IF(MOD(COUNTIF($Q$11:Q517,Q517),5)=0,OFFSET(装备属性!$M$1083,1+INT(COUNTA($Q$11:Q517)/5),0),Q517)</f>
        <v>稀有词条</v>
      </c>
      <c r="R518" s="83" t="e">
        <f ca="1">IF(MOD(COUNTIF($Q$11:Q517,Q517),5)=0,10000*SUBSTITUTE(SUBSTITUTE(OFFSET(装备属性!$F$1083,1+INT(COUNTA($Q$11:Q517)/5),0),"[",""),"]","")+_xlfn.XLOOKUP(C518,$M$3:$M$7,$N$3:$N$7)*100,R517)</f>
        <v>#N/A</v>
      </c>
    </row>
    <row r="519" customHeight="1" spans="1:18">
      <c r="A519" s="78" t="str">
        <f ca="1" t="shared" si="21"/>
        <v/>
      </c>
      <c r="B519" s="82" t="str">
        <f ca="1">IFERROR(R519+COUNTIFS($R$11:$R519,R519),"")</f>
        <v/>
      </c>
      <c r="C519" s="83">
        <f ca="1">IF(MOD(COUNTIF($Q$11:Q518,Q518),5)=0,OFFSET(装备属性!$D$1083,1+INT(COUNTA($Q$11:Q518)/5),0),C518)</f>
        <v>0</v>
      </c>
      <c r="D519" s="82">
        <f t="shared" si="23"/>
        <v>1500</v>
      </c>
      <c r="F519" s="82" t="str">
        <f ca="1" t="shared" si="22"/>
        <v/>
      </c>
      <c r="G519" s="78" t="str">
        <f ca="1">IF(AND(LEFT("[{"&amp;M519&amp;","&amp;CEILING(N519*10000+(O519-N519)/4*(COUNTIF($F$11:F519,F519)-1)*10000,10)&amp;"}]",7)="[{equip",MID("[{"&amp;M519&amp;","&amp;CEILING(N519*10000+(O519-N519)/4*(COUNTIF($F$11:F519,F519)-1)*10000,10)&amp;"}]",8,1)&lt;&gt;"_"),"[{"&amp;M519&amp;","&amp;1&amp;"}]","[{"&amp;M519&amp;","&amp;CEILING(N519*10000+(O519-N519)/4*(COUNTIF($F$11:F519,F519)-1)*10000,10)&amp;"}]")</f>
        <v>[{equip_extra_attr,5000}]</v>
      </c>
      <c r="H519" s="82" t="s">
        <v>563</v>
      </c>
      <c r="J519" s="78">
        <f ca="1">IF(MOD(COUNTIF($Q$11:Q518,Q518),5)=0,OFFSET(装备属性!$P$1083,1+INT(COUNTA($Q$11:Q518)/5),0),J518)</f>
        <v>8</v>
      </c>
      <c r="K519" s="83" t="str">
        <f ca="1">IF(RIGHT(G519,13)="rune_slot,1}]",_xlfn.XLOOKUP(LEFT(SUBSTITUTE(G519,"[{",""),FIND(",",SUBSTITUTE(G519,"[{",""))-1),Sheet2!B:B,Sheet2!C:C)&amp;"+"&amp;1,_xlfn.XLOOKUP(LEFT(SUBSTITUTE(G519,"[{",""),FIND(",",SUBSTITUTE(G519,"[{",""))-1),Sheet2!B:B,Sheet2!C:C)&amp;"+"&amp;SUBSTITUTE(RIGHT(G519,LEN(G519)-FIND(",",G519)),"}]","")/100&amp;"%")</f>
        <v>装备附加属性加成+50%</v>
      </c>
      <c r="L519" s="83" t="str">
        <f ca="1">IF(MOD(COUNTIF($Q$11:Q518,Q518),5)=0,OFFSET(装备属性!$G$1083,1+INT(COUNTA($Q$11:Q518)/5),0),L518)</f>
        <v>提成色</v>
      </c>
      <c r="M519" s="89" t="str">
        <f ca="1">IF(MOD(COUNTIF($Q$11:Q518,Q518),5)=0,OFFSET(装备属性!$H$1083,1+INT(COUNTA($Q$11:Q518)/5),0),M518)</f>
        <v>equip_extra_attr</v>
      </c>
      <c r="N519" s="76">
        <f ca="1">IF(MOD(COUNTIF($Q$11:Q518,Q518),5)=0,OFFSET(装备属性!$K$1083,1+INT(COUNTA($Q$11:Q518)/5),0),N518)</f>
        <v>0.5</v>
      </c>
      <c r="O519" s="76">
        <f ca="1">IF(MOD(COUNTIF($Q$11:Q518,Q518),5)=0,OFFSET(装备属性!$L$1083,1+INT(COUNTA($Q$11:Q518)/5),0),O518)</f>
        <v>0.5</v>
      </c>
      <c r="Q519" s="89" t="str">
        <f ca="1">IF(MOD(COUNTIF($Q$11:Q518,Q518),5)=0,OFFSET(装备属性!$M$1083,1+INT(COUNTA($Q$11:Q518)/5),0),Q518)</f>
        <v>稀有词条</v>
      </c>
      <c r="R519" s="83" t="e">
        <f ca="1">IF(MOD(COUNTIF($Q$11:Q518,Q518),5)=0,10000*SUBSTITUTE(SUBSTITUTE(OFFSET(装备属性!$F$1083,1+INT(COUNTA($Q$11:Q518)/5),0),"[",""),"]","")+_xlfn.XLOOKUP(C519,$M$3:$M$7,$N$3:$N$7)*100,R518)</f>
        <v>#N/A</v>
      </c>
    </row>
    <row r="520" customHeight="1" spans="1:18">
      <c r="A520" s="78" t="str">
        <f ca="1" t="shared" si="21"/>
        <v/>
      </c>
      <c r="B520" s="82" t="str">
        <f ca="1">IFERROR(R520+COUNTIFS($R$11:$R520,R520),"")</f>
        <v/>
      </c>
      <c r="C520" s="83">
        <f ca="1">IF(MOD(COUNTIF($Q$11:Q519,Q519),5)=0,OFFSET(装备属性!$D$1083,1+INT(COUNTA($Q$11:Q519)/5),0),C519)</f>
        <v>0</v>
      </c>
      <c r="D520" s="82">
        <f t="shared" si="23"/>
        <v>1000</v>
      </c>
      <c r="F520" s="82" t="str">
        <f ca="1" t="shared" si="22"/>
        <v/>
      </c>
      <c r="G520" s="78" t="str">
        <f ca="1">IF(AND(LEFT("[{"&amp;M520&amp;","&amp;CEILING(N520*10000+(O520-N520)/4*(COUNTIF($F$11:F520,F520)-1)*10000,10)&amp;"}]",7)="[{equip",MID("[{"&amp;M520&amp;","&amp;CEILING(N520*10000+(O520-N520)/4*(COUNTIF($F$11:F520,F520)-1)*10000,10)&amp;"}]",8,1)&lt;&gt;"_"),"[{"&amp;M520&amp;","&amp;1&amp;"}]","[{"&amp;M520&amp;","&amp;CEILING(N520*10000+(O520-N520)/4*(COUNTIF($F$11:F520,F520)-1)*10000,10)&amp;"}]")</f>
        <v>[{equip_extra_attr,5000}]</v>
      </c>
      <c r="H520" s="82" t="s">
        <v>563</v>
      </c>
      <c r="J520" s="78">
        <f ca="1">IF(MOD(COUNTIF($Q$11:Q519,Q519),5)=0,OFFSET(装备属性!$P$1083,1+INT(COUNTA($Q$11:Q519)/5),0),J519)</f>
        <v>8</v>
      </c>
      <c r="K520" s="83" t="str">
        <f ca="1">IF(RIGHT(G520,13)="rune_slot,1}]",_xlfn.XLOOKUP(LEFT(SUBSTITUTE(G520,"[{",""),FIND(",",SUBSTITUTE(G520,"[{",""))-1),Sheet2!B:B,Sheet2!C:C)&amp;"+"&amp;1,_xlfn.XLOOKUP(LEFT(SUBSTITUTE(G520,"[{",""),FIND(",",SUBSTITUTE(G520,"[{",""))-1),Sheet2!B:B,Sheet2!C:C)&amp;"+"&amp;SUBSTITUTE(RIGHT(G520,LEN(G520)-FIND(",",G520)),"}]","")/100&amp;"%")</f>
        <v>装备附加属性加成+50%</v>
      </c>
      <c r="L520" s="83" t="str">
        <f ca="1">IF(MOD(COUNTIF($Q$11:Q519,Q519),5)=0,OFFSET(装备属性!$G$1083,1+INT(COUNTA($Q$11:Q519)/5),0),L519)</f>
        <v>提成色</v>
      </c>
      <c r="M520" s="89" t="str">
        <f ca="1">IF(MOD(COUNTIF($Q$11:Q519,Q519),5)=0,OFFSET(装备属性!$H$1083,1+INT(COUNTA($Q$11:Q519)/5),0),M519)</f>
        <v>equip_extra_attr</v>
      </c>
      <c r="N520" s="76">
        <f ca="1">IF(MOD(COUNTIF($Q$11:Q519,Q519),5)=0,OFFSET(装备属性!$K$1083,1+INT(COUNTA($Q$11:Q519)/5),0),N519)</f>
        <v>0.5</v>
      </c>
      <c r="O520" s="76">
        <f ca="1">IF(MOD(COUNTIF($Q$11:Q519,Q519),5)=0,OFFSET(装备属性!$L$1083,1+INT(COUNTA($Q$11:Q519)/5),0),O519)</f>
        <v>0.5</v>
      </c>
      <c r="Q520" s="89" t="str">
        <f ca="1">IF(MOD(COUNTIF($Q$11:Q519,Q519),5)=0,OFFSET(装备属性!$M$1083,1+INT(COUNTA($Q$11:Q519)/5),0),Q519)</f>
        <v>稀有词条</v>
      </c>
      <c r="R520" s="83" t="e">
        <f ca="1">IF(MOD(COUNTIF($Q$11:Q519,Q519),5)=0,10000*SUBSTITUTE(SUBSTITUTE(OFFSET(装备属性!$F$1083,1+INT(COUNTA($Q$11:Q519)/5),0),"[",""),"]","")+_xlfn.XLOOKUP(C520,$M$3:$M$7,$N$3:$N$7)*100,R519)</f>
        <v>#N/A</v>
      </c>
    </row>
    <row r="521" customHeight="1" spans="1:18">
      <c r="A521" s="78">
        <f ca="1" t="shared" si="21"/>
        <v>20703</v>
      </c>
      <c r="B521" s="82">
        <f ca="1">IFERROR(R521+COUNTIFS($R$11:$R521,R521),"")</f>
        <v>20716</v>
      </c>
      <c r="C521" s="83" t="str">
        <f ca="1">IF(MOD(COUNTIF($Q$11:Q520,Q520),5)=0,OFFSET(装备属性!$D$1083,1+INT(COUNTA($Q$11:Q520)/5),0),C520)</f>
        <v>粉</v>
      </c>
      <c r="D521" s="82">
        <f t="shared" si="23"/>
        <v>3000</v>
      </c>
      <c r="F521" s="82">
        <f ca="1" t="shared" si="22"/>
        <v>20703</v>
      </c>
      <c r="G521" s="78" t="str">
        <f ca="1">IF(AND(LEFT("[{"&amp;M521&amp;","&amp;CEILING(N521*10000+(O521-N521)/4*(COUNTIF($F$11:F521,F521)-1)*10000,10)&amp;"}]",7)="[{equip",MID("[{"&amp;M521&amp;","&amp;CEILING(N521*10000+(O521-N521)/4*(COUNTIF($F$11:F521,F521)-1)*10000,10)&amp;"}]",8,1)&lt;&gt;"_"),"[{"&amp;M521&amp;","&amp;1&amp;"}]","[{"&amp;M521&amp;","&amp;CEILING(N521*10000+(O521-N521)/4*(COUNTIF($F$11:F521,F521)-1)*10000,10)&amp;"}]")</f>
        <v>[{equip1_rune_slot,1}]</v>
      </c>
      <c r="H521" s="82" t="s">
        <v>563</v>
      </c>
      <c r="J521" s="78">
        <f ca="1">IF(MOD(COUNTIF($Q$11:Q520,Q520),5)=0,OFFSET(装备属性!$P$1083,1+INT(COUNTA($Q$11:Q520)/5),0),J520)</f>
        <v>1</v>
      </c>
      <c r="K521" s="83" t="str">
        <f ca="1">IF(RIGHT(G521,13)="rune_slot,1}]",_xlfn.XLOOKUP(LEFT(SUBSTITUTE(G521,"[{",""),FIND(",",SUBSTITUTE(G521,"[{",""))-1),Sheet2!B:B,Sheet2!C:C)&amp;"+"&amp;1,_xlfn.XLOOKUP(LEFT(SUBSTITUTE(G521,"[{",""),FIND(",",SUBSTITUTE(G521,"[{",""))-1),Sheet2!B:B,Sheet2!C:C)&amp;"+"&amp;SUBSTITUTE(RIGHT(G521,LEN(G521)-FIND(",",G521)),"}]","")/100&amp;"%")</f>
        <v>衣服符文孔位+1</v>
      </c>
      <c r="L521" s="83" t="str">
        <f ca="1">IF(MOD(COUNTIF($Q$11:Q520,Q520),5)=0,OFFSET(装备属性!$G$1083,1+INT(COUNTA($Q$11:Q520)/5),0),L520)</f>
        <v>扩符槽</v>
      </c>
      <c r="M521" s="89" t="str">
        <f ca="1">IF(MOD(COUNTIF($Q$11:Q520,Q520),5)=0,OFFSET(装备属性!$H$1083,1+INT(COUNTA($Q$11:Q520)/5),0),M520)</f>
        <v>equip1_rune_slot</v>
      </c>
      <c r="N521" s="76">
        <f ca="1">IF(MOD(COUNTIF($Q$11:Q520,Q520),5)=0,OFFSET(装备属性!$K$1083,1+INT(COUNTA($Q$11:Q520)/5),0),N520)</f>
        <v>1</v>
      </c>
      <c r="O521" s="76">
        <f ca="1">IF(MOD(COUNTIF($Q$11:Q520,Q520),5)=0,OFFSET(装备属性!$L$1083,1+INT(COUNTA($Q$11:Q520)/5),0),O520)</f>
        <v>1</v>
      </c>
      <c r="Q521" s="89" t="str">
        <f ca="1">IF(MOD(COUNTIF($Q$11:Q520,Q520),5)=0,OFFSET(装备属性!$M$1083,1+INT(COUNTA($Q$11:Q520)/5),0),Q520)</f>
        <v>稀有词条</v>
      </c>
      <c r="R521" s="83">
        <f ca="1">IF(MOD(COUNTIF($Q$11:Q520,Q520),5)=0,10000*SUBSTITUTE(SUBSTITUTE(OFFSET(装备属性!$F$1083,1+INT(COUNTA($Q$11:Q520)/5),0),"[",""),"]","")+_xlfn.XLOOKUP(C521,$M$3:$M$7,$N$3:$N$7)*100,R520)</f>
        <v>20700</v>
      </c>
    </row>
    <row r="522" customHeight="1" spans="1:18">
      <c r="A522" s="78">
        <f ca="1" t="shared" si="21"/>
        <v>20703</v>
      </c>
      <c r="B522" s="82">
        <f ca="1">IFERROR(R522+COUNTIFS($R$11:$R522,R522),"")</f>
        <v>20717</v>
      </c>
      <c r="C522" s="83" t="str">
        <f ca="1">IF(MOD(COUNTIF($Q$11:Q521,Q521),5)=0,OFFSET(装备属性!$D$1083,1+INT(COUNTA($Q$11:Q521)/5),0),C521)</f>
        <v>粉</v>
      </c>
      <c r="D522" s="82">
        <f t="shared" si="23"/>
        <v>2500</v>
      </c>
      <c r="F522" s="82">
        <f ca="1" t="shared" si="22"/>
        <v>20703</v>
      </c>
      <c r="G522" s="78" t="str">
        <f ca="1">IF(AND(LEFT("[{"&amp;M522&amp;","&amp;CEILING(N522*10000+(O522-N522)/4*(COUNTIF($F$11:F522,F522)-1)*10000,10)&amp;"}]",7)="[{equip",MID("[{"&amp;M522&amp;","&amp;CEILING(N522*10000+(O522-N522)/4*(COUNTIF($F$11:F522,F522)-1)*10000,10)&amp;"}]",8,1)&lt;&gt;"_"),"[{"&amp;M522&amp;","&amp;1&amp;"}]","[{"&amp;M522&amp;","&amp;CEILING(N522*10000+(O522-N522)/4*(COUNTIF($F$11:F522,F522)-1)*10000,10)&amp;"}]")</f>
        <v>[{equip1_rune_slot,1}]</v>
      </c>
      <c r="H522" s="82" t="s">
        <v>563</v>
      </c>
      <c r="J522" s="78">
        <f ca="1">IF(MOD(COUNTIF($Q$11:Q521,Q521),5)=0,OFFSET(装备属性!$P$1083,1+INT(COUNTA($Q$11:Q521)/5),0),J521)</f>
        <v>1</v>
      </c>
      <c r="K522" s="83" t="str">
        <f ca="1">IF(RIGHT(G522,13)="rune_slot,1}]",_xlfn.XLOOKUP(LEFT(SUBSTITUTE(G522,"[{",""),FIND(",",SUBSTITUTE(G522,"[{",""))-1),Sheet2!B:B,Sheet2!C:C)&amp;"+"&amp;1,_xlfn.XLOOKUP(LEFT(SUBSTITUTE(G522,"[{",""),FIND(",",SUBSTITUTE(G522,"[{",""))-1),Sheet2!B:B,Sheet2!C:C)&amp;"+"&amp;SUBSTITUTE(RIGHT(G522,LEN(G522)-FIND(",",G522)),"}]","")/100&amp;"%")</f>
        <v>衣服符文孔位+1</v>
      </c>
      <c r="L522" s="83" t="str">
        <f ca="1">IF(MOD(COUNTIF($Q$11:Q521,Q521),5)=0,OFFSET(装备属性!$G$1083,1+INT(COUNTA($Q$11:Q521)/5),0),L521)</f>
        <v>扩符槽</v>
      </c>
      <c r="M522" s="89" t="str">
        <f ca="1">IF(MOD(COUNTIF($Q$11:Q521,Q521),5)=0,OFFSET(装备属性!$H$1083,1+INT(COUNTA($Q$11:Q521)/5),0),M521)</f>
        <v>equip1_rune_slot</v>
      </c>
      <c r="N522" s="76">
        <f ca="1">IF(MOD(COUNTIF($Q$11:Q521,Q521),5)=0,OFFSET(装备属性!$K$1083,1+INT(COUNTA($Q$11:Q521)/5),0),N521)</f>
        <v>1</v>
      </c>
      <c r="O522" s="76">
        <f ca="1">IF(MOD(COUNTIF($Q$11:Q521,Q521),5)=0,OFFSET(装备属性!$L$1083,1+INT(COUNTA($Q$11:Q521)/5),0),O521)</f>
        <v>1</v>
      </c>
      <c r="Q522" s="89" t="str">
        <f ca="1">IF(MOD(COUNTIF($Q$11:Q521,Q521),5)=0,OFFSET(装备属性!$M$1083,1+INT(COUNTA($Q$11:Q521)/5),0),Q521)</f>
        <v>稀有词条</v>
      </c>
      <c r="R522" s="83">
        <f ca="1">IF(MOD(COUNTIF($Q$11:Q521,Q521),5)=0,10000*SUBSTITUTE(SUBSTITUTE(OFFSET(装备属性!$F$1083,1+INT(COUNTA($Q$11:Q521)/5),0),"[",""),"]","")+_xlfn.XLOOKUP(C522,$M$3:$M$7,$N$3:$N$7)*100,R521)</f>
        <v>20700</v>
      </c>
    </row>
    <row r="523" customHeight="1" spans="1:18">
      <c r="A523" s="78">
        <f ca="1" t="shared" si="21"/>
        <v>20703</v>
      </c>
      <c r="B523" s="82">
        <f ca="1">IFERROR(R523+COUNTIFS($R$11:$R523,R523),"")</f>
        <v>20718</v>
      </c>
      <c r="C523" s="83" t="str">
        <f ca="1">IF(MOD(COUNTIF($Q$11:Q522,Q522),5)=0,OFFSET(装备属性!$D$1083,1+INT(COUNTA($Q$11:Q522)/5),0),C522)</f>
        <v>粉</v>
      </c>
      <c r="D523" s="82">
        <f t="shared" si="23"/>
        <v>2000</v>
      </c>
      <c r="F523" s="82">
        <f ca="1" t="shared" si="22"/>
        <v>20703</v>
      </c>
      <c r="G523" s="78" t="str">
        <f ca="1">IF(AND(LEFT("[{"&amp;M523&amp;","&amp;CEILING(N523*10000+(O523-N523)/4*(COUNTIF($F$11:F523,F523)-1)*10000,10)&amp;"}]",7)="[{equip",MID("[{"&amp;M523&amp;","&amp;CEILING(N523*10000+(O523-N523)/4*(COUNTIF($F$11:F523,F523)-1)*10000,10)&amp;"}]",8,1)&lt;&gt;"_"),"[{"&amp;M523&amp;","&amp;1&amp;"}]","[{"&amp;M523&amp;","&amp;CEILING(N523*10000+(O523-N523)/4*(COUNTIF($F$11:F523,F523)-1)*10000,10)&amp;"}]")</f>
        <v>[{equip1_rune_slot,1}]</v>
      </c>
      <c r="H523" s="82" t="s">
        <v>563</v>
      </c>
      <c r="J523" s="78">
        <f ca="1">IF(MOD(COUNTIF($Q$11:Q522,Q522),5)=0,OFFSET(装备属性!$P$1083,1+INT(COUNTA($Q$11:Q522)/5),0),J522)</f>
        <v>1</v>
      </c>
      <c r="K523" s="83" t="str">
        <f ca="1">IF(RIGHT(G523,13)="rune_slot,1}]",_xlfn.XLOOKUP(LEFT(SUBSTITUTE(G523,"[{",""),FIND(",",SUBSTITUTE(G523,"[{",""))-1),Sheet2!B:B,Sheet2!C:C)&amp;"+"&amp;1,_xlfn.XLOOKUP(LEFT(SUBSTITUTE(G523,"[{",""),FIND(",",SUBSTITUTE(G523,"[{",""))-1),Sheet2!B:B,Sheet2!C:C)&amp;"+"&amp;SUBSTITUTE(RIGHT(G523,LEN(G523)-FIND(",",G523)),"}]","")/100&amp;"%")</f>
        <v>衣服符文孔位+1</v>
      </c>
      <c r="L523" s="83" t="str">
        <f ca="1">IF(MOD(COUNTIF($Q$11:Q522,Q522),5)=0,OFFSET(装备属性!$G$1083,1+INT(COUNTA($Q$11:Q522)/5),0),L522)</f>
        <v>扩符槽</v>
      </c>
      <c r="M523" s="89" t="str">
        <f ca="1">IF(MOD(COUNTIF($Q$11:Q522,Q522),5)=0,OFFSET(装备属性!$H$1083,1+INT(COUNTA($Q$11:Q522)/5),0),M522)</f>
        <v>equip1_rune_slot</v>
      </c>
      <c r="N523" s="76">
        <f ca="1">IF(MOD(COUNTIF($Q$11:Q522,Q522),5)=0,OFFSET(装备属性!$K$1083,1+INT(COUNTA($Q$11:Q522)/5),0),N522)</f>
        <v>1</v>
      </c>
      <c r="O523" s="76">
        <f ca="1">IF(MOD(COUNTIF($Q$11:Q522,Q522),5)=0,OFFSET(装备属性!$L$1083,1+INT(COUNTA($Q$11:Q522)/5),0),O522)</f>
        <v>1</v>
      </c>
      <c r="Q523" s="89" t="str">
        <f ca="1">IF(MOD(COUNTIF($Q$11:Q522,Q522),5)=0,OFFSET(装备属性!$M$1083,1+INT(COUNTA($Q$11:Q522)/5),0),Q522)</f>
        <v>稀有词条</v>
      </c>
      <c r="R523" s="83">
        <f ca="1">IF(MOD(COUNTIF($Q$11:Q522,Q522),5)=0,10000*SUBSTITUTE(SUBSTITUTE(OFFSET(装备属性!$F$1083,1+INT(COUNTA($Q$11:Q522)/5),0),"[",""),"]","")+_xlfn.XLOOKUP(C523,$M$3:$M$7,$N$3:$N$7)*100,R522)</f>
        <v>20700</v>
      </c>
    </row>
    <row r="524" customHeight="1" spans="1:18">
      <c r="A524" s="78">
        <f ca="1" t="shared" ref="A524:A587" si="24">IFERROR(R524+IF(Q524="通用属性",1,IF(Q524="玩法类",2,IF(Q524="稀有词条",3,0))),"")</f>
        <v>20703</v>
      </c>
      <c r="B524" s="82">
        <f ca="1">IFERROR(R524+COUNTIFS($R$11:$R524,R524),"")</f>
        <v>20719</v>
      </c>
      <c r="C524" s="83" t="str">
        <f ca="1">IF(MOD(COUNTIF($Q$11:Q523,Q523),5)=0,OFFSET(装备属性!$D$1083,1+INT(COUNTA($Q$11:Q523)/5),0),C523)</f>
        <v>粉</v>
      </c>
      <c r="D524" s="82">
        <f t="shared" si="23"/>
        <v>1500</v>
      </c>
      <c r="F524" s="82">
        <f ca="1" t="shared" ref="F524:F587" si="25">IFERROR(R524+INT((B524-R524-1)/5),"")</f>
        <v>20703</v>
      </c>
      <c r="G524" s="78" t="str">
        <f ca="1">IF(AND(LEFT("[{"&amp;M524&amp;","&amp;CEILING(N524*10000+(O524-N524)/4*(COUNTIF($F$11:F524,F524)-1)*10000,10)&amp;"}]",7)="[{equip",MID("[{"&amp;M524&amp;","&amp;CEILING(N524*10000+(O524-N524)/4*(COUNTIF($F$11:F524,F524)-1)*10000,10)&amp;"}]",8,1)&lt;&gt;"_"),"[{"&amp;M524&amp;","&amp;1&amp;"}]","[{"&amp;M524&amp;","&amp;CEILING(N524*10000+(O524-N524)/4*(COUNTIF($F$11:F524,F524)-1)*10000,10)&amp;"}]")</f>
        <v>[{equip1_rune_slot,1}]</v>
      </c>
      <c r="H524" s="82" t="s">
        <v>563</v>
      </c>
      <c r="J524" s="78">
        <f ca="1">IF(MOD(COUNTIF($Q$11:Q523,Q523),5)=0,OFFSET(装备属性!$P$1083,1+INT(COUNTA($Q$11:Q523)/5),0),J523)</f>
        <v>1</v>
      </c>
      <c r="K524" s="83" t="str">
        <f ca="1">IF(RIGHT(G524,13)="rune_slot,1}]",_xlfn.XLOOKUP(LEFT(SUBSTITUTE(G524,"[{",""),FIND(",",SUBSTITUTE(G524,"[{",""))-1),Sheet2!B:B,Sheet2!C:C)&amp;"+"&amp;1,_xlfn.XLOOKUP(LEFT(SUBSTITUTE(G524,"[{",""),FIND(",",SUBSTITUTE(G524,"[{",""))-1),Sheet2!B:B,Sheet2!C:C)&amp;"+"&amp;SUBSTITUTE(RIGHT(G524,LEN(G524)-FIND(",",G524)),"}]","")/100&amp;"%")</f>
        <v>衣服符文孔位+1</v>
      </c>
      <c r="L524" s="83" t="str">
        <f ca="1">IF(MOD(COUNTIF($Q$11:Q523,Q523),5)=0,OFFSET(装备属性!$G$1083,1+INT(COUNTA($Q$11:Q523)/5),0),L523)</f>
        <v>扩符槽</v>
      </c>
      <c r="M524" s="89" t="str">
        <f ca="1">IF(MOD(COUNTIF($Q$11:Q523,Q523),5)=0,OFFSET(装备属性!$H$1083,1+INT(COUNTA($Q$11:Q523)/5),0),M523)</f>
        <v>equip1_rune_slot</v>
      </c>
      <c r="N524" s="76">
        <f ca="1">IF(MOD(COUNTIF($Q$11:Q523,Q523),5)=0,OFFSET(装备属性!$K$1083,1+INT(COUNTA($Q$11:Q523)/5),0),N523)</f>
        <v>1</v>
      </c>
      <c r="O524" s="76">
        <f ca="1">IF(MOD(COUNTIF($Q$11:Q523,Q523),5)=0,OFFSET(装备属性!$L$1083,1+INT(COUNTA($Q$11:Q523)/5),0),O523)</f>
        <v>1</v>
      </c>
      <c r="Q524" s="89" t="str">
        <f ca="1">IF(MOD(COUNTIF($Q$11:Q523,Q523),5)=0,OFFSET(装备属性!$M$1083,1+INT(COUNTA($Q$11:Q523)/5),0),Q523)</f>
        <v>稀有词条</v>
      </c>
      <c r="R524" s="83">
        <f ca="1">IF(MOD(COUNTIF($Q$11:Q523,Q523),5)=0,10000*SUBSTITUTE(SUBSTITUTE(OFFSET(装备属性!$F$1083,1+INT(COUNTA($Q$11:Q523)/5),0),"[",""),"]","")+_xlfn.XLOOKUP(C524,$M$3:$M$7,$N$3:$N$7)*100,R523)</f>
        <v>20700</v>
      </c>
    </row>
    <row r="525" customHeight="1" spans="1:18">
      <c r="A525" s="78">
        <f ca="1" t="shared" si="24"/>
        <v>20703</v>
      </c>
      <c r="B525" s="82">
        <f ca="1">IFERROR(R525+COUNTIFS($R$11:$R525,R525),"")</f>
        <v>20720</v>
      </c>
      <c r="C525" s="83" t="str">
        <f ca="1">IF(MOD(COUNTIF($Q$11:Q524,Q524),5)=0,OFFSET(装备属性!$D$1083,1+INT(COUNTA($Q$11:Q524)/5),0),C524)</f>
        <v>粉</v>
      </c>
      <c r="D525" s="82">
        <f t="shared" si="23"/>
        <v>1000</v>
      </c>
      <c r="F525" s="82">
        <f ca="1" t="shared" si="25"/>
        <v>20703</v>
      </c>
      <c r="G525" s="78" t="str">
        <f ca="1">IF(AND(LEFT("[{"&amp;M525&amp;","&amp;CEILING(N525*10000+(O525-N525)/4*(COUNTIF($F$11:F525,F525)-1)*10000,10)&amp;"}]",7)="[{equip",MID("[{"&amp;M525&amp;","&amp;CEILING(N525*10000+(O525-N525)/4*(COUNTIF($F$11:F525,F525)-1)*10000,10)&amp;"}]",8,1)&lt;&gt;"_"),"[{"&amp;M525&amp;","&amp;1&amp;"}]","[{"&amp;M525&amp;","&amp;CEILING(N525*10000+(O525-N525)/4*(COUNTIF($F$11:F525,F525)-1)*10000,10)&amp;"}]")</f>
        <v>[{equip1_rune_slot,1}]</v>
      </c>
      <c r="H525" s="82" t="s">
        <v>563</v>
      </c>
      <c r="J525" s="78">
        <f ca="1">IF(MOD(COUNTIF($Q$11:Q524,Q524),5)=0,OFFSET(装备属性!$P$1083,1+INT(COUNTA($Q$11:Q524)/5),0),J524)</f>
        <v>1</v>
      </c>
      <c r="K525" s="83" t="str">
        <f ca="1">IF(RIGHT(G525,13)="rune_slot,1}]",_xlfn.XLOOKUP(LEFT(SUBSTITUTE(G525,"[{",""),FIND(",",SUBSTITUTE(G525,"[{",""))-1),Sheet2!B:B,Sheet2!C:C)&amp;"+"&amp;1,_xlfn.XLOOKUP(LEFT(SUBSTITUTE(G525,"[{",""),FIND(",",SUBSTITUTE(G525,"[{",""))-1),Sheet2!B:B,Sheet2!C:C)&amp;"+"&amp;SUBSTITUTE(RIGHT(G525,LEN(G525)-FIND(",",G525)),"}]","")/100&amp;"%")</f>
        <v>衣服符文孔位+1</v>
      </c>
      <c r="L525" s="83" t="str">
        <f ca="1">IF(MOD(COUNTIF($Q$11:Q524,Q524),5)=0,OFFSET(装备属性!$G$1083,1+INT(COUNTA($Q$11:Q524)/5),0),L524)</f>
        <v>扩符槽</v>
      </c>
      <c r="M525" s="89" t="str">
        <f ca="1">IF(MOD(COUNTIF($Q$11:Q524,Q524),5)=0,OFFSET(装备属性!$H$1083,1+INT(COUNTA($Q$11:Q524)/5),0),M524)</f>
        <v>equip1_rune_slot</v>
      </c>
      <c r="N525" s="76">
        <f ca="1">IF(MOD(COUNTIF($Q$11:Q524,Q524),5)=0,OFFSET(装备属性!$K$1083,1+INT(COUNTA($Q$11:Q524)/5),0),N524)</f>
        <v>1</v>
      </c>
      <c r="O525" s="76">
        <f ca="1">IF(MOD(COUNTIF($Q$11:Q524,Q524),5)=0,OFFSET(装备属性!$L$1083,1+INT(COUNTA($Q$11:Q524)/5),0),O524)</f>
        <v>1</v>
      </c>
      <c r="Q525" s="89" t="str">
        <f ca="1">IF(MOD(COUNTIF($Q$11:Q524,Q524),5)=0,OFFSET(装备属性!$M$1083,1+INT(COUNTA($Q$11:Q524)/5),0),Q524)</f>
        <v>稀有词条</v>
      </c>
      <c r="R525" s="83">
        <f ca="1">IF(MOD(COUNTIF($Q$11:Q524,Q524),5)=0,10000*SUBSTITUTE(SUBSTITUTE(OFFSET(装备属性!$F$1083,1+INT(COUNTA($Q$11:Q524)/5),0),"[",""),"]","")+_xlfn.XLOOKUP(C525,$M$3:$M$7,$N$3:$N$7)*100,R524)</f>
        <v>20700</v>
      </c>
    </row>
    <row r="526" customHeight="1" spans="1:18">
      <c r="A526" s="78">
        <f ca="1" t="shared" si="24"/>
        <v>20702</v>
      </c>
      <c r="B526" s="82">
        <f ca="1">IFERROR(R526+COUNTIFS($R$11:$R526,R526),"")</f>
        <v>20721</v>
      </c>
      <c r="C526" s="83" t="str">
        <f ca="1">IF(MOD(COUNTIF($Q$11:Q525,Q525),5)=0,OFFSET(装备属性!$D$1083,1+INT(COUNTA($Q$11:Q525)/5),0),C525)</f>
        <v>粉</v>
      </c>
      <c r="D526" s="82">
        <f t="shared" si="23"/>
        <v>3000</v>
      </c>
      <c r="F526" s="82">
        <f ca="1" t="shared" si="25"/>
        <v>20704</v>
      </c>
      <c r="G526" s="78" t="str">
        <f ca="1">IF(AND(LEFT("[{"&amp;M526&amp;","&amp;CEILING(N526*10000+(O526-N526)/4*(COUNTIF($F$11:F526,F526)-1)*10000,10)&amp;"}]",7)="[{equip",MID("[{"&amp;M526&amp;","&amp;CEILING(N526*10000+(O526-N526)/4*(COUNTIF($F$11:F526,F526)-1)*10000,10)&amp;"}]",8,1)&lt;&gt;"_"),"[{"&amp;M526&amp;","&amp;1&amp;"}]","[{"&amp;M526&amp;","&amp;CEILING(N526*10000+(O526-N526)/4*(COUNTIF($F$11:F526,F526)-1)*10000,10)&amp;"}]")</f>
        <v>[{chapter_pve_hit_rate,800}]</v>
      </c>
      <c r="H526" s="82" t="s">
        <v>563</v>
      </c>
      <c r="J526" s="78">
        <f ca="1">IF(MOD(COUNTIF($Q$11:Q525,Q525),5)=0,OFFSET(装备属性!$P$1083,1+INT(COUNTA($Q$11:Q525)/5),0),J525)</f>
        <v>6</v>
      </c>
      <c r="K526" s="83" t="str">
        <f ca="1">IF(RIGHT(G526,13)="rune_slot,1}]",_xlfn.XLOOKUP(LEFT(SUBSTITUTE(G526,"[{",""),FIND(",",SUBSTITUTE(G526,"[{",""))-1),Sheet2!B:B,Sheet2!C:C)&amp;"+"&amp;1,_xlfn.XLOOKUP(LEFT(SUBSTITUTE(G526,"[{",""),FIND(",",SUBSTITUTE(G526,"[{",""))-1),Sheet2!B:B,Sheet2!C:C)&amp;"+"&amp;SUBSTITUTE(RIGHT(G526,LEN(G526)-FIND(",",G526)),"}]","")/100&amp;"%")</f>
        <v>主线挑战增伤+8%</v>
      </c>
      <c r="L526" s="83" t="str">
        <f ca="1">IF(MOD(COUNTIF($Q$11:Q525,Q525),5)=0,OFFSET(装备属性!$G$1083,1+INT(COUNTA($Q$11:Q525)/5),0),L525)</f>
        <v>主线清场Ⅳ</v>
      </c>
      <c r="M526" s="89" t="str">
        <f ca="1">IF(MOD(COUNTIF($Q$11:Q525,Q525),5)=0,OFFSET(装备属性!$H$1083,1+INT(COUNTA($Q$11:Q525)/5),0),M525)</f>
        <v>chapter_pve_hit_rate</v>
      </c>
      <c r="N526" s="76">
        <f ca="1">IF(MOD(COUNTIF($Q$11:Q525,Q525),5)=0,OFFSET(装备属性!$K$1083,1+INT(COUNTA($Q$11:Q525)/5),0),N525)</f>
        <v>0.08</v>
      </c>
      <c r="O526" s="76">
        <f ca="1">IF(MOD(COUNTIF($Q$11:Q525,Q525),5)=0,OFFSET(装备属性!$L$1083,1+INT(COUNTA($Q$11:Q525)/5),0),O525)</f>
        <v>0.09</v>
      </c>
      <c r="Q526" s="89" t="str">
        <f ca="1">IF(MOD(COUNTIF($Q$11:Q525,Q525),5)=0,OFFSET(装备属性!$M$1083,1+INT(COUNTA($Q$11:Q525)/5),0),Q525)</f>
        <v>玩法类</v>
      </c>
      <c r="R526" s="83">
        <f ca="1">IF(MOD(COUNTIF($Q$11:Q525,Q525),5)=0,10000*SUBSTITUTE(SUBSTITUTE(OFFSET(装备属性!$F$1083,1+INT(COUNTA($Q$11:Q525)/5),0),"[",""),"]","")+_xlfn.XLOOKUP(C526,$M$3:$M$7,$N$3:$N$7)*100,R525)</f>
        <v>20700</v>
      </c>
    </row>
    <row r="527" customHeight="1" spans="1:18">
      <c r="A527" s="78">
        <f ca="1" t="shared" si="24"/>
        <v>20702</v>
      </c>
      <c r="B527" s="82">
        <f ca="1">IFERROR(R527+COUNTIFS($R$11:$R527,R527),"")</f>
        <v>20722</v>
      </c>
      <c r="C527" s="83" t="str">
        <f ca="1">IF(MOD(COUNTIF($Q$11:Q526,Q526),5)=0,OFFSET(装备属性!$D$1083,1+INT(COUNTA($Q$11:Q526)/5),0),C526)</f>
        <v>粉</v>
      </c>
      <c r="D527" s="82">
        <f t="shared" si="23"/>
        <v>2500</v>
      </c>
      <c r="F527" s="82">
        <f ca="1" t="shared" si="25"/>
        <v>20704</v>
      </c>
      <c r="G527" s="78" t="str">
        <f ca="1">IF(AND(LEFT("[{"&amp;M527&amp;","&amp;CEILING(N527*10000+(O527-N527)/4*(COUNTIF($F$11:F527,F527)-1)*10000,10)&amp;"}]",7)="[{equip",MID("[{"&amp;M527&amp;","&amp;CEILING(N527*10000+(O527-N527)/4*(COUNTIF($F$11:F527,F527)-1)*10000,10)&amp;"}]",8,1)&lt;&gt;"_"),"[{"&amp;M527&amp;","&amp;1&amp;"}]","[{"&amp;M527&amp;","&amp;CEILING(N527*10000+(O527-N527)/4*(COUNTIF($F$11:F527,F527)-1)*10000,10)&amp;"}]")</f>
        <v>[{chapter_pve_hit_rate,830}]</v>
      </c>
      <c r="H527" s="82" t="s">
        <v>563</v>
      </c>
      <c r="J527" s="78">
        <f ca="1">IF(MOD(COUNTIF($Q$11:Q526,Q526),5)=0,OFFSET(装备属性!$P$1083,1+INT(COUNTA($Q$11:Q526)/5),0),J526)</f>
        <v>6</v>
      </c>
      <c r="K527" s="83" t="str">
        <f ca="1">IF(RIGHT(G527,13)="rune_slot,1}]",_xlfn.XLOOKUP(LEFT(SUBSTITUTE(G527,"[{",""),FIND(",",SUBSTITUTE(G527,"[{",""))-1),Sheet2!B:B,Sheet2!C:C)&amp;"+"&amp;1,_xlfn.XLOOKUP(LEFT(SUBSTITUTE(G527,"[{",""),FIND(",",SUBSTITUTE(G527,"[{",""))-1),Sheet2!B:B,Sheet2!C:C)&amp;"+"&amp;SUBSTITUTE(RIGHT(G527,LEN(G527)-FIND(",",G527)),"}]","")/100&amp;"%")</f>
        <v>主线挑战增伤+8.3%</v>
      </c>
      <c r="L527" s="83" t="str">
        <f ca="1">IF(MOD(COUNTIF($Q$11:Q526,Q526),5)=0,OFFSET(装备属性!$G$1083,1+INT(COUNTA($Q$11:Q526)/5),0),L526)</f>
        <v>主线清场Ⅳ</v>
      </c>
      <c r="M527" s="89" t="str">
        <f ca="1">IF(MOD(COUNTIF($Q$11:Q526,Q526),5)=0,OFFSET(装备属性!$H$1083,1+INT(COUNTA($Q$11:Q526)/5),0),M526)</f>
        <v>chapter_pve_hit_rate</v>
      </c>
      <c r="N527" s="76">
        <f ca="1">IF(MOD(COUNTIF($Q$11:Q526,Q526),5)=0,OFFSET(装备属性!$K$1083,1+INT(COUNTA($Q$11:Q526)/5),0),N526)</f>
        <v>0.08</v>
      </c>
      <c r="O527" s="76">
        <f ca="1">IF(MOD(COUNTIF($Q$11:Q526,Q526),5)=0,OFFSET(装备属性!$L$1083,1+INT(COUNTA($Q$11:Q526)/5),0),O526)</f>
        <v>0.09</v>
      </c>
      <c r="Q527" s="89" t="str">
        <f ca="1">IF(MOD(COUNTIF($Q$11:Q526,Q526),5)=0,OFFSET(装备属性!$M$1083,1+INT(COUNTA($Q$11:Q526)/5),0),Q526)</f>
        <v>玩法类</v>
      </c>
      <c r="R527" s="83">
        <f ca="1">IF(MOD(COUNTIF($Q$11:Q526,Q526),5)=0,10000*SUBSTITUTE(SUBSTITUTE(OFFSET(装备属性!$F$1083,1+INT(COUNTA($Q$11:Q526)/5),0),"[",""),"]","")+_xlfn.XLOOKUP(C527,$M$3:$M$7,$N$3:$N$7)*100,R526)</f>
        <v>20700</v>
      </c>
    </row>
    <row r="528" customHeight="1" spans="1:18">
      <c r="A528" s="78">
        <f ca="1" t="shared" si="24"/>
        <v>20702</v>
      </c>
      <c r="B528" s="82">
        <f ca="1">IFERROR(R528+COUNTIFS($R$11:$R528,R528),"")</f>
        <v>20723</v>
      </c>
      <c r="C528" s="83" t="str">
        <f ca="1">IF(MOD(COUNTIF($Q$11:Q527,Q527),5)=0,OFFSET(装备属性!$D$1083,1+INT(COUNTA($Q$11:Q527)/5),0),C527)</f>
        <v>粉</v>
      </c>
      <c r="D528" s="82">
        <f t="shared" si="23"/>
        <v>2000</v>
      </c>
      <c r="F528" s="82">
        <f ca="1" t="shared" si="25"/>
        <v>20704</v>
      </c>
      <c r="G528" s="78" t="str">
        <f ca="1">IF(AND(LEFT("[{"&amp;M528&amp;","&amp;CEILING(N528*10000+(O528-N528)/4*(COUNTIF($F$11:F528,F528)-1)*10000,10)&amp;"}]",7)="[{equip",MID("[{"&amp;M528&amp;","&amp;CEILING(N528*10000+(O528-N528)/4*(COUNTIF($F$11:F528,F528)-1)*10000,10)&amp;"}]",8,1)&lt;&gt;"_"),"[{"&amp;M528&amp;","&amp;1&amp;"}]","[{"&amp;M528&amp;","&amp;CEILING(N528*10000+(O528-N528)/4*(COUNTIF($F$11:F528,F528)-1)*10000,10)&amp;"}]")</f>
        <v>[{chapter_pve_hit_rate,850}]</v>
      </c>
      <c r="H528" s="82" t="s">
        <v>563</v>
      </c>
      <c r="J528" s="78">
        <f ca="1">IF(MOD(COUNTIF($Q$11:Q527,Q527),5)=0,OFFSET(装备属性!$P$1083,1+INT(COUNTA($Q$11:Q527)/5),0),J527)</f>
        <v>6</v>
      </c>
      <c r="K528" s="83" t="str">
        <f ca="1">IF(RIGHT(G528,13)="rune_slot,1}]",_xlfn.XLOOKUP(LEFT(SUBSTITUTE(G528,"[{",""),FIND(",",SUBSTITUTE(G528,"[{",""))-1),Sheet2!B:B,Sheet2!C:C)&amp;"+"&amp;1,_xlfn.XLOOKUP(LEFT(SUBSTITUTE(G528,"[{",""),FIND(",",SUBSTITUTE(G528,"[{",""))-1),Sheet2!B:B,Sheet2!C:C)&amp;"+"&amp;SUBSTITUTE(RIGHT(G528,LEN(G528)-FIND(",",G528)),"}]","")/100&amp;"%")</f>
        <v>主线挑战增伤+8.5%</v>
      </c>
      <c r="L528" s="83" t="str">
        <f ca="1">IF(MOD(COUNTIF($Q$11:Q527,Q527),5)=0,OFFSET(装备属性!$G$1083,1+INT(COUNTA($Q$11:Q527)/5),0),L527)</f>
        <v>主线清场Ⅳ</v>
      </c>
      <c r="M528" s="89" t="str">
        <f ca="1">IF(MOD(COUNTIF($Q$11:Q527,Q527),5)=0,OFFSET(装备属性!$H$1083,1+INT(COUNTA($Q$11:Q527)/5),0),M527)</f>
        <v>chapter_pve_hit_rate</v>
      </c>
      <c r="N528" s="76">
        <f ca="1">IF(MOD(COUNTIF($Q$11:Q527,Q527),5)=0,OFFSET(装备属性!$K$1083,1+INT(COUNTA($Q$11:Q527)/5),0),N527)</f>
        <v>0.08</v>
      </c>
      <c r="O528" s="76">
        <f ca="1">IF(MOD(COUNTIF($Q$11:Q527,Q527),5)=0,OFFSET(装备属性!$L$1083,1+INT(COUNTA($Q$11:Q527)/5),0),O527)</f>
        <v>0.09</v>
      </c>
      <c r="Q528" s="89" t="str">
        <f ca="1">IF(MOD(COUNTIF($Q$11:Q527,Q527),5)=0,OFFSET(装备属性!$M$1083,1+INT(COUNTA($Q$11:Q527)/5),0),Q527)</f>
        <v>玩法类</v>
      </c>
      <c r="R528" s="83">
        <f ca="1">IF(MOD(COUNTIF($Q$11:Q527,Q527),5)=0,10000*SUBSTITUTE(SUBSTITUTE(OFFSET(装备属性!$F$1083,1+INT(COUNTA($Q$11:Q527)/5),0),"[",""),"]","")+_xlfn.XLOOKUP(C528,$M$3:$M$7,$N$3:$N$7)*100,R527)</f>
        <v>20700</v>
      </c>
    </row>
    <row r="529" customHeight="1" spans="1:18">
      <c r="A529" s="78">
        <f ca="1" t="shared" si="24"/>
        <v>20702</v>
      </c>
      <c r="B529" s="82">
        <f ca="1">IFERROR(R529+COUNTIFS($R$11:$R529,R529),"")</f>
        <v>20724</v>
      </c>
      <c r="C529" s="83" t="str">
        <f ca="1">IF(MOD(COUNTIF($Q$11:Q528,Q528),5)=0,OFFSET(装备属性!$D$1083,1+INT(COUNTA($Q$11:Q528)/5),0),C528)</f>
        <v>粉</v>
      </c>
      <c r="D529" s="82">
        <f t="shared" ref="D529:D592" si="26">D524</f>
        <v>1500</v>
      </c>
      <c r="F529" s="82">
        <f ca="1" t="shared" si="25"/>
        <v>20704</v>
      </c>
      <c r="G529" s="78" t="str">
        <f ca="1">IF(AND(LEFT("[{"&amp;M529&amp;","&amp;CEILING(N529*10000+(O529-N529)/4*(COUNTIF($F$11:F529,F529)-1)*10000,10)&amp;"}]",7)="[{equip",MID("[{"&amp;M529&amp;","&amp;CEILING(N529*10000+(O529-N529)/4*(COUNTIF($F$11:F529,F529)-1)*10000,10)&amp;"}]",8,1)&lt;&gt;"_"),"[{"&amp;M529&amp;","&amp;1&amp;"}]","[{"&amp;M529&amp;","&amp;CEILING(N529*10000+(O529-N529)/4*(COUNTIF($F$11:F529,F529)-1)*10000,10)&amp;"}]")</f>
        <v>[{chapter_pve_hit_rate,880}]</v>
      </c>
      <c r="H529" s="82" t="s">
        <v>563</v>
      </c>
      <c r="J529" s="78">
        <f ca="1">IF(MOD(COUNTIF($Q$11:Q528,Q528),5)=0,OFFSET(装备属性!$P$1083,1+INT(COUNTA($Q$11:Q528)/5),0),J528)</f>
        <v>6</v>
      </c>
      <c r="K529" s="83" t="str">
        <f ca="1">IF(RIGHT(G529,13)="rune_slot,1}]",_xlfn.XLOOKUP(LEFT(SUBSTITUTE(G529,"[{",""),FIND(",",SUBSTITUTE(G529,"[{",""))-1),Sheet2!B:B,Sheet2!C:C)&amp;"+"&amp;1,_xlfn.XLOOKUP(LEFT(SUBSTITUTE(G529,"[{",""),FIND(",",SUBSTITUTE(G529,"[{",""))-1),Sheet2!B:B,Sheet2!C:C)&amp;"+"&amp;SUBSTITUTE(RIGHT(G529,LEN(G529)-FIND(",",G529)),"}]","")/100&amp;"%")</f>
        <v>主线挑战增伤+8.8%</v>
      </c>
      <c r="L529" s="83" t="str">
        <f ca="1">IF(MOD(COUNTIF($Q$11:Q528,Q528),5)=0,OFFSET(装备属性!$G$1083,1+INT(COUNTA($Q$11:Q528)/5),0),L528)</f>
        <v>主线清场Ⅳ</v>
      </c>
      <c r="M529" s="89" t="str">
        <f ca="1">IF(MOD(COUNTIF($Q$11:Q528,Q528),5)=0,OFFSET(装备属性!$H$1083,1+INT(COUNTA($Q$11:Q528)/5),0),M528)</f>
        <v>chapter_pve_hit_rate</v>
      </c>
      <c r="N529" s="76">
        <f ca="1">IF(MOD(COUNTIF($Q$11:Q528,Q528),5)=0,OFFSET(装备属性!$K$1083,1+INT(COUNTA($Q$11:Q528)/5),0),N528)</f>
        <v>0.08</v>
      </c>
      <c r="O529" s="76">
        <f ca="1">IF(MOD(COUNTIF($Q$11:Q528,Q528),5)=0,OFFSET(装备属性!$L$1083,1+INT(COUNTA($Q$11:Q528)/5),0),O528)</f>
        <v>0.09</v>
      </c>
      <c r="Q529" s="89" t="str">
        <f ca="1">IF(MOD(COUNTIF($Q$11:Q528,Q528),5)=0,OFFSET(装备属性!$M$1083,1+INT(COUNTA($Q$11:Q528)/5),0),Q528)</f>
        <v>玩法类</v>
      </c>
      <c r="R529" s="83">
        <f ca="1">IF(MOD(COUNTIF($Q$11:Q528,Q528),5)=0,10000*SUBSTITUTE(SUBSTITUTE(OFFSET(装备属性!$F$1083,1+INT(COUNTA($Q$11:Q528)/5),0),"[",""),"]","")+_xlfn.XLOOKUP(C529,$M$3:$M$7,$N$3:$N$7)*100,R528)</f>
        <v>20700</v>
      </c>
    </row>
    <row r="530" customHeight="1" spans="1:18">
      <c r="A530" s="78">
        <f ca="1" t="shared" si="24"/>
        <v>20702</v>
      </c>
      <c r="B530" s="82">
        <f ca="1">IFERROR(R530+COUNTIFS($R$11:$R530,R530),"")</f>
        <v>20725</v>
      </c>
      <c r="C530" s="83" t="str">
        <f ca="1">IF(MOD(COUNTIF($Q$11:Q529,Q529),5)=0,OFFSET(装备属性!$D$1083,1+INT(COUNTA($Q$11:Q529)/5),0),C529)</f>
        <v>粉</v>
      </c>
      <c r="D530" s="82">
        <f t="shared" si="26"/>
        <v>1000</v>
      </c>
      <c r="F530" s="82">
        <f ca="1" t="shared" si="25"/>
        <v>20704</v>
      </c>
      <c r="G530" s="78" t="str">
        <f ca="1">IF(AND(LEFT("[{"&amp;M530&amp;","&amp;CEILING(N530*10000+(O530-N530)/4*(COUNTIF($F$11:F530,F530)-1)*10000,10)&amp;"}]",7)="[{equip",MID("[{"&amp;M530&amp;","&amp;CEILING(N530*10000+(O530-N530)/4*(COUNTIF($F$11:F530,F530)-1)*10000,10)&amp;"}]",8,1)&lt;&gt;"_"),"[{"&amp;M530&amp;","&amp;1&amp;"}]","[{"&amp;M530&amp;","&amp;CEILING(N530*10000+(O530-N530)/4*(COUNTIF($F$11:F530,F530)-1)*10000,10)&amp;"}]")</f>
        <v>[{chapter_pve_hit_rate,900}]</v>
      </c>
      <c r="H530" s="82" t="s">
        <v>563</v>
      </c>
      <c r="J530" s="78">
        <f ca="1">IF(MOD(COUNTIF($Q$11:Q529,Q529),5)=0,OFFSET(装备属性!$P$1083,1+INT(COUNTA($Q$11:Q529)/5),0),J529)</f>
        <v>6</v>
      </c>
      <c r="K530" s="83" t="str">
        <f ca="1">IF(RIGHT(G530,13)="rune_slot,1}]",_xlfn.XLOOKUP(LEFT(SUBSTITUTE(G530,"[{",""),FIND(",",SUBSTITUTE(G530,"[{",""))-1),Sheet2!B:B,Sheet2!C:C)&amp;"+"&amp;1,_xlfn.XLOOKUP(LEFT(SUBSTITUTE(G530,"[{",""),FIND(",",SUBSTITUTE(G530,"[{",""))-1),Sheet2!B:B,Sheet2!C:C)&amp;"+"&amp;SUBSTITUTE(RIGHT(G530,LEN(G530)-FIND(",",G530)),"}]","")/100&amp;"%")</f>
        <v>主线挑战增伤+9%</v>
      </c>
      <c r="L530" s="83" t="str">
        <f ca="1">IF(MOD(COUNTIF($Q$11:Q529,Q529),5)=0,OFFSET(装备属性!$G$1083,1+INT(COUNTA($Q$11:Q529)/5),0),L529)</f>
        <v>主线清场Ⅳ</v>
      </c>
      <c r="M530" s="89" t="str">
        <f ca="1">IF(MOD(COUNTIF($Q$11:Q529,Q529),5)=0,OFFSET(装备属性!$H$1083,1+INT(COUNTA($Q$11:Q529)/5),0),M529)</f>
        <v>chapter_pve_hit_rate</v>
      </c>
      <c r="N530" s="76">
        <f ca="1">IF(MOD(COUNTIF($Q$11:Q529,Q529),5)=0,OFFSET(装备属性!$K$1083,1+INT(COUNTA($Q$11:Q529)/5),0),N529)</f>
        <v>0.08</v>
      </c>
      <c r="O530" s="76">
        <f ca="1">IF(MOD(COUNTIF($Q$11:Q529,Q529),5)=0,OFFSET(装备属性!$L$1083,1+INT(COUNTA($Q$11:Q529)/5),0),O529)</f>
        <v>0.09</v>
      </c>
      <c r="Q530" s="89" t="str">
        <f ca="1">IF(MOD(COUNTIF($Q$11:Q529,Q529),5)=0,OFFSET(装备属性!$M$1083,1+INT(COUNTA($Q$11:Q529)/5),0),Q529)</f>
        <v>玩法类</v>
      </c>
      <c r="R530" s="83">
        <f ca="1">IF(MOD(COUNTIF($Q$11:Q529,Q529),5)=0,10000*SUBSTITUTE(SUBSTITUTE(OFFSET(装备属性!$F$1083,1+INT(COUNTA($Q$11:Q529)/5),0),"[",""),"]","")+_xlfn.XLOOKUP(C530,$M$3:$M$7,$N$3:$N$7)*100,R529)</f>
        <v>20700</v>
      </c>
    </row>
    <row r="531" customHeight="1" spans="1:18">
      <c r="A531" s="78">
        <f ca="1" t="shared" si="24"/>
        <v>20701</v>
      </c>
      <c r="B531" s="82">
        <f ca="1">IFERROR(R531+COUNTIFS($R$11:$R531,R531),"")</f>
        <v>20726</v>
      </c>
      <c r="C531" s="83" t="str">
        <f ca="1">IF(MOD(COUNTIF($Q$11:Q530,Q530),5)=0,OFFSET(装备属性!$D$1083,1+INT(COUNTA($Q$11:Q530)/5),0),C530)</f>
        <v>粉</v>
      </c>
      <c r="D531" s="82">
        <f t="shared" si="26"/>
        <v>3000</v>
      </c>
      <c r="F531" s="82">
        <f ca="1" t="shared" si="25"/>
        <v>20705</v>
      </c>
      <c r="G531" s="78" t="str">
        <f ca="1">IF(AND(LEFT("[{"&amp;M531&amp;","&amp;CEILING(N531*10000+(O531-N531)/4*(COUNTIF($F$11:F531,F531)-1)*10000,10)&amp;"}]",7)="[{equip",MID("[{"&amp;M531&amp;","&amp;CEILING(N531*10000+(O531-N531)/4*(COUNTIF($F$11:F531,F531)-1)*10000,10)&amp;"}]",8,1)&lt;&gt;"_"),"[{"&amp;M531&amp;","&amp;1&amp;"}]","[{"&amp;M531&amp;","&amp;CEILING(N531*10000+(O531-N531)/4*(COUNTIF($F$11:F531,F531)-1)*10000,10)&amp;"}]")</f>
        <v>[{mage_dmg_red_rate,300}]</v>
      </c>
      <c r="H531" s="82" t="s">
        <v>563</v>
      </c>
      <c r="J531" s="78">
        <f ca="1">IF(MOD(COUNTIF($Q$11:Q530,Q530),5)=0,OFFSET(装备属性!$P$1083,1+INT(COUNTA($Q$11:Q530)/5),0),J530)</f>
        <v>5</v>
      </c>
      <c r="K531" s="83" t="str">
        <f ca="1">IF(RIGHT(G531,13)="rune_slot,1}]",_xlfn.XLOOKUP(LEFT(SUBSTITUTE(G531,"[{",""),FIND(",",SUBSTITUTE(G531,"[{",""))-1),Sheet2!B:B,Sheet2!C:C)&amp;"+"&amp;1,_xlfn.XLOOKUP(LEFT(SUBSTITUTE(G531,"[{",""),FIND(",",SUBSTITUTE(G531,"[{",""))-1),Sheet2!B:B,Sheet2!C:C)&amp;"+"&amp;SUBSTITUTE(RIGHT(G531,LEN(G531)-FIND(",",G531)),"}]","")/100&amp;"%")</f>
        <v>法师伤害减免+3%</v>
      </c>
      <c r="L531" s="83" t="str">
        <f ca="1">IF(MOD(COUNTIF($Q$11:Q530,Q530),5)=0,OFFSET(装备属性!$G$1083,1+INT(COUNTA($Q$11:Q530)/5),0),L530)</f>
        <v>施法防抗Ⅳ</v>
      </c>
      <c r="M531" s="89" t="str">
        <f ca="1">IF(MOD(COUNTIF($Q$11:Q530,Q530),5)=0,OFFSET(装备属性!$H$1083,1+INT(COUNTA($Q$11:Q530)/5),0),M530)</f>
        <v>mage_dmg_red_rate</v>
      </c>
      <c r="N531" s="76">
        <f ca="1">IF(MOD(COUNTIF($Q$11:Q530,Q530),5)=0,OFFSET(装备属性!$K$1083,1+INT(COUNTA($Q$11:Q530)/5),0),N530)</f>
        <v>0.03</v>
      </c>
      <c r="O531" s="76">
        <f ca="1">IF(MOD(COUNTIF($Q$11:Q530,Q530),5)=0,OFFSET(装备属性!$L$1083,1+INT(COUNTA($Q$11:Q530)/5),0),O530)</f>
        <v>0.034</v>
      </c>
      <c r="Q531" s="89" t="str">
        <f ca="1">IF(MOD(COUNTIF($Q$11:Q530,Q530),5)=0,OFFSET(装备属性!$M$1083,1+INT(COUNTA($Q$11:Q530)/5),0),Q530)</f>
        <v>通用属性</v>
      </c>
      <c r="R531" s="83">
        <f ca="1">IF(MOD(COUNTIF($Q$11:Q530,Q530),5)=0,10000*SUBSTITUTE(SUBSTITUTE(OFFSET(装备属性!$F$1083,1+INT(COUNTA($Q$11:Q530)/5),0),"[",""),"]","")+_xlfn.XLOOKUP(C531,$M$3:$M$7,$N$3:$N$7)*100,R530)</f>
        <v>20700</v>
      </c>
    </row>
    <row r="532" customHeight="1" spans="1:18">
      <c r="A532" s="78">
        <f ca="1" t="shared" si="24"/>
        <v>20701</v>
      </c>
      <c r="B532" s="82">
        <f ca="1">IFERROR(R532+COUNTIFS($R$11:$R532,R532),"")</f>
        <v>20727</v>
      </c>
      <c r="C532" s="83" t="str">
        <f ca="1">IF(MOD(COUNTIF($Q$11:Q531,Q531),5)=0,OFFSET(装备属性!$D$1083,1+INT(COUNTA($Q$11:Q531)/5),0),C531)</f>
        <v>粉</v>
      </c>
      <c r="D532" s="82">
        <f t="shared" si="26"/>
        <v>2500</v>
      </c>
      <c r="F532" s="82">
        <f ca="1" t="shared" si="25"/>
        <v>20705</v>
      </c>
      <c r="G532" s="78" t="str">
        <f ca="1">IF(AND(LEFT("[{"&amp;M532&amp;","&amp;CEILING(N532*10000+(O532-N532)/4*(COUNTIF($F$11:F532,F532)-1)*10000,10)&amp;"}]",7)="[{equip",MID("[{"&amp;M532&amp;","&amp;CEILING(N532*10000+(O532-N532)/4*(COUNTIF($F$11:F532,F532)-1)*10000,10)&amp;"}]",8,1)&lt;&gt;"_"),"[{"&amp;M532&amp;","&amp;1&amp;"}]","[{"&amp;M532&amp;","&amp;CEILING(N532*10000+(O532-N532)/4*(COUNTIF($F$11:F532,F532)-1)*10000,10)&amp;"}]")</f>
        <v>[{mage_dmg_red_rate,310}]</v>
      </c>
      <c r="H532" s="82" t="s">
        <v>563</v>
      </c>
      <c r="J532" s="78">
        <f ca="1">IF(MOD(COUNTIF($Q$11:Q531,Q531),5)=0,OFFSET(装备属性!$P$1083,1+INT(COUNTA($Q$11:Q531)/5),0),J531)</f>
        <v>5</v>
      </c>
      <c r="K532" s="83" t="str">
        <f ca="1">IF(RIGHT(G532,13)="rune_slot,1}]",_xlfn.XLOOKUP(LEFT(SUBSTITUTE(G532,"[{",""),FIND(",",SUBSTITUTE(G532,"[{",""))-1),Sheet2!B:B,Sheet2!C:C)&amp;"+"&amp;1,_xlfn.XLOOKUP(LEFT(SUBSTITUTE(G532,"[{",""),FIND(",",SUBSTITUTE(G532,"[{",""))-1),Sheet2!B:B,Sheet2!C:C)&amp;"+"&amp;SUBSTITUTE(RIGHT(G532,LEN(G532)-FIND(",",G532)),"}]","")/100&amp;"%")</f>
        <v>法师伤害减免+3.1%</v>
      </c>
      <c r="L532" s="83" t="str">
        <f ca="1">IF(MOD(COUNTIF($Q$11:Q531,Q531),5)=0,OFFSET(装备属性!$G$1083,1+INT(COUNTA($Q$11:Q531)/5),0),L531)</f>
        <v>施法防抗Ⅳ</v>
      </c>
      <c r="M532" s="89" t="str">
        <f ca="1">IF(MOD(COUNTIF($Q$11:Q531,Q531),5)=0,OFFSET(装备属性!$H$1083,1+INT(COUNTA($Q$11:Q531)/5),0),M531)</f>
        <v>mage_dmg_red_rate</v>
      </c>
      <c r="N532" s="76">
        <f ca="1">IF(MOD(COUNTIF($Q$11:Q531,Q531),5)=0,OFFSET(装备属性!$K$1083,1+INT(COUNTA($Q$11:Q531)/5),0),N531)</f>
        <v>0.03</v>
      </c>
      <c r="O532" s="76">
        <f ca="1">IF(MOD(COUNTIF($Q$11:Q531,Q531),5)=0,OFFSET(装备属性!$L$1083,1+INT(COUNTA($Q$11:Q531)/5),0),O531)</f>
        <v>0.034</v>
      </c>
      <c r="Q532" s="89" t="str">
        <f ca="1">IF(MOD(COUNTIF($Q$11:Q531,Q531),5)=0,OFFSET(装备属性!$M$1083,1+INT(COUNTA($Q$11:Q531)/5),0),Q531)</f>
        <v>通用属性</v>
      </c>
      <c r="R532" s="83">
        <f ca="1">IF(MOD(COUNTIF($Q$11:Q531,Q531),5)=0,10000*SUBSTITUTE(SUBSTITUTE(OFFSET(装备属性!$F$1083,1+INT(COUNTA($Q$11:Q531)/5),0),"[",""),"]","")+_xlfn.XLOOKUP(C532,$M$3:$M$7,$N$3:$N$7)*100,R531)</f>
        <v>20700</v>
      </c>
    </row>
    <row r="533" customHeight="1" spans="1:18">
      <c r="A533" s="78">
        <f ca="1" t="shared" si="24"/>
        <v>20701</v>
      </c>
      <c r="B533" s="82">
        <f ca="1">IFERROR(R533+COUNTIFS($R$11:$R533,R533),"")</f>
        <v>20728</v>
      </c>
      <c r="C533" s="83" t="str">
        <f ca="1">IF(MOD(COUNTIF($Q$11:Q532,Q532),5)=0,OFFSET(装备属性!$D$1083,1+INT(COUNTA($Q$11:Q532)/5),0),C532)</f>
        <v>粉</v>
      </c>
      <c r="D533" s="82">
        <f t="shared" si="26"/>
        <v>2000</v>
      </c>
      <c r="F533" s="82">
        <f ca="1" t="shared" si="25"/>
        <v>20705</v>
      </c>
      <c r="G533" s="78" t="str">
        <f ca="1">IF(AND(LEFT("[{"&amp;M533&amp;","&amp;CEILING(N533*10000+(O533-N533)/4*(COUNTIF($F$11:F533,F533)-1)*10000,10)&amp;"}]",7)="[{equip",MID("[{"&amp;M533&amp;","&amp;CEILING(N533*10000+(O533-N533)/4*(COUNTIF($F$11:F533,F533)-1)*10000,10)&amp;"}]",8,1)&lt;&gt;"_"),"[{"&amp;M533&amp;","&amp;1&amp;"}]","[{"&amp;M533&amp;","&amp;CEILING(N533*10000+(O533-N533)/4*(COUNTIF($F$11:F533,F533)-1)*10000,10)&amp;"}]")</f>
        <v>[{mage_dmg_red_rate,320}]</v>
      </c>
      <c r="H533" s="82" t="s">
        <v>563</v>
      </c>
      <c r="J533" s="78">
        <f ca="1">IF(MOD(COUNTIF($Q$11:Q532,Q532),5)=0,OFFSET(装备属性!$P$1083,1+INT(COUNTA($Q$11:Q532)/5),0),J532)</f>
        <v>5</v>
      </c>
      <c r="K533" s="83" t="str">
        <f ca="1">IF(RIGHT(G533,13)="rune_slot,1}]",_xlfn.XLOOKUP(LEFT(SUBSTITUTE(G533,"[{",""),FIND(",",SUBSTITUTE(G533,"[{",""))-1),Sheet2!B:B,Sheet2!C:C)&amp;"+"&amp;1,_xlfn.XLOOKUP(LEFT(SUBSTITUTE(G533,"[{",""),FIND(",",SUBSTITUTE(G533,"[{",""))-1),Sheet2!B:B,Sheet2!C:C)&amp;"+"&amp;SUBSTITUTE(RIGHT(G533,LEN(G533)-FIND(",",G533)),"}]","")/100&amp;"%")</f>
        <v>法师伤害减免+3.2%</v>
      </c>
      <c r="L533" s="83" t="str">
        <f ca="1">IF(MOD(COUNTIF($Q$11:Q532,Q532),5)=0,OFFSET(装备属性!$G$1083,1+INT(COUNTA($Q$11:Q532)/5),0),L532)</f>
        <v>施法防抗Ⅳ</v>
      </c>
      <c r="M533" s="89" t="str">
        <f ca="1">IF(MOD(COUNTIF($Q$11:Q532,Q532),5)=0,OFFSET(装备属性!$H$1083,1+INT(COUNTA($Q$11:Q532)/5),0),M532)</f>
        <v>mage_dmg_red_rate</v>
      </c>
      <c r="N533" s="76">
        <f ca="1">IF(MOD(COUNTIF($Q$11:Q532,Q532),5)=0,OFFSET(装备属性!$K$1083,1+INT(COUNTA($Q$11:Q532)/5),0),N532)</f>
        <v>0.03</v>
      </c>
      <c r="O533" s="76">
        <f ca="1">IF(MOD(COUNTIF($Q$11:Q532,Q532),5)=0,OFFSET(装备属性!$L$1083,1+INT(COUNTA($Q$11:Q532)/5),0),O532)</f>
        <v>0.034</v>
      </c>
      <c r="Q533" s="89" t="str">
        <f ca="1">IF(MOD(COUNTIF($Q$11:Q532,Q532),5)=0,OFFSET(装备属性!$M$1083,1+INT(COUNTA($Q$11:Q532)/5),0),Q532)</f>
        <v>通用属性</v>
      </c>
      <c r="R533" s="83">
        <f ca="1">IF(MOD(COUNTIF($Q$11:Q532,Q532),5)=0,10000*SUBSTITUTE(SUBSTITUTE(OFFSET(装备属性!$F$1083,1+INT(COUNTA($Q$11:Q532)/5),0),"[",""),"]","")+_xlfn.XLOOKUP(C533,$M$3:$M$7,$N$3:$N$7)*100,R532)</f>
        <v>20700</v>
      </c>
    </row>
    <row r="534" customHeight="1" spans="1:18">
      <c r="A534" s="78">
        <f ca="1" t="shared" si="24"/>
        <v>20701</v>
      </c>
      <c r="B534" s="82">
        <f ca="1">IFERROR(R534+COUNTIFS($R$11:$R534,R534),"")</f>
        <v>20729</v>
      </c>
      <c r="C534" s="83" t="str">
        <f ca="1">IF(MOD(COUNTIF($Q$11:Q533,Q533),5)=0,OFFSET(装备属性!$D$1083,1+INT(COUNTA($Q$11:Q533)/5),0),C533)</f>
        <v>粉</v>
      </c>
      <c r="D534" s="82">
        <f t="shared" si="26"/>
        <v>1500</v>
      </c>
      <c r="F534" s="82">
        <f ca="1" t="shared" si="25"/>
        <v>20705</v>
      </c>
      <c r="G534" s="78" t="str">
        <f ca="1">IF(AND(LEFT("[{"&amp;M534&amp;","&amp;CEILING(N534*10000+(O534-N534)/4*(COUNTIF($F$11:F534,F534)-1)*10000,10)&amp;"}]",7)="[{equip",MID("[{"&amp;M534&amp;","&amp;CEILING(N534*10000+(O534-N534)/4*(COUNTIF($F$11:F534,F534)-1)*10000,10)&amp;"}]",8,1)&lt;&gt;"_"),"[{"&amp;M534&amp;","&amp;1&amp;"}]","[{"&amp;M534&amp;","&amp;CEILING(N534*10000+(O534-N534)/4*(COUNTIF($F$11:F534,F534)-1)*10000,10)&amp;"}]")</f>
        <v>[{mage_dmg_red_rate,330}]</v>
      </c>
      <c r="H534" s="82" t="s">
        <v>563</v>
      </c>
      <c r="J534" s="78">
        <f ca="1">IF(MOD(COUNTIF($Q$11:Q533,Q533),5)=0,OFFSET(装备属性!$P$1083,1+INT(COUNTA($Q$11:Q533)/5),0),J533)</f>
        <v>5</v>
      </c>
      <c r="K534" s="83" t="str">
        <f ca="1">IF(RIGHT(G534,13)="rune_slot,1}]",_xlfn.XLOOKUP(LEFT(SUBSTITUTE(G534,"[{",""),FIND(",",SUBSTITUTE(G534,"[{",""))-1),Sheet2!B:B,Sheet2!C:C)&amp;"+"&amp;1,_xlfn.XLOOKUP(LEFT(SUBSTITUTE(G534,"[{",""),FIND(",",SUBSTITUTE(G534,"[{",""))-1),Sheet2!B:B,Sheet2!C:C)&amp;"+"&amp;SUBSTITUTE(RIGHT(G534,LEN(G534)-FIND(",",G534)),"}]","")/100&amp;"%")</f>
        <v>法师伤害减免+3.3%</v>
      </c>
      <c r="L534" s="83" t="str">
        <f ca="1">IF(MOD(COUNTIF($Q$11:Q533,Q533),5)=0,OFFSET(装备属性!$G$1083,1+INT(COUNTA($Q$11:Q533)/5),0),L533)</f>
        <v>施法防抗Ⅳ</v>
      </c>
      <c r="M534" s="89" t="str">
        <f ca="1">IF(MOD(COUNTIF($Q$11:Q533,Q533),5)=0,OFFSET(装备属性!$H$1083,1+INT(COUNTA($Q$11:Q533)/5),0),M533)</f>
        <v>mage_dmg_red_rate</v>
      </c>
      <c r="N534" s="76">
        <f ca="1">IF(MOD(COUNTIF($Q$11:Q533,Q533),5)=0,OFFSET(装备属性!$K$1083,1+INT(COUNTA($Q$11:Q533)/5),0),N533)</f>
        <v>0.03</v>
      </c>
      <c r="O534" s="76">
        <f ca="1">IF(MOD(COUNTIF($Q$11:Q533,Q533),5)=0,OFFSET(装备属性!$L$1083,1+INT(COUNTA($Q$11:Q533)/5),0),O533)</f>
        <v>0.034</v>
      </c>
      <c r="Q534" s="89" t="str">
        <f ca="1">IF(MOD(COUNTIF($Q$11:Q533,Q533),5)=0,OFFSET(装备属性!$M$1083,1+INT(COUNTA($Q$11:Q533)/5),0),Q533)</f>
        <v>通用属性</v>
      </c>
      <c r="R534" s="83">
        <f ca="1">IF(MOD(COUNTIF($Q$11:Q533,Q533),5)=0,10000*SUBSTITUTE(SUBSTITUTE(OFFSET(装备属性!$F$1083,1+INT(COUNTA($Q$11:Q533)/5),0),"[",""),"]","")+_xlfn.XLOOKUP(C534,$M$3:$M$7,$N$3:$N$7)*100,R533)</f>
        <v>20700</v>
      </c>
    </row>
    <row r="535" customHeight="1" spans="1:18">
      <c r="A535" s="78">
        <f ca="1" t="shared" si="24"/>
        <v>20701</v>
      </c>
      <c r="B535" s="82">
        <f ca="1">IFERROR(R535+COUNTIFS($R$11:$R535,R535),"")</f>
        <v>20730</v>
      </c>
      <c r="C535" s="83" t="str">
        <f ca="1">IF(MOD(COUNTIF($Q$11:Q534,Q534),5)=0,OFFSET(装备属性!$D$1083,1+INT(COUNTA($Q$11:Q534)/5),0),C534)</f>
        <v>粉</v>
      </c>
      <c r="D535" s="82">
        <f t="shared" si="26"/>
        <v>1000</v>
      </c>
      <c r="F535" s="82">
        <f ca="1" t="shared" si="25"/>
        <v>20705</v>
      </c>
      <c r="G535" s="78" t="str">
        <f ca="1">IF(AND(LEFT("[{"&amp;M535&amp;","&amp;CEILING(N535*10000+(O535-N535)/4*(COUNTIF($F$11:F535,F535)-1)*10000,10)&amp;"}]",7)="[{equip",MID("[{"&amp;M535&amp;","&amp;CEILING(N535*10000+(O535-N535)/4*(COUNTIF($F$11:F535,F535)-1)*10000,10)&amp;"}]",8,1)&lt;&gt;"_"),"[{"&amp;M535&amp;","&amp;1&amp;"}]","[{"&amp;M535&amp;","&amp;CEILING(N535*10000+(O535-N535)/4*(COUNTIF($F$11:F535,F535)-1)*10000,10)&amp;"}]")</f>
        <v>[{mage_dmg_red_rate,340}]</v>
      </c>
      <c r="H535" s="82" t="s">
        <v>563</v>
      </c>
      <c r="J535" s="78">
        <f ca="1">IF(MOD(COUNTIF($Q$11:Q534,Q534),5)=0,OFFSET(装备属性!$P$1083,1+INT(COUNTA($Q$11:Q534)/5),0),J534)</f>
        <v>5</v>
      </c>
      <c r="K535" s="83" t="str">
        <f ca="1">IF(RIGHT(G535,13)="rune_slot,1}]",_xlfn.XLOOKUP(LEFT(SUBSTITUTE(G535,"[{",""),FIND(",",SUBSTITUTE(G535,"[{",""))-1),Sheet2!B:B,Sheet2!C:C)&amp;"+"&amp;1,_xlfn.XLOOKUP(LEFT(SUBSTITUTE(G535,"[{",""),FIND(",",SUBSTITUTE(G535,"[{",""))-1),Sheet2!B:B,Sheet2!C:C)&amp;"+"&amp;SUBSTITUTE(RIGHT(G535,LEN(G535)-FIND(",",G535)),"}]","")/100&amp;"%")</f>
        <v>法师伤害减免+3.4%</v>
      </c>
      <c r="L535" s="83" t="str">
        <f ca="1">IF(MOD(COUNTIF($Q$11:Q534,Q534),5)=0,OFFSET(装备属性!$G$1083,1+INT(COUNTA($Q$11:Q534)/5),0),L534)</f>
        <v>施法防抗Ⅳ</v>
      </c>
      <c r="M535" s="89" t="str">
        <f ca="1">IF(MOD(COUNTIF($Q$11:Q534,Q534),5)=0,OFFSET(装备属性!$H$1083,1+INT(COUNTA($Q$11:Q534)/5),0),M534)</f>
        <v>mage_dmg_red_rate</v>
      </c>
      <c r="N535" s="76">
        <f ca="1">IF(MOD(COUNTIF($Q$11:Q534,Q534),5)=0,OFFSET(装备属性!$K$1083,1+INT(COUNTA($Q$11:Q534)/5),0),N534)</f>
        <v>0.03</v>
      </c>
      <c r="O535" s="76">
        <f ca="1">IF(MOD(COUNTIF($Q$11:Q534,Q534),5)=0,OFFSET(装备属性!$L$1083,1+INT(COUNTA($Q$11:Q534)/5),0),O534)</f>
        <v>0.034</v>
      </c>
      <c r="Q535" s="89" t="str">
        <f ca="1">IF(MOD(COUNTIF($Q$11:Q534,Q534),5)=0,OFFSET(装备属性!$M$1083,1+INT(COUNTA($Q$11:Q534)/5),0),Q534)</f>
        <v>通用属性</v>
      </c>
      <c r="R535" s="83">
        <f ca="1">IF(MOD(COUNTIF($Q$11:Q534,Q534),5)=0,10000*SUBSTITUTE(SUBSTITUTE(OFFSET(装备属性!$F$1083,1+INT(COUNTA($Q$11:Q534)/5),0),"[",""),"]","")+_xlfn.XLOOKUP(C535,$M$3:$M$7,$N$3:$N$7)*100,R534)</f>
        <v>20700</v>
      </c>
    </row>
    <row r="536" customHeight="1" spans="1:18">
      <c r="A536" s="78">
        <f ca="1" t="shared" si="24"/>
        <v>20701</v>
      </c>
      <c r="B536" s="82">
        <f ca="1">IFERROR(R536+COUNTIFS($R$11:$R536,R536),"")</f>
        <v>20731</v>
      </c>
      <c r="C536" s="83" t="str">
        <f ca="1">IF(MOD(COUNTIF($Q$11:Q535,Q535),5)=0,OFFSET(装备属性!$D$1083,1+INT(COUNTA($Q$11:Q535)/5),0),C535)</f>
        <v>粉</v>
      </c>
      <c r="D536" s="82">
        <f t="shared" si="26"/>
        <v>3000</v>
      </c>
      <c r="F536" s="82">
        <f ca="1" t="shared" si="25"/>
        <v>20706</v>
      </c>
      <c r="G536" s="78" t="str">
        <f ca="1">IF(AND(LEFT("[{"&amp;M536&amp;","&amp;CEILING(N536*10000+(O536-N536)/4*(COUNTIF($F$11:F536,F536)-1)*10000,10)&amp;"}]",7)="[{equip",MID("[{"&amp;M536&amp;","&amp;CEILING(N536*10000+(O536-N536)/4*(COUNTIF($F$11:F536,F536)-1)*10000,10)&amp;"}]",8,1)&lt;&gt;"_"),"[{"&amp;M536&amp;","&amp;1&amp;"}]","[{"&amp;M536&amp;","&amp;CEILING(N536*10000+(O536-N536)/4*(COUNTIF($F$11:F536,F536)-1)*10000,10)&amp;"}]")</f>
        <v>[{mage_dmg_rate,800}]</v>
      </c>
      <c r="H536" s="82" t="s">
        <v>563</v>
      </c>
      <c r="J536" s="78">
        <f ca="1">IF(MOD(COUNTIF($Q$11:Q535,Q535),5)=0,OFFSET(装备属性!$P$1083,1+INT(COUNTA($Q$11:Q535)/5),0),J535)</f>
        <v>3</v>
      </c>
      <c r="K536" s="83" t="str">
        <f ca="1">IF(RIGHT(G536,13)="rune_slot,1}]",_xlfn.XLOOKUP(LEFT(SUBSTITUTE(G536,"[{",""),FIND(",",SUBSTITUTE(G536,"[{",""))-1),Sheet2!B:B,Sheet2!C:C)&amp;"+"&amp;1,_xlfn.XLOOKUP(LEFT(SUBSTITUTE(G536,"[{",""),FIND(",",SUBSTITUTE(G536,"[{",""))-1),Sheet2!B:B,Sheet2!C:C)&amp;"+"&amp;SUBSTITUTE(RIGHT(G536,LEN(G536)-FIND(",",G536)),"}]","")/100&amp;"%")</f>
        <v>法师伤害+8%</v>
      </c>
      <c r="L536" s="83" t="str">
        <f ca="1">IF(MOD(COUNTIF($Q$11:Q535,Q535),5)=0,OFFSET(装备属性!$G$1083,1+INT(COUNTA($Q$11:Q535)/5),0),L535)</f>
        <v>施法添柴Ⅳ</v>
      </c>
      <c r="M536" s="89" t="str">
        <f ca="1">IF(MOD(COUNTIF($Q$11:Q535,Q535),5)=0,OFFSET(装备属性!$H$1083,1+INT(COUNTA($Q$11:Q535)/5),0),M535)</f>
        <v>mage_dmg_rate</v>
      </c>
      <c r="N536" s="76">
        <f ca="1">IF(MOD(COUNTIF($Q$11:Q535,Q535),5)=0,OFFSET(装备属性!$K$1083,1+INT(COUNTA($Q$11:Q535)/5),0),N535)</f>
        <v>0.08</v>
      </c>
      <c r="O536" s="76">
        <f ca="1">IF(MOD(COUNTIF($Q$11:Q535,Q535),5)=0,OFFSET(装备属性!$L$1083,1+INT(COUNTA($Q$11:Q535)/5),0),O535)</f>
        <v>0.09</v>
      </c>
      <c r="Q536" s="89" t="str">
        <f ca="1">IF(MOD(COUNTIF($Q$11:Q535,Q535),5)=0,OFFSET(装备属性!$M$1083,1+INT(COUNTA($Q$11:Q535)/5),0),Q535)</f>
        <v>通用属性</v>
      </c>
      <c r="R536" s="83">
        <f ca="1">IF(MOD(COUNTIF($Q$11:Q535,Q535),5)=0,10000*SUBSTITUTE(SUBSTITUTE(OFFSET(装备属性!$F$1083,1+INT(COUNTA($Q$11:Q535)/5),0),"[",""),"]","")+_xlfn.XLOOKUP(C536,$M$3:$M$7,$N$3:$N$7)*100,R535)</f>
        <v>20700</v>
      </c>
    </row>
    <row r="537" customHeight="1" spans="1:18">
      <c r="A537" s="78">
        <f ca="1" t="shared" si="24"/>
        <v>20701</v>
      </c>
      <c r="B537" s="82">
        <f ca="1">IFERROR(R537+COUNTIFS($R$11:$R537,R537),"")</f>
        <v>20732</v>
      </c>
      <c r="C537" s="83" t="str">
        <f ca="1">IF(MOD(COUNTIF($Q$11:Q536,Q536),5)=0,OFFSET(装备属性!$D$1083,1+INT(COUNTA($Q$11:Q536)/5),0),C536)</f>
        <v>粉</v>
      </c>
      <c r="D537" s="82">
        <f t="shared" si="26"/>
        <v>2500</v>
      </c>
      <c r="F537" s="82">
        <f ca="1" t="shared" si="25"/>
        <v>20706</v>
      </c>
      <c r="G537" s="78" t="str">
        <f ca="1">IF(AND(LEFT("[{"&amp;M537&amp;","&amp;CEILING(N537*10000+(O537-N537)/4*(COUNTIF($F$11:F537,F537)-1)*10000,10)&amp;"}]",7)="[{equip",MID("[{"&amp;M537&amp;","&amp;CEILING(N537*10000+(O537-N537)/4*(COUNTIF($F$11:F537,F537)-1)*10000,10)&amp;"}]",8,1)&lt;&gt;"_"),"[{"&amp;M537&amp;","&amp;1&amp;"}]","[{"&amp;M537&amp;","&amp;CEILING(N537*10000+(O537-N537)/4*(COUNTIF($F$11:F537,F537)-1)*10000,10)&amp;"}]")</f>
        <v>[{mage_dmg_rate,830}]</v>
      </c>
      <c r="H537" s="82" t="s">
        <v>563</v>
      </c>
      <c r="J537" s="78">
        <f ca="1">IF(MOD(COUNTIF($Q$11:Q536,Q536),5)=0,OFFSET(装备属性!$P$1083,1+INT(COUNTA($Q$11:Q536)/5),0),J536)</f>
        <v>3</v>
      </c>
      <c r="K537" s="83" t="str">
        <f ca="1">IF(RIGHT(G537,13)="rune_slot,1}]",_xlfn.XLOOKUP(LEFT(SUBSTITUTE(G537,"[{",""),FIND(",",SUBSTITUTE(G537,"[{",""))-1),Sheet2!B:B,Sheet2!C:C)&amp;"+"&amp;1,_xlfn.XLOOKUP(LEFT(SUBSTITUTE(G537,"[{",""),FIND(",",SUBSTITUTE(G537,"[{",""))-1),Sheet2!B:B,Sheet2!C:C)&amp;"+"&amp;SUBSTITUTE(RIGHT(G537,LEN(G537)-FIND(",",G537)),"}]","")/100&amp;"%")</f>
        <v>法师伤害+8.3%</v>
      </c>
      <c r="L537" s="83" t="str">
        <f ca="1">IF(MOD(COUNTIF($Q$11:Q536,Q536),5)=0,OFFSET(装备属性!$G$1083,1+INT(COUNTA($Q$11:Q536)/5),0),L536)</f>
        <v>施法添柴Ⅳ</v>
      </c>
      <c r="M537" s="89" t="str">
        <f ca="1">IF(MOD(COUNTIF($Q$11:Q536,Q536),5)=0,OFFSET(装备属性!$H$1083,1+INT(COUNTA($Q$11:Q536)/5),0),M536)</f>
        <v>mage_dmg_rate</v>
      </c>
      <c r="N537" s="76">
        <f ca="1">IF(MOD(COUNTIF($Q$11:Q536,Q536),5)=0,OFFSET(装备属性!$K$1083,1+INT(COUNTA($Q$11:Q536)/5),0),N536)</f>
        <v>0.08</v>
      </c>
      <c r="O537" s="76">
        <f ca="1">IF(MOD(COUNTIF($Q$11:Q536,Q536),5)=0,OFFSET(装备属性!$L$1083,1+INT(COUNTA($Q$11:Q536)/5),0),O536)</f>
        <v>0.09</v>
      </c>
      <c r="Q537" s="89" t="str">
        <f ca="1">IF(MOD(COUNTIF($Q$11:Q536,Q536),5)=0,OFFSET(装备属性!$M$1083,1+INT(COUNTA($Q$11:Q536)/5),0),Q536)</f>
        <v>通用属性</v>
      </c>
      <c r="R537" s="83">
        <f ca="1">IF(MOD(COUNTIF($Q$11:Q536,Q536),5)=0,10000*SUBSTITUTE(SUBSTITUTE(OFFSET(装备属性!$F$1083,1+INT(COUNTA($Q$11:Q536)/5),0),"[",""),"]","")+_xlfn.XLOOKUP(C537,$M$3:$M$7,$N$3:$N$7)*100,R536)</f>
        <v>20700</v>
      </c>
    </row>
    <row r="538" customHeight="1" spans="1:18">
      <c r="A538" s="78">
        <f ca="1" t="shared" si="24"/>
        <v>20701</v>
      </c>
      <c r="B538" s="82">
        <f ca="1">IFERROR(R538+COUNTIFS($R$11:$R538,R538),"")</f>
        <v>20733</v>
      </c>
      <c r="C538" s="83" t="str">
        <f ca="1">IF(MOD(COUNTIF($Q$11:Q537,Q537),5)=0,OFFSET(装备属性!$D$1083,1+INT(COUNTA($Q$11:Q537)/5),0),C537)</f>
        <v>粉</v>
      </c>
      <c r="D538" s="82">
        <f t="shared" si="26"/>
        <v>2000</v>
      </c>
      <c r="F538" s="82">
        <f ca="1" t="shared" si="25"/>
        <v>20706</v>
      </c>
      <c r="G538" s="78" t="str">
        <f ca="1">IF(AND(LEFT("[{"&amp;M538&amp;","&amp;CEILING(N538*10000+(O538-N538)/4*(COUNTIF($F$11:F538,F538)-1)*10000,10)&amp;"}]",7)="[{equip",MID("[{"&amp;M538&amp;","&amp;CEILING(N538*10000+(O538-N538)/4*(COUNTIF($F$11:F538,F538)-1)*10000,10)&amp;"}]",8,1)&lt;&gt;"_"),"[{"&amp;M538&amp;","&amp;1&amp;"}]","[{"&amp;M538&amp;","&amp;CEILING(N538*10000+(O538-N538)/4*(COUNTIF($F$11:F538,F538)-1)*10000,10)&amp;"}]")</f>
        <v>[{mage_dmg_rate,850}]</v>
      </c>
      <c r="H538" s="82" t="s">
        <v>563</v>
      </c>
      <c r="J538" s="78">
        <f ca="1">IF(MOD(COUNTIF($Q$11:Q537,Q537),5)=0,OFFSET(装备属性!$P$1083,1+INT(COUNTA($Q$11:Q537)/5),0),J537)</f>
        <v>3</v>
      </c>
      <c r="K538" s="83" t="str">
        <f ca="1">IF(RIGHT(G538,13)="rune_slot,1}]",_xlfn.XLOOKUP(LEFT(SUBSTITUTE(G538,"[{",""),FIND(",",SUBSTITUTE(G538,"[{",""))-1),Sheet2!B:B,Sheet2!C:C)&amp;"+"&amp;1,_xlfn.XLOOKUP(LEFT(SUBSTITUTE(G538,"[{",""),FIND(",",SUBSTITUTE(G538,"[{",""))-1),Sheet2!B:B,Sheet2!C:C)&amp;"+"&amp;SUBSTITUTE(RIGHT(G538,LEN(G538)-FIND(",",G538)),"}]","")/100&amp;"%")</f>
        <v>法师伤害+8.5%</v>
      </c>
      <c r="L538" s="83" t="str">
        <f ca="1">IF(MOD(COUNTIF($Q$11:Q537,Q537),5)=0,OFFSET(装备属性!$G$1083,1+INT(COUNTA($Q$11:Q537)/5),0),L537)</f>
        <v>施法添柴Ⅳ</v>
      </c>
      <c r="M538" s="89" t="str">
        <f ca="1">IF(MOD(COUNTIF($Q$11:Q537,Q537),5)=0,OFFSET(装备属性!$H$1083,1+INT(COUNTA($Q$11:Q537)/5),0),M537)</f>
        <v>mage_dmg_rate</v>
      </c>
      <c r="N538" s="76">
        <f ca="1">IF(MOD(COUNTIF($Q$11:Q537,Q537),5)=0,OFFSET(装备属性!$K$1083,1+INT(COUNTA($Q$11:Q537)/5),0),N537)</f>
        <v>0.08</v>
      </c>
      <c r="O538" s="76">
        <f ca="1">IF(MOD(COUNTIF($Q$11:Q537,Q537),5)=0,OFFSET(装备属性!$L$1083,1+INT(COUNTA($Q$11:Q537)/5),0),O537)</f>
        <v>0.09</v>
      </c>
      <c r="Q538" s="89" t="str">
        <f ca="1">IF(MOD(COUNTIF($Q$11:Q537,Q537),5)=0,OFFSET(装备属性!$M$1083,1+INT(COUNTA($Q$11:Q537)/5),0),Q537)</f>
        <v>通用属性</v>
      </c>
      <c r="R538" s="83">
        <f ca="1">IF(MOD(COUNTIF($Q$11:Q537,Q537),5)=0,10000*SUBSTITUTE(SUBSTITUTE(OFFSET(装备属性!$F$1083,1+INT(COUNTA($Q$11:Q537)/5),0),"[",""),"]","")+_xlfn.XLOOKUP(C538,$M$3:$M$7,$N$3:$N$7)*100,R537)</f>
        <v>20700</v>
      </c>
    </row>
    <row r="539" customHeight="1" spans="1:18">
      <c r="A539" s="78">
        <f ca="1" t="shared" si="24"/>
        <v>20701</v>
      </c>
      <c r="B539" s="82">
        <f ca="1">IFERROR(R539+COUNTIFS($R$11:$R539,R539),"")</f>
        <v>20734</v>
      </c>
      <c r="C539" s="83" t="str">
        <f ca="1">IF(MOD(COUNTIF($Q$11:Q538,Q538),5)=0,OFFSET(装备属性!$D$1083,1+INT(COUNTA($Q$11:Q538)/5),0),C538)</f>
        <v>粉</v>
      </c>
      <c r="D539" s="82">
        <f t="shared" si="26"/>
        <v>1500</v>
      </c>
      <c r="F539" s="82">
        <f ca="1" t="shared" si="25"/>
        <v>20706</v>
      </c>
      <c r="G539" s="78" t="str">
        <f ca="1">IF(AND(LEFT("[{"&amp;M539&amp;","&amp;CEILING(N539*10000+(O539-N539)/4*(COUNTIF($F$11:F539,F539)-1)*10000,10)&amp;"}]",7)="[{equip",MID("[{"&amp;M539&amp;","&amp;CEILING(N539*10000+(O539-N539)/4*(COUNTIF($F$11:F539,F539)-1)*10000,10)&amp;"}]",8,1)&lt;&gt;"_"),"[{"&amp;M539&amp;","&amp;1&amp;"}]","[{"&amp;M539&amp;","&amp;CEILING(N539*10000+(O539-N539)/4*(COUNTIF($F$11:F539,F539)-1)*10000,10)&amp;"}]")</f>
        <v>[{mage_dmg_rate,880}]</v>
      </c>
      <c r="H539" s="82" t="s">
        <v>563</v>
      </c>
      <c r="J539" s="78">
        <f ca="1">IF(MOD(COUNTIF($Q$11:Q538,Q538),5)=0,OFFSET(装备属性!$P$1083,1+INT(COUNTA($Q$11:Q538)/5),0),J538)</f>
        <v>3</v>
      </c>
      <c r="K539" s="83" t="str">
        <f ca="1">IF(RIGHT(G539,13)="rune_slot,1}]",_xlfn.XLOOKUP(LEFT(SUBSTITUTE(G539,"[{",""),FIND(",",SUBSTITUTE(G539,"[{",""))-1),Sheet2!B:B,Sheet2!C:C)&amp;"+"&amp;1,_xlfn.XLOOKUP(LEFT(SUBSTITUTE(G539,"[{",""),FIND(",",SUBSTITUTE(G539,"[{",""))-1),Sheet2!B:B,Sheet2!C:C)&amp;"+"&amp;SUBSTITUTE(RIGHT(G539,LEN(G539)-FIND(",",G539)),"}]","")/100&amp;"%")</f>
        <v>法师伤害+8.8%</v>
      </c>
      <c r="L539" s="83" t="str">
        <f ca="1">IF(MOD(COUNTIF($Q$11:Q538,Q538),5)=0,OFFSET(装备属性!$G$1083,1+INT(COUNTA($Q$11:Q538)/5),0),L538)</f>
        <v>施法添柴Ⅳ</v>
      </c>
      <c r="M539" s="89" t="str">
        <f ca="1">IF(MOD(COUNTIF($Q$11:Q538,Q538),5)=0,OFFSET(装备属性!$H$1083,1+INT(COUNTA($Q$11:Q538)/5),0),M538)</f>
        <v>mage_dmg_rate</v>
      </c>
      <c r="N539" s="76">
        <f ca="1">IF(MOD(COUNTIF($Q$11:Q538,Q538),5)=0,OFFSET(装备属性!$K$1083,1+INT(COUNTA($Q$11:Q538)/5),0),N538)</f>
        <v>0.08</v>
      </c>
      <c r="O539" s="76">
        <f ca="1">IF(MOD(COUNTIF($Q$11:Q538,Q538),5)=0,OFFSET(装备属性!$L$1083,1+INT(COUNTA($Q$11:Q538)/5),0),O538)</f>
        <v>0.09</v>
      </c>
      <c r="Q539" s="89" t="str">
        <f ca="1">IF(MOD(COUNTIF($Q$11:Q538,Q538),5)=0,OFFSET(装备属性!$M$1083,1+INT(COUNTA($Q$11:Q538)/5),0),Q538)</f>
        <v>通用属性</v>
      </c>
      <c r="R539" s="83">
        <f ca="1">IF(MOD(COUNTIF($Q$11:Q538,Q538),5)=0,10000*SUBSTITUTE(SUBSTITUTE(OFFSET(装备属性!$F$1083,1+INT(COUNTA($Q$11:Q538)/5),0),"[",""),"]","")+_xlfn.XLOOKUP(C539,$M$3:$M$7,$N$3:$N$7)*100,R538)</f>
        <v>20700</v>
      </c>
    </row>
    <row r="540" customHeight="1" spans="1:18">
      <c r="A540" s="78">
        <f ca="1" t="shared" si="24"/>
        <v>20701</v>
      </c>
      <c r="B540" s="82">
        <f ca="1">IFERROR(R540+COUNTIFS($R$11:$R540,R540),"")</f>
        <v>20735</v>
      </c>
      <c r="C540" s="83" t="str">
        <f ca="1">IF(MOD(COUNTIF($Q$11:Q539,Q539),5)=0,OFFSET(装备属性!$D$1083,1+INT(COUNTA($Q$11:Q539)/5),0),C539)</f>
        <v>粉</v>
      </c>
      <c r="D540" s="82">
        <f t="shared" si="26"/>
        <v>1000</v>
      </c>
      <c r="F540" s="82">
        <f ca="1" t="shared" si="25"/>
        <v>20706</v>
      </c>
      <c r="G540" s="78" t="str">
        <f ca="1">IF(AND(LEFT("[{"&amp;M540&amp;","&amp;CEILING(N540*10000+(O540-N540)/4*(COUNTIF($F$11:F540,F540)-1)*10000,10)&amp;"}]",7)="[{equip",MID("[{"&amp;M540&amp;","&amp;CEILING(N540*10000+(O540-N540)/4*(COUNTIF($F$11:F540,F540)-1)*10000,10)&amp;"}]",8,1)&lt;&gt;"_"),"[{"&amp;M540&amp;","&amp;1&amp;"}]","[{"&amp;M540&amp;","&amp;CEILING(N540*10000+(O540-N540)/4*(COUNTIF($F$11:F540,F540)-1)*10000,10)&amp;"}]")</f>
        <v>[{mage_dmg_rate,900}]</v>
      </c>
      <c r="H540" s="82" t="s">
        <v>563</v>
      </c>
      <c r="J540" s="78">
        <f ca="1">IF(MOD(COUNTIF($Q$11:Q539,Q539),5)=0,OFFSET(装备属性!$P$1083,1+INT(COUNTA($Q$11:Q539)/5),0),J539)</f>
        <v>3</v>
      </c>
      <c r="K540" s="83" t="str">
        <f ca="1">IF(RIGHT(G540,13)="rune_slot,1}]",_xlfn.XLOOKUP(LEFT(SUBSTITUTE(G540,"[{",""),FIND(",",SUBSTITUTE(G540,"[{",""))-1),Sheet2!B:B,Sheet2!C:C)&amp;"+"&amp;1,_xlfn.XLOOKUP(LEFT(SUBSTITUTE(G540,"[{",""),FIND(",",SUBSTITUTE(G540,"[{",""))-1),Sheet2!B:B,Sheet2!C:C)&amp;"+"&amp;SUBSTITUTE(RIGHT(G540,LEN(G540)-FIND(",",G540)),"}]","")/100&amp;"%")</f>
        <v>法师伤害+9%</v>
      </c>
      <c r="L540" s="83" t="str">
        <f ca="1">IF(MOD(COUNTIF($Q$11:Q539,Q539),5)=0,OFFSET(装备属性!$G$1083,1+INT(COUNTA($Q$11:Q539)/5),0),L539)</f>
        <v>施法添柴Ⅳ</v>
      </c>
      <c r="M540" s="89" t="str">
        <f ca="1">IF(MOD(COUNTIF($Q$11:Q539,Q539),5)=0,OFFSET(装备属性!$H$1083,1+INT(COUNTA($Q$11:Q539)/5),0),M539)</f>
        <v>mage_dmg_rate</v>
      </c>
      <c r="N540" s="76">
        <f ca="1">IF(MOD(COUNTIF($Q$11:Q539,Q539),5)=0,OFFSET(装备属性!$K$1083,1+INT(COUNTA($Q$11:Q539)/5),0),N539)</f>
        <v>0.08</v>
      </c>
      <c r="O540" s="76">
        <f ca="1">IF(MOD(COUNTIF($Q$11:Q539,Q539),5)=0,OFFSET(装备属性!$L$1083,1+INT(COUNTA($Q$11:Q539)/5),0),O539)</f>
        <v>0.09</v>
      </c>
      <c r="Q540" s="89" t="str">
        <f ca="1">IF(MOD(COUNTIF($Q$11:Q539,Q539),5)=0,OFFSET(装备属性!$M$1083,1+INT(COUNTA($Q$11:Q539)/5),0),Q539)</f>
        <v>通用属性</v>
      </c>
      <c r="R540" s="83">
        <f ca="1">IF(MOD(COUNTIF($Q$11:Q539,Q539),5)=0,10000*SUBSTITUTE(SUBSTITUTE(OFFSET(装备属性!$F$1083,1+INT(COUNTA($Q$11:Q539)/5),0),"[",""),"]","")+_xlfn.XLOOKUP(C540,$M$3:$M$7,$N$3:$N$7)*100,R539)</f>
        <v>20700</v>
      </c>
    </row>
    <row r="541" customHeight="1" spans="1:18">
      <c r="A541" s="78">
        <f ca="1" t="shared" si="24"/>
        <v>20701</v>
      </c>
      <c r="B541" s="82">
        <f ca="1">IFERROR(R541+COUNTIFS($R$11:$R541,R541),"")</f>
        <v>20736</v>
      </c>
      <c r="C541" s="83" t="str">
        <f ca="1">IF(MOD(COUNTIF($Q$11:Q540,Q540),5)=0,OFFSET(装备属性!$D$1083,1+INT(COUNTA($Q$11:Q540)/5),0),C540)</f>
        <v>粉</v>
      </c>
      <c r="D541" s="82">
        <f t="shared" si="26"/>
        <v>3000</v>
      </c>
      <c r="F541" s="82">
        <f ca="1" t="shared" si="25"/>
        <v>20707</v>
      </c>
      <c r="G541" s="78" t="str">
        <f ca="1">IF(AND(LEFT("[{"&amp;M541&amp;","&amp;CEILING(N541*10000+(O541-N541)/4*(COUNTIF($F$11:F541,F541)-1)*10000,10)&amp;"}]",7)="[{equip",MID("[{"&amp;M541&amp;","&amp;CEILING(N541*10000+(O541-N541)/4*(COUNTIF($F$11:F541,F541)-1)*10000,10)&amp;"}]",8,1)&lt;&gt;"_"),"[{"&amp;M541&amp;","&amp;1&amp;"}]","[{"&amp;M541&amp;","&amp;CEILING(N541*10000+(O541-N541)/4*(COUNTIF($F$11:F541,F541)-1)*10000,10)&amp;"}]")</f>
        <v>[{mage_class_dmg_rate,1100}]</v>
      </c>
      <c r="H541" s="82" t="s">
        <v>563</v>
      </c>
      <c r="J541" s="78">
        <f ca="1">IF(MOD(COUNTIF($Q$11:Q540,Q540),5)=0,OFFSET(装备属性!$P$1083,1+INT(COUNTA($Q$11:Q540)/5),0),J540)</f>
        <v>4</v>
      </c>
      <c r="K541" s="83" t="str">
        <f ca="1">IF(RIGHT(G541,13)="rune_slot,1}]",_xlfn.XLOOKUP(LEFT(SUBSTITUTE(G541,"[{",""),FIND(",",SUBSTITUTE(G541,"[{",""))-1),Sheet2!B:B,Sheet2!C:C)&amp;"+"&amp;1,_xlfn.XLOOKUP(LEFT(SUBSTITUTE(G541,"[{",""),FIND(",",SUBSTITUTE(G541,"[{",""))-1),Sheet2!B:B,Sheet2!C:C)&amp;"+"&amp;SUBSTITUTE(RIGHT(G541,LEN(G541)-FIND(",",G541)),"}]","")/100&amp;"%")</f>
        <v>上阵两个法师职业增伤+11%</v>
      </c>
      <c r="L541" s="83" t="str">
        <f ca="1">IF(MOD(COUNTIF($Q$11:Q540,Q540),5)=0,OFFSET(装备属性!$G$1083,1+INT(COUNTA($Q$11:Q540)/5),0),L540)</f>
        <v>施法小队Ⅳ</v>
      </c>
      <c r="M541" s="89" t="str">
        <f ca="1">IF(MOD(COUNTIF($Q$11:Q540,Q540),5)=0,OFFSET(装备属性!$H$1083,1+INT(COUNTA($Q$11:Q540)/5),0),M540)</f>
        <v>mage_class_dmg_rate</v>
      </c>
      <c r="N541" s="76">
        <f ca="1">IF(MOD(COUNTIF($Q$11:Q540,Q540),5)=0,OFFSET(装备属性!$K$1083,1+INT(COUNTA($Q$11:Q540)/5),0),N540)</f>
        <v>0.11</v>
      </c>
      <c r="O541" s="76">
        <f ca="1">IF(MOD(COUNTIF($Q$11:Q540,Q540),5)=0,OFFSET(装备属性!$L$1083,1+INT(COUNTA($Q$11:Q540)/5),0),O540)</f>
        <v>0.13</v>
      </c>
      <c r="Q541" s="89" t="str">
        <f ca="1">IF(MOD(COUNTIF($Q$11:Q540,Q540),5)=0,OFFSET(装备属性!$M$1083,1+INT(COUNTA($Q$11:Q540)/5),0),Q540)</f>
        <v>通用属性</v>
      </c>
      <c r="R541" s="83">
        <f ca="1">IF(MOD(COUNTIF($Q$11:Q540,Q540),5)=0,10000*SUBSTITUTE(SUBSTITUTE(OFFSET(装备属性!$F$1083,1+INT(COUNTA($Q$11:Q540)/5),0),"[",""),"]","")+_xlfn.XLOOKUP(C541,$M$3:$M$7,$N$3:$N$7)*100,R540)</f>
        <v>20700</v>
      </c>
    </row>
    <row r="542" customHeight="1" spans="1:18">
      <c r="A542" s="78">
        <f ca="1" t="shared" si="24"/>
        <v>20701</v>
      </c>
      <c r="B542" s="82">
        <f ca="1">IFERROR(R542+COUNTIFS($R$11:$R542,R542),"")</f>
        <v>20737</v>
      </c>
      <c r="C542" s="83" t="str">
        <f ca="1">IF(MOD(COUNTIF($Q$11:Q541,Q541),5)=0,OFFSET(装备属性!$D$1083,1+INT(COUNTA($Q$11:Q541)/5),0),C541)</f>
        <v>粉</v>
      </c>
      <c r="D542" s="82">
        <f t="shared" si="26"/>
        <v>2500</v>
      </c>
      <c r="F542" s="82">
        <f ca="1" t="shared" si="25"/>
        <v>20707</v>
      </c>
      <c r="G542" s="78" t="str">
        <f ca="1">IF(AND(LEFT("[{"&amp;M542&amp;","&amp;CEILING(N542*10000+(O542-N542)/4*(COUNTIF($F$11:F542,F542)-1)*10000,10)&amp;"}]",7)="[{equip",MID("[{"&amp;M542&amp;","&amp;CEILING(N542*10000+(O542-N542)/4*(COUNTIF($F$11:F542,F542)-1)*10000,10)&amp;"}]",8,1)&lt;&gt;"_"),"[{"&amp;M542&amp;","&amp;1&amp;"}]","[{"&amp;M542&amp;","&amp;CEILING(N542*10000+(O542-N542)/4*(COUNTIF($F$11:F542,F542)-1)*10000,10)&amp;"}]")</f>
        <v>[{mage_class_dmg_rate,1150}]</v>
      </c>
      <c r="H542" s="82" t="s">
        <v>563</v>
      </c>
      <c r="J542" s="78">
        <f ca="1">IF(MOD(COUNTIF($Q$11:Q541,Q541),5)=0,OFFSET(装备属性!$P$1083,1+INT(COUNTA($Q$11:Q541)/5),0),J541)</f>
        <v>4</v>
      </c>
      <c r="K542" s="83" t="str">
        <f ca="1">IF(RIGHT(G542,13)="rune_slot,1}]",_xlfn.XLOOKUP(LEFT(SUBSTITUTE(G542,"[{",""),FIND(",",SUBSTITUTE(G542,"[{",""))-1),Sheet2!B:B,Sheet2!C:C)&amp;"+"&amp;1,_xlfn.XLOOKUP(LEFT(SUBSTITUTE(G542,"[{",""),FIND(",",SUBSTITUTE(G542,"[{",""))-1),Sheet2!B:B,Sheet2!C:C)&amp;"+"&amp;SUBSTITUTE(RIGHT(G542,LEN(G542)-FIND(",",G542)),"}]","")/100&amp;"%")</f>
        <v>上阵两个法师职业增伤+11.5%</v>
      </c>
      <c r="L542" s="83" t="str">
        <f ca="1">IF(MOD(COUNTIF($Q$11:Q541,Q541),5)=0,OFFSET(装备属性!$G$1083,1+INT(COUNTA($Q$11:Q541)/5),0),L541)</f>
        <v>施法小队Ⅳ</v>
      </c>
      <c r="M542" s="89" t="str">
        <f ca="1">IF(MOD(COUNTIF($Q$11:Q541,Q541),5)=0,OFFSET(装备属性!$H$1083,1+INT(COUNTA($Q$11:Q541)/5),0),M541)</f>
        <v>mage_class_dmg_rate</v>
      </c>
      <c r="N542" s="76">
        <f ca="1">IF(MOD(COUNTIF($Q$11:Q541,Q541),5)=0,OFFSET(装备属性!$K$1083,1+INT(COUNTA($Q$11:Q541)/5),0),N541)</f>
        <v>0.11</v>
      </c>
      <c r="O542" s="76">
        <f ca="1">IF(MOD(COUNTIF($Q$11:Q541,Q541),5)=0,OFFSET(装备属性!$L$1083,1+INT(COUNTA($Q$11:Q541)/5),0),O541)</f>
        <v>0.13</v>
      </c>
      <c r="Q542" s="89" t="str">
        <f ca="1">IF(MOD(COUNTIF($Q$11:Q541,Q541),5)=0,OFFSET(装备属性!$M$1083,1+INT(COUNTA($Q$11:Q541)/5),0),Q541)</f>
        <v>通用属性</v>
      </c>
      <c r="R542" s="83">
        <f ca="1">IF(MOD(COUNTIF($Q$11:Q541,Q541),5)=0,10000*SUBSTITUTE(SUBSTITUTE(OFFSET(装备属性!$F$1083,1+INT(COUNTA($Q$11:Q541)/5),0),"[",""),"]","")+_xlfn.XLOOKUP(C542,$M$3:$M$7,$N$3:$N$7)*100,R541)</f>
        <v>20700</v>
      </c>
    </row>
    <row r="543" customHeight="1" spans="1:18">
      <c r="A543" s="78">
        <f ca="1" t="shared" si="24"/>
        <v>20701</v>
      </c>
      <c r="B543" s="82">
        <f ca="1">IFERROR(R543+COUNTIFS($R$11:$R543,R543),"")</f>
        <v>20738</v>
      </c>
      <c r="C543" s="83" t="str">
        <f ca="1">IF(MOD(COUNTIF($Q$11:Q542,Q542),5)=0,OFFSET(装备属性!$D$1083,1+INT(COUNTA($Q$11:Q542)/5),0),C542)</f>
        <v>粉</v>
      </c>
      <c r="D543" s="82">
        <f t="shared" si="26"/>
        <v>2000</v>
      </c>
      <c r="F543" s="82">
        <f ca="1" t="shared" si="25"/>
        <v>20707</v>
      </c>
      <c r="G543" s="78" t="str">
        <f ca="1">IF(AND(LEFT("[{"&amp;M543&amp;","&amp;CEILING(N543*10000+(O543-N543)/4*(COUNTIF($F$11:F543,F543)-1)*10000,10)&amp;"}]",7)="[{equip",MID("[{"&amp;M543&amp;","&amp;CEILING(N543*10000+(O543-N543)/4*(COUNTIF($F$11:F543,F543)-1)*10000,10)&amp;"}]",8,1)&lt;&gt;"_"),"[{"&amp;M543&amp;","&amp;1&amp;"}]","[{"&amp;M543&amp;","&amp;CEILING(N543*10000+(O543-N543)/4*(COUNTIF($F$11:F543,F543)-1)*10000,10)&amp;"}]")</f>
        <v>[{mage_class_dmg_rate,1200}]</v>
      </c>
      <c r="H543" s="82" t="s">
        <v>563</v>
      </c>
      <c r="J543" s="78">
        <f ca="1">IF(MOD(COUNTIF($Q$11:Q542,Q542),5)=0,OFFSET(装备属性!$P$1083,1+INT(COUNTA($Q$11:Q542)/5),0),J542)</f>
        <v>4</v>
      </c>
      <c r="K543" s="83" t="str">
        <f ca="1">IF(RIGHT(G543,13)="rune_slot,1}]",_xlfn.XLOOKUP(LEFT(SUBSTITUTE(G543,"[{",""),FIND(",",SUBSTITUTE(G543,"[{",""))-1),Sheet2!B:B,Sheet2!C:C)&amp;"+"&amp;1,_xlfn.XLOOKUP(LEFT(SUBSTITUTE(G543,"[{",""),FIND(",",SUBSTITUTE(G543,"[{",""))-1),Sheet2!B:B,Sheet2!C:C)&amp;"+"&amp;SUBSTITUTE(RIGHT(G543,LEN(G543)-FIND(",",G543)),"}]","")/100&amp;"%")</f>
        <v>上阵两个法师职业增伤+12%</v>
      </c>
      <c r="L543" s="83" t="str">
        <f ca="1">IF(MOD(COUNTIF($Q$11:Q542,Q542),5)=0,OFFSET(装备属性!$G$1083,1+INT(COUNTA($Q$11:Q542)/5),0),L542)</f>
        <v>施法小队Ⅳ</v>
      </c>
      <c r="M543" s="89" t="str">
        <f ca="1">IF(MOD(COUNTIF($Q$11:Q542,Q542),5)=0,OFFSET(装备属性!$H$1083,1+INT(COUNTA($Q$11:Q542)/5),0),M542)</f>
        <v>mage_class_dmg_rate</v>
      </c>
      <c r="N543" s="76">
        <f ca="1">IF(MOD(COUNTIF($Q$11:Q542,Q542),5)=0,OFFSET(装备属性!$K$1083,1+INT(COUNTA($Q$11:Q542)/5),0),N542)</f>
        <v>0.11</v>
      </c>
      <c r="O543" s="76">
        <f ca="1">IF(MOD(COUNTIF($Q$11:Q542,Q542),5)=0,OFFSET(装备属性!$L$1083,1+INT(COUNTA($Q$11:Q542)/5),0),O542)</f>
        <v>0.13</v>
      </c>
      <c r="Q543" s="89" t="str">
        <f ca="1">IF(MOD(COUNTIF($Q$11:Q542,Q542),5)=0,OFFSET(装备属性!$M$1083,1+INT(COUNTA($Q$11:Q542)/5),0),Q542)</f>
        <v>通用属性</v>
      </c>
      <c r="R543" s="83">
        <f ca="1">IF(MOD(COUNTIF($Q$11:Q542,Q542),5)=0,10000*SUBSTITUTE(SUBSTITUTE(OFFSET(装备属性!$F$1083,1+INT(COUNTA($Q$11:Q542)/5),0),"[",""),"]","")+_xlfn.XLOOKUP(C543,$M$3:$M$7,$N$3:$N$7)*100,R542)</f>
        <v>20700</v>
      </c>
    </row>
    <row r="544" customHeight="1" spans="1:18">
      <c r="A544" s="78">
        <f ca="1" t="shared" si="24"/>
        <v>20701</v>
      </c>
      <c r="B544" s="82">
        <f ca="1">IFERROR(R544+COUNTIFS($R$11:$R544,R544),"")</f>
        <v>20739</v>
      </c>
      <c r="C544" s="83" t="str">
        <f ca="1">IF(MOD(COUNTIF($Q$11:Q543,Q543),5)=0,OFFSET(装备属性!$D$1083,1+INT(COUNTA($Q$11:Q543)/5),0),C543)</f>
        <v>粉</v>
      </c>
      <c r="D544" s="82">
        <f t="shared" si="26"/>
        <v>1500</v>
      </c>
      <c r="F544" s="82">
        <f ca="1" t="shared" si="25"/>
        <v>20707</v>
      </c>
      <c r="G544" s="78" t="str">
        <f ca="1">IF(AND(LEFT("[{"&amp;M544&amp;","&amp;CEILING(N544*10000+(O544-N544)/4*(COUNTIF($F$11:F544,F544)-1)*10000,10)&amp;"}]",7)="[{equip",MID("[{"&amp;M544&amp;","&amp;CEILING(N544*10000+(O544-N544)/4*(COUNTIF($F$11:F544,F544)-1)*10000,10)&amp;"}]",8,1)&lt;&gt;"_"),"[{"&amp;M544&amp;","&amp;1&amp;"}]","[{"&amp;M544&amp;","&amp;CEILING(N544*10000+(O544-N544)/4*(COUNTIF($F$11:F544,F544)-1)*10000,10)&amp;"}]")</f>
        <v>[{mage_class_dmg_rate,1250}]</v>
      </c>
      <c r="H544" s="82" t="s">
        <v>563</v>
      </c>
      <c r="J544" s="78">
        <f ca="1">IF(MOD(COUNTIF($Q$11:Q543,Q543),5)=0,OFFSET(装备属性!$P$1083,1+INT(COUNTA($Q$11:Q543)/5),0),J543)</f>
        <v>4</v>
      </c>
      <c r="K544" s="83" t="str">
        <f ca="1">IF(RIGHT(G544,13)="rune_slot,1}]",_xlfn.XLOOKUP(LEFT(SUBSTITUTE(G544,"[{",""),FIND(",",SUBSTITUTE(G544,"[{",""))-1),Sheet2!B:B,Sheet2!C:C)&amp;"+"&amp;1,_xlfn.XLOOKUP(LEFT(SUBSTITUTE(G544,"[{",""),FIND(",",SUBSTITUTE(G544,"[{",""))-1),Sheet2!B:B,Sheet2!C:C)&amp;"+"&amp;SUBSTITUTE(RIGHT(G544,LEN(G544)-FIND(",",G544)),"}]","")/100&amp;"%")</f>
        <v>上阵两个法师职业增伤+12.5%</v>
      </c>
      <c r="L544" s="83" t="str">
        <f ca="1">IF(MOD(COUNTIF($Q$11:Q543,Q543),5)=0,OFFSET(装备属性!$G$1083,1+INT(COUNTA($Q$11:Q543)/5),0),L543)</f>
        <v>施法小队Ⅳ</v>
      </c>
      <c r="M544" s="89" t="str">
        <f ca="1">IF(MOD(COUNTIF($Q$11:Q543,Q543),5)=0,OFFSET(装备属性!$H$1083,1+INT(COUNTA($Q$11:Q543)/5),0),M543)</f>
        <v>mage_class_dmg_rate</v>
      </c>
      <c r="N544" s="76">
        <f ca="1">IF(MOD(COUNTIF($Q$11:Q543,Q543),5)=0,OFFSET(装备属性!$K$1083,1+INT(COUNTA($Q$11:Q543)/5),0),N543)</f>
        <v>0.11</v>
      </c>
      <c r="O544" s="76">
        <f ca="1">IF(MOD(COUNTIF($Q$11:Q543,Q543),5)=0,OFFSET(装备属性!$L$1083,1+INT(COUNTA($Q$11:Q543)/5),0),O543)</f>
        <v>0.13</v>
      </c>
      <c r="Q544" s="89" t="str">
        <f ca="1">IF(MOD(COUNTIF($Q$11:Q543,Q543),5)=0,OFFSET(装备属性!$M$1083,1+INT(COUNTA($Q$11:Q543)/5),0),Q543)</f>
        <v>通用属性</v>
      </c>
      <c r="R544" s="83">
        <f ca="1">IF(MOD(COUNTIF($Q$11:Q543,Q543),5)=0,10000*SUBSTITUTE(SUBSTITUTE(OFFSET(装备属性!$F$1083,1+INT(COUNTA($Q$11:Q543)/5),0),"[",""),"]","")+_xlfn.XLOOKUP(C544,$M$3:$M$7,$N$3:$N$7)*100,R543)</f>
        <v>20700</v>
      </c>
    </row>
    <row r="545" customHeight="1" spans="1:18">
      <c r="A545" s="78">
        <f ca="1" t="shared" si="24"/>
        <v>20701</v>
      </c>
      <c r="B545" s="82">
        <f ca="1">IFERROR(R545+COUNTIFS($R$11:$R545,R545),"")</f>
        <v>20740</v>
      </c>
      <c r="C545" s="83" t="str">
        <f ca="1">IF(MOD(COUNTIF($Q$11:Q544,Q544),5)=0,OFFSET(装备属性!$D$1083,1+INT(COUNTA($Q$11:Q544)/5),0),C544)</f>
        <v>粉</v>
      </c>
      <c r="D545" s="82">
        <f t="shared" si="26"/>
        <v>1000</v>
      </c>
      <c r="F545" s="82">
        <f ca="1" t="shared" si="25"/>
        <v>20707</v>
      </c>
      <c r="G545" s="78" t="str">
        <f ca="1">IF(AND(LEFT("[{"&amp;M545&amp;","&amp;CEILING(N545*10000+(O545-N545)/4*(COUNTIF($F$11:F545,F545)-1)*10000,10)&amp;"}]",7)="[{equip",MID("[{"&amp;M545&amp;","&amp;CEILING(N545*10000+(O545-N545)/4*(COUNTIF($F$11:F545,F545)-1)*10000,10)&amp;"}]",8,1)&lt;&gt;"_"),"[{"&amp;M545&amp;","&amp;1&amp;"}]","[{"&amp;M545&amp;","&amp;CEILING(N545*10000+(O545-N545)/4*(COUNTIF($F$11:F545,F545)-1)*10000,10)&amp;"}]")</f>
        <v>[{mage_class_dmg_rate,1300}]</v>
      </c>
      <c r="H545" s="82" t="s">
        <v>563</v>
      </c>
      <c r="J545" s="78">
        <f ca="1">IF(MOD(COUNTIF($Q$11:Q544,Q544),5)=0,OFFSET(装备属性!$P$1083,1+INT(COUNTA($Q$11:Q544)/5),0),J544)</f>
        <v>4</v>
      </c>
      <c r="K545" s="83" t="str">
        <f ca="1">IF(RIGHT(G545,13)="rune_slot,1}]",_xlfn.XLOOKUP(LEFT(SUBSTITUTE(G545,"[{",""),FIND(",",SUBSTITUTE(G545,"[{",""))-1),Sheet2!B:B,Sheet2!C:C)&amp;"+"&amp;1,_xlfn.XLOOKUP(LEFT(SUBSTITUTE(G545,"[{",""),FIND(",",SUBSTITUTE(G545,"[{",""))-1),Sheet2!B:B,Sheet2!C:C)&amp;"+"&amp;SUBSTITUTE(RIGHT(G545,LEN(G545)-FIND(",",G545)),"}]","")/100&amp;"%")</f>
        <v>上阵两个法师职业增伤+13%</v>
      </c>
      <c r="L545" s="83" t="str">
        <f ca="1">IF(MOD(COUNTIF($Q$11:Q544,Q544),5)=0,OFFSET(装备属性!$G$1083,1+INT(COUNTA($Q$11:Q544)/5),0),L544)</f>
        <v>施法小队Ⅳ</v>
      </c>
      <c r="M545" s="89" t="str">
        <f ca="1">IF(MOD(COUNTIF($Q$11:Q544,Q544),5)=0,OFFSET(装备属性!$H$1083,1+INT(COUNTA($Q$11:Q544)/5),0),M544)</f>
        <v>mage_class_dmg_rate</v>
      </c>
      <c r="N545" s="76">
        <f ca="1">IF(MOD(COUNTIF($Q$11:Q544,Q544),5)=0,OFFSET(装备属性!$K$1083,1+INT(COUNTA($Q$11:Q544)/5),0),N544)</f>
        <v>0.11</v>
      </c>
      <c r="O545" s="76">
        <f ca="1">IF(MOD(COUNTIF($Q$11:Q544,Q544),5)=0,OFFSET(装备属性!$L$1083,1+INT(COUNTA($Q$11:Q544)/5),0),O544)</f>
        <v>0.13</v>
      </c>
      <c r="Q545" s="89" t="str">
        <f ca="1">IF(MOD(COUNTIF($Q$11:Q544,Q544),5)=0,OFFSET(装备属性!$M$1083,1+INT(COUNTA($Q$11:Q544)/5),0),Q544)</f>
        <v>通用属性</v>
      </c>
      <c r="R545" s="83">
        <f ca="1">IF(MOD(COUNTIF($Q$11:Q544,Q544),5)=0,10000*SUBSTITUTE(SUBSTITUTE(OFFSET(装备属性!$F$1083,1+INT(COUNTA($Q$11:Q544)/5),0),"[",""),"]","")+_xlfn.XLOOKUP(C545,$M$3:$M$7,$N$3:$N$7)*100,R544)</f>
        <v>20700</v>
      </c>
    </row>
    <row r="546" customHeight="1" spans="1:18">
      <c r="A546" s="78">
        <f ca="1" t="shared" si="24"/>
        <v>20701</v>
      </c>
      <c r="B546" s="82">
        <f ca="1">IFERROR(R546+COUNTIFS($R$11:$R546,R546),"")</f>
        <v>20741</v>
      </c>
      <c r="C546" s="83" t="str">
        <f ca="1">IF(MOD(COUNTIF($Q$11:Q545,Q545),5)=0,OFFSET(装备属性!$D$1083,1+INT(COUNTA($Q$11:Q545)/5),0),C545)</f>
        <v>粉</v>
      </c>
      <c r="D546" s="82">
        <f t="shared" si="26"/>
        <v>3000</v>
      </c>
      <c r="F546" s="82">
        <f ca="1" t="shared" si="25"/>
        <v>20708</v>
      </c>
      <c r="G546" s="78" t="str">
        <f ca="1">IF(AND(LEFT("[{"&amp;M546&amp;","&amp;CEILING(N546*10000+(O546-N546)/4*(COUNTIF($F$11:F546,F546)-1)*10000,10)&amp;"}]",7)="[{equip",MID("[{"&amp;M546&amp;","&amp;CEILING(N546*10000+(O546-N546)/4*(COUNTIF($F$11:F546,F546)-1)*10000,10)&amp;"}]",8,1)&lt;&gt;"_"),"[{"&amp;M546&amp;","&amp;1&amp;"}]","[{"&amp;M546&amp;","&amp;CEILING(N546*10000+(O546-N546)/4*(COUNTIF($F$11:F546,F546)-1)*10000,10)&amp;"}]")</f>
        <v>[{mage_crit_dmg,3300}]</v>
      </c>
      <c r="H546" s="82" t="s">
        <v>563</v>
      </c>
      <c r="J546" s="78">
        <f ca="1">IF(MOD(COUNTIF($Q$11:Q545,Q545),5)=0,OFFSET(装备属性!$P$1083,1+INT(COUNTA($Q$11:Q545)/5),0),J545)</f>
        <v>10</v>
      </c>
      <c r="K546" s="83" t="str">
        <f ca="1">IF(RIGHT(G546,13)="rune_slot,1}]",_xlfn.XLOOKUP(LEFT(SUBSTITUTE(G546,"[{",""),FIND(",",SUBSTITUTE(G546,"[{",""))-1),Sheet2!B:B,Sheet2!C:C)&amp;"+"&amp;1,_xlfn.XLOOKUP(LEFT(SUBSTITUTE(G546,"[{",""),FIND(",",SUBSTITUTE(G546,"[{",""))-1),Sheet2!B:B,Sheet2!C:C)&amp;"+"&amp;SUBSTITUTE(RIGHT(G546,LEN(G546)-FIND(",",G546)),"}]","")/100&amp;"%")</f>
        <v>法师暴击伤害+33%</v>
      </c>
      <c r="L546" s="83" t="str">
        <f ca="1">IF(MOD(COUNTIF($Q$11:Q545,Q545),5)=0,OFFSET(装备属性!$G$1083,1+INT(COUNTA($Q$11:Q545)/5),0),L545)</f>
        <v>暴走施法Ⅳ</v>
      </c>
      <c r="M546" s="89" t="str">
        <f ca="1">IF(MOD(COUNTIF($Q$11:Q545,Q545),5)=0,OFFSET(装备属性!$H$1083,1+INT(COUNTA($Q$11:Q545)/5),0),M545)</f>
        <v>mage_crit_dmg</v>
      </c>
      <c r="N546" s="76">
        <f ca="1">IF(MOD(COUNTIF($Q$11:Q545,Q545),5)=0,OFFSET(装备属性!$K$1083,1+INT(COUNTA($Q$11:Q545)/5),0),N545)</f>
        <v>0.33</v>
      </c>
      <c r="O546" s="76">
        <f ca="1">IF(MOD(COUNTIF($Q$11:Q545,Q545),5)=0,OFFSET(装备属性!$L$1083,1+INT(COUNTA($Q$11:Q545)/5),0),O545)</f>
        <v>0.39</v>
      </c>
      <c r="Q546" s="89" t="str">
        <f ca="1">IF(MOD(COUNTIF($Q$11:Q545,Q545),5)=0,OFFSET(装备属性!$M$1083,1+INT(COUNTA($Q$11:Q545)/5),0),Q545)</f>
        <v>通用属性</v>
      </c>
      <c r="R546" s="83">
        <f ca="1">IF(MOD(COUNTIF($Q$11:Q545,Q545),5)=0,10000*SUBSTITUTE(SUBSTITUTE(OFFSET(装备属性!$F$1083,1+INT(COUNTA($Q$11:Q545)/5),0),"[",""),"]","")+_xlfn.XLOOKUP(C546,$M$3:$M$7,$N$3:$N$7)*100,R545)</f>
        <v>20700</v>
      </c>
    </row>
    <row r="547" customHeight="1" spans="1:18">
      <c r="A547" s="78">
        <f ca="1" t="shared" si="24"/>
        <v>20701</v>
      </c>
      <c r="B547" s="82">
        <f ca="1">IFERROR(R547+COUNTIFS($R$11:$R547,R547),"")</f>
        <v>20742</v>
      </c>
      <c r="C547" s="83" t="str">
        <f ca="1">IF(MOD(COUNTIF($Q$11:Q546,Q546),5)=0,OFFSET(装备属性!$D$1083,1+INT(COUNTA($Q$11:Q546)/5),0),C546)</f>
        <v>粉</v>
      </c>
      <c r="D547" s="82">
        <f t="shared" si="26"/>
        <v>2500</v>
      </c>
      <c r="F547" s="82">
        <f ca="1" t="shared" si="25"/>
        <v>20708</v>
      </c>
      <c r="G547" s="78" t="str">
        <f ca="1">IF(AND(LEFT("[{"&amp;M547&amp;","&amp;CEILING(N547*10000+(O547-N547)/4*(COUNTIF($F$11:F547,F547)-1)*10000,10)&amp;"}]",7)="[{equip",MID("[{"&amp;M547&amp;","&amp;CEILING(N547*10000+(O547-N547)/4*(COUNTIF($F$11:F547,F547)-1)*10000,10)&amp;"}]",8,1)&lt;&gt;"_"),"[{"&amp;M547&amp;","&amp;1&amp;"}]","[{"&amp;M547&amp;","&amp;CEILING(N547*10000+(O547-N547)/4*(COUNTIF($F$11:F547,F547)-1)*10000,10)&amp;"}]")</f>
        <v>[{mage_crit_dmg,3450}]</v>
      </c>
      <c r="H547" s="82" t="s">
        <v>563</v>
      </c>
      <c r="J547" s="78">
        <f ca="1">IF(MOD(COUNTIF($Q$11:Q546,Q546),5)=0,OFFSET(装备属性!$P$1083,1+INT(COUNTA($Q$11:Q546)/5),0),J546)</f>
        <v>10</v>
      </c>
      <c r="K547" s="83" t="str">
        <f ca="1">IF(RIGHT(G547,13)="rune_slot,1}]",_xlfn.XLOOKUP(LEFT(SUBSTITUTE(G547,"[{",""),FIND(",",SUBSTITUTE(G547,"[{",""))-1),Sheet2!B:B,Sheet2!C:C)&amp;"+"&amp;1,_xlfn.XLOOKUP(LEFT(SUBSTITUTE(G547,"[{",""),FIND(",",SUBSTITUTE(G547,"[{",""))-1),Sheet2!B:B,Sheet2!C:C)&amp;"+"&amp;SUBSTITUTE(RIGHT(G547,LEN(G547)-FIND(",",G547)),"}]","")/100&amp;"%")</f>
        <v>法师暴击伤害+34.5%</v>
      </c>
      <c r="L547" s="83" t="str">
        <f ca="1">IF(MOD(COUNTIF($Q$11:Q546,Q546),5)=0,OFFSET(装备属性!$G$1083,1+INT(COUNTA($Q$11:Q546)/5),0),L546)</f>
        <v>暴走施法Ⅳ</v>
      </c>
      <c r="M547" s="89" t="str">
        <f ca="1">IF(MOD(COUNTIF($Q$11:Q546,Q546),5)=0,OFFSET(装备属性!$H$1083,1+INT(COUNTA($Q$11:Q546)/5),0),M546)</f>
        <v>mage_crit_dmg</v>
      </c>
      <c r="N547" s="76">
        <f ca="1">IF(MOD(COUNTIF($Q$11:Q546,Q546),5)=0,OFFSET(装备属性!$K$1083,1+INT(COUNTA($Q$11:Q546)/5),0),N546)</f>
        <v>0.33</v>
      </c>
      <c r="O547" s="76">
        <f ca="1">IF(MOD(COUNTIF($Q$11:Q546,Q546),5)=0,OFFSET(装备属性!$L$1083,1+INT(COUNTA($Q$11:Q546)/5),0),O546)</f>
        <v>0.39</v>
      </c>
      <c r="Q547" s="89" t="str">
        <f ca="1">IF(MOD(COUNTIF($Q$11:Q546,Q546),5)=0,OFFSET(装备属性!$M$1083,1+INT(COUNTA($Q$11:Q546)/5),0),Q546)</f>
        <v>通用属性</v>
      </c>
      <c r="R547" s="83">
        <f ca="1">IF(MOD(COUNTIF($Q$11:Q546,Q546),5)=0,10000*SUBSTITUTE(SUBSTITUTE(OFFSET(装备属性!$F$1083,1+INT(COUNTA($Q$11:Q546)/5),0),"[",""),"]","")+_xlfn.XLOOKUP(C547,$M$3:$M$7,$N$3:$N$7)*100,R546)</f>
        <v>20700</v>
      </c>
    </row>
    <row r="548" customHeight="1" spans="1:18">
      <c r="A548" s="78">
        <f ca="1" t="shared" si="24"/>
        <v>20701</v>
      </c>
      <c r="B548" s="82">
        <f ca="1">IFERROR(R548+COUNTIFS($R$11:$R548,R548),"")</f>
        <v>20743</v>
      </c>
      <c r="C548" s="83" t="str">
        <f ca="1">IF(MOD(COUNTIF($Q$11:Q547,Q547),5)=0,OFFSET(装备属性!$D$1083,1+INT(COUNTA($Q$11:Q547)/5),0),C547)</f>
        <v>粉</v>
      </c>
      <c r="D548" s="82">
        <f t="shared" si="26"/>
        <v>2000</v>
      </c>
      <c r="F548" s="82">
        <f ca="1" t="shared" si="25"/>
        <v>20708</v>
      </c>
      <c r="G548" s="78" t="str">
        <f ca="1">IF(AND(LEFT("[{"&amp;M548&amp;","&amp;CEILING(N548*10000+(O548-N548)/4*(COUNTIF($F$11:F548,F548)-1)*10000,10)&amp;"}]",7)="[{equip",MID("[{"&amp;M548&amp;","&amp;CEILING(N548*10000+(O548-N548)/4*(COUNTIF($F$11:F548,F548)-1)*10000,10)&amp;"}]",8,1)&lt;&gt;"_"),"[{"&amp;M548&amp;","&amp;1&amp;"}]","[{"&amp;M548&amp;","&amp;CEILING(N548*10000+(O548-N548)/4*(COUNTIF($F$11:F548,F548)-1)*10000,10)&amp;"}]")</f>
        <v>[{mage_crit_dmg,3600}]</v>
      </c>
      <c r="H548" s="82" t="s">
        <v>563</v>
      </c>
      <c r="J548" s="78">
        <f ca="1">IF(MOD(COUNTIF($Q$11:Q547,Q547),5)=0,OFFSET(装备属性!$P$1083,1+INT(COUNTA($Q$11:Q547)/5),0),J547)</f>
        <v>10</v>
      </c>
      <c r="K548" s="83" t="str">
        <f ca="1">IF(RIGHT(G548,13)="rune_slot,1}]",_xlfn.XLOOKUP(LEFT(SUBSTITUTE(G548,"[{",""),FIND(",",SUBSTITUTE(G548,"[{",""))-1),Sheet2!B:B,Sheet2!C:C)&amp;"+"&amp;1,_xlfn.XLOOKUP(LEFT(SUBSTITUTE(G548,"[{",""),FIND(",",SUBSTITUTE(G548,"[{",""))-1),Sheet2!B:B,Sheet2!C:C)&amp;"+"&amp;SUBSTITUTE(RIGHT(G548,LEN(G548)-FIND(",",G548)),"}]","")/100&amp;"%")</f>
        <v>法师暴击伤害+36%</v>
      </c>
      <c r="L548" s="83" t="str">
        <f ca="1">IF(MOD(COUNTIF($Q$11:Q547,Q547),5)=0,OFFSET(装备属性!$G$1083,1+INT(COUNTA($Q$11:Q547)/5),0),L547)</f>
        <v>暴走施法Ⅳ</v>
      </c>
      <c r="M548" s="89" t="str">
        <f ca="1">IF(MOD(COUNTIF($Q$11:Q547,Q547),5)=0,OFFSET(装备属性!$H$1083,1+INT(COUNTA($Q$11:Q547)/5),0),M547)</f>
        <v>mage_crit_dmg</v>
      </c>
      <c r="N548" s="76">
        <f ca="1">IF(MOD(COUNTIF($Q$11:Q547,Q547),5)=0,OFFSET(装备属性!$K$1083,1+INT(COUNTA($Q$11:Q547)/5),0),N547)</f>
        <v>0.33</v>
      </c>
      <c r="O548" s="76">
        <f ca="1">IF(MOD(COUNTIF($Q$11:Q547,Q547),5)=0,OFFSET(装备属性!$L$1083,1+INT(COUNTA($Q$11:Q547)/5),0),O547)</f>
        <v>0.39</v>
      </c>
      <c r="Q548" s="89" t="str">
        <f ca="1">IF(MOD(COUNTIF($Q$11:Q547,Q547),5)=0,OFFSET(装备属性!$M$1083,1+INT(COUNTA($Q$11:Q547)/5),0),Q547)</f>
        <v>通用属性</v>
      </c>
      <c r="R548" s="83">
        <f ca="1">IF(MOD(COUNTIF($Q$11:Q547,Q547),5)=0,10000*SUBSTITUTE(SUBSTITUTE(OFFSET(装备属性!$F$1083,1+INT(COUNTA($Q$11:Q547)/5),0),"[",""),"]","")+_xlfn.XLOOKUP(C548,$M$3:$M$7,$N$3:$N$7)*100,R547)</f>
        <v>20700</v>
      </c>
    </row>
    <row r="549" customHeight="1" spans="1:18">
      <c r="A549" s="78">
        <f ca="1" t="shared" si="24"/>
        <v>20701</v>
      </c>
      <c r="B549" s="82">
        <f ca="1">IFERROR(R549+COUNTIFS($R$11:$R549,R549),"")</f>
        <v>20744</v>
      </c>
      <c r="C549" s="83" t="str">
        <f ca="1">IF(MOD(COUNTIF($Q$11:Q548,Q548),5)=0,OFFSET(装备属性!$D$1083,1+INT(COUNTA($Q$11:Q548)/5),0),C548)</f>
        <v>粉</v>
      </c>
      <c r="D549" s="82">
        <f t="shared" si="26"/>
        <v>1500</v>
      </c>
      <c r="F549" s="82">
        <f ca="1" t="shared" si="25"/>
        <v>20708</v>
      </c>
      <c r="G549" s="78" t="str">
        <f ca="1">IF(AND(LEFT("[{"&amp;M549&amp;","&amp;CEILING(N549*10000+(O549-N549)/4*(COUNTIF($F$11:F549,F549)-1)*10000,10)&amp;"}]",7)="[{equip",MID("[{"&amp;M549&amp;","&amp;CEILING(N549*10000+(O549-N549)/4*(COUNTIF($F$11:F549,F549)-1)*10000,10)&amp;"}]",8,1)&lt;&gt;"_"),"[{"&amp;M549&amp;","&amp;1&amp;"}]","[{"&amp;M549&amp;","&amp;CEILING(N549*10000+(O549-N549)/4*(COUNTIF($F$11:F549,F549)-1)*10000,10)&amp;"}]")</f>
        <v>[{mage_crit_dmg,3750}]</v>
      </c>
      <c r="H549" s="82" t="s">
        <v>563</v>
      </c>
      <c r="J549" s="78">
        <f ca="1">IF(MOD(COUNTIF($Q$11:Q548,Q548),5)=0,OFFSET(装备属性!$P$1083,1+INT(COUNTA($Q$11:Q548)/5),0),J548)</f>
        <v>10</v>
      </c>
      <c r="K549" s="83" t="str">
        <f ca="1">IF(RIGHT(G549,13)="rune_slot,1}]",_xlfn.XLOOKUP(LEFT(SUBSTITUTE(G549,"[{",""),FIND(",",SUBSTITUTE(G549,"[{",""))-1),Sheet2!B:B,Sheet2!C:C)&amp;"+"&amp;1,_xlfn.XLOOKUP(LEFT(SUBSTITUTE(G549,"[{",""),FIND(",",SUBSTITUTE(G549,"[{",""))-1),Sheet2!B:B,Sheet2!C:C)&amp;"+"&amp;SUBSTITUTE(RIGHT(G549,LEN(G549)-FIND(",",G549)),"}]","")/100&amp;"%")</f>
        <v>法师暴击伤害+37.5%</v>
      </c>
      <c r="L549" s="83" t="str">
        <f ca="1">IF(MOD(COUNTIF($Q$11:Q548,Q548),5)=0,OFFSET(装备属性!$G$1083,1+INT(COUNTA($Q$11:Q548)/5),0),L548)</f>
        <v>暴走施法Ⅳ</v>
      </c>
      <c r="M549" s="89" t="str">
        <f ca="1">IF(MOD(COUNTIF($Q$11:Q548,Q548),5)=0,OFFSET(装备属性!$H$1083,1+INT(COUNTA($Q$11:Q548)/5),0),M548)</f>
        <v>mage_crit_dmg</v>
      </c>
      <c r="N549" s="76">
        <f ca="1">IF(MOD(COUNTIF($Q$11:Q548,Q548),5)=0,OFFSET(装备属性!$K$1083,1+INT(COUNTA($Q$11:Q548)/5),0),N548)</f>
        <v>0.33</v>
      </c>
      <c r="O549" s="76">
        <f ca="1">IF(MOD(COUNTIF($Q$11:Q548,Q548),5)=0,OFFSET(装备属性!$L$1083,1+INT(COUNTA($Q$11:Q548)/5),0),O548)</f>
        <v>0.39</v>
      </c>
      <c r="Q549" s="89" t="str">
        <f ca="1">IF(MOD(COUNTIF($Q$11:Q548,Q548),5)=0,OFFSET(装备属性!$M$1083,1+INT(COUNTA($Q$11:Q548)/5),0),Q548)</f>
        <v>通用属性</v>
      </c>
      <c r="R549" s="83">
        <f ca="1">IF(MOD(COUNTIF($Q$11:Q548,Q548),5)=0,10000*SUBSTITUTE(SUBSTITUTE(OFFSET(装备属性!$F$1083,1+INT(COUNTA($Q$11:Q548)/5),0),"[",""),"]","")+_xlfn.XLOOKUP(C549,$M$3:$M$7,$N$3:$N$7)*100,R548)</f>
        <v>20700</v>
      </c>
    </row>
    <row r="550" customHeight="1" spans="1:18">
      <c r="A550" s="78">
        <f ca="1" t="shared" si="24"/>
        <v>20701</v>
      </c>
      <c r="B550" s="82">
        <f ca="1">IFERROR(R550+COUNTIFS($R$11:$R550,R550),"")</f>
        <v>20745</v>
      </c>
      <c r="C550" s="83" t="str">
        <f ca="1">IF(MOD(COUNTIF($Q$11:Q549,Q549),5)=0,OFFSET(装备属性!$D$1083,1+INT(COUNTA($Q$11:Q549)/5),0),C549)</f>
        <v>粉</v>
      </c>
      <c r="D550" s="82">
        <f t="shared" si="26"/>
        <v>1000</v>
      </c>
      <c r="F550" s="82">
        <f ca="1" t="shared" si="25"/>
        <v>20708</v>
      </c>
      <c r="G550" s="78" t="str">
        <f ca="1">IF(AND(LEFT("[{"&amp;M550&amp;","&amp;CEILING(N550*10000+(O550-N550)/4*(COUNTIF($F$11:F550,F550)-1)*10000,10)&amp;"}]",7)="[{equip",MID("[{"&amp;M550&amp;","&amp;CEILING(N550*10000+(O550-N550)/4*(COUNTIF($F$11:F550,F550)-1)*10000,10)&amp;"}]",8,1)&lt;&gt;"_"),"[{"&amp;M550&amp;","&amp;1&amp;"}]","[{"&amp;M550&amp;","&amp;CEILING(N550*10000+(O550-N550)/4*(COUNTIF($F$11:F550,F550)-1)*10000,10)&amp;"}]")</f>
        <v>[{mage_crit_dmg,3900}]</v>
      </c>
      <c r="H550" s="82" t="s">
        <v>563</v>
      </c>
      <c r="J550" s="78">
        <f ca="1">IF(MOD(COUNTIF($Q$11:Q549,Q549),5)=0,OFFSET(装备属性!$P$1083,1+INT(COUNTA($Q$11:Q549)/5),0),J549)</f>
        <v>10</v>
      </c>
      <c r="K550" s="83" t="str">
        <f ca="1">IF(RIGHT(G550,13)="rune_slot,1}]",_xlfn.XLOOKUP(LEFT(SUBSTITUTE(G550,"[{",""),FIND(",",SUBSTITUTE(G550,"[{",""))-1),Sheet2!B:B,Sheet2!C:C)&amp;"+"&amp;1,_xlfn.XLOOKUP(LEFT(SUBSTITUTE(G550,"[{",""),FIND(",",SUBSTITUTE(G550,"[{",""))-1),Sheet2!B:B,Sheet2!C:C)&amp;"+"&amp;SUBSTITUTE(RIGHT(G550,LEN(G550)-FIND(",",G550)),"}]","")/100&amp;"%")</f>
        <v>法师暴击伤害+39%</v>
      </c>
      <c r="L550" s="83" t="str">
        <f ca="1">IF(MOD(COUNTIF($Q$11:Q549,Q549),5)=0,OFFSET(装备属性!$G$1083,1+INT(COUNTA($Q$11:Q549)/5),0),L549)</f>
        <v>暴走施法Ⅳ</v>
      </c>
      <c r="M550" s="89" t="str">
        <f ca="1">IF(MOD(COUNTIF($Q$11:Q549,Q549),5)=0,OFFSET(装备属性!$H$1083,1+INT(COUNTA($Q$11:Q549)/5),0),M549)</f>
        <v>mage_crit_dmg</v>
      </c>
      <c r="N550" s="76">
        <f ca="1">IF(MOD(COUNTIF($Q$11:Q549,Q549),5)=0,OFFSET(装备属性!$K$1083,1+INT(COUNTA($Q$11:Q549)/5),0),N549)</f>
        <v>0.33</v>
      </c>
      <c r="O550" s="76">
        <f ca="1">IF(MOD(COUNTIF($Q$11:Q549,Q549),5)=0,OFFSET(装备属性!$L$1083,1+INT(COUNTA($Q$11:Q549)/5),0),O549)</f>
        <v>0.39</v>
      </c>
      <c r="Q550" s="89" t="str">
        <f ca="1">IF(MOD(COUNTIF($Q$11:Q549,Q549),5)=0,OFFSET(装备属性!$M$1083,1+INT(COUNTA($Q$11:Q549)/5),0),Q549)</f>
        <v>通用属性</v>
      </c>
      <c r="R550" s="83">
        <f ca="1">IF(MOD(COUNTIF($Q$11:Q549,Q549),5)=0,10000*SUBSTITUTE(SUBSTITUTE(OFFSET(装备属性!$F$1083,1+INT(COUNTA($Q$11:Q549)/5),0),"[",""),"]","")+_xlfn.XLOOKUP(C550,$M$3:$M$7,$N$3:$N$7)*100,R549)</f>
        <v>20700</v>
      </c>
    </row>
    <row r="551" customHeight="1" spans="1:18">
      <c r="A551" s="78" t="str">
        <f ca="1" t="shared" si="24"/>
        <v/>
      </c>
      <c r="B551" s="82" t="str">
        <f ca="1">IFERROR(R551+COUNTIFS($R$11:$R551,R551),"")</f>
        <v/>
      </c>
      <c r="C551" s="83">
        <f ca="1">IF(MOD(COUNTIF($Q$11:Q550,Q550),5)=0,OFFSET(装备属性!$D$1083,1+INT(COUNTA($Q$11:Q550)/5),0),C550)</f>
        <v>0</v>
      </c>
      <c r="D551" s="82">
        <f t="shared" si="26"/>
        <v>3000</v>
      </c>
      <c r="F551" s="82" t="str">
        <f ca="1" t="shared" si="25"/>
        <v/>
      </c>
      <c r="G551" s="78" t="str">
        <f ca="1">IF(AND(LEFT("[{"&amp;M551&amp;","&amp;CEILING(N551*10000+(O551-N551)/4*(COUNTIF($F$11:F551,F551)-1)*10000,10)&amp;"}]",7)="[{equip",MID("[{"&amp;M551&amp;","&amp;CEILING(N551*10000+(O551-N551)/4*(COUNTIF($F$11:F551,F551)-1)*10000,10)&amp;"}]",8,1)&lt;&gt;"_"),"[{"&amp;M551&amp;","&amp;1&amp;"}]","[{"&amp;M551&amp;","&amp;CEILING(N551*10000+(O551-N551)/4*(COUNTIF($F$11:F551,F551)-1)*10000,10)&amp;"}]")</f>
        <v>[{global_dmg_rate,8600}]</v>
      </c>
      <c r="H551" s="82" t="s">
        <v>563</v>
      </c>
      <c r="J551" s="78">
        <f ca="1">IF(MOD(COUNTIF($Q$11:Q550,Q550),5)=0,OFFSET(装备属性!$P$1083,1+INT(COUNTA($Q$11:Q550)/5),0),J550)</f>
        <v>2</v>
      </c>
      <c r="K551" s="83" t="str">
        <f ca="1">IF(RIGHT(G551,13)="rune_slot,1}]",_xlfn.XLOOKUP(LEFT(SUBSTITUTE(G551,"[{",""),FIND(",",SUBSTITUTE(G551,"[{",""))-1),Sheet2!B:B,Sheet2!C:C)&amp;"+"&amp;1,_xlfn.XLOOKUP(LEFT(SUBSTITUTE(G551,"[{",""),FIND(",",SUBSTITUTE(G551,"[{",""))-1),Sheet2!B:B,Sheet2!C:C)&amp;"+"&amp;SUBSTITUTE(RIGHT(G551,LEN(G551)-FIND(",",G551)),"}]","")/100&amp;"%")</f>
        <v>伤害加成+86%</v>
      </c>
      <c r="L551" s="83" t="str">
        <f ca="1">IF(MOD(COUNTIF($Q$11:Q550,Q550),5)=0,OFFSET(装备属性!$G$1083,1+INT(COUNTA($Q$11:Q550)/5),0),L550)</f>
        <v>全职小队Ⅴ</v>
      </c>
      <c r="M551" s="89" t="str">
        <f ca="1">IF(MOD(COUNTIF($Q$11:Q550,Q550),5)=0,OFFSET(装备属性!$H$1083,1+INT(COUNTA($Q$11:Q550)/5),0),M550)</f>
        <v>global_dmg_rate</v>
      </c>
      <c r="N551" s="76">
        <f ca="1">IF(MOD(COUNTIF($Q$11:Q550,Q550),5)=0,OFFSET(装备属性!$K$1083,1+INT(COUNTA($Q$11:Q550)/5),0),N550)</f>
        <v>0.072</v>
      </c>
      <c r="O551" s="76">
        <f ca="1">IF(MOD(COUNTIF($Q$11:Q550,Q550),5)=0,OFFSET(装备属性!$L$1083,1+INT(COUNTA($Q$11:Q550)/5),0),O550)</f>
        <v>0.086</v>
      </c>
      <c r="Q551" s="89" t="str">
        <f ca="1">IF(MOD(COUNTIF($Q$11:Q550,Q550),5)=0,OFFSET(装备属性!$M$1083,1+INT(COUNTA($Q$11:Q550)/5),0),Q550)</f>
        <v>通用属性</v>
      </c>
      <c r="R551" s="83" t="e">
        <f ca="1">IF(MOD(COUNTIF($Q$11:Q550,Q550),5)=0,10000*SUBSTITUTE(SUBSTITUTE(OFFSET(装备属性!$F$1083,1+INT(COUNTA($Q$11:Q550)/5),0),"[",""),"]","")+_xlfn.XLOOKUP(C551,$M$3:$M$7,$N$3:$N$7)*100,R550)</f>
        <v>#N/A</v>
      </c>
    </row>
    <row r="552" customHeight="1" spans="1:18">
      <c r="A552" s="78" t="str">
        <f ca="1" t="shared" si="24"/>
        <v/>
      </c>
      <c r="B552" s="82" t="str">
        <f ca="1">IFERROR(R552+COUNTIFS($R$11:$R552,R552),"")</f>
        <v/>
      </c>
      <c r="C552" s="83">
        <f ca="1">IF(MOD(COUNTIF($Q$11:Q551,Q551),5)=0,OFFSET(装备属性!$D$1083,1+INT(COUNTA($Q$11:Q551)/5),0),C551)</f>
        <v>0</v>
      </c>
      <c r="D552" s="82">
        <f t="shared" si="26"/>
        <v>2500</v>
      </c>
      <c r="F552" s="82" t="str">
        <f ca="1" t="shared" si="25"/>
        <v/>
      </c>
      <c r="G552" s="78" t="str">
        <f ca="1">IF(AND(LEFT("[{"&amp;M552&amp;","&amp;CEILING(N552*10000+(O552-N552)/4*(COUNTIF($F$11:F552,F552)-1)*10000,10)&amp;"}]",7)="[{equip",MID("[{"&amp;M552&amp;","&amp;CEILING(N552*10000+(O552-N552)/4*(COUNTIF($F$11:F552,F552)-1)*10000,10)&amp;"}]",8,1)&lt;&gt;"_"),"[{"&amp;M552&amp;","&amp;1&amp;"}]","[{"&amp;M552&amp;","&amp;CEILING(N552*10000+(O552-N552)/4*(COUNTIF($F$11:F552,F552)-1)*10000,10)&amp;"}]")</f>
        <v>[{global_dmg_rate,8630}]</v>
      </c>
      <c r="H552" s="82" t="s">
        <v>563</v>
      </c>
      <c r="J552" s="78">
        <f ca="1">IF(MOD(COUNTIF($Q$11:Q551,Q551),5)=0,OFFSET(装备属性!$P$1083,1+INT(COUNTA($Q$11:Q551)/5),0),J551)</f>
        <v>2</v>
      </c>
      <c r="K552" s="83" t="str">
        <f ca="1">IF(RIGHT(G552,13)="rune_slot,1}]",_xlfn.XLOOKUP(LEFT(SUBSTITUTE(G552,"[{",""),FIND(",",SUBSTITUTE(G552,"[{",""))-1),Sheet2!B:B,Sheet2!C:C)&amp;"+"&amp;1,_xlfn.XLOOKUP(LEFT(SUBSTITUTE(G552,"[{",""),FIND(",",SUBSTITUTE(G552,"[{",""))-1),Sheet2!B:B,Sheet2!C:C)&amp;"+"&amp;SUBSTITUTE(RIGHT(G552,LEN(G552)-FIND(",",G552)),"}]","")/100&amp;"%")</f>
        <v>伤害加成+86.3%</v>
      </c>
      <c r="L552" s="83" t="str">
        <f ca="1">IF(MOD(COUNTIF($Q$11:Q551,Q551),5)=0,OFFSET(装备属性!$G$1083,1+INT(COUNTA($Q$11:Q551)/5),0),L551)</f>
        <v>全职小队Ⅴ</v>
      </c>
      <c r="M552" s="89" t="str">
        <f ca="1">IF(MOD(COUNTIF($Q$11:Q551,Q551),5)=0,OFFSET(装备属性!$H$1083,1+INT(COUNTA($Q$11:Q551)/5),0),M551)</f>
        <v>global_dmg_rate</v>
      </c>
      <c r="N552" s="76">
        <f ca="1">IF(MOD(COUNTIF($Q$11:Q551,Q551),5)=0,OFFSET(装备属性!$K$1083,1+INT(COUNTA($Q$11:Q551)/5),0),N551)</f>
        <v>0.072</v>
      </c>
      <c r="O552" s="76">
        <f ca="1">IF(MOD(COUNTIF($Q$11:Q551,Q551),5)=0,OFFSET(装备属性!$L$1083,1+INT(COUNTA($Q$11:Q551)/5),0),O551)</f>
        <v>0.086</v>
      </c>
      <c r="Q552" s="89" t="str">
        <f ca="1">IF(MOD(COUNTIF($Q$11:Q551,Q551),5)=0,OFFSET(装备属性!$M$1083,1+INT(COUNTA($Q$11:Q551)/5),0),Q551)</f>
        <v>通用属性</v>
      </c>
      <c r="R552" s="83" t="e">
        <f ca="1">IF(MOD(COUNTIF($Q$11:Q551,Q551),5)=0,10000*SUBSTITUTE(SUBSTITUTE(OFFSET(装备属性!$F$1083,1+INT(COUNTA($Q$11:Q551)/5),0),"[",""),"]","")+_xlfn.XLOOKUP(C552,$M$3:$M$7,$N$3:$N$7)*100,R551)</f>
        <v>#N/A</v>
      </c>
    </row>
    <row r="553" customHeight="1" spans="1:18">
      <c r="A553" s="78" t="str">
        <f ca="1" t="shared" si="24"/>
        <v/>
      </c>
      <c r="B553" s="82" t="str">
        <f ca="1">IFERROR(R553+COUNTIFS($R$11:$R553,R553),"")</f>
        <v/>
      </c>
      <c r="C553" s="83">
        <f ca="1">IF(MOD(COUNTIF($Q$11:Q552,Q552),5)=0,OFFSET(装备属性!$D$1083,1+INT(COUNTA($Q$11:Q552)/5),0),C552)</f>
        <v>0</v>
      </c>
      <c r="D553" s="82">
        <f t="shared" si="26"/>
        <v>2000</v>
      </c>
      <c r="F553" s="82" t="str">
        <f ca="1" t="shared" si="25"/>
        <v/>
      </c>
      <c r="G553" s="78" t="str">
        <f ca="1">IF(AND(LEFT("[{"&amp;M553&amp;","&amp;CEILING(N553*10000+(O553-N553)/4*(COUNTIF($F$11:F553,F553)-1)*10000,10)&amp;"}]",7)="[{equip",MID("[{"&amp;M553&amp;","&amp;CEILING(N553*10000+(O553-N553)/4*(COUNTIF($F$11:F553,F553)-1)*10000,10)&amp;"}]",8,1)&lt;&gt;"_"),"[{"&amp;M553&amp;","&amp;1&amp;"}]","[{"&amp;M553&amp;","&amp;CEILING(N553*10000+(O553-N553)/4*(COUNTIF($F$11:F553,F553)-1)*10000,10)&amp;"}]")</f>
        <v>[{global_dmg_rate,8670}]</v>
      </c>
      <c r="H553" s="82" t="s">
        <v>563</v>
      </c>
      <c r="J553" s="78">
        <f ca="1">IF(MOD(COUNTIF($Q$11:Q552,Q552),5)=0,OFFSET(装备属性!$P$1083,1+INT(COUNTA($Q$11:Q552)/5),0),J552)</f>
        <v>2</v>
      </c>
      <c r="K553" s="83" t="str">
        <f ca="1">IF(RIGHT(G553,13)="rune_slot,1}]",_xlfn.XLOOKUP(LEFT(SUBSTITUTE(G553,"[{",""),FIND(",",SUBSTITUTE(G553,"[{",""))-1),Sheet2!B:B,Sheet2!C:C)&amp;"+"&amp;1,_xlfn.XLOOKUP(LEFT(SUBSTITUTE(G553,"[{",""),FIND(",",SUBSTITUTE(G553,"[{",""))-1),Sheet2!B:B,Sheet2!C:C)&amp;"+"&amp;SUBSTITUTE(RIGHT(G553,LEN(G553)-FIND(",",G553)),"}]","")/100&amp;"%")</f>
        <v>伤害加成+86.7%</v>
      </c>
      <c r="L553" s="83" t="str">
        <f ca="1">IF(MOD(COUNTIF($Q$11:Q552,Q552),5)=0,OFFSET(装备属性!$G$1083,1+INT(COUNTA($Q$11:Q552)/5),0),L552)</f>
        <v>全职小队Ⅴ</v>
      </c>
      <c r="M553" s="89" t="str">
        <f ca="1">IF(MOD(COUNTIF($Q$11:Q552,Q552),5)=0,OFFSET(装备属性!$H$1083,1+INT(COUNTA($Q$11:Q552)/5),0),M552)</f>
        <v>global_dmg_rate</v>
      </c>
      <c r="N553" s="76">
        <f ca="1">IF(MOD(COUNTIF($Q$11:Q552,Q552),5)=0,OFFSET(装备属性!$K$1083,1+INT(COUNTA($Q$11:Q552)/5),0),N552)</f>
        <v>0.072</v>
      </c>
      <c r="O553" s="76">
        <f ca="1">IF(MOD(COUNTIF($Q$11:Q552,Q552),5)=0,OFFSET(装备属性!$L$1083,1+INT(COUNTA($Q$11:Q552)/5),0),O552)</f>
        <v>0.086</v>
      </c>
      <c r="Q553" s="89" t="str">
        <f ca="1">IF(MOD(COUNTIF($Q$11:Q552,Q552),5)=0,OFFSET(装备属性!$M$1083,1+INT(COUNTA($Q$11:Q552)/5),0),Q552)</f>
        <v>通用属性</v>
      </c>
      <c r="R553" s="83" t="e">
        <f ca="1">IF(MOD(COUNTIF($Q$11:Q552,Q552),5)=0,10000*SUBSTITUTE(SUBSTITUTE(OFFSET(装备属性!$F$1083,1+INT(COUNTA($Q$11:Q552)/5),0),"[",""),"]","")+_xlfn.XLOOKUP(C553,$M$3:$M$7,$N$3:$N$7)*100,R552)</f>
        <v>#N/A</v>
      </c>
    </row>
    <row r="554" customHeight="1" spans="1:18">
      <c r="A554" s="78" t="str">
        <f ca="1" t="shared" si="24"/>
        <v/>
      </c>
      <c r="B554" s="82" t="str">
        <f ca="1">IFERROR(R554+COUNTIFS($R$11:$R554,R554),"")</f>
        <v/>
      </c>
      <c r="C554" s="83">
        <f ca="1">IF(MOD(COUNTIF($Q$11:Q553,Q553),5)=0,OFFSET(装备属性!$D$1083,1+INT(COUNTA($Q$11:Q553)/5),0),C553)</f>
        <v>0</v>
      </c>
      <c r="D554" s="82">
        <f t="shared" si="26"/>
        <v>1500</v>
      </c>
      <c r="F554" s="82" t="str">
        <f ca="1" t="shared" si="25"/>
        <v/>
      </c>
      <c r="G554" s="78" t="str">
        <f ca="1">IF(AND(LEFT("[{"&amp;M554&amp;","&amp;CEILING(N554*10000+(O554-N554)/4*(COUNTIF($F$11:F554,F554)-1)*10000,10)&amp;"}]",7)="[{equip",MID("[{"&amp;M554&amp;","&amp;CEILING(N554*10000+(O554-N554)/4*(COUNTIF($F$11:F554,F554)-1)*10000,10)&amp;"}]",8,1)&lt;&gt;"_"),"[{"&amp;M554&amp;","&amp;1&amp;"}]","[{"&amp;M554&amp;","&amp;CEILING(N554*10000+(O554-N554)/4*(COUNTIF($F$11:F554,F554)-1)*10000,10)&amp;"}]")</f>
        <v>[{global_dmg_rate,8700}]</v>
      </c>
      <c r="H554" s="82" t="s">
        <v>563</v>
      </c>
      <c r="J554" s="78">
        <f ca="1">IF(MOD(COUNTIF($Q$11:Q553,Q553),5)=0,OFFSET(装备属性!$P$1083,1+INT(COUNTA($Q$11:Q553)/5),0),J553)</f>
        <v>2</v>
      </c>
      <c r="K554" s="83" t="str">
        <f ca="1">IF(RIGHT(G554,13)="rune_slot,1}]",_xlfn.XLOOKUP(LEFT(SUBSTITUTE(G554,"[{",""),FIND(",",SUBSTITUTE(G554,"[{",""))-1),Sheet2!B:B,Sheet2!C:C)&amp;"+"&amp;1,_xlfn.XLOOKUP(LEFT(SUBSTITUTE(G554,"[{",""),FIND(",",SUBSTITUTE(G554,"[{",""))-1),Sheet2!B:B,Sheet2!C:C)&amp;"+"&amp;SUBSTITUTE(RIGHT(G554,LEN(G554)-FIND(",",G554)),"}]","")/100&amp;"%")</f>
        <v>伤害加成+87%</v>
      </c>
      <c r="L554" s="83" t="str">
        <f ca="1">IF(MOD(COUNTIF($Q$11:Q553,Q553),5)=0,OFFSET(装备属性!$G$1083,1+INT(COUNTA($Q$11:Q553)/5),0),L553)</f>
        <v>全职小队Ⅴ</v>
      </c>
      <c r="M554" s="89" t="str">
        <f ca="1">IF(MOD(COUNTIF($Q$11:Q553,Q553),5)=0,OFFSET(装备属性!$H$1083,1+INT(COUNTA($Q$11:Q553)/5),0),M553)</f>
        <v>global_dmg_rate</v>
      </c>
      <c r="N554" s="76">
        <f ca="1">IF(MOD(COUNTIF($Q$11:Q553,Q553),5)=0,OFFSET(装备属性!$K$1083,1+INT(COUNTA($Q$11:Q553)/5),0),N553)</f>
        <v>0.072</v>
      </c>
      <c r="O554" s="76">
        <f ca="1">IF(MOD(COUNTIF($Q$11:Q553,Q553),5)=0,OFFSET(装备属性!$L$1083,1+INT(COUNTA($Q$11:Q553)/5),0),O553)</f>
        <v>0.086</v>
      </c>
      <c r="Q554" s="89" t="str">
        <f ca="1">IF(MOD(COUNTIF($Q$11:Q553,Q553),5)=0,OFFSET(装备属性!$M$1083,1+INT(COUNTA($Q$11:Q553)/5),0),Q553)</f>
        <v>通用属性</v>
      </c>
      <c r="R554" s="83" t="e">
        <f ca="1">IF(MOD(COUNTIF($Q$11:Q553,Q553),5)=0,10000*SUBSTITUTE(SUBSTITUTE(OFFSET(装备属性!$F$1083,1+INT(COUNTA($Q$11:Q553)/5),0),"[",""),"]","")+_xlfn.XLOOKUP(C554,$M$3:$M$7,$N$3:$N$7)*100,R553)</f>
        <v>#N/A</v>
      </c>
    </row>
    <row r="555" customHeight="1" spans="1:18">
      <c r="A555" s="78" t="str">
        <f ca="1" t="shared" si="24"/>
        <v/>
      </c>
      <c r="B555" s="82" t="str">
        <f ca="1">IFERROR(R555+COUNTIFS($R$11:$R555,R555),"")</f>
        <v/>
      </c>
      <c r="C555" s="83">
        <f ca="1">IF(MOD(COUNTIF($Q$11:Q554,Q554),5)=0,OFFSET(装备属性!$D$1083,1+INT(COUNTA($Q$11:Q554)/5),0),C554)</f>
        <v>0</v>
      </c>
      <c r="D555" s="82">
        <f t="shared" si="26"/>
        <v>1000</v>
      </c>
      <c r="F555" s="82" t="str">
        <f ca="1" t="shared" si="25"/>
        <v/>
      </c>
      <c r="G555" s="78" t="str">
        <f ca="1">IF(AND(LEFT("[{"&amp;M555&amp;","&amp;CEILING(N555*10000+(O555-N555)/4*(COUNTIF($F$11:F555,F555)-1)*10000,10)&amp;"}]",7)="[{equip",MID("[{"&amp;M555&amp;","&amp;CEILING(N555*10000+(O555-N555)/4*(COUNTIF($F$11:F555,F555)-1)*10000,10)&amp;"}]",8,1)&lt;&gt;"_"),"[{"&amp;M555&amp;","&amp;1&amp;"}]","[{"&amp;M555&amp;","&amp;CEILING(N555*10000+(O555-N555)/4*(COUNTIF($F$11:F555,F555)-1)*10000,10)&amp;"}]")</f>
        <v>[{global_dmg_rate,8740}]</v>
      </c>
      <c r="H555" s="82" t="s">
        <v>563</v>
      </c>
      <c r="J555" s="78">
        <f ca="1">IF(MOD(COUNTIF($Q$11:Q554,Q554),5)=0,OFFSET(装备属性!$P$1083,1+INT(COUNTA($Q$11:Q554)/5),0),J554)</f>
        <v>2</v>
      </c>
      <c r="K555" s="83" t="str">
        <f ca="1">IF(RIGHT(G555,13)="rune_slot,1}]",_xlfn.XLOOKUP(LEFT(SUBSTITUTE(G555,"[{",""),FIND(",",SUBSTITUTE(G555,"[{",""))-1),Sheet2!B:B,Sheet2!C:C)&amp;"+"&amp;1,_xlfn.XLOOKUP(LEFT(SUBSTITUTE(G555,"[{",""),FIND(",",SUBSTITUTE(G555,"[{",""))-1),Sheet2!B:B,Sheet2!C:C)&amp;"+"&amp;SUBSTITUTE(RIGHT(G555,LEN(G555)-FIND(",",G555)),"}]","")/100&amp;"%")</f>
        <v>伤害加成+87.4%</v>
      </c>
      <c r="L555" s="83" t="str">
        <f ca="1">IF(MOD(COUNTIF($Q$11:Q554,Q554),5)=0,OFFSET(装备属性!$G$1083,1+INT(COUNTA($Q$11:Q554)/5),0),L554)</f>
        <v>全职小队Ⅴ</v>
      </c>
      <c r="M555" s="89" t="str">
        <f ca="1">IF(MOD(COUNTIF($Q$11:Q554,Q554),5)=0,OFFSET(装备属性!$H$1083,1+INT(COUNTA($Q$11:Q554)/5),0),M554)</f>
        <v>global_dmg_rate</v>
      </c>
      <c r="N555" s="76">
        <f ca="1">IF(MOD(COUNTIF($Q$11:Q554,Q554),5)=0,OFFSET(装备属性!$K$1083,1+INT(COUNTA($Q$11:Q554)/5),0),N554)</f>
        <v>0.072</v>
      </c>
      <c r="O555" s="76">
        <f ca="1">IF(MOD(COUNTIF($Q$11:Q554,Q554),5)=0,OFFSET(装备属性!$L$1083,1+INT(COUNTA($Q$11:Q554)/5),0),O554)</f>
        <v>0.086</v>
      </c>
      <c r="Q555" s="89" t="str">
        <f ca="1">IF(MOD(COUNTIF($Q$11:Q554,Q554),5)=0,OFFSET(装备属性!$M$1083,1+INT(COUNTA($Q$11:Q554)/5),0),Q554)</f>
        <v>通用属性</v>
      </c>
      <c r="R555" s="83" t="e">
        <f ca="1">IF(MOD(COUNTIF($Q$11:Q554,Q554),5)=0,10000*SUBSTITUTE(SUBSTITUTE(OFFSET(装备属性!$F$1083,1+INT(COUNTA($Q$11:Q554)/5),0),"[",""),"]","")+_xlfn.XLOOKUP(C555,$M$3:$M$7,$N$3:$N$7)*100,R554)</f>
        <v>#N/A</v>
      </c>
    </row>
    <row r="556" customHeight="1" spans="1:18">
      <c r="A556" s="78">
        <f ca="1" t="shared" si="24"/>
        <v>20801</v>
      </c>
      <c r="B556" s="82">
        <f ca="1">IFERROR(R556+COUNTIFS($R$11:$R556,R556),"")</f>
        <v>20801</v>
      </c>
      <c r="C556" s="83" t="str">
        <f ca="1">IF(MOD(COUNTIF($Q$11:Q555,Q555),5)=0,OFFSET(装备属性!$D$1083,1+INT(COUNTA($Q$11:Q555)/5),0),C555)</f>
        <v>彩</v>
      </c>
      <c r="D556" s="82">
        <f t="shared" si="26"/>
        <v>3000</v>
      </c>
      <c r="F556" s="82">
        <f ca="1" t="shared" si="25"/>
        <v>20800</v>
      </c>
      <c r="G556" s="78" t="str">
        <f ca="1">IF(AND(LEFT("[{"&amp;M556&amp;","&amp;CEILING(N556*10000+(O556-N556)/4*(COUNTIF($F$11:F556,F556)-1)*10000,10)&amp;"}]",7)="[{equip",MID("[{"&amp;M556&amp;","&amp;CEILING(N556*10000+(O556-N556)/4*(COUNTIF($F$11:F556,F556)-1)*10000,10)&amp;"}]",8,1)&lt;&gt;"_"),"[{"&amp;M556&amp;","&amp;1&amp;"}]","[{"&amp;M556&amp;","&amp;CEILING(N556*10000+(O556-N556)/4*(COUNTIF($F$11:F556,F556)-1)*10000,10)&amp;"}]")</f>
        <v>[{dmg_red_rate,300}]</v>
      </c>
      <c r="H556" s="82" t="s">
        <v>563</v>
      </c>
      <c r="J556" s="78">
        <f ca="1">IF(MOD(COUNTIF($Q$11:Q555,Q555),5)=0,OFFSET(装备属性!$P$1083,1+INT(COUNTA($Q$11:Q555)/5),0),J555)</f>
        <v>6</v>
      </c>
      <c r="K556" s="83" t="str">
        <f ca="1">IF(RIGHT(G556,13)="rune_slot,1}]",_xlfn.XLOOKUP(LEFT(SUBSTITUTE(G556,"[{",""),FIND(",",SUBSTITUTE(G556,"[{",""))-1),Sheet2!B:B,Sheet2!C:C)&amp;"+"&amp;1,_xlfn.XLOOKUP(LEFT(SUBSTITUTE(G556,"[{",""),FIND(",",SUBSTITUTE(G556,"[{",""))-1),Sheet2!B:B,Sheet2!C:C)&amp;"+"&amp;SUBSTITUTE(RIGHT(G556,LEN(G556)-FIND(",",G556)),"}]","")/100&amp;"%")</f>
        <v>伤害减免+3%</v>
      </c>
      <c r="L556" s="83" t="str">
        <f ca="1">IF(MOD(COUNTIF($Q$11:Q555,Q555),5)=0,OFFSET(装备属性!$G$1083,1+INT(COUNTA($Q$11:Q555)/5),0),L555)</f>
        <v>全员抗揍Ⅴ</v>
      </c>
      <c r="M556" s="89" t="str">
        <f ca="1">IF(MOD(COUNTIF($Q$11:Q555,Q555),5)=0,OFFSET(装备属性!$H$1083,1+INT(COUNTA($Q$11:Q555)/5),0),M555)</f>
        <v>dmg_red_rate</v>
      </c>
      <c r="N556" s="76">
        <f ca="1">IF(MOD(COUNTIF($Q$11:Q555,Q555),5)=0,OFFSET(装备属性!$K$1083,1+INT(COUNTA($Q$11:Q555)/5),0),N555)</f>
        <v>0.03</v>
      </c>
      <c r="O556" s="76">
        <f ca="1">IF(MOD(COUNTIF($Q$11:Q555,Q555),5)=0,OFFSET(装备属性!$L$1083,1+INT(COUNTA($Q$11:Q555)/5),0),O555)</f>
        <v>0.034</v>
      </c>
      <c r="Q556" s="89" t="str">
        <f ca="1">IF(MOD(COUNTIF($Q$11:Q555,Q555),5)=0,OFFSET(装备属性!$M$1083,1+INT(COUNTA($Q$11:Q555)/5),0),Q555)</f>
        <v>通用属性</v>
      </c>
      <c r="R556" s="83">
        <f ca="1">IF(MOD(COUNTIF($Q$11:Q555,Q555),5)=0,10000*SUBSTITUTE(SUBSTITUTE(OFFSET(装备属性!$F$1083,1+INT(COUNTA($Q$11:Q555)/5),0),"[",""),"]","")+_xlfn.XLOOKUP(C556,$M$3:$M$7,$N$3:$N$7)*100,R555)</f>
        <v>20800</v>
      </c>
    </row>
    <row r="557" customHeight="1" spans="1:18">
      <c r="A557" s="78">
        <f ca="1" t="shared" si="24"/>
        <v>20801</v>
      </c>
      <c r="B557" s="82">
        <f ca="1">IFERROR(R557+COUNTIFS($R$11:$R557,R557),"")</f>
        <v>20802</v>
      </c>
      <c r="C557" s="83" t="str">
        <f ca="1">IF(MOD(COUNTIF($Q$11:Q556,Q556),5)=0,OFFSET(装备属性!$D$1083,1+INT(COUNTA($Q$11:Q556)/5),0),C556)</f>
        <v>彩</v>
      </c>
      <c r="D557" s="82">
        <f t="shared" si="26"/>
        <v>2500</v>
      </c>
      <c r="F557" s="82">
        <f ca="1" t="shared" si="25"/>
        <v>20800</v>
      </c>
      <c r="G557" s="78" t="str">
        <f ca="1">IF(AND(LEFT("[{"&amp;M557&amp;","&amp;CEILING(N557*10000+(O557-N557)/4*(COUNTIF($F$11:F557,F557)-1)*10000,10)&amp;"}]",7)="[{equip",MID("[{"&amp;M557&amp;","&amp;CEILING(N557*10000+(O557-N557)/4*(COUNTIF($F$11:F557,F557)-1)*10000,10)&amp;"}]",8,1)&lt;&gt;"_"),"[{"&amp;M557&amp;","&amp;1&amp;"}]","[{"&amp;M557&amp;","&amp;CEILING(N557*10000+(O557-N557)/4*(COUNTIF($F$11:F557,F557)-1)*10000,10)&amp;"}]")</f>
        <v>[{dmg_red_rate,310}]</v>
      </c>
      <c r="H557" s="82" t="s">
        <v>563</v>
      </c>
      <c r="J557" s="78">
        <f ca="1">IF(MOD(COUNTIF($Q$11:Q556,Q556),5)=0,OFFSET(装备属性!$P$1083,1+INT(COUNTA($Q$11:Q556)/5),0),J556)</f>
        <v>6</v>
      </c>
      <c r="K557" s="83" t="str">
        <f ca="1">IF(RIGHT(G557,13)="rune_slot,1}]",_xlfn.XLOOKUP(LEFT(SUBSTITUTE(G557,"[{",""),FIND(",",SUBSTITUTE(G557,"[{",""))-1),Sheet2!B:B,Sheet2!C:C)&amp;"+"&amp;1,_xlfn.XLOOKUP(LEFT(SUBSTITUTE(G557,"[{",""),FIND(",",SUBSTITUTE(G557,"[{",""))-1),Sheet2!B:B,Sheet2!C:C)&amp;"+"&amp;SUBSTITUTE(RIGHT(G557,LEN(G557)-FIND(",",G557)),"}]","")/100&amp;"%")</f>
        <v>伤害减免+3.1%</v>
      </c>
      <c r="L557" s="83" t="str">
        <f ca="1">IF(MOD(COUNTIF($Q$11:Q556,Q556),5)=0,OFFSET(装备属性!$G$1083,1+INT(COUNTA($Q$11:Q556)/5),0),L556)</f>
        <v>全员抗揍Ⅴ</v>
      </c>
      <c r="M557" s="89" t="str">
        <f ca="1">IF(MOD(COUNTIF($Q$11:Q556,Q556),5)=0,OFFSET(装备属性!$H$1083,1+INT(COUNTA($Q$11:Q556)/5),0),M556)</f>
        <v>dmg_red_rate</v>
      </c>
      <c r="N557" s="76">
        <f ca="1">IF(MOD(COUNTIF($Q$11:Q556,Q556),5)=0,OFFSET(装备属性!$K$1083,1+INT(COUNTA($Q$11:Q556)/5),0),N556)</f>
        <v>0.03</v>
      </c>
      <c r="O557" s="76">
        <f ca="1">IF(MOD(COUNTIF($Q$11:Q556,Q556),5)=0,OFFSET(装备属性!$L$1083,1+INT(COUNTA($Q$11:Q556)/5),0),O556)</f>
        <v>0.034</v>
      </c>
      <c r="Q557" s="89" t="str">
        <f ca="1">IF(MOD(COUNTIF($Q$11:Q556,Q556),5)=0,OFFSET(装备属性!$M$1083,1+INT(COUNTA($Q$11:Q556)/5),0),Q556)</f>
        <v>通用属性</v>
      </c>
      <c r="R557" s="83">
        <f ca="1">IF(MOD(COUNTIF($Q$11:Q556,Q556),5)=0,10000*SUBSTITUTE(SUBSTITUTE(OFFSET(装备属性!$F$1083,1+INT(COUNTA($Q$11:Q556)/5),0),"[",""),"]","")+_xlfn.XLOOKUP(C557,$M$3:$M$7,$N$3:$N$7)*100,R556)</f>
        <v>20800</v>
      </c>
    </row>
    <row r="558" customHeight="1" spans="1:18">
      <c r="A558" s="78">
        <f ca="1" t="shared" si="24"/>
        <v>20801</v>
      </c>
      <c r="B558" s="82">
        <f ca="1">IFERROR(R558+COUNTIFS($R$11:$R558,R558),"")</f>
        <v>20803</v>
      </c>
      <c r="C558" s="83" t="str">
        <f ca="1">IF(MOD(COUNTIF($Q$11:Q557,Q557),5)=0,OFFSET(装备属性!$D$1083,1+INT(COUNTA($Q$11:Q557)/5),0),C557)</f>
        <v>彩</v>
      </c>
      <c r="D558" s="82">
        <f t="shared" si="26"/>
        <v>2000</v>
      </c>
      <c r="F558" s="82">
        <f ca="1" t="shared" si="25"/>
        <v>20800</v>
      </c>
      <c r="G558" s="78" t="str">
        <f ca="1">IF(AND(LEFT("[{"&amp;M558&amp;","&amp;CEILING(N558*10000+(O558-N558)/4*(COUNTIF($F$11:F558,F558)-1)*10000,10)&amp;"}]",7)="[{equip",MID("[{"&amp;M558&amp;","&amp;CEILING(N558*10000+(O558-N558)/4*(COUNTIF($F$11:F558,F558)-1)*10000,10)&amp;"}]",8,1)&lt;&gt;"_"),"[{"&amp;M558&amp;","&amp;1&amp;"}]","[{"&amp;M558&amp;","&amp;CEILING(N558*10000+(O558-N558)/4*(COUNTIF($F$11:F558,F558)-1)*10000,10)&amp;"}]")</f>
        <v>[{dmg_red_rate,320}]</v>
      </c>
      <c r="H558" s="82" t="s">
        <v>563</v>
      </c>
      <c r="J558" s="78">
        <f ca="1">IF(MOD(COUNTIF($Q$11:Q557,Q557),5)=0,OFFSET(装备属性!$P$1083,1+INT(COUNTA($Q$11:Q557)/5),0),J557)</f>
        <v>6</v>
      </c>
      <c r="K558" s="83" t="str">
        <f ca="1">IF(RIGHT(G558,13)="rune_slot,1}]",_xlfn.XLOOKUP(LEFT(SUBSTITUTE(G558,"[{",""),FIND(",",SUBSTITUTE(G558,"[{",""))-1),Sheet2!B:B,Sheet2!C:C)&amp;"+"&amp;1,_xlfn.XLOOKUP(LEFT(SUBSTITUTE(G558,"[{",""),FIND(",",SUBSTITUTE(G558,"[{",""))-1),Sheet2!B:B,Sheet2!C:C)&amp;"+"&amp;SUBSTITUTE(RIGHT(G558,LEN(G558)-FIND(",",G558)),"}]","")/100&amp;"%")</f>
        <v>伤害减免+3.2%</v>
      </c>
      <c r="L558" s="83" t="str">
        <f ca="1">IF(MOD(COUNTIF($Q$11:Q557,Q557),5)=0,OFFSET(装备属性!$G$1083,1+INT(COUNTA($Q$11:Q557)/5),0),L557)</f>
        <v>全员抗揍Ⅴ</v>
      </c>
      <c r="M558" s="89" t="str">
        <f ca="1">IF(MOD(COUNTIF($Q$11:Q557,Q557),5)=0,OFFSET(装备属性!$H$1083,1+INT(COUNTA($Q$11:Q557)/5),0),M557)</f>
        <v>dmg_red_rate</v>
      </c>
      <c r="N558" s="76">
        <f ca="1">IF(MOD(COUNTIF($Q$11:Q557,Q557),5)=0,OFFSET(装备属性!$K$1083,1+INT(COUNTA($Q$11:Q557)/5),0),N557)</f>
        <v>0.03</v>
      </c>
      <c r="O558" s="76">
        <f ca="1">IF(MOD(COUNTIF($Q$11:Q557,Q557),5)=0,OFFSET(装备属性!$L$1083,1+INT(COUNTA($Q$11:Q557)/5),0),O557)</f>
        <v>0.034</v>
      </c>
      <c r="Q558" s="89" t="str">
        <f ca="1">IF(MOD(COUNTIF($Q$11:Q557,Q557),5)=0,OFFSET(装备属性!$M$1083,1+INT(COUNTA($Q$11:Q557)/5),0),Q557)</f>
        <v>通用属性</v>
      </c>
      <c r="R558" s="83">
        <f ca="1">IF(MOD(COUNTIF($Q$11:Q557,Q557),5)=0,10000*SUBSTITUTE(SUBSTITUTE(OFFSET(装备属性!$F$1083,1+INT(COUNTA($Q$11:Q557)/5),0),"[",""),"]","")+_xlfn.XLOOKUP(C558,$M$3:$M$7,$N$3:$N$7)*100,R557)</f>
        <v>20800</v>
      </c>
    </row>
    <row r="559" customHeight="1" spans="1:18">
      <c r="A559" s="78">
        <f ca="1" t="shared" si="24"/>
        <v>20801</v>
      </c>
      <c r="B559" s="82">
        <f ca="1">IFERROR(R559+COUNTIFS($R$11:$R559,R559),"")</f>
        <v>20804</v>
      </c>
      <c r="C559" s="83" t="str">
        <f ca="1">IF(MOD(COUNTIF($Q$11:Q558,Q558),5)=0,OFFSET(装备属性!$D$1083,1+INT(COUNTA($Q$11:Q558)/5),0),C558)</f>
        <v>彩</v>
      </c>
      <c r="D559" s="82">
        <f t="shared" si="26"/>
        <v>1500</v>
      </c>
      <c r="F559" s="82">
        <f ca="1" t="shared" si="25"/>
        <v>20800</v>
      </c>
      <c r="G559" s="78" t="str">
        <f ca="1">IF(AND(LEFT("[{"&amp;M559&amp;","&amp;CEILING(N559*10000+(O559-N559)/4*(COUNTIF($F$11:F559,F559)-1)*10000,10)&amp;"}]",7)="[{equip",MID("[{"&amp;M559&amp;","&amp;CEILING(N559*10000+(O559-N559)/4*(COUNTIF($F$11:F559,F559)-1)*10000,10)&amp;"}]",8,1)&lt;&gt;"_"),"[{"&amp;M559&amp;","&amp;1&amp;"}]","[{"&amp;M559&amp;","&amp;CEILING(N559*10000+(O559-N559)/4*(COUNTIF($F$11:F559,F559)-1)*10000,10)&amp;"}]")</f>
        <v>[{dmg_red_rate,330}]</v>
      </c>
      <c r="H559" s="82" t="s">
        <v>563</v>
      </c>
      <c r="J559" s="78">
        <f ca="1">IF(MOD(COUNTIF($Q$11:Q558,Q558),5)=0,OFFSET(装备属性!$P$1083,1+INT(COUNTA($Q$11:Q558)/5),0),J558)</f>
        <v>6</v>
      </c>
      <c r="K559" s="83" t="str">
        <f ca="1">IF(RIGHT(G559,13)="rune_slot,1}]",_xlfn.XLOOKUP(LEFT(SUBSTITUTE(G559,"[{",""),FIND(",",SUBSTITUTE(G559,"[{",""))-1),Sheet2!B:B,Sheet2!C:C)&amp;"+"&amp;1,_xlfn.XLOOKUP(LEFT(SUBSTITUTE(G559,"[{",""),FIND(",",SUBSTITUTE(G559,"[{",""))-1),Sheet2!B:B,Sheet2!C:C)&amp;"+"&amp;SUBSTITUTE(RIGHT(G559,LEN(G559)-FIND(",",G559)),"}]","")/100&amp;"%")</f>
        <v>伤害减免+3.3%</v>
      </c>
      <c r="L559" s="83" t="str">
        <f ca="1">IF(MOD(COUNTIF($Q$11:Q558,Q558),5)=0,OFFSET(装备属性!$G$1083,1+INT(COUNTA($Q$11:Q558)/5),0),L558)</f>
        <v>全员抗揍Ⅴ</v>
      </c>
      <c r="M559" s="89" t="str">
        <f ca="1">IF(MOD(COUNTIF($Q$11:Q558,Q558),5)=0,OFFSET(装备属性!$H$1083,1+INT(COUNTA($Q$11:Q558)/5),0),M558)</f>
        <v>dmg_red_rate</v>
      </c>
      <c r="N559" s="76">
        <f ca="1">IF(MOD(COUNTIF($Q$11:Q558,Q558),5)=0,OFFSET(装备属性!$K$1083,1+INT(COUNTA($Q$11:Q558)/5),0),N558)</f>
        <v>0.03</v>
      </c>
      <c r="O559" s="76">
        <f ca="1">IF(MOD(COUNTIF($Q$11:Q558,Q558),5)=0,OFFSET(装备属性!$L$1083,1+INT(COUNTA($Q$11:Q558)/5),0),O558)</f>
        <v>0.034</v>
      </c>
      <c r="Q559" s="89" t="str">
        <f ca="1">IF(MOD(COUNTIF($Q$11:Q558,Q558),5)=0,OFFSET(装备属性!$M$1083,1+INT(COUNTA($Q$11:Q558)/5),0),Q558)</f>
        <v>通用属性</v>
      </c>
      <c r="R559" s="83">
        <f ca="1">IF(MOD(COUNTIF($Q$11:Q558,Q558),5)=0,10000*SUBSTITUTE(SUBSTITUTE(OFFSET(装备属性!$F$1083,1+INT(COUNTA($Q$11:Q558)/5),0),"[",""),"]","")+_xlfn.XLOOKUP(C559,$M$3:$M$7,$N$3:$N$7)*100,R558)</f>
        <v>20800</v>
      </c>
    </row>
    <row r="560" customHeight="1" spans="1:18">
      <c r="A560" s="78">
        <f ca="1" t="shared" si="24"/>
        <v>20801</v>
      </c>
      <c r="B560" s="82">
        <f ca="1">IFERROR(R560+COUNTIFS($R$11:$R560,R560),"")</f>
        <v>20805</v>
      </c>
      <c r="C560" s="83" t="str">
        <f ca="1">IF(MOD(COUNTIF($Q$11:Q559,Q559),5)=0,OFFSET(装备属性!$D$1083,1+INT(COUNTA($Q$11:Q559)/5),0),C559)</f>
        <v>彩</v>
      </c>
      <c r="D560" s="82">
        <f t="shared" si="26"/>
        <v>1000</v>
      </c>
      <c r="F560" s="82">
        <f ca="1" t="shared" si="25"/>
        <v>20800</v>
      </c>
      <c r="G560" s="78" t="str">
        <f ca="1">IF(AND(LEFT("[{"&amp;M560&amp;","&amp;CEILING(N560*10000+(O560-N560)/4*(COUNTIF($F$11:F560,F560)-1)*10000,10)&amp;"}]",7)="[{equip",MID("[{"&amp;M560&amp;","&amp;CEILING(N560*10000+(O560-N560)/4*(COUNTIF($F$11:F560,F560)-1)*10000,10)&amp;"}]",8,1)&lt;&gt;"_"),"[{"&amp;M560&amp;","&amp;1&amp;"}]","[{"&amp;M560&amp;","&amp;CEILING(N560*10000+(O560-N560)/4*(COUNTIF($F$11:F560,F560)-1)*10000,10)&amp;"}]")</f>
        <v>[{dmg_red_rate,340}]</v>
      </c>
      <c r="H560" s="82" t="s">
        <v>563</v>
      </c>
      <c r="J560" s="78">
        <f ca="1">IF(MOD(COUNTIF($Q$11:Q559,Q559),5)=0,OFFSET(装备属性!$P$1083,1+INT(COUNTA($Q$11:Q559)/5),0),J559)</f>
        <v>6</v>
      </c>
      <c r="K560" s="83" t="str">
        <f ca="1">IF(RIGHT(G560,13)="rune_slot,1}]",_xlfn.XLOOKUP(LEFT(SUBSTITUTE(G560,"[{",""),FIND(",",SUBSTITUTE(G560,"[{",""))-1),Sheet2!B:B,Sheet2!C:C)&amp;"+"&amp;1,_xlfn.XLOOKUP(LEFT(SUBSTITUTE(G560,"[{",""),FIND(",",SUBSTITUTE(G560,"[{",""))-1),Sheet2!B:B,Sheet2!C:C)&amp;"+"&amp;SUBSTITUTE(RIGHT(G560,LEN(G560)-FIND(",",G560)),"}]","")/100&amp;"%")</f>
        <v>伤害减免+3.4%</v>
      </c>
      <c r="L560" s="83" t="str">
        <f ca="1">IF(MOD(COUNTIF($Q$11:Q559,Q559),5)=0,OFFSET(装备属性!$G$1083,1+INT(COUNTA($Q$11:Q559)/5),0),L559)</f>
        <v>全员抗揍Ⅴ</v>
      </c>
      <c r="M560" s="89" t="str">
        <f ca="1">IF(MOD(COUNTIF($Q$11:Q559,Q559),5)=0,OFFSET(装备属性!$H$1083,1+INT(COUNTA($Q$11:Q559)/5),0),M559)</f>
        <v>dmg_red_rate</v>
      </c>
      <c r="N560" s="76">
        <f ca="1">IF(MOD(COUNTIF($Q$11:Q559,Q559),5)=0,OFFSET(装备属性!$K$1083,1+INT(COUNTA($Q$11:Q559)/5),0),N559)</f>
        <v>0.03</v>
      </c>
      <c r="O560" s="76">
        <f ca="1">IF(MOD(COUNTIF($Q$11:Q559,Q559),5)=0,OFFSET(装备属性!$L$1083,1+INT(COUNTA($Q$11:Q559)/5),0),O559)</f>
        <v>0.034</v>
      </c>
      <c r="Q560" s="89" t="str">
        <f ca="1">IF(MOD(COUNTIF($Q$11:Q559,Q559),5)=0,OFFSET(装备属性!$M$1083,1+INT(COUNTA($Q$11:Q559)/5),0),Q559)</f>
        <v>通用属性</v>
      </c>
      <c r="R560" s="83">
        <f ca="1">IF(MOD(COUNTIF($Q$11:Q559,Q559),5)=0,10000*SUBSTITUTE(SUBSTITUTE(OFFSET(装备属性!$F$1083,1+INT(COUNTA($Q$11:Q559)/5),0),"[",""),"]","")+_xlfn.XLOOKUP(C560,$M$3:$M$7,$N$3:$N$7)*100,R559)</f>
        <v>20800</v>
      </c>
    </row>
    <row r="561" customHeight="1" spans="1:18">
      <c r="A561" s="78">
        <f ca="1" t="shared" si="24"/>
        <v>20801</v>
      </c>
      <c r="B561" s="82">
        <f ca="1">IFERROR(R561+COUNTIFS($R$11:$R561,R561),"")</f>
        <v>20806</v>
      </c>
      <c r="C561" s="83" t="str">
        <f ca="1">IF(MOD(COUNTIF($Q$11:Q560,Q560),5)=0,OFFSET(装备属性!$D$1083,1+INT(COUNTA($Q$11:Q560)/5),0),C560)</f>
        <v>彩</v>
      </c>
      <c r="D561" s="82">
        <f t="shared" si="26"/>
        <v>3000</v>
      </c>
      <c r="F561" s="82">
        <f ca="1" t="shared" si="25"/>
        <v>20801</v>
      </c>
      <c r="G561" s="78" t="str">
        <f ca="1">IF(AND(LEFT("[{"&amp;M561&amp;","&amp;CEILING(N561*10000+(O561-N561)/4*(COUNTIF($F$11:F561,F561)-1)*10000,10)&amp;"}]",7)="[{equip",MID("[{"&amp;M561&amp;","&amp;CEILING(N561*10000+(O561-N561)/4*(COUNTIF($F$11:F561,F561)-1)*10000,10)&amp;"}]",8,1)&lt;&gt;"_"),"[{"&amp;M561&amp;","&amp;1&amp;"}]","[{"&amp;M561&amp;","&amp;CEILING(N561*10000+(O561-N561)/4*(COUNTIF($F$11:F561,F561)-1)*10000,10)&amp;"}]")</f>
        <v>[{all_class_dmg,720}]</v>
      </c>
      <c r="H561" s="82" t="s">
        <v>563</v>
      </c>
      <c r="J561" s="78">
        <f ca="1">IF(MOD(COUNTIF($Q$11:Q560,Q560),5)=0,OFFSET(装备属性!$P$1083,1+INT(COUNTA($Q$11:Q560)/5),0),J560)</f>
        <v>2</v>
      </c>
      <c r="K561" s="83" t="str">
        <f ca="1">IF(RIGHT(G561,13)="rune_slot,1}]",_xlfn.XLOOKUP(LEFT(SUBSTITUTE(G561,"[{",""),FIND(",",SUBSTITUTE(G561,"[{",""))-1),Sheet2!B:B,Sheet2!C:C)&amp;"+"&amp;1,_xlfn.XLOOKUP(LEFT(SUBSTITUTE(G561,"[{",""),FIND(",",SUBSTITUTE(G561,"[{",""))-1),Sheet2!B:B,Sheet2!C:C)&amp;"+"&amp;SUBSTITUTE(RIGHT(G561,LEN(G561)-FIND(",",G561)),"}]","")/100&amp;"%")</f>
        <v>上阵五个不同职业增伤+7.2%</v>
      </c>
      <c r="L561" s="83" t="str">
        <f ca="1">IF(MOD(COUNTIF($Q$11:Q560,Q560),5)=0,OFFSET(装备属性!$G$1083,1+INT(COUNTA($Q$11:Q560)/5),0),L560)</f>
        <v>全员出力Ⅴ</v>
      </c>
      <c r="M561" s="89" t="str">
        <f ca="1">IF(MOD(COUNTIF($Q$11:Q560,Q560),5)=0,OFFSET(装备属性!$H$1083,1+INT(COUNTA($Q$11:Q560)/5),0),M560)</f>
        <v>all_class_dmg</v>
      </c>
      <c r="N561" s="76">
        <f ca="1">IF(MOD(COUNTIF($Q$11:Q560,Q560),5)=0,OFFSET(装备属性!$K$1083,1+INT(COUNTA($Q$11:Q560)/5),0),N560)</f>
        <v>0.072</v>
      </c>
      <c r="O561" s="76">
        <f ca="1">IF(MOD(COUNTIF($Q$11:Q560,Q560),5)=0,OFFSET(装备属性!$L$1083,1+INT(COUNTA($Q$11:Q560)/5),0),O560)</f>
        <v>0.086</v>
      </c>
      <c r="Q561" s="89" t="str">
        <f ca="1">IF(MOD(COUNTIF($Q$11:Q560,Q560),5)=0,OFFSET(装备属性!$M$1083,1+INT(COUNTA($Q$11:Q560)/5),0),Q560)</f>
        <v>通用属性</v>
      </c>
      <c r="R561" s="83">
        <f ca="1">IF(MOD(COUNTIF($Q$11:Q560,Q560),5)=0,10000*SUBSTITUTE(SUBSTITUTE(OFFSET(装备属性!$F$1083,1+INT(COUNTA($Q$11:Q560)/5),0),"[",""),"]","")+_xlfn.XLOOKUP(C561,$M$3:$M$7,$N$3:$N$7)*100,R560)</f>
        <v>20800</v>
      </c>
    </row>
    <row r="562" customHeight="1" spans="1:18">
      <c r="A562" s="78">
        <f ca="1" t="shared" si="24"/>
        <v>20801</v>
      </c>
      <c r="B562" s="82">
        <f ca="1">IFERROR(R562+COUNTIFS($R$11:$R562,R562),"")</f>
        <v>20807</v>
      </c>
      <c r="C562" s="83" t="str">
        <f ca="1">IF(MOD(COUNTIF($Q$11:Q561,Q561),5)=0,OFFSET(装备属性!$D$1083,1+INT(COUNTA($Q$11:Q561)/5),0),C561)</f>
        <v>彩</v>
      </c>
      <c r="D562" s="82">
        <f t="shared" si="26"/>
        <v>2500</v>
      </c>
      <c r="F562" s="82">
        <f ca="1" t="shared" si="25"/>
        <v>20801</v>
      </c>
      <c r="G562" s="78" t="str">
        <f ca="1">IF(AND(LEFT("[{"&amp;M562&amp;","&amp;CEILING(N562*10000+(O562-N562)/4*(COUNTIF($F$11:F562,F562)-1)*10000,10)&amp;"}]",7)="[{equip",MID("[{"&amp;M562&amp;","&amp;CEILING(N562*10000+(O562-N562)/4*(COUNTIF($F$11:F562,F562)-1)*10000,10)&amp;"}]",8,1)&lt;&gt;"_"),"[{"&amp;M562&amp;","&amp;1&amp;"}]","[{"&amp;M562&amp;","&amp;CEILING(N562*10000+(O562-N562)/4*(COUNTIF($F$11:F562,F562)-1)*10000,10)&amp;"}]")</f>
        <v>[{all_class_dmg,760}]</v>
      </c>
      <c r="H562" s="82" t="s">
        <v>563</v>
      </c>
      <c r="J562" s="78">
        <f ca="1">IF(MOD(COUNTIF($Q$11:Q561,Q561),5)=0,OFFSET(装备属性!$P$1083,1+INT(COUNTA($Q$11:Q561)/5),0),J561)</f>
        <v>2</v>
      </c>
      <c r="K562" s="83" t="str">
        <f ca="1">IF(RIGHT(G562,13)="rune_slot,1}]",_xlfn.XLOOKUP(LEFT(SUBSTITUTE(G562,"[{",""),FIND(",",SUBSTITUTE(G562,"[{",""))-1),Sheet2!B:B,Sheet2!C:C)&amp;"+"&amp;1,_xlfn.XLOOKUP(LEFT(SUBSTITUTE(G562,"[{",""),FIND(",",SUBSTITUTE(G562,"[{",""))-1),Sheet2!B:B,Sheet2!C:C)&amp;"+"&amp;SUBSTITUTE(RIGHT(G562,LEN(G562)-FIND(",",G562)),"}]","")/100&amp;"%")</f>
        <v>上阵五个不同职业增伤+7.6%</v>
      </c>
      <c r="L562" s="83" t="str">
        <f ca="1">IF(MOD(COUNTIF($Q$11:Q561,Q561),5)=0,OFFSET(装备属性!$G$1083,1+INT(COUNTA($Q$11:Q561)/5),0),L561)</f>
        <v>全员出力Ⅴ</v>
      </c>
      <c r="M562" s="89" t="str">
        <f ca="1">IF(MOD(COUNTIF($Q$11:Q561,Q561),5)=0,OFFSET(装备属性!$H$1083,1+INT(COUNTA($Q$11:Q561)/5),0),M561)</f>
        <v>all_class_dmg</v>
      </c>
      <c r="N562" s="76">
        <f ca="1">IF(MOD(COUNTIF($Q$11:Q561,Q561),5)=0,OFFSET(装备属性!$K$1083,1+INT(COUNTA($Q$11:Q561)/5),0),N561)</f>
        <v>0.072</v>
      </c>
      <c r="O562" s="76">
        <f ca="1">IF(MOD(COUNTIF($Q$11:Q561,Q561),5)=0,OFFSET(装备属性!$L$1083,1+INT(COUNTA($Q$11:Q561)/5),0),O561)</f>
        <v>0.086</v>
      </c>
      <c r="Q562" s="89" t="str">
        <f ca="1">IF(MOD(COUNTIF($Q$11:Q561,Q561),5)=0,OFFSET(装备属性!$M$1083,1+INT(COUNTA($Q$11:Q561)/5),0),Q561)</f>
        <v>通用属性</v>
      </c>
      <c r="R562" s="83">
        <f ca="1">IF(MOD(COUNTIF($Q$11:Q561,Q561),5)=0,10000*SUBSTITUTE(SUBSTITUTE(OFFSET(装备属性!$F$1083,1+INT(COUNTA($Q$11:Q561)/5),0),"[",""),"]","")+_xlfn.XLOOKUP(C562,$M$3:$M$7,$N$3:$N$7)*100,R561)</f>
        <v>20800</v>
      </c>
    </row>
    <row r="563" customHeight="1" spans="1:18">
      <c r="A563" s="78">
        <f ca="1" t="shared" si="24"/>
        <v>20801</v>
      </c>
      <c r="B563" s="82">
        <f ca="1">IFERROR(R563+COUNTIFS($R$11:$R563,R563),"")</f>
        <v>20808</v>
      </c>
      <c r="C563" s="83" t="str">
        <f ca="1">IF(MOD(COUNTIF($Q$11:Q562,Q562),5)=0,OFFSET(装备属性!$D$1083,1+INT(COUNTA($Q$11:Q562)/5),0),C562)</f>
        <v>彩</v>
      </c>
      <c r="D563" s="82">
        <f t="shared" si="26"/>
        <v>2000</v>
      </c>
      <c r="F563" s="82">
        <f ca="1" t="shared" si="25"/>
        <v>20801</v>
      </c>
      <c r="G563" s="78" t="str">
        <f ca="1">IF(AND(LEFT("[{"&amp;M563&amp;","&amp;CEILING(N563*10000+(O563-N563)/4*(COUNTIF($F$11:F563,F563)-1)*10000,10)&amp;"}]",7)="[{equip",MID("[{"&amp;M563&amp;","&amp;CEILING(N563*10000+(O563-N563)/4*(COUNTIF($F$11:F563,F563)-1)*10000,10)&amp;"}]",8,1)&lt;&gt;"_"),"[{"&amp;M563&amp;","&amp;1&amp;"}]","[{"&amp;M563&amp;","&amp;CEILING(N563*10000+(O563-N563)/4*(COUNTIF($F$11:F563,F563)-1)*10000,10)&amp;"}]")</f>
        <v>[{all_class_dmg,790}]</v>
      </c>
      <c r="H563" s="82" t="s">
        <v>563</v>
      </c>
      <c r="J563" s="78">
        <f ca="1">IF(MOD(COUNTIF($Q$11:Q562,Q562),5)=0,OFFSET(装备属性!$P$1083,1+INT(COUNTA($Q$11:Q562)/5),0),J562)</f>
        <v>2</v>
      </c>
      <c r="K563" s="83" t="str">
        <f ca="1">IF(RIGHT(G563,13)="rune_slot,1}]",_xlfn.XLOOKUP(LEFT(SUBSTITUTE(G563,"[{",""),FIND(",",SUBSTITUTE(G563,"[{",""))-1),Sheet2!B:B,Sheet2!C:C)&amp;"+"&amp;1,_xlfn.XLOOKUP(LEFT(SUBSTITUTE(G563,"[{",""),FIND(",",SUBSTITUTE(G563,"[{",""))-1),Sheet2!B:B,Sheet2!C:C)&amp;"+"&amp;SUBSTITUTE(RIGHT(G563,LEN(G563)-FIND(",",G563)),"}]","")/100&amp;"%")</f>
        <v>上阵五个不同职业增伤+7.9%</v>
      </c>
      <c r="L563" s="83" t="str">
        <f ca="1">IF(MOD(COUNTIF($Q$11:Q562,Q562),5)=0,OFFSET(装备属性!$G$1083,1+INT(COUNTA($Q$11:Q562)/5),0),L562)</f>
        <v>全员出力Ⅴ</v>
      </c>
      <c r="M563" s="89" t="str">
        <f ca="1">IF(MOD(COUNTIF($Q$11:Q562,Q562),5)=0,OFFSET(装备属性!$H$1083,1+INT(COUNTA($Q$11:Q562)/5),0),M562)</f>
        <v>all_class_dmg</v>
      </c>
      <c r="N563" s="76">
        <f ca="1">IF(MOD(COUNTIF($Q$11:Q562,Q562),5)=0,OFFSET(装备属性!$K$1083,1+INT(COUNTA($Q$11:Q562)/5),0),N562)</f>
        <v>0.072</v>
      </c>
      <c r="O563" s="76">
        <f ca="1">IF(MOD(COUNTIF($Q$11:Q562,Q562),5)=0,OFFSET(装备属性!$L$1083,1+INT(COUNTA($Q$11:Q562)/5),0),O562)</f>
        <v>0.086</v>
      </c>
      <c r="Q563" s="89" t="str">
        <f ca="1">IF(MOD(COUNTIF($Q$11:Q562,Q562),5)=0,OFFSET(装备属性!$M$1083,1+INT(COUNTA($Q$11:Q562)/5),0),Q562)</f>
        <v>通用属性</v>
      </c>
      <c r="R563" s="83">
        <f ca="1">IF(MOD(COUNTIF($Q$11:Q562,Q562),5)=0,10000*SUBSTITUTE(SUBSTITUTE(OFFSET(装备属性!$F$1083,1+INT(COUNTA($Q$11:Q562)/5),0),"[",""),"]","")+_xlfn.XLOOKUP(C563,$M$3:$M$7,$N$3:$N$7)*100,R562)</f>
        <v>20800</v>
      </c>
    </row>
    <row r="564" customHeight="1" spans="1:18">
      <c r="A564" s="78">
        <f ca="1" t="shared" si="24"/>
        <v>20801</v>
      </c>
      <c r="B564" s="82">
        <f ca="1">IFERROR(R564+COUNTIFS($R$11:$R564,R564),"")</f>
        <v>20809</v>
      </c>
      <c r="C564" s="83" t="str">
        <f ca="1">IF(MOD(COUNTIF($Q$11:Q563,Q563),5)=0,OFFSET(装备属性!$D$1083,1+INT(COUNTA($Q$11:Q563)/5),0),C563)</f>
        <v>彩</v>
      </c>
      <c r="D564" s="82">
        <f t="shared" si="26"/>
        <v>1500</v>
      </c>
      <c r="F564" s="82">
        <f ca="1" t="shared" si="25"/>
        <v>20801</v>
      </c>
      <c r="G564" s="78" t="str">
        <f ca="1">IF(AND(LEFT("[{"&amp;M564&amp;","&amp;CEILING(N564*10000+(O564-N564)/4*(COUNTIF($F$11:F564,F564)-1)*10000,10)&amp;"}]",7)="[{equip",MID("[{"&amp;M564&amp;","&amp;CEILING(N564*10000+(O564-N564)/4*(COUNTIF($F$11:F564,F564)-1)*10000,10)&amp;"}]",8,1)&lt;&gt;"_"),"[{"&amp;M564&amp;","&amp;1&amp;"}]","[{"&amp;M564&amp;","&amp;CEILING(N564*10000+(O564-N564)/4*(COUNTIF($F$11:F564,F564)-1)*10000,10)&amp;"}]")</f>
        <v>[{all_class_dmg,830}]</v>
      </c>
      <c r="H564" s="82" t="s">
        <v>563</v>
      </c>
      <c r="J564" s="78">
        <f ca="1">IF(MOD(COUNTIF($Q$11:Q563,Q563),5)=0,OFFSET(装备属性!$P$1083,1+INT(COUNTA($Q$11:Q563)/5),0),J563)</f>
        <v>2</v>
      </c>
      <c r="K564" s="83" t="str">
        <f ca="1">IF(RIGHT(G564,13)="rune_slot,1}]",_xlfn.XLOOKUP(LEFT(SUBSTITUTE(G564,"[{",""),FIND(",",SUBSTITUTE(G564,"[{",""))-1),Sheet2!B:B,Sheet2!C:C)&amp;"+"&amp;1,_xlfn.XLOOKUP(LEFT(SUBSTITUTE(G564,"[{",""),FIND(",",SUBSTITUTE(G564,"[{",""))-1),Sheet2!B:B,Sheet2!C:C)&amp;"+"&amp;SUBSTITUTE(RIGHT(G564,LEN(G564)-FIND(",",G564)),"}]","")/100&amp;"%")</f>
        <v>上阵五个不同职业增伤+8.3%</v>
      </c>
      <c r="L564" s="83" t="str">
        <f ca="1">IF(MOD(COUNTIF($Q$11:Q563,Q563),5)=0,OFFSET(装备属性!$G$1083,1+INT(COUNTA($Q$11:Q563)/5),0),L563)</f>
        <v>全员出力Ⅴ</v>
      </c>
      <c r="M564" s="89" t="str">
        <f ca="1">IF(MOD(COUNTIF($Q$11:Q563,Q563),5)=0,OFFSET(装备属性!$H$1083,1+INT(COUNTA($Q$11:Q563)/5),0),M563)</f>
        <v>all_class_dmg</v>
      </c>
      <c r="N564" s="76">
        <f ca="1">IF(MOD(COUNTIF($Q$11:Q563,Q563),5)=0,OFFSET(装备属性!$K$1083,1+INT(COUNTA($Q$11:Q563)/5),0),N563)</f>
        <v>0.072</v>
      </c>
      <c r="O564" s="76">
        <f ca="1">IF(MOD(COUNTIF($Q$11:Q563,Q563),5)=0,OFFSET(装备属性!$L$1083,1+INT(COUNTA($Q$11:Q563)/5),0),O563)</f>
        <v>0.086</v>
      </c>
      <c r="Q564" s="89" t="str">
        <f ca="1">IF(MOD(COUNTIF($Q$11:Q563,Q563),5)=0,OFFSET(装备属性!$M$1083,1+INT(COUNTA($Q$11:Q563)/5),0),Q563)</f>
        <v>通用属性</v>
      </c>
      <c r="R564" s="83">
        <f ca="1">IF(MOD(COUNTIF($Q$11:Q563,Q563),5)=0,10000*SUBSTITUTE(SUBSTITUTE(OFFSET(装备属性!$F$1083,1+INT(COUNTA($Q$11:Q563)/5),0),"[",""),"]","")+_xlfn.XLOOKUP(C564,$M$3:$M$7,$N$3:$N$7)*100,R563)</f>
        <v>20800</v>
      </c>
    </row>
    <row r="565" customHeight="1" spans="1:18">
      <c r="A565" s="78">
        <f ca="1" t="shared" si="24"/>
        <v>20801</v>
      </c>
      <c r="B565" s="82">
        <f ca="1">IFERROR(R565+COUNTIFS($R$11:$R565,R565),"")</f>
        <v>20810</v>
      </c>
      <c r="C565" s="83" t="str">
        <f ca="1">IF(MOD(COUNTIF($Q$11:Q564,Q564),5)=0,OFFSET(装备属性!$D$1083,1+INT(COUNTA($Q$11:Q564)/5),0),C564)</f>
        <v>彩</v>
      </c>
      <c r="D565" s="82">
        <f t="shared" si="26"/>
        <v>1000</v>
      </c>
      <c r="F565" s="82">
        <f ca="1" t="shared" si="25"/>
        <v>20801</v>
      </c>
      <c r="G565" s="78" t="str">
        <f ca="1">IF(AND(LEFT("[{"&amp;M565&amp;","&amp;CEILING(N565*10000+(O565-N565)/4*(COUNTIF($F$11:F565,F565)-1)*10000,10)&amp;"}]",7)="[{equip",MID("[{"&amp;M565&amp;","&amp;CEILING(N565*10000+(O565-N565)/4*(COUNTIF($F$11:F565,F565)-1)*10000,10)&amp;"}]",8,1)&lt;&gt;"_"),"[{"&amp;M565&amp;","&amp;1&amp;"}]","[{"&amp;M565&amp;","&amp;CEILING(N565*10000+(O565-N565)/4*(COUNTIF($F$11:F565,F565)-1)*10000,10)&amp;"}]")</f>
        <v>[{all_class_dmg,860}]</v>
      </c>
      <c r="H565" s="82" t="s">
        <v>563</v>
      </c>
      <c r="J565" s="78">
        <f ca="1">IF(MOD(COUNTIF($Q$11:Q564,Q564),5)=0,OFFSET(装备属性!$P$1083,1+INT(COUNTA($Q$11:Q564)/5),0),J564)</f>
        <v>2</v>
      </c>
      <c r="K565" s="83" t="str">
        <f ca="1">IF(RIGHT(G565,13)="rune_slot,1}]",_xlfn.XLOOKUP(LEFT(SUBSTITUTE(G565,"[{",""),FIND(",",SUBSTITUTE(G565,"[{",""))-1),Sheet2!B:B,Sheet2!C:C)&amp;"+"&amp;1,_xlfn.XLOOKUP(LEFT(SUBSTITUTE(G565,"[{",""),FIND(",",SUBSTITUTE(G565,"[{",""))-1),Sheet2!B:B,Sheet2!C:C)&amp;"+"&amp;SUBSTITUTE(RIGHT(G565,LEN(G565)-FIND(",",G565)),"}]","")/100&amp;"%")</f>
        <v>上阵五个不同职业增伤+8.6%</v>
      </c>
      <c r="L565" s="83" t="str">
        <f ca="1">IF(MOD(COUNTIF($Q$11:Q564,Q564),5)=0,OFFSET(装备属性!$G$1083,1+INT(COUNTA($Q$11:Q564)/5),0),L564)</f>
        <v>全员出力Ⅴ</v>
      </c>
      <c r="M565" s="89" t="str">
        <f ca="1">IF(MOD(COUNTIF($Q$11:Q564,Q564),5)=0,OFFSET(装备属性!$H$1083,1+INT(COUNTA($Q$11:Q564)/5),0),M564)</f>
        <v>all_class_dmg</v>
      </c>
      <c r="N565" s="76">
        <f ca="1">IF(MOD(COUNTIF($Q$11:Q564,Q564),5)=0,OFFSET(装备属性!$K$1083,1+INT(COUNTA($Q$11:Q564)/5),0),N564)</f>
        <v>0.072</v>
      </c>
      <c r="O565" s="76">
        <f ca="1">IF(MOD(COUNTIF($Q$11:Q564,Q564),5)=0,OFFSET(装备属性!$L$1083,1+INT(COUNTA($Q$11:Q564)/5),0),O564)</f>
        <v>0.086</v>
      </c>
      <c r="Q565" s="89" t="str">
        <f ca="1">IF(MOD(COUNTIF($Q$11:Q564,Q564),5)=0,OFFSET(装备属性!$M$1083,1+INT(COUNTA($Q$11:Q564)/5),0),Q564)</f>
        <v>通用属性</v>
      </c>
      <c r="R565" s="83">
        <f ca="1">IF(MOD(COUNTIF($Q$11:Q564,Q564),5)=0,10000*SUBSTITUTE(SUBSTITUTE(OFFSET(装备属性!$F$1083,1+INT(COUNTA($Q$11:Q564)/5),0),"[",""),"]","")+_xlfn.XLOOKUP(C565,$M$3:$M$7,$N$3:$N$7)*100,R564)</f>
        <v>20800</v>
      </c>
    </row>
    <row r="566" customHeight="1" spans="1:18">
      <c r="A566" s="78" t="str">
        <f ca="1" t="shared" si="24"/>
        <v/>
      </c>
      <c r="B566" s="82" t="str">
        <f ca="1">IFERROR(R566+COUNTIFS($R$11:$R566,R566),"")</f>
        <v/>
      </c>
      <c r="C566" s="83">
        <f ca="1">IF(MOD(COUNTIF($Q$11:Q565,Q565),5)=0,OFFSET(装备属性!$D$1083,1+INT(COUNTA($Q$11:Q565)/5),0),C565)</f>
        <v>0</v>
      </c>
      <c r="D566" s="82">
        <f t="shared" si="26"/>
        <v>3000</v>
      </c>
      <c r="F566" s="82" t="str">
        <f ca="1" t="shared" si="25"/>
        <v/>
      </c>
      <c r="G566" s="78" t="str">
        <f ca="1">IF(AND(LEFT("[{"&amp;M566&amp;","&amp;CEILING(N566*10000+(O566-N566)/4*(COUNTIF($F$11:F566,F566)-1)*10000,10)&amp;"}]",7)="[{equip",MID("[{"&amp;M566&amp;","&amp;CEILING(N566*10000+(O566-N566)/4*(COUNTIF($F$11:F566,F566)-1)*10000,10)&amp;"}]",8,1)&lt;&gt;"_"),"[{"&amp;M566&amp;","&amp;1&amp;"}]","[{"&amp;M566&amp;","&amp;CEILING(N566*10000+(O566-N566)/4*(COUNTIF($F$11:F566,F566)-1)*10000,10)&amp;"}]")</f>
        <v>[{exp_boost,2000}]</v>
      </c>
      <c r="H566" s="82" t="s">
        <v>563</v>
      </c>
      <c r="J566" s="78">
        <f ca="1">IF(MOD(COUNTIF($Q$11:Q565,Q565),5)=0,OFFSET(装备属性!$P$1083,1+INT(COUNTA($Q$11:Q565)/5),0),J565)</f>
        <v>9</v>
      </c>
      <c r="K566" s="83" t="str">
        <f ca="1">IF(RIGHT(G566,13)="rune_slot,1}]",_xlfn.XLOOKUP(LEFT(SUBSTITUTE(G566,"[{",""),FIND(",",SUBSTITUTE(G566,"[{",""))-1),Sheet2!B:B,Sheet2!C:C)&amp;"+"&amp;1,_xlfn.XLOOKUP(LEFT(SUBSTITUTE(G566,"[{",""),FIND(",",SUBSTITUTE(G566,"[{",""))-1),Sheet2!B:B,Sheet2!C:C)&amp;"+"&amp;SUBSTITUTE(RIGHT(G566,LEN(G566)-FIND(",",G566)),"}]","")/100&amp;"%")</f>
        <v>经验加成+20%</v>
      </c>
      <c r="L566" s="83" t="str">
        <f ca="1">IF(MOD(COUNTIF($Q$11:Q565,Q565),5)=0,OFFSET(装备属性!$G$1083,1+INT(COUNTA($Q$11:Q565)/5),0),L565)</f>
        <v>涨见识</v>
      </c>
      <c r="M566" s="89" t="str">
        <f ca="1">IF(MOD(COUNTIF($Q$11:Q565,Q565),5)=0,OFFSET(装备属性!$H$1083,1+INT(COUNTA($Q$11:Q565)/5),0),M565)</f>
        <v>exp_boost</v>
      </c>
      <c r="N566" s="76">
        <f ca="1">IF(MOD(COUNTIF($Q$11:Q565,Q565),5)=0,OFFSET(装备属性!$K$1083,1+INT(COUNTA($Q$11:Q565)/5),0),N565)</f>
        <v>0.2</v>
      </c>
      <c r="O566" s="76">
        <f ca="1">IF(MOD(COUNTIF($Q$11:Q565,Q565),5)=0,OFFSET(装备属性!$L$1083,1+INT(COUNTA($Q$11:Q565)/5),0),O565)</f>
        <v>0.2</v>
      </c>
      <c r="Q566" s="89" t="str">
        <f ca="1">IF(MOD(COUNTIF($Q$11:Q565,Q565),5)=0,OFFSET(装备属性!$M$1083,1+INT(COUNTA($Q$11:Q565)/5),0),Q565)</f>
        <v>稀有词条</v>
      </c>
      <c r="R566" s="83" t="e">
        <f ca="1">IF(MOD(COUNTIF($Q$11:Q565,Q565),5)=0,10000*SUBSTITUTE(SUBSTITUTE(OFFSET(装备属性!$F$1083,1+INT(COUNTA($Q$11:Q565)/5),0),"[",""),"]","")+_xlfn.XLOOKUP(C566,$M$3:$M$7,$N$3:$N$7)*100,R565)</f>
        <v>#N/A</v>
      </c>
    </row>
    <row r="567" customHeight="1" spans="1:18">
      <c r="A567" s="78" t="str">
        <f ca="1" t="shared" si="24"/>
        <v/>
      </c>
      <c r="B567" s="82" t="str">
        <f ca="1">IFERROR(R567+COUNTIFS($R$11:$R567,R567),"")</f>
        <v/>
      </c>
      <c r="C567" s="83">
        <f ca="1">IF(MOD(COUNTIF($Q$11:Q566,Q566),5)=0,OFFSET(装备属性!$D$1083,1+INT(COUNTA($Q$11:Q566)/5),0),C566)</f>
        <v>0</v>
      </c>
      <c r="D567" s="82">
        <f t="shared" si="26"/>
        <v>2500</v>
      </c>
      <c r="F567" s="82" t="str">
        <f ca="1" t="shared" si="25"/>
        <v/>
      </c>
      <c r="G567" s="78" t="str">
        <f ca="1">IF(AND(LEFT("[{"&amp;M567&amp;","&amp;CEILING(N567*10000+(O567-N567)/4*(COUNTIF($F$11:F567,F567)-1)*10000,10)&amp;"}]",7)="[{equip",MID("[{"&amp;M567&amp;","&amp;CEILING(N567*10000+(O567-N567)/4*(COUNTIF($F$11:F567,F567)-1)*10000,10)&amp;"}]",8,1)&lt;&gt;"_"),"[{"&amp;M567&amp;","&amp;1&amp;"}]","[{"&amp;M567&amp;","&amp;CEILING(N567*10000+(O567-N567)/4*(COUNTIF($F$11:F567,F567)-1)*10000,10)&amp;"}]")</f>
        <v>[{exp_boost,2000}]</v>
      </c>
      <c r="H567" s="82" t="s">
        <v>563</v>
      </c>
      <c r="J567" s="78">
        <f ca="1">IF(MOD(COUNTIF($Q$11:Q566,Q566),5)=0,OFFSET(装备属性!$P$1083,1+INT(COUNTA($Q$11:Q566)/5),0),J566)</f>
        <v>9</v>
      </c>
      <c r="K567" s="83" t="str">
        <f ca="1">IF(RIGHT(G567,13)="rune_slot,1}]",_xlfn.XLOOKUP(LEFT(SUBSTITUTE(G567,"[{",""),FIND(",",SUBSTITUTE(G567,"[{",""))-1),Sheet2!B:B,Sheet2!C:C)&amp;"+"&amp;1,_xlfn.XLOOKUP(LEFT(SUBSTITUTE(G567,"[{",""),FIND(",",SUBSTITUTE(G567,"[{",""))-1),Sheet2!B:B,Sheet2!C:C)&amp;"+"&amp;SUBSTITUTE(RIGHT(G567,LEN(G567)-FIND(",",G567)),"}]","")/100&amp;"%")</f>
        <v>经验加成+20%</v>
      </c>
      <c r="L567" s="83" t="str">
        <f ca="1">IF(MOD(COUNTIF($Q$11:Q566,Q566),5)=0,OFFSET(装备属性!$G$1083,1+INT(COUNTA($Q$11:Q566)/5),0),L566)</f>
        <v>涨见识</v>
      </c>
      <c r="M567" s="89" t="str">
        <f ca="1">IF(MOD(COUNTIF($Q$11:Q566,Q566),5)=0,OFFSET(装备属性!$H$1083,1+INT(COUNTA($Q$11:Q566)/5),0),M566)</f>
        <v>exp_boost</v>
      </c>
      <c r="N567" s="76">
        <f ca="1">IF(MOD(COUNTIF($Q$11:Q566,Q566),5)=0,OFFSET(装备属性!$K$1083,1+INT(COUNTA($Q$11:Q566)/5),0),N566)</f>
        <v>0.2</v>
      </c>
      <c r="O567" s="76">
        <f ca="1">IF(MOD(COUNTIF($Q$11:Q566,Q566),5)=0,OFFSET(装备属性!$L$1083,1+INT(COUNTA($Q$11:Q566)/5),0),O566)</f>
        <v>0.2</v>
      </c>
      <c r="Q567" s="89" t="str">
        <f ca="1">IF(MOD(COUNTIF($Q$11:Q566,Q566),5)=0,OFFSET(装备属性!$M$1083,1+INT(COUNTA($Q$11:Q566)/5),0),Q566)</f>
        <v>稀有词条</v>
      </c>
      <c r="R567" s="83" t="e">
        <f ca="1">IF(MOD(COUNTIF($Q$11:Q566,Q566),5)=0,10000*SUBSTITUTE(SUBSTITUTE(OFFSET(装备属性!$F$1083,1+INT(COUNTA($Q$11:Q566)/5),0),"[",""),"]","")+_xlfn.XLOOKUP(C567,$M$3:$M$7,$N$3:$N$7)*100,R566)</f>
        <v>#N/A</v>
      </c>
    </row>
    <row r="568" customHeight="1" spans="1:18">
      <c r="A568" s="78" t="str">
        <f ca="1" t="shared" si="24"/>
        <v/>
      </c>
      <c r="B568" s="82" t="str">
        <f ca="1">IFERROR(R568+COUNTIFS($R$11:$R568,R568),"")</f>
        <v/>
      </c>
      <c r="C568" s="83">
        <f ca="1">IF(MOD(COUNTIF($Q$11:Q567,Q567),5)=0,OFFSET(装备属性!$D$1083,1+INT(COUNTA($Q$11:Q567)/5),0),C567)</f>
        <v>0</v>
      </c>
      <c r="D568" s="82">
        <f t="shared" si="26"/>
        <v>2000</v>
      </c>
      <c r="F568" s="82" t="str">
        <f ca="1" t="shared" si="25"/>
        <v/>
      </c>
      <c r="G568" s="78" t="str">
        <f ca="1">IF(AND(LEFT("[{"&amp;M568&amp;","&amp;CEILING(N568*10000+(O568-N568)/4*(COUNTIF($F$11:F568,F568)-1)*10000,10)&amp;"}]",7)="[{equip",MID("[{"&amp;M568&amp;","&amp;CEILING(N568*10000+(O568-N568)/4*(COUNTIF($F$11:F568,F568)-1)*10000,10)&amp;"}]",8,1)&lt;&gt;"_"),"[{"&amp;M568&amp;","&amp;1&amp;"}]","[{"&amp;M568&amp;","&amp;CEILING(N568*10000+(O568-N568)/4*(COUNTIF($F$11:F568,F568)-1)*10000,10)&amp;"}]")</f>
        <v>[{exp_boost,2000}]</v>
      </c>
      <c r="H568" s="82" t="s">
        <v>563</v>
      </c>
      <c r="J568" s="78">
        <f ca="1">IF(MOD(COUNTIF($Q$11:Q567,Q567),5)=0,OFFSET(装备属性!$P$1083,1+INT(COUNTA($Q$11:Q567)/5),0),J567)</f>
        <v>9</v>
      </c>
      <c r="K568" s="83" t="str">
        <f ca="1">IF(RIGHT(G568,13)="rune_slot,1}]",_xlfn.XLOOKUP(LEFT(SUBSTITUTE(G568,"[{",""),FIND(",",SUBSTITUTE(G568,"[{",""))-1),Sheet2!B:B,Sheet2!C:C)&amp;"+"&amp;1,_xlfn.XLOOKUP(LEFT(SUBSTITUTE(G568,"[{",""),FIND(",",SUBSTITUTE(G568,"[{",""))-1),Sheet2!B:B,Sheet2!C:C)&amp;"+"&amp;SUBSTITUTE(RIGHT(G568,LEN(G568)-FIND(",",G568)),"}]","")/100&amp;"%")</f>
        <v>经验加成+20%</v>
      </c>
      <c r="L568" s="83" t="str">
        <f ca="1">IF(MOD(COUNTIF($Q$11:Q567,Q567),5)=0,OFFSET(装备属性!$G$1083,1+INT(COUNTA($Q$11:Q567)/5),0),L567)</f>
        <v>涨见识</v>
      </c>
      <c r="M568" s="89" t="str">
        <f ca="1">IF(MOD(COUNTIF($Q$11:Q567,Q567),5)=0,OFFSET(装备属性!$H$1083,1+INT(COUNTA($Q$11:Q567)/5),0),M567)</f>
        <v>exp_boost</v>
      </c>
      <c r="N568" s="76">
        <f ca="1">IF(MOD(COUNTIF($Q$11:Q567,Q567),5)=0,OFFSET(装备属性!$K$1083,1+INT(COUNTA($Q$11:Q567)/5),0),N567)</f>
        <v>0.2</v>
      </c>
      <c r="O568" s="76">
        <f ca="1">IF(MOD(COUNTIF($Q$11:Q567,Q567),5)=0,OFFSET(装备属性!$L$1083,1+INT(COUNTA($Q$11:Q567)/5),0),O567)</f>
        <v>0.2</v>
      </c>
      <c r="Q568" s="89" t="str">
        <f ca="1">IF(MOD(COUNTIF($Q$11:Q567,Q567),5)=0,OFFSET(装备属性!$M$1083,1+INT(COUNTA($Q$11:Q567)/5),0),Q567)</f>
        <v>稀有词条</v>
      </c>
      <c r="R568" s="83" t="e">
        <f ca="1">IF(MOD(COUNTIF($Q$11:Q567,Q567),5)=0,10000*SUBSTITUTE(SUBSTITUTE(OFFSET(装备属性!$F$1083,1+INT(COUNTA($Q$11:Q567)/5),0),"[",""),"]","")+_xlfn.XLOOKUP(C568,$M$3:$M$7,$N$3:$N$7)*100,R567)</f>
        <v>#N/A</v>
      </c>
    </row>
    <row r="569" customHeight="1" spans="1:18">
      <c r="A569" s="78" t="str">
        <f ca="1" t="shared" si="24"/>
        <v/>
      </c>
      <c r="B569" s="82" t="str">
        <f ca="1">IFERROR(R569+COUNTIFS($R$11:$R569,R569),"")</f>
        <v/>
      </c>
      <c r="C569" s="83">
        <f ca="1">IF(MOD(COUNTIF($Q$11:Q568,Q568),5)=0,OFFSET(装备属性!$D$1083,1+INT(COUNTA($Q$11:Q568)/5),0),C568)</f>
        <v>0</v>
      </c>
      <c r="D569" s="82">
        <f t="shared" si="26"/>
        <v>1500</v>
      </c>
      <c r="F569" s="82" t="str">
        <f ca="1" t="shared" si="25"/>
        <v/>
      </c>
      <c r="G569" s="78" t="str">
        <f ca="1">IF(AND(LEFT("[{"&amp;M569&amp;","&amp;CEILING(N569*10000+(O569-N569)/4*(COUNTIF($F$11:F569,F569)-1)*10000,10)&amp;"}]",7)="[{equip",MID("[{"&amp;M569&amp;","&amp;CEILING(N569*10000+(O569-N569)/4*(COUNTIF($F$11:F569,F569)-1)*10000,10)&amp;"}]",8,1)&lt;&gt;"_"),"[{"&amp;M569&amp;","&amp;1&amp;"}]","[{"&amp;M569&amp;","&amp;CEILING(N569*10000+(O569-N569)/4*(COUNTIF($F$11:F569,F569)-1)*10000,10)&amp;"}]")</f>
        <v>[{exp_boost,2000}]</v>
      </c>
      <c r="H569" s="82" t="s">
        <v>563</v>
      </c>
      <c r="J569" s="78">
        <f ca="1">IF(MOD(COUNTIF($Q$11:Q568,Q568),5)=0,OFFSET(装备属性!$P$1083,1+INT(COUNTA($Q$11:Q568)/5),0),J568)</f>
        <v>9</v>
      </c>
      <c r="K569" s="83" t="str">
        <f ca="1">IF(RIGHT(G569,13)="rune_slot,1}]",_xlfn.XLOOKUP(LEFT(SUBSTITUTE(G569,"[{",""),FIND(",",SUBSTITUTE(G569,"[{",""))-1),Sheet2!B:B,Sheet2!C:C)&amp;"+"&amp;1,_xlfn.XLOOKUP(LEFT(SUBSTITUTE(G569,"[{",""),FIND(",",SUBSTITUTE(G569,"[{",""))-1),Sheet2!B:B,Sheet2!C:C)&amp;"+"&amp;SUBSTITUTE(RIGHT(G569,LEN(G569)-FIND(",",G569)),"}]","")/100&amp;"%")</f>
        <v>经验加成+20%</v>
      </c>
      <c r="L569" s="83" t="str">
        <f ca="1">IF(MOD(COUNTIF($Q$11:Q568,Q568),5)=0,OFFSET(装备属性!$G$1083,1+INT(COUNTA($Q$11:Q568)/5),0),L568)</f>
        <v>涨见识</v>
      </c>
      <c r="M569" s="89" t="str">
        <f ca="1">IF(MOD(COUNTIF($Q$11:Q568,Q568),5)=0,OFFSET(装备属性!$H$1083,1+INT(COUNTA($Q$11:Q568)/5),0),M568)</f>
        <v>exp_boost</v>
      </c>
      <c r="N569" s="76">
        <f ca="1">IF(MOD(COUNTIF($Q$11:Q568,Q568),5)=0,OFFSET(装备属性!$K$1083,1+INT(COUNTA($Q$11:Q568)/5),0),N568)</f>
        <v>0.2</v>
      </c>
      <c r="O569" s="76">
        <f ca="1">IF(MOD(COUNTIF($Q$11:Q568,Q568),5)=0,OFFSET(装备属性!$L$1083,1+INT(COUNTA($Q$11:Q568)/5),0),O568)</f>
        <v>0.2</v>
      </c>
      <c r="Q569" s="89" t="str">
        <f ca="1">IF(MOD(COUNTIF($Q$11:Q568,Q568),5)=0,OFFSET(装备属性!$M$1083,1+INT(COUNTA($Q$11:Q568)/5),0),Q568)</f>
        <v>稀有词条</v>
      </c>
      <c r="R569" s="83" t="e">
        <f ca="1">IF(MOD(COUNTIF($Q$11:Q568,Q568),5)=0,10000*SUBSTITUTE(SUBSTITUTE(OFFSET(装备属性!$F$1083,1+INT(COUNTA($Q$11:Q568)/5),0),"[",""),"]","")+_xlfn.XLOOKUP(C569,$M$3:$M$7,$N$3:$N$7)*100,R568)</f>
        <v>#N/A</v>
      </c>
    </row>
    <row r="570" customHeight="1" spans="1:18">
      <c r="A570" s="78" t="str">
        <f ca="1" t="shared" si="24"/>
        <v/>
      </c>
      <c r="B570" s="82" t="str">
        <f ca="1">IFERROR(R570+COUNTIFS($R$11:$R570,R570),"")</f>
        <v/>
      </c>
      <c r="C570" s="83">
        <f ca="1">IF(MOD(COUNTIF($Q$11:Q569,Q569),5)=0,OFFSET(装备属性!$D$1083,1+INT(COUNTA($Q$11:Q569)/5),0),C569)</f>
        <v>0</v>
      </c>
      <c r="D570" s="82">
        <f t="shared" si="26"/>
        <v>1000</v>
      </c>
      <c r="F570" s="82" t="str">
        <f ca="1" t="shared" si="25"/>
        <v/>
      </c>
      <c r="G570" s="78" t="str">
        <f ca="1">IF(AND(LEFT("[{"&amp;M570&amp;","&amp;CEILING(N570*10000+(O570-N570)/4*(COUNTIF($F$11:F570,F570)-1)*10000,10)&amp;"}]",7)="[{equip",MID("[{"&amp;M570&amp;","&amp;CEILING(N570*10000+(O570-N570)/4*(COUNTIF($F$11:F570,F570)-1)*10000,10)&amp;"}]",8,1)&lt;&gt;"_"),"[{"&amp;M570&amp;","&amp;1&amp;"}]","[{"&amp;M570&amp;","&amp;CEILING(N570*10000+(O570-N570)/4*(COUNTIF($F$11:F570,F570)-1)*10000,10)&amp;"}]")</f>
        <v>[{exp_boost,2000}]</v>
      </c>
      <c r="H570" s="82" t="s">
        <v>563</v>
      </c>
      <c r="J570" s="78">
        <f ca="1">IF(MOD(COUNTIF($Q$11:Q569,Q569),5)=0,OFFSET(装备属性!$P$1083,1+INT(COUNTA($Q$11:Q569)/5),0),J569)</f>
        <v>9</v>
      </c>
      <c r="K570" s="83" t="str">
        <f ca="1">IF(RIGHT(G570,13)="rune_slot,1}]",_xlfn.XLOOKUP(LEFT(SUBSTITUTE(G570,"[{",""),FIND(",",SUBSTITUTE(G570,"[{",""))-1),Sheet2!B:B,Sheet2!C:C)&amp;"+"&amp;1,_xlfn.XLOOKUP(LEFT(SUBSTITUTE(G570,"[{",""),FIND(",",SUBSTITUTE(G570,"[{",""))-1),Sheet2!B:B,Sheet2!C:C)&amp;"+"&amp;SUBSTITUTE(RIGHT(G570,LEN(G570)-FIND(",",G570)),"}]","")/100&amp;"%")</f>
        <v>经验加成+20%</v>
      </c>
      <c r="L570" s="83" t="str">
        <f ca="1">IF(MOD(COUNTIF($Q$11:Q569,Q569),5)=0,OFFSET(装备属性!$G$1083,1+INT(COUNTA($Q$11:Q569)/5),0),L569)</f>
        <v>涨见识</v>
      </c>
      <c r="M570" s="89" t="str">
        <f ca="1">IF(MOD(COUNTIF($Q$11:Q569,Q569),5)=0,OFFSET(装备属性!$H$1083,1+INT(COUNTA($Q$11:Q569)/5),0),M569)</f>
        <v>exp_boost</v>
      </c>
      <c r="N570" s="76">
        <f ca="1">IF(MOD(COUNTIF($Q$11:Q569,Q569),5)=0,OFFSET(装备属性!$K$1083,1+INT(COUNTA($Q$11:Q569)/5),0),N569)</f>
        <v>0.2</v>
      </c>
      <c r="O570" s="76">
        <f ca="1">IF(MOD(COUNTIF($Q$11:Q569,Q569),5)=0,OFFSET(装备属性!$L$1083,1+INT(COUNTA($Q$11:Q569)/5),0),O569)</f>
        <v>0.2</v>
      </c>
      <c r="Q570" s="89" t="str">
        <f ca="1">IF(MOD(COUNTIF($Q$11:Q569,Q569),5)=0,OFFSET(装备属性!$M$1083,1+INT(COUNTA($Q$11:Q569)/5),0),Q569)</f>
        <v>稀有词条</v>
      </c>
      <c r="R570" s="83" t="e">
        <f ca="1">IF(MOD(COUNTIF($Q$11:Q569,Q569),5)=0,10000*SUBSTITUTE(SUBSTITUTE(OFFSET(装备属性!$F$1083,1+INT(COUNTA($Q$11:Q569)/5),0),"[",""),"]","")+_xlfn.XLOOKUP(C570,$M$3:$M$7,$N$3:$N$7)*100,R569)</f>
        <v>#N/A</v>
      </c>
    </row>
    <row r="571" customHeight="1" spans="1:18">
      <c r="A571" s="78">
        <f ca="1" t="shared" si="24"/>
        <v>20803</v>
      </c>
      <c r="B571" s="82">
        <f ca="1">IFERROR(R571+COUNTIFS($R$11:$R571,R571),"")</f>
        <v>20811</v>
      </c>
      <c r="C571" s="83" t="str">
        <f ca="1">IF(MOD(COUNTIF($Q$11:Q570,Q570),5)=0,OFFSET(装备属性!$D$1083,1+INT(COUNTA($Q$11:Q570)/5),0),C570)</f>
        <v>彩</v>
      </c>
      <c r="D571" s="82">
        <f t="shared" si="26"/>
        <v>3000</v>
      </c>
      <c r="F571" s="82">
        <f ca="1" t="shared" si="25"/>
        <v>20802</v>
      </c>
      <c r="G571" s="78" t="str">
        <f ca="1">IF(AND(LEFT("[{"&amp;M571&amp;","&amp;CEILING(N571*10000+(O571-N571)/4*(COUNTIF($F$11:F571,F571)-1)*10000,10)&amp;"}]",7)="[{equip",MID("[{"&amp;M571&amp;","&amp;CEILING(N571*10000+(O571-N571)/4*(COUNTIF($F$11:F571,F571)-1)*10000,10)&amp;"}]",8,1)&lt;&gt;"_"),"[{"&amp;M571&amp;","&amp;1&amp;"}]","[{"&amp;M571&amp;","&amp;CEILING(N571*10000+(O571-N571)/4*(COUNTIF($F$11:F571,F571)-1)*10000,10)&amp;"}]")</f>
        <v>[{equip_base_attr,2500}]</v>
      </c>
      <c r="H571" s="82" t="s">
        <v>563</v>
      </c>
      <c r="J571" s="78">
        <f ca="1">IF(MOD(COUNTIF($Q$11:Q570,Q570),5)=0,OFFSET(装备属性!$P$1083,1+INT(COUNTA($Q$11:Q570)/5),0),J570)</f>
        <v>7</v>
      </c>
      <c r="K571" s="83" t="str">
        <f ca="1">IF(RIGHT(G571,13)="rune_slot,1}]",_xlfn.XLOOKUP(LEFT(SUBSTITUTE(G571,"[{",""),FIND(",",SUBSTITUTE(G571,"[{",""))-1),Sheet2!B:B,Sheet2!C:C)&amp;"+"&amp;1,_xlfn.XLOOKUP(LEFT(SUBSTITUTE(G571,"[{",""),FIND(",",SUBSTITUTE(G571,"[{",""))-1),Sheet2!B:B,Sheet2!C:C)&amp;"+"&amp;SUBSTITUTE(RIGHT(G571,LEN(G571)-FIND(",",G571)),"}]","")/100&amp;"%")</f>
        <v>装备基础属性加成+25%</v>
      </c>
      <c r="L571" s="83" t="str">
        <f ca="1">IF(MOD(COUNTIF($Q$11:Q570,Q570),5)=0,OFFSET(装备属性!$G$1083,1+INT(COUNTA($Q$11:Q570)/5),0),L570)</f>
        <v>厚底子</v>
      </c>
      <c r="M571" s="89" t="str">
        <f ca="1">IF(MOD(COUNTIF($Q$11:Q570,Q570),5)=0,OFFSET(装备属性!$H$1083,1+INT(COUNTA($Q$11:Q570)/5),0),M570)</f>
        <v>equip_base_attr</v>
      </c>
      <c r="N571" s="76">
        <f ca="1">IF(MOD(COUNTIF($Q$11:Q570,Q570),5)=0,OFFSET(装备属性!$K$1083,1+INT(COUNTA($Q$11:Q570)/5),0),N570)</f>
        <v>0.25</v>
      </c>
      <c r="O571" s="76">
        <f ca="1">IF(MOD(COUNTIF($Q$11:Q570,Q570),5)=0,OFFSET(装备属性!$L$1083,1+INT(COUNTA($Q$11:Q570)/5),0),O570)</f>
        <v>0.25</v>
      </c>
      <c r="Q571" s="89" t="str">
        <f ca="1">IF(MOD(COUNTIF($Q$11:Q570,Q570),5)=0,OFFSET(装备属性!$M$1083,1+INT(COUNTA($Q$11:Q570)/5),0),Q570)</f>
        <v>稀有词条</v>
      </c>
      <c r="R571" s="83">
        <f ca="1">IF(MOD(COUNTIF($Q$11:Q570,Q570),5)=0,10000*SUBSTITUTE(SUBSTITUTE(OFFSET(装备属性!$F$1083,1+INT(COUNTA($Q$11:Q570)/5),0),"[",""),"]","")+_xlfn.XLOOKUP(C571,$M$3:$M$7,$N$3:$N$7)*100,R570)</f>
        <v>20800</v>
      </c>
    </row>
    <row r="572" customHeight="1" spans="1:18">
      <c r="A572" s="78">
        <f ca="1" t="shared" si="24"/>
        <v>20803</v>
      </c>
      <c r="B572" s="82">
        <f ca="1">IFERROR(R572+COUNTIFS($R$11:$R572,R572),"")</f>
        <v>20812</v>
      </c>
      <c r="C572" s="83" t="str">
        <f ca="1">IF(MOD(COUNTIF($Q$11:Q571,Q571),5)=0,OFFSET(装备属性!$D$1083,1+INT(COUNTA($Q$11:Q571)/5),0),C571)</f>
        <v>彩</v>
      </c>
      <c r="D572" s="82">
        <f t="shared" si="26"/>
        <v>2500</v>
      </c>
      <c r="F572" s="82">
        <f ca="1" t="shared" si="25"/>
        <v>20802</v>
      </c>
      <c r="G572" s="78" t="str">
        <f ca="1">IF(AND(LEFT("[{"&amp;M572&amp;","&amp;CEILING(N572*10000+(O572-N572)/4*(COUNTIF($F$11:F572,F572)-1)*10000,10)&amp;"}]",7)="[{equip",MID("[{"&amp;M572&amp;","&amp;CEILING(N572*10000+(O572-N572)/4*(COUNTIF($F$11:F572,F572)-1)*10000,10)&amp;"}]",8,1)&lt;&gt;"_"),"[{"&amp;M572&amp;","&amp;1&amp;"}]","[{"&amp;M572&amp;","&amp;CEILING(N572*10000+(O572-N572)/4*(COUNTIF($F$11:F572,F572)-1)*10000,10)&amp;"}]")</f>
        <v>[{equip_base_attr,2500}]</v>
      </c>
      <c r="H572" s="82" t="s">
        <v>563</v>
      </c>
      <c r="J572" s="78">
        <f ca="1">IF(MOD(COUNTIF($Q$11:Q571,Q571),5)=0,OFFSET(装备属性!$P$1083,1+INT(COUNTA($Q$11:Q571)/5),0),J571)</f>
        <v>7</v>
      </c>
      <c r="K572" s="83" t="str">
        <f ca="1">IF(RIGHT(G572,13)="rune_slot,1}]",_xlfn.XLOOKUP(LEFT(SUBSTITUTE(G572,"[{",""),FIND(",",SUBSTITUTE(G572,"[{",""))-1),Sheet2!B:B,Sheet2!C:C)&amp;"+"&amp;1,_xlfn.XLOOKUP(LEFT(SUBSTITUTE(G572,"[{",""),FIND(",",SUBSTITUTE(G572,"[{",""))-1),Sheet2!B:B,Sheet2!C:C)&amp;"+"&amp;SUBSTITUTE(RIGHT(G572,LEN(G572)-FIND(",",G572)),"}]","")/100&amp;"%")</f>
        <v>装备基础属性加成+25%</v>
      </c>
      <c r="L572" s="83" t="str">
        <f ca="1">IF(MOD(COUNTIF($Q$11:Q571,Q571),5)=0,OFFSET(装备属性!$G$1083,1+INT(COUNTA($Q$11:Q571)/5),0),L571)</f>
        <v>厚底子</v>
      </c>
      <c r="M572" s="89" t="str">
        <f ca="1">IF(MOD(COUNTIF($Q$11:Q571,Q571),5)=0,OFFSET(装备属性!$H$1083,1+INT(COUNTA($Q$11:Q571)/5),0),M571)</f>
        <v>equip_base_attr</v>
      </c>
      <c r="N572" s="76">
        <f ca="1">IF(MOD(COUNTIF($Q$11:Q571,Q571),5)=0,OFFSET(装备属性!$K$1083,1+INT(COUNTA($Q$11:Q571)/5),0),N571)</f>
        <v>0.25</v>
      </c>
      <c r="O572" s="76">
        <f ca="1">IF(MOD(COUNTIF($Q$11:Q571,Q571),5)=0,OFFSET(装备属性!$L$1083,1+INT(COUNTA($Q$11:Q571)/5),0),O571)</f>
        <v>0.25</v>
      </c>
      <c r="Q572" s="89" t="str">
        <f ca="1">IF(MOD(COUNTIF($Q$11:Q571,Q571),5)=0,OFFSET(装备属性!$M$1083,1+INT(COUNTA($Q$11:Q571)/5),0),Q571)</f>
        <v>稀有词条</v>
      </c>
      <c r="R572" s="83">
        <f ca="1">IF(MOD(COUNTIF($Q$11:Q571,Q571),5)=0,10000*SUBSTITUTE(SUBSTITUTE(OFFSET(装备属性!$F$1083,1+INT(COUNTA($Q$11:Q571)/5),0),"[",""),"]","")+_xlfn.XLOOKUP(C572,$M$3:$M$7,$N$3:$N$7)*100,R571)</f>
        <v>20800</v>
      </c>
    </row>
    <row r="573" customHeight="1" spans="1:18">
      <c r="A573" s="78">
        <f ca="1" t="shared" si="24"/>
        <v>20803</v>
      </c>
      <c r="B573" s="82">
        <f ca="1">IFERROR(R573+COUNTIFS($R$11:$R573,R573),"")</f>
        <v>20813</v>
      </c>
      <c r="C573" s="83" t="str">
        <f ca="1">IF(MOD(COUNTIF($Q$11:Q572,Q572),5)=0,OFFSET(装备属性!$D$1083,1+INT(COUNTA($Q$11:Q572)/5),0),C572)</f>
        <v>彩</v>
      </c>
      <c r="D573" s="82">
        <f t="shared" si="26"/>
        <v>2000</v>
      </c>
      <c r="F573" s="82">
        <f ca="1" t="shared" si="25"/>
        <v>20802</v>
      </c>
      <c r="G573" s="78" t="str">
        <f ca="1">IF(AND(LEFT("[{"&amp;M573&amp;","&amp;CEILING(N573*10000+(O573-N573)/4*(COUNTIF($F$11:F573,F573)-1)*10000,10)&amp;"}]",7)="[{equip",MID("[{"&amp;M573&amp;","&amp;CEILING(N573*10000+(O573-N573)/4*(COUNTIF($F$11:F573,F573)-1)*10000,10)&amp;"}]",8,1)&lt;&gt;"_"),"[{"&amp;M573&amp;","&amp;1&amp;"}]","[{"&amp;M573&amp;","&amp;CEILING(N573*10000+(O573-N573)/4*(COUNTIF($F$11:F573,F573)-1)*10000,10)&amp;"}]")</f>
        <v>[{equip_base_attr,2500}]</v>
      </c>
      <c r="H573" s="82" t="s">
        <v>563</v>
      </c>
      <c r="J573" s="78">
        <f ca="1">IF(MOD(COUNTIF($Q$11:Q572,Q572),5)=0,OFFSET(装备属性!$P$1083,1+INT(COUNTA($Q$11:Q572)/5),0),J572)</f>
        <v>7</v>
      </c>
      <c r="K573" s="83" t="str">
        <f ca="1">IF(RIGHT(G573,13)="rune_slot,1}]",_xlfn.XLOOKUP(LEFT(SUBSTITUTE(G573,"[{",""),FIND(",",SUBSTITUTE(G573,"[{",""))-1),Sheet2!B:B,Sheet2!C:C)&amp;"+"&amp;1,_xlfn.XLOOKUP(LEFT(SUBSTITUTE(G573,"[{",""),FIND(",",SUBSTITUTE(G573,"[{",""))-1),Sheet2!B:B,Sheet2!C:C)&amp;"+"&amp;SUBSTITUTE(RIGHT(G573,LEN(G573)-FIND(",",G573)),"}]","")/100&amp;"%")</f>
        <v>装备基础属性加成+25%</v>
      </c>
      <c r="L573" s="83" t="str">
        <f ca="1">IF(MOD(COUNTIF($Q$11:Q572,Q572),5)=0,OFFSET(装备属性!$G$1083,1+INT(COUNTA($Q$11:Q572)/5),0),L572)</f>
        <v>厚底子</v>
      </c>
      <c r="M573" s="89" t="str">
        <f ca="1">IF(MOD(COUNTIF($Q$11:Q572,Q572),5)=0,OFFSET(装备属性!$H$1083,1+INT(COUNTA($Q$11:Q572)/5),0),M572)</f>
        <v>equip_base_attr</v>
      </c>
      <c r="N573" s="76">
        <f ca="1">IF(MOD(COUNTIF($Q$11:Q572,Q572),5)=0,OFFSET(装备属性!$K$1083,1+INT(COUNTA($Q$11:Q572)/5),0),N572)</f>
        <v>0.25</v>
      </c>
      <c r="O573" s="76">
        <f ca="1">IF(MOD(COUNTIF($Q$11:Q572,Q572),5)=0,OFFSET(装备属性!$L$1083,1+INT(COUNTA($Q$11:Q572)/5),0),O572)</f>
        <v>0.25</v>
      </c>
      <c r="Q573" s="89" t="str">
        <f ca="1">IF(MOD(COUNTIF($Q$11:Q572,Q572),5)=0,OFFSET(装备属性!$M$1083,1+INT(COUNTA($Q$11:Q572)/5),0),Q572)</f>
        <v>稀有词条</v>
      </c>
      <c r="R573" s="83">
        <f ca="1">IF(MOD(COUNTIF($Q$11:Q572,Q572),5)=0,10000*SUBSTITUTE(SUBSTITUTE(OFFSET(装备属性!$F$1083,1+INT(COUNTA($Q$11:Q572)/5),0),"[",""),"]","")+_xlfn.XLOOKUP(C573,$M$3:$M$7,$N$3:$N$7)*100,R572)</f>
        <v>20800</v>
      </c>
    </row>
    <row r="574" customHeight="1" spans="1:18">
      <c r="A574" s="78">
        <f ca="1" t="shared" si="24"/>
        <v>20803</v>
      </c>
      <c r="B574" s="82">
        <f ca="1">IFERROR(R574+COUNTIFS($R$11:$R574,R574),"")</f>
        <v>20814</v>
      </c>
      <c r="C574" s="83" t="str">
        <f ca="1">IF(MOD(COUNTIF($Q$11:Q573,Q573),5)=0,OFFSET(装备属性!$D$1083,1+INT(COUNTA($Q$11:Q573)/5),0),C573)</f>
        <v>彩</v>
      </c>
      <c r="D574" s="82">
        <f t="shared" si="26"/>
        <v>1500</v>
      </c>
      <c r="F574" s="82">
        <f ca="1" t="shared" si="25"/>
        <v>20802</v>
      </c>
      <c r="G574" s="78" t="str">
        <f ca="1">IF(AND(LEFT("[{"&amp;M574&amp;","&amp;CEILING(N574*10000+(O574-N574)/4*(COUNTIF($F$11:F574,F574)-1)*10000,10)&amp;"}]",7)="[{equip",MID("[{"&amp;M574&amp;","&amp;CEILING(N574*10000+(O574-N574)/4*(COUNTIF($F$11:F574,F574)-1)*10000,10)&amp;"}]",8,1)&lt;&gt;"_"),"[{"&amp;M574&amp;","&amp;1&amp;"}]","[{"&amp;M574&amp;","&amp;CEILING(N574*10000+(O574-N574)/4*(COUNTIF($F$11:F574,F574)-1)*10000,10)&amp;"}]")</f>
        <v>[{equip_base_attr,2500}]</v>
      </c>
      <c r="H574" s="82" t="s">
        <v>563</v>
      </c>
      <c r="J574" s="78">
        <f ca="1">IF(MOD(COUNTIF($Q$11:Q573,Q573),5)=0,OFFSET(装备属性!$P$1083,1+INT(COUNTA($Q$11:Q573)/5),0),J573)</f>
        <v>7</v>
      </c>
      <c r="K574" s="83" t="str">
        <f ca="1">IF(RIGHT(G574,13)="rune_slot,1}]",_xlfn.XLOOKUP(LEFT(SUBSTITUTE(G574,"[{",""),FIND(",",SUBSTITUTE(G574,"[{",""))-1),Sheet2!B:B,Sheet2!C:C)&amp;"+"&amp;1,_xlfn.XLOOKUP(LEFT(SUBSTITUTE(G574,"[{",""),FIND(",",SUBSTITUTE(G574,"[{",""))-1),Sheet2!B:B,Sheet2!C:C)&amp;"+"&amp;SUBSTITUTE(RIGHT(G574,LEN(G574)-FIND(",",G574)),"}]","")/100&amp;"%")</f>
        <v>装备基础属性加成+25%</v>
      </c>
      <c r="L574" s="83" t="str">
        <f ca="1">IF(MOD(COUNTIF($Q$11:Q573,Q573),5)=0,OFFSET(装备属性!$G$1083,1+INT(COUNTA($Q$11:Q573)/5),0),L573)</f>
        <v>厚底子</v>
      </c>
      <c r="M574" s="89" t="str">
        <f ca="1">IF(MOD(COUNTIF($Q$11:Q573,Q573),5)=0,OFFSET(装备属性!$H$1083,1+INT(COUNTA($Q$11:Q573)/5),0),M573)</f>
        <v>equip_base_attr</v>
      </c>
      <c r="N574" s="76">
        <f ca="1">IF(MOD(COUNTIF($Q$11:Q573,Q573),5)=0,OFFSET(装备属性!$K$1083,1+INT(COUNTA($Q$11:Q573)/5),0),N573)</f>
        <v>0.25</v>
      </c>
      <c r="O574" s="76">
        <f ca="1">IF(MOD(COUNTIF($Q$11:Q573,Q573),5)=0,OFFSET(装备属性!$L$1083,1+INT(COUNTA($Q$11:Q573)/5),0),O573)</f>
        <v>0.25</v>
      </c>
      <c r="Q574" s="89" t="str">
        <f ca="1">IF(MOD(COUNTIF($Q$11:Q573,Q573),5)=0,OFFSET(装备属性!$M$1083,1+INT(COUNTA($Q$11:Q573)/5),0),Q573)</f>
        <v>稀有词条</v>
      </c>
      <c r="R574" s="83">
        <f ca="1">IF(MOD(COUNTIF($Q$11:Q573,Q573),5)=0,10000*SUBSTITUTE(SUBSTITUTE(OFFSET(装备属性!$F$1083,1+INT(COUNTA($Q$11:Q573)/5),0),"[",""),"]","")+_xlfn.XLOOKUP(C574,$M$3:$M$7,$N$3:$N$7)*100,R573)</f>
        <v>20800</v>
      </c>
    </row>
    <row r="575" customHeight="1" spans="1:18">
      <c r="A575" s="78">
        <f ca="1" t="shared" si="24"/>
        <v>20803</v>
      </c>
      <c r="B575" s="82">
        <f ca="1">IFERROR(R575+COUNTIFS($R$11:$R575,R575),"")</f>
        <v>20815</v>
      </c>
      <c r="C575" s="83" t="str">
        <f ca="1">IF(MOD(COUNTIF($Q$11:Q574,Q574),5)=0,OFFSET(装备属性!$D$1083,1+INT(COUNTA($Q$11:Q574)/5),0),C574)</f>
        <v>彩</v>
      </c>
      <c r="D575" s="82">
        <f t="shared" si="26"/>
        <v>1000</v>
      </c>
      <c r="F575" s="82">
        <f ca="1" t="shared" si="25"/>
        <v>20802</v>
      </c>
      <c r="G575" s="78" t="str">
        <f ca="1">IF(AND(LEFT("[{"&amp;M575&amp;","&amp;CEILING(N575*10000+(O575-N575)/4*(COUNTIF($F$11:F575,F575)-1)*10000,10)&amp;"}]",7)="[{equip",MID("[{"&amp;M575&amp;","&amp;CEILING(N575*10000+(O575-N575)/4*(COUNTIF($F$11:F575,F575)-1)*10000,10)&amp;"}]",8,1)&lt;&gt;"_"),"[{"&amp;M575&amp;","&amp;1&amp;"}]","[{"&amp;M575&amp;","&amp;CEILING(N575*10000+(O575-N575)/4*(COUNTIF($F$11:F575,F575)-1)*10000,10)&amp;"}]")</f>
        <v>[{equip_base_attr,2500}]</v>
      </c>
      <c r="H575" s="82" t="s">
        <v>563</v>
      </c>
      <c r="J575" s="78">
        <f ca="1">IF(MOD(COUNTIF($Q$11:Q574,Q574),5)=0,OFFSET(装备属性!$P$1083,1+INT(COUNTA($Q$11:Q574)/5),0),J574)</f>
        <v>7</v>
      </c>
      <c r="K575" s="83" t="str">
        <f ca="1">IF(RIGHT(G575,13)="rune_slot,1}]",_xlfn.XLOOKUP(LEFT(SUBSTITUTE(G575,"[{",""),FIND(",",SUBSTITUTE(G575,"[{",""))-1),Sheet2!B:B,Sheet2!C:C)&amp;"+"&amp;1,_xlfn.XLOOKUP(LEFT(SUBSTITUTE(G575,"[{",""),FIND(",",SUBSTITUTE(G575,"[{",""))-1),Sheet2!B:B,Sheet2!C:C)&amp;"+"&amp;SUBSTITUTE(RIGHT(G575,LEN(G575)-FIND(",",G575)),"}]","")/100&amp;"%")</f>
        <v>装备基础属性加成+25%</v>
      </c>
      <c r="L575" s="83" t="str">
        <f ca="1">IF(MOD(COUNTIF($Q$11:Q574,Q574),5)=0,OFFSET(装备属性!$G$1083,1+INT(COUNTA($Q$11:Q574)/5),0),L574)</f>
        <v>厚底子</v>
      </c>
      <c r="M575" s="89" t="str">
        <f ca="1">IF(MOD(COUNTIF($Q$11:Q574,Q574),5)=0,OFFSET(装备属性!$H$1083,1+INT(COUNTA($Q$11:Q574)/5),0),M574)</f>
        <v>equip_base_attr</v>
      </c>
      <c r="N575" s="76">
        <f ca="1">IF(MOD(COUNTIF($Q$11:Q574,Q574),5)=0,OFFSET(装备属性!$K$1083,1+INT(COUNTA($Q$11:Q574)/5),0),N574)</f>
        <v>0.25</v>
      </c>
      <c r="O575" s="76">
        <f ca="1">IF(MOD(COUNTIF($Q$11:Q574,Q574),5)=0,OFFSET(装备属性!$L$1083,1+INT(COUNTA($Q$11:Q574)/5),0),O574)</f>
        <v>0.25</v>
      </c>
      <c r="Q575" s="89" t="str">
        <f ca="1">IF(MOD(COUNTIF($Q$11:Q574,Q574),5)=0,OFFSET(装备属性!$M$1083,1+INT(COUNTA($Q$11:Q574)/5),0),Q574)</f>
        <v>稀有词条</v>
      </c>
      <c r="R575" s="83">
        <f ca="1">IF(MOD(COUNTIF($Q$11:Q574,Q574),5)=0,10000*SUBSTITUTE(SUBSTITUTE(OFFSET(装备属性!$F$1083,1+INT(COUNTA($Q$11:Q574)/5),0),"[",""),"]","")+_xlfn.XLOOKUP(C575,$M$3:$M$7,$N$3:$N$7)*100,R574)</f>
        <v>20800</v>
      </c>
    </row>
    <row r="576" customHeight="1" spans="1:18">
      <c r="A576" s="78">
        <f ca="1" t="shared" si="24"/>
        <v>20803</v>
      </c>
      <c r="B576" s="82">
        <f ca="1">IFERROR(R576+COUNTIFS($R$11:$R576,R576),"")</f>
        <v>20816</v>
      </c>
      <c r="C576" s="83" t="str">
        <f ca="1">IF(MOD(COUNTIF($Q$11:Q575,Q575),5)=0,OFFSET(装备属性!$D$1083,1+INT(COUNTA($Q$11:Q575)/5),0),C575)</f>
        <v>彩</v>
      </c>
      <c r="D576" s="82">
        <f t="shared" si="26"/>
        <v>3000</v>
      </c>
      <c r="F576" s="82">
        <f ca="1" t="shared" si="25"/>
        <v>20803</v>
      </c>
      <c r="G576" s="78" t="str">
        <f ca="1">IF(AND(LEFT("[{"&amp;M576&amp;","&amp;CEILING(N576*10000+(O576-N576)/4*(COUNTIF($F$11:F576,F576)-1)*10000,10)&amp;"}]",7)="[{equip",MID("[{"&amp;M576&amp;","&amp;CEILING(N576*10000+(O576-N576)/4*(COUNTIF($F$11:F576,F576)-1)*10000,10)&amp;"}]",8,1)&lt;&gt;"_"),"[{"&amp;M576&amp;","&amp;1&amp;"}]","[{"&amp;M576&amp;","&amp;CEILING(N576*10000+(O576-N576)/4*(COUNTIF($F$11:F576,F576)-1)*10000,10)&amp;"}]")</f>
        <v>[{equip_extra_attr,5000}]</v>
      </c>
      <c r="H576" s="82" t="s">
        <v>563</v>
      </c>
      <c r="J576" s="78">
        <f ca="1">IF(MOD(COUNTIF($Q$11:Q575,Q575),5)=0,OFFSET(装备属性!$P$1083,1+INT(COUNTA($Q$11:Q575)/5),0),J575)</f>
        <v>8</v>
      </c>
      <c r="K576" s="83" t="str">
        <f ca="1">IF(RIGHT(G576,13)="rune_slot,1}]",_xlfn.XLOOKUP(LEFT(SUBSTITUTE(G576,"[{",""),FIND(",",SUBSTITUTE(G576,"[{",""))-1),Sheet2!B:B,Sheet2!C:C)&amp;"+"&amp;1,_xlfn.XLOOKUP(LEFT(SUBSTITUTE(G576,"[{",""),FIND(",",SUBSTITUTE(G576,"[{",""))-1),Sheet2!B:B,Sheet2!C:C)&amp;"+"&amp;SUBSTITUTE(RIGHT(G576,LEN(G576)-FIND(",",G576)),"}]","")/100&amp;"%")</f>
        <v>装备附加属性加成+50%</v>
      </c>
      <c r="L576" s="83" t="str">
        <f ca="1">IF(MOD(COUNTIF($Q$11:Q575,Q575),5)=0,OFFSET(装备属性!$G$1083,1+INT(COUNTA($Q$11:Q575)/5),0),L575)</f>
        <v>提成色</v>
      </c>
      <c r="M576" s="89" t="str">
        <f ca="1">IF(MOD(COUNTIF($Q$11:Q575,Q575),5)=0,OFFSET(装备属性!$H$1083,1+INT(COUNTA($Q$11:Q575)/5),0),M575)</f>
        <v>equip_extra_attr</v>
      </c>
      <c r="N576" s="76">
        <f ca="1">IF(MOD(COUNTIF($Q$11:Q575,Q575),5)=0,OFFSET(装备属性!$K$1083,1+INT(COUNTA($Q$11:Q575)/5),0),N575)</f>
        <v>0.5</v>
      </c>
      <c r="O576" s="76">
        <f ca="1">IF(MOD(COUNTIF($Q$11:Q575,Q575),5)=0,OFFSET(装备属性!$L$1083,1+INT(COUNTA($Q$11:Q575)/5),0),O575)</f>
        <v>0.5</v>
      </c>
      <c r="Q576" s="89" t="str">
        <f ca="1">IF(MOD(COUNTIF($Q$11:Q575,Q575),5)=0,OFFSET(装备属性!$M$1083,1+INT(COUNTA($Q$11:Q575)/5),0),Q575)</f>
        <v>稀有词条</v>
      </c>
      <c r="R576" s="83">
        <f ca="1">IF(MOD(COUNTIF($Q$11:Q575,Q575),5)=0,10000*SUBSTITUTE(SUBSTITUTE(OFFSET(装备属性!$F$1083,1+INT(COUNTA($Q$11:Q575)/5),0),"[",""),"]","")+_xlfn.XLOOKUP(C576,$M$3:$M$7,$N$3:$N$7)*100,R575)</f>
        <v>20800</v>
      </c>
    </row>
    <row r="577" customHeight="1" spans="1:18">
      <c r="A577" s="78">
        <f ca="1" t="shared" si="24"/>
        <v>20803</v>
      </c>
      <c r="B577" s="82">
        <f ca="1">IFERROR(R577+COUNTIFS($R$11:$R577,R577),"")</f>
        <v>20817</v>
      </c>
      <c r="C577" s="83" t="str">
        <f ca="1">IF(MOD(COUNTIF($Q$11:Q576,Q576),5)=0,OFFSET(装备属性!$D$1083,1+INT(COUNTA($Q$11:Q576)/5),0),C576)</f>
        <v>彩</v>
      </c>
      <c r="D577" s="82">
        <f t="shared" si="26"/>
        <v>2500</v>
      </c>
      <c r="F577" s="82">
        <f ca="1" t="shared" si="25"/>
        <v>20803</v>
      </c>
      <c r="G577" s="78" t="str">
        <f ca="1">IF(AND(LEFT("[{"&amp;M577&amp;","&amp;CEILING(N577*10000+(O577-N577)/4*(COUNTIF($F$11:F577,F577)-1)*10000,10)&amp;"}]",7)="[{equip",MID("[{"&amp;M577&amp;","&amp;CEILING(N577*10000+(O577-N577)/4*(COUNTIF($F$11:F577,F577)-1)*10000,10)&amp;"}]",8,1)&lt;&gt;"_"),"[{"&amp;M577&amp;","&amp;1&amp;"}]","[{"&amp;M577&amp;","&amp;CEILING(N577*10000+(O577-N577)/4*(COUNTIF($F$11:F577,F577)-1)*10000,10)&amp;"}]")</f>
        <v>[{equip_extra_attr,5000}]</v>
      </c>
      <c r="H577" s="82" t="s">
        <v>563</v>
      </c>
      <c r="J577" s="78">
        <f ca="1">IF(MOD(COUNTIF($Q$11:Q576,Q576),5)=0,OFFSET(装备属性!$P$1083,1+INT(COUNTA($Q$11:Q576)/5),0),J576)</f>
        <v>8</v>
      </c>
      <c r="K577" s="83" t="str">
        <f ca="1">IF(RIGHT(G577,13)="rune_slot,1}]",_xlfn.XLOOKUP(LEFT(SUBSTITUTE(G577,"[{",""),FIND(",",SUBSTITUTE(G577,"[{",""))-1),Sheet2!B:B,Sheet2!C:C)&amp;"+"&amp;1,_xlfn.XLOOKUP(LEFT(SUBSTITUTE(G577,"[{",""),FIND(",",SUBSTITUTE(G577,"[{",""))-1),Sheet2!B:B,Sheet2!C:C)&amp;"+"&amp;SUBSTITUTE(RIGHT(G577,LEN(G577)-FIND(",",G577)),"}]","")/100&amp;"%")</f>
        <v>装备附加属性加成+50%</v>
      </c>
      <c r="L577" s="83" t="str">
        <f ca="1">IF(MOD(COUNTIF($Q$11:Q576,Q576),5)=0,OFFSET(装备属性!$G$1083,1+INT(COUNTA($Q$11:Q576)/5),0),L576)</f>
        <v>提成色</v>
      </c>
      <c r="M577" s="89" t="str">
        <f ca="1">IF(MOD(COUNTIF($Q$11:Q576,Q576),5)=0,OFFSET(装备属性!$H$1083,1+INT(COUNTA($Q$11:Q576)/5),0),M576)</f>
        <v>equip_extra_attr</v>
      </c>
      <c r="N577" s="76">
        <f ca="1">IF(MOD(COUNTIF($Q$11:Q576,Q576),5)=0,OFFSET(装备属性!$K$1083,1+INT(COUNTA($Q$11:Q576)/5),0),N576)</f>
        <v>0.5</v>
      </c>
      <c r="O577" s="76">
        <f ca="1">IF(MOD(COUNTIF($Q$11:Q576,Q576),5)=0,OFFSET(装备属性!$L$1083,1+INT(COUNTA($Q$11:Q576)/5),0),O576)</f>
        <v>0.5</v>
      </c>
      <c r="Q577" s="89" t="str">
        <f ca="1">IF(MOD(COUNTIF($Q$11:Q576,Q576),5)=0,OFFSET(装备属性!$M$1083,1+INT(COUNTA($Q$11:Q576)/5),0),Q576)</f>
        <v>稀有词条</v>
      </c>
      <c r="R577" s="83">
        <f ca="1">IF(MOD(COUNTIF($Q$11:Q576,Q576),5)=0,10000*SUBSTITUTE(SUBSTITUTE(OFFSET(装备属性!$F$1083,1+INT(COUNTA($Q$11:Q576)/5),0),"[",""),"]","")+_xlfn.XLOOKUP(C577,$M$3:$M$7,$N$3:$N$7)*100,R576)</f>
        <v>20800</v>
      </c>
    </row>
    <row r="578" customHeight="1" spans="1:18">
      <c r="A578" s="78">
        <f ca="1" t="shared" si="24"/>
        <v>20803</v>
      </c>
      <c r="B578" s="82">
        <f ca="1">IFERROR(R578+COUNTIFS($R$11:$R578,R578),"")</f>
        <v>20818</v>
      </c>
      <c r="C578" s="83" t="str">
        <f ca="1">IF(MOD(COUNTIF($Q$11:Q577,Q577),5)=0,OFFSET(装备属性!$D$1083,1+INT(COUNTA($Q$11:Q577)/5),0),C577)</f>
        <v>彩</v>
      </c>
      <c r="D578" s="82">
        <f t="shared" si="26"/>
        <v>2000</v>
      </c>
      <c r="F578" s="82">
        <f ca="1" t="shared" si="25"/>
        <v>20803</v>
      </c>
      <c r="G578" s="78" t="str">
        <f ca="1">IF(AND(LEFT("[{"&amp;M578&amp;","&amp;CEILING(N578*10000+(O578-N578)/4*(COUNTIF($F$11:F578,F578)-1)*10000,10)&amp;"}]",7)="[{equip",MID("[{"&amp;M578&amp;","&amp;CEILING(N578*10000+(O578-N578)/4*(COUNTIF($F$11:F578,F578)-1)*10000,10)&amp;"}]",8,1)&lt;&gt;"_"),"[{"&amp;M578&amp;","&amp;1&amp;"}]","[{"&amp;M578&amp;","&amp;CEILING(N578*10000+(O578-N578)/4*(COUNTIF($F$11:F578,F578)-1)*10000,10)&amp;"}]")</f>
        <v>[{equip_extra_attr,5000}]</v>
      </c>
      <c r="H578" s="82" t="s">
        <v>563</v>
      </c>
      <c r="J578" s="78">
        <f ca="1">IF(MOD(COUNTIF($Q$11:Q577,Q577),5)=0,OFFSET(装备属性!$P$1083,1+INT(COUNTA($Q$11:Q577)/5),0),J577)</f>
        <v>8</v>
      </c>
      <c r="K578" s="83" t="str">
        <f ca="1">IF(RIGHT(G578,13)="rune_slot,1}]",_xlfn.XLOOKUP(LEFT(SUBSTITUTE(G578,"[{",""),FIND(",",SUBSTITUTE(G578,"[{",""))-1),Sheet2!B:B,Sheet2!C:C)&amp;"+"&amp;1,_xlfn.XLOOKUP(LEFT(SUBSTITUTE(G578,"[{",""),FIND(",",SUBSTITUTE(G578,"[{",""))-1),Sheet2!B:B,Sheet2!C:C)&amp;"+"&amp;SUBSTITUTE(RIGHT(G578,LEN(G578)-FIND(",",G578)),"}]","")/100&amp;"%")</f>
        <v>装备附加属性加成+50%</v>
      </c>
      <c r="L578" s="83" t="str">
        <f ca="1">IF(MOD(COUNTIF($Q$11:Q577,Q577),5)=0,OFFSET(装备属性!$G$1083,1+INT(COUNTA($Q$11:Q577)/5),0),L577)</f>
        <v>提成色</v>
      </c>
      <c r="M578" s="89" t="str">
        <f ca="1">IF(MOD(COUNTIF($Q$11:Q577,Q577),5)=0,OFFSET(装备属性!$H$1083,1+INT(COUNTA($Q$11:Q577)/5),0),M577)</f>
        <v>equip_extra_attr</v>
      </c>
      <c r="N578" s="76">
        <f ca="1">IF(MOD(COUNTIF($Q$11:Q577,Q577),5)=0,OFFSET(装备属性!$K$1083,1+INT(COUNTA($Q$11:Q577)/5),0),N577)</f>
        <v>0.5</v>
      </c>
      <c r="O578" s="76">
        <f ca="1">IF(MOD(COUNTIF($Q$11:Q577,Q577),5)=0,OFFSET(装备属性!$L$1083,1+INT(COUNTA($Q$11:Q577)/5),0),O577)</f>
        <v>0.5</v>
      </c>
      <c r="Q578" s="89" t="str">
        <f ca="1">IF(MOD(COUNTIF($Q$11:Q577,Q577),5)=0,OFFSET(装备属性!$M$1083,1+INT(COUNTA($Q$11:Q577)/5),0),Q577)</f>
        <v>稀有词条</v>
      </c>
      <c r="R578" s="83">
        <f ca="1">IF(MOD(COUNTIF($Q$11:Q577,Q577),5)=0,10000*SUBSTITUTE(SUBSTITUTE(OFFSET(装备属性!$F$1083,1+INT(COUNTA($Q$11:Q577)/5),0),"[",""),"]","")+_xlfn.XLOOKUP(C578,$M$3:$M$7,$N$3:$N$7)*100,R577)</f>
        <v>20800</v>
      </c>
    </row>
    <row r="579" customHeight="1" spans="1:18">
      <c r="A579" s="78">
        <f ca="1" t="shared" si="24"/>
        <v>20803</v>
      </c>
      <c r="B579" s="82">
        <f ca="1">IFERROR(R579+COUNTIFS($R$11:$R579,R579),"")</f>
        <v>20819</v>
      </c>
      <c r="C579" s="83" t="str">
        <f ca="1">IF(MOD(COUNTIF($Q$11:Q578,Q578),5)=0,OFFSET(装备属性!$D$1083,1+INT(COUNTA($Q$11:Q578)/5),0),C578)</f>
        <v>彩</v>
      </c>
      <c r="D579" s="82">
        <f t="shared" si="26"/>
        <v>1500</v>
      </c>
      <c r="F579" s="82">
        <f ca="1" t="shared" si="25"/>
        <v>20803</v>
      </c>
      <c r="G579" s="78" t="str">
        <f ca="1">IF(AND(LEFT("[{"&amp;M579&amp;","&amp;CEILING(N579*10000+(O579-N579)/4*(COUNTIF($F$11:F579,F579)-1)*10000,10)&amp;"}]",7)="[{equip",MID("[{"&amp;M579&amp;","&amp;CEILING(N579*10000+(O579-N579)/4*(COUNTIF($F$11:F579,F579)-1)*10000,10)&amp;"}]",8,1)&lt;&gt;"_"),"[{"&amp;M579&amp;","&amp;1&amp;"}]","[{"&amp;M579&amp;","&amp;CEILING(N579*10000+(O579-N579)/4*(COUNTIF($F$11:F579,F579)-1)*10000,10)&amp;"}]")</f>
        <v>[{equip_extra_attr,5000}]</v>
      </c>
      <c r="H579" s="82" t="s">
        <v>563</v>
      </c>
      <c r="J579" s="78">
        <f ca="1">IF(MOD(COUNTIF($Q$11:Q578,Q578),5)=0,OFFSET(装备属性!$P$1083,1+INT(COUNTA($Q$11:Q578)/5),0),J578)</f>
        <v>8</v>
      </c>
      <c r="K579" s="83" t="str">
        <f ca="1">IF(RIGHT(G579,13)="rune_slot,1}]",_xlfn.XLOOKUP(LEFT(SUBSTITUTE(G579,"[{",""),FIND(",",SUBSTITUTE(G579,"[{",""))-1),Sheet2!B:B,Sheet2!C:C)&amp;"+"&amp;1,_xlfn.XLOOKUP(LEFT(SUBSTITUTE(G579,"[{",""),FIND(",",SUBSTITUTE(G579,"[{",""))-1),Sheet2!B:B,Sheet2!C:C)&amp;"+"&amp;SUBSTITUTE(RIGHT(G579,LEN(G579)-FIND(",",G579)),"}]","")/100&amp;"%")</f>
        <v>装备附加属性加成+50%</v>
      </c>
      <c r="L579" s="83" t="str">
        <f ca="1">IF(MOD(COUNTIF($Q$11:Q578,Q578),5)=0,OFFSET(装备属性!$G$1083,1+INT(COUNTA($Q$11:Q578)/5),0),L578)</f>
        <v>提成色</v>
      </c>
      <c r="M579" s="89" t="str">
        <f ca="1">IF(MOD(COUNTIF($Q$11:Q578,Q578),5)=0,OFFSET(装备属性!$H$1083,1+INT(COUNTA($Q$11:Q578)/5),0),M578)</f>
        <v>equip_extra_attr</v>
      </c>
      <c r="N579" s="76">
        <f ca="1">IF(MOD(COUNTIF($Q$11:Q578,Q578),5)=0,OFFSET(装备属性!$K$1083,1+INT(COUNTA($Q$11:Q578)/5),0),N578)</f>
        <v>0.5</v>
      </c>
      <c r="O579" s="76">
        <f ca="1">IF(MOD(COUNTIF($Q$11:Q578,Q578),5)=0,OFFSET(装备属性!$L$1083,1+INT(COUNTA($Q$11:Q578)/5),0),O578)</f>
        <v>0.5</v>
      </c>
      <c r="Q579" s="89" t="str">
        <f ca="1">IF(MOD(COUNTIF($Q$11:Q578,Q578),5)=0,OFFSET(装备属性!$M$1083,1+INT(COUNTA($Q$11:Q578)/5),0),Q578)</f>
        <v>稀有词条</v>
      </c>
      <c r="R579" s="83">
        <f ca="1">IF(MOD(COUNTIF($Q$11:Q578,Q578),5)=0,10000*SUBSTITUTE(SUBSTITUTE(OFFSET(装备属性!$F$1083,1+INT(COUNTA($Q$11:Q578)/5),0),"[",""),"]","")+_xlfn.XLOOKUP(C579,$M$3:$M$7,$N$3:$N$7)*100,R578)</f>
        <v>20800</v>
      </c>
    </row>
    <row r="580" customHeight="1" spans="1:18">
      <c r="A580" s="78">
        <f ca="1" t="shared" si="24"/>
        <v>20803</v>
      </c>
      <c r="B580" s="82">
        <f ca="1">IFERROR(R580+COUNTIFS($R$11:$R580,R580),"")</f>
        <v>20820</v>
      </c>
      <c r="C580" s="83" t="str">
        <f ca="1">IF(MOD(COUNTIF($Q$11:Q579,Q579),5)=0,OFFSET(装备属性!$D$1083,1+INT(COUNTA($Q$11:Q579)/5),0),C579)</f>
        <v>彩</v>
      </c>
      <c r="D580" s="82">
        <f t="shared" si="26"/>
        <v>1000</v>
      </c>
      <c r="F580" s="82">
        <f ca="1" t="shared" si="25"/>
        <v>20803</v>
      </c>
      <c r="G580" s="78" t="str">
        <f ca="1">IF(AND(LEFT("[{"&amp;M580&amp;","&amp;CEILING(N580*10000+(O580-N580)/4*(COUNTIF($F$11:F580,F580)-1)*10000,10)&amp;"}]",7)="[{equip",MID("[{"&amp;M580&amp;","&amp;CEILING(N580*10000+(O580-N580)/4*(COUNTIF($F$11:F580,F580)-1)*10000,10)&amp;"}]",8,1)&lt;&gt;"_"),"[{"&amp;M580&amp;","&amp;1&amp;"}]","[{"&amp;M580&amp;","&amp;CEILING(N580*10000+(O580-N580)/4*(COUNTIF($F$11:F580,F580)-1)*10000,10)&amp;"}]")</f>
        <v>[{equip_extra_attr,5000}]</v>
      </c>
      <c r="H580" s="82" t="s">
        <v>563</v>
      </c>
      <c r="J580" s="78">
        <f ca="1">IF(MOD(COUNTIF($Q$11:Q579,Q579),5)=0,OFFSET(装备属性!$P$1083,1+INT(COUNTA($Q$11:Q579)/5),0),J579)</f>
        <v>8</v>
      </c>
      <c r="K580" s="83" t="str">
        <f ca="1">IF(RIGHT(G580,13)="rune_slot,1}]",_xlfn.XLOOKUP(LEFT(SUBSTITUTE(G580,"[{",""),FIND(",",SUBSTITUTE(G580,"[{",""))-1),Sheet2!B:B,Sheet2!C:C)&amp;"+"&amp;1,_xlfn.XLOOKUP(LEFT(SUBSTITUTE(G580,"[{",""),FIND(",",SUBSTITUTE(G580,"[{",""))-1),Sheet2!B:B,Sheet2!C:C)&amp;"+"&amp;SUBSTITUTE(RIGHT(G580,LEN(G580)-FIND(",",G580)),"}]","")/100&amp;"%")</f>
        <v>装备附加属性加成+50%</v>
      </c>
      <c r="L580" s="83" t="str">
        <f ca="1">IF(MOD(COUNTIF($Q$11:Q579,Q579),5)=0,OFFSET(装备属性!$G$1083,1+INT(COUNTA($Q$11:Q579)/5),0),L579)</f>
        <v>提成色</v>
      </c>
      <c r="M580" s="89" t="str">
        <f ca="1">IF(MOD(COUNTIF($Q$11:Q579,Q579),5)=0,OFFSET(装备属性!$H$1083,1+INT(COUNTA($Q$11:Q579)/5),0),M579)</f>
        <v>equip_extra_attr</v>
      </c>
      <c r="N580" s="76">
        <f ca="1">IF(MOD(COUNTIF($Q$11:Q579,Q579),5)=0,OFFSET(装备属性!$K$1083,1+INT(COUNTA($Q$11:Q579)/5),0),N579)</f>
        <v>0.5</v>
      </c>
      <c r="O580" s="76">
        <f ca="1">IF(MOD(COUNTIF($Q$11:Q579,Q579),5)=0,OFFSET(装备属性!$L$1083,1+INT(COUNTA($Q$11:Q579)/5),0),O579)</f>
        <v>0.5</v>
      </c>
      <c r="Q580" s="89" t="str">
        <f ca="1">IF(MOD(COUNTIF($Q$11:Q579,Q579),5)=0,OFFSET(装备属性!$M$1083,1+INT(COUNTA($Q$11:Q579)/5),0),Q579)</f>
        <v>稀有词条</v>
      </c>
      <c r="R580" s="83">
        <f ca="1">IF(MOD(COUNTIF($Q$11:Q579,Q579),5)=0,10000*SUBSTITUTE(SUBSTITUTE(OFFSET(装备属性!$F$1083,1+INT(COUNTA($Q$11:Q579)/5),0),"[",""),"]","")+_xlfn.XLOOKUP(C580,$M$3:$M$7,$N$3:$N$7)*100,R579)</f>
        <v>20800</v>
      </c>
    </row>
    <row r="581" customHeight="1" spans="1:18">
      <c r="A581" s="78">
        <f ca="1" t="shared" si="24"/>
        <v>20803</v>
      </c>
      <c r="B581" s="82">
        <f ca="1">IFERROR(R581+COUNTIFS($R$11:$R581,R581),"")</f>
        <v>20821</v>
      </c>
      <c r="C581" s="83" t="str">
        <f ca="1">IF(MOD(COUNTIF($Q$11:Q580,Q580),5)=0,OFFSET(装备属性!$D$1083,1+INT(COUNTA($Q$11:Q580)/5),0),C580)</f>
        <v>彩</v>
      </c>
      <c r="D581" s="82">
        <f t="shared" si="26"/>
        <v>3000</v>
      </c>
      <c r="F581" s="82">
        <f ca="1" t="shared" si="25"/>
        <v>20804</v>
      </c>
      <c r="G581" s="78" t="str">
        <f ca="1">IF(AND(LEFT("[{"&amp;M581&amp;","&amp;CEILING(N581*10000+(O581-N581)/4*(COUNTIF($F$11:F581,F581)-1)*10000,10)&amp;"}]",7)="[{equip",MID("[{"&amp;M581&amp;","&amp;CEILING(N581*10000+(O581-N581)/4*(COUNTIF($F$11:F581,F581)-1)*10000,10)&amp;"}]",8,1)&lt;&gt;"_"),"[{"&amp;M581&amp;","&amp;1&amp;"}]","[{"&amp;M581&amp;","&amp;CEILING(N581*10000+(O581-N581)/4*(COUNTIF($F$11:F581,F581)-1)*10000,10)&amp;"}]")</f>
        <v>[{equip1_rune_slot,1}]</v>
      </c>
      <c r="H581" s="82" t="s">
        <v>563</v>
      </c>
      <c r="J581" s="78">
        <f ca="1">IF(MOD(COUNTIF($Q$11:Q580,Q580),5)=0,OFFSET(装备属性!$P$1083,1+INT(COUNTA($Q$11:Q580)/5),0),J580)</f>
        <v>1</v>
      </c>
      <c r="K581" s="83" t="str">
        <f ca="1">IF(RIGHT(G581,13)="rune_slot,1}]",_xlfn.XLOOKUP(LEFT(SUBSTITUTE(G581,"[{",""),FIND(",",SUBSTITUTE(G581,"[{",""))-1),Sheet2!B:B,Sheet2!C:C)&amp;"+"&amp;1,_xlfn.XLOOKUP(LEFT(SUBSTITUTE(G581,"[{",""),FIND(",",SUBSTITUTE(G581,"[{",""))-1),Sheet2!B:B,Sheet2!C:C)&amp;"+"&amp;SUBSTITUTE(RIGHT(G581,LEN(G581)-FIND(",",G581)),"}]","")/100&amp;"%")</f>
        <v>衣服符文孔位+1</v>
      </c>
      <c r="L581" s="83" t="str">
        <f ca="1">IF(MOD(COUNTIF($Q$11:Q580,Q580),5)=0,OFFSET(装备属性!$G$1083,1+INT(COUNTA($Q$11:Q580)/5),0),L580)</f>
        <v>扩符槽</v>
      </c>
      <c r="M581" s="89" t="str">
        <f ca="1">IF(MOD(COUNTIF($Q$11:Q580,Q580),5)=0,OFFSET(装备属性!$H$1083,1+INT(COUNTA($Q$11:Q580)/5),0),M580)</f>
        <v>equip1_rune_slot</v>
      </c>
      <c r="N581" s="76">
        <f ca="1">IF(MOD(COUNTIF($Q$11:Q580,Q580),5)=0,OFFSET(装备属性!$K$1083,1+INT(COUNTA($Q$11:Q580)/5),0),N580)</f>
        <v>1</v>
      </c>
      <c r="O581" s="76">
        <f ca="1">IF(MOD(COUNTIF($Q$11:Q580,Q580),5)=0,OFFSET(装备属性!$L$1083,1+INT(COUNTA($Q$11:Q580)/5),0),O580)</f>
        <v>1</v>
      </c>
      <c r="Q581" s="89" t="str">
        <f ca="1">IF(MOD(COUNTIF($Q$11:Q580,Q580),5)=0,OFFSET(装备属性!$M$1083,1+INT(COUNTA($Q$11:Q580)/5),0),Q580)</f>
        <v>稀有词条</v>
      </c>
      <c r="R581" s="83">
        <f ca="1">IF(MOD(COUNTIF($Q$11:Q580,Q580),5)=0,10000*SUBSTITUTE(SUBSTITUTE(OFFSET(装备属性!$F$1083,1+INT(COUNTA($Q$11:Q580)/5),0),"[",""),"]","")+_xlfn.XLOOKUP(C581,$M$3:$M$7,$N$3:$N$7)*100,R580)</f>
        <v>20800</v>
      </c>
    </row>
    <row r="582" customHeight="1" spans="1:18">
      <c r="A582" s="78">
        <f ca="1" t="shared" si="24"/>
        <v>20803</v>
      </c>
      <c r="B582" s="82">
        <f ca="1">IFERROR(R582+COUNTIFS($R$11:$R582,R582),"")</f>
        <v>20822</v>
      </c>
      <c r="C582" s="83" t="str">
        <f ca="1">IF(MOD(COUNTIF($Q$11:Q581,Q581),5)=0,OFFSET(装备属性!$D$1083,1+INT(COUNTA($Q$11:Q581)/5),0),C581)</f>
        <v>彩</v>
      </c>
      <c r="D582" s="82">
        <f t="shared" si="26"/>
        <v>2500</v>
      </c>
      <c r="F582" s="82">
        <f ca="1" t="shared" si="25"/>
        <v>20804</v>
      </c>
      <c r="G582" s="78" t="str">
        <f ca="1">IF(AND(LEFT("[{"&amp;M582&amp;","&amp;CEILING(N582*10000+(O582-N582)/4*(COUNTIF($F$11:F582,F582)-1)*10000,10)&amp;"}]",7)="[{equip",MID("[{"&amp;M582&amp;","&amp;CEILING(N582*10000+(O582-N582)/4*(COUNTIF($F$11:F582,F582)-1)*10000,10)&amp;"}]",8,1)&lt;&gt;"_"),"[{"&amp;M582&amp;","&amp;1&amp;"}]","[{"&amp;M582&amp;","&amp;CEILING(N582*10000+(O582-N582)/4*(COUNTIF($F$11:F582,F582)-1)*10000,10)&amp;"}]")</f>
        <v>[{equip1_rune_slot,1}]</v>
      </c>
      <c r="H582" s="82" t="s">
        <v>563</v>
      </c>
      <c r="J582" s="78">
        <f ca="1">IF(MOD(COUNTIF($Q$11:Q581,Q581),5)=0,OFFSET(装备属性!$P$1083,1+INT(COUNTA($Q$11:Q581)/5),0),J581)</f>
        <v>1</v>
      </c>
      <c r="K582" s="83" t="str">
        <f ca="1">IF(RIGHT(G582,13)="rune_slot,1}]",_xlfn.XLOOKUP(LEFT(SUBSTITUTE(G582,"[{",""),FIND(",",SUBSTITUTE(G582,"[{",""))-1),Sheet2!B:B,Sheet2!C:C)&amp;"+"&amp;1,_xlfn.XLOOKUP(LEFT(SUBSTITUTE(G582,"[{",""),FIND(",",SUBSTITUTE(G582,"[{",""))-1),Sheet2!B:B,Sheet2!C:C)&amp;"+"&amp;SUBSTITUTE(RIGHT(G582,LEN(G582)-FIND(",",G582)),"}]","")/100&amp;"%")</f>
        <v>衣服符文孔位+1</v>
      </c>
      <c r="L582" s="83" t="str">
        <f ca="1">IF(MOD(COUNTIF($Q$11:Q581,Q581),5)=0,OFFSET(装备属性!$G$1083,1+INT(COUNTA($Q$11:Q581)/5),0),L581)</f>
        <v>扩符槽</v>
      </c>
      <c r="M582" s="89" t="str">
        <f ca="1">IF(MOD(COUNTIF($Q$11:Q581,Q581),5)=0,OFFSET(装备属性!$H$1083,1+INT(COUNTA($Q$11:Q581)/5),0),M581)</f>
        <v>equip1_rune_slot</v>
      </c>
      <c r="N582" s="76">
        <f ca="1">IF(MOD(COUNTIF($Q$11:Q581,Q581),5)=0,OFFSET(装备属性!$K$1083,1+INT(COUNTA($Q$11:Q581)/5),0),N581)</f>
        <v>1</v>
      </c>
      <c r="O582" s="76">
        <f ca="1">IF(MOD(COUNTIF($Q$11:Q581,Q581),5)=0,OFFSET(装备属性!$L$1083,1+INT(COUNTA($Q$11:Q581)/5),0),O581)</f>
        <v>1</v>
      </c>
      <c r="Q582" s="89" t="str">
        <f ca="1">IF(MOD(COUNTIF($Q$11:Q581,Q581),5)=0,OFFSET(装备属性!$M$1083,1+INT(COUNTA($Q$11:Q581)/5),0),Q581)</f>
        <v>稀有词条</v>
      </c>
      <c r="R582" s="83">
        <f ca="1">IF(MOD(COUNTIF($Q$11:Q581,Q581),5)=0,10000*SUBSTITUTE(SUBSTITUTE(OFFSET(装备属性!$F$1083,1+INT(COUNTA($Q$11:Q581)/5),0),"[",""),"]","")+_xlfn.XLOOKUP(C582,$M$3:$M$7,$N$3:$N$7)*100,R581)</f>
        <v>20800</v>
      </c>
    </row>
    <row r="583" customHeight="1" spans="1:18">
      <c r="A583" s="78">
        <f ca="1" t="shared" si="24"/>
        <v>20803</v>
      </c>
      <c r="B583" s="82">
        <f ca="1">IFERROR(R583+COUNTIFS($R$11:$R583,R583),"")</f>
        <v>20823</v>
      </c>
      <c r="C583" s="83" t="str">
        <f ca="1">IF(MOD(COUNTIF($Q$11:Q582,Q582),5)=0,OFFSET(装备属性!$D$1083,1+INT(COUNTA($Q$11:Q582)/5),0),C582)</f>
        <v>彩</v>
      </c>
      <c r="D583" s="82">
        <f t="shared" si="26"/>
        <v>2000</v>
      </c>
      <c r="F583" s="82">
        <f ca="1" t="shared" si="25"/>
        <v>20804</v>
      </c>
      <c r="G583" s="78" t="str">
        <f ca="1">IF(AND(LEFT("[{"&amp;M583&amp;","&amp;CEILING(N583*10000+(O583-N583)/4*(COUNTIF($F$11:F583,F583)-1)*10000,10)&amp;"}]",7)="[{equip",MID("[{"&amp;M583&amp;","&amp;CEILING(N583*10000+(O583-N583)/4*(COUNTIF($F$11:F583,F583)-1)*10000,10)&amp;"}]",8,1)&lt;&gt;"_"),"[{"&amp;M583&amp;","&amp;1&amp;"}]","[{"&amp;M583&amp;","&amp;CEILING(N583*10000+(O583-N583)/4*(COUNTIF($F$11:F583,F583)-1)*10000,10)&amp;"}]")</f>
        <v>[{equip1_rune_slot,1}]</v>
      </c>
      <c r="H583" s="82" t="s">
        <v>563</v>
      </c>
      <c r="J583" s="78">
        <f ca="1">IF(MOD(COUNTIF($Q$11:Q582,Q582),5)=0,OFFSET(装备属性!$P$1083,1+INT(COUNTA($Q$11:Q582)/5),0),J582)</f>
        <v>1</v>
      </c>
      <c r="K583" s="83" t="str">
        <f ca="1">IF(RIGHT(G583,13)="rune_slot,1}]",_xlfn.XLOOKUP(LEFT(SUBSTITUTE(G583,"[{",""),FIND(",",SUBSTITUTE(G583,"[{",""))-1),Sheet2!B:B,Sheet2!C:C)&amp;"+"&amp;1,_xlfn.XLOOKUP(LEFT(SUBSTITUTE(G583,"[{",""),FIND(",",SUBSTITUTE(G583,"[{",""))-1),Sheet2!B:B,Sheet2!C:C)&amp;"+"&amp;SUBSTITUTE(RIGHT(G583,LEN(G583)-FIND(",",G583)),"}]","")/100&amp;"%")</f>
        <v>衣服符文孔位+1</v>
      </c>
      <c r="L583" s="83" t="str">
        <f ca="1">IF(MOD(COUNTIF($Q$11:Q582,Q582),5)=0,OFFSET(装备属性!$G$1083,1+INT(COUNTA($Q$11:Q582)/5),0),L582)</f>
        <v>扩符槽</v>
      </c>
      <c r="M583" s="89" t="str">
        <f ca="1">IF(MOD(COUNTIF($Q$11:Q582,Q582),5)=0,OFFSET(装备属性!$H$1083,1+INT(COUNTA($Q$11:Q582)/5),0),M582)</f>
        <v>equip1_rune_slot</v>
      </c>
      <c r="N583" s="76">
        <f ca="1">IF(MOD(COUNTIF($Q$11:Q582,Q582),5)=0,OFFSET(装备属性!$K$1083,1+INT(COUNTA($Q$11:Q582)/5),0),N582)</f>
        <v>1</v>
      </c>
      <c r="O583" s="76">
        <f ca="1">IF(MOD(COUNTIF($Q$11:Q582,Q582),5)=0,OFFSET(装备属性!$L$1083,1+INT(COUNTA($Q$11:Q582)/5),0),O582)</f>
        <v>1</v>
      </c>
      <c r="Q583" s="89" t="str">
        <f ca="1">IF(MOD(COUNTIF($Q$11:Q582,Q582),5)=0,OFFSET(装备属性!$M$1083,1+INT(COUNTA($Q$11:Q582)/5),0),Q582)</f>
        <v>稀有词条</v>
      </c>
      <c r="R583" s="83">
        <f ca="1">IF(MOD(COUNTIF($Q$11:Q582,Q582),5)=0,10000*SUBSTITUTE(SUBSTITUTE(OFFSET(装备属性!$F$1083,1+INT(COUNTA($Q$11:Q582)/5),0),"[",""),"]","")+_xlfn.XLOOKUP(C583,$M$3:$M$7,$N$3:$N$7)*100,R582)</f>
        <v>20800</v>
      </c>
    </row>
    <row r="584" customHeight="1" spans="1:18">
      <c r="A584" s="78">
        <f ca="1" t="shared" si="24"/>
        <v>20803</v>
      </c>
      <c r="B584" s="82">
        <f ca="1">IFERROR(R584+COUNTIFS($R$11:$R584,R584),"")</f>
        <v>20824</v>
      </c>
      <c r="C584" s="83" t="str">
        <f ca="1">IF(MOD(COUNTIF($Q$11:Q583,Q583),5)=0,OFFSET(装备属性!$D$1083,1+INT(COUNTA($Q$11:Q583)/5),0),C583)</f>
        <v>彩</v>
      </c>
      <c r="D584" s="82">
        <f t="shared" si="26"/>
        <v>1500</v>
      </c>
      <c r="F584" s="82">
        <f ca="1" t="shared" si="25"/>
        <v>20804</v>
      </c>
      <c r="G584" s="78" t="str">
        <f ca="1">IF(AND(LEFT("[{"&amp;M584&amp;","&amp;CEILING(N584*10000+(O584-N584)/4*(COUNTIF($F$11:F584,F584)-1)*10000,10)&amp;"}]",7)="[{equip",MID("[{"&amp;M584&amp;","&amp;CEILING(N584*10000+(O584-N584)/4*(COUNTIF($F$11:F584,F584)-1)*10000,10)&amp;"}]",8,1)&lt;&gt;"_"),"[{"&amp;M584&amp;","&amp;1&amp;"}]","[{"&amp;M584&amp;","&amp;CEILING(N584*10000+(O584-N584)/4*(COUNTIF($F$11:F584,F584)-1)*10000,10)&amp;"}]")</f>
        <v>[{equip1_rune_slot,1}]</v>
      </c>
      <c r="H584" s="82" t="s">
        <v>563</v>
      </c>
      <c r="J584" s="78">
        <f ca="1">IF(MOD(COUNTIF($Q$11:Q583,Q583),5)=0,OFFSET(装备属性!$P$1083,1+INT(COUNTA($Q$11:Q583)/5),0),J583)</f>
        <v>1</v>
      </c>
      <c r="K584" s="83" t="str">
        <f ca="1">IF(RIGHT(G584,13)="rune_slot,1}]",_xlfn.XLOOKUP(LEFT(SUBSTITUTE(G584,"[{",""),FIND(",",SUBSTITUTE(G584,"[{",""))-1),Sheet2!B:B,Sheet2!C:C)&amp;"+"&amp;1,_xlfn.XLOOKUP(LEFT(SUBSTITUTE(G584,"[{",""),FIND(",",SUBSTITUTE(G584,"[{",""))-1),Sheet2!B:B,Sheet2!C:C)&amp;"+"&amp;SUBSTITUTE(RIGHT(G584,LEN(G584)-FIND(",",G584)),"}]","")/100&amp;"%")</f>
        <v>衣服符文孔位+1</v>
      </c>
      <c r="L584" s="83" t="str">
        <f ca="1">IF(MOD(COUNTIF($Q$11:Q583,Q583),5)=0,OFFSET(装备属性!$G$1083,1+INT(COUNTA($Q$11:Q583)/5),0),L583)</f>
        <v>扩符槽</v>
      </c>
      <c r="M584" s="89" t="str">
        <f ca="1">IF(MOD(COUNTIF($Q$11:Q583,Q583),5)=0,OFFSET(装备属性!$H$1083,1+INT(COUNTA($Q$11:Q583)/5),0),M583)</f>
        <v>equip1_rune_slot</v>
      </c>
      <c r="N584" s="76">
        <f ca="1">IF(MOD(COUNTIF($Q$11:Q583,Q583),5)=0,OFFSET(装备属性!$K$1083,1+INT(COUNTA($Q$11:Q583)/5),0),N583)</f>
        <v>1</v>
      </c>
      <c r="O584" s="76">
        <f ca="1">IF(MOD(COUNTIF($Q$11:Q583,Q583),5)=0,OFFSET(装备属性!$L$1083,1+INT(COUNTA($Q$11:Q583)/5),0),O583)</f>
        <v>1</v>
      </c>
      <c r="Q584" s="89" t="str">
        <f ca="1">IF(MOD(COUNTIF($Q$11:Q583,Q583),5)=0,OFFSET(装备属性!$M$1083,1+INT(COUNTA($Q$11:Q583)/5),0),Q583)</f>
        <v>稀有词条</v>
      </c>
      <c r="R584" s="83">
        <f ca="1">IF(MOD(COUNTIF($Q$11:Q583,Q583),5)=0,10000*SUBSTITUTE(SUBSTITUTE(OFFSET(装备属性!$F$1083,1+INT(COUNTA($Q$11:Q583)/5),0),"[",""),"]","")+_xlfn.XLOOKUP(C584,$M$3:$M$7,$N$3:$N$7)*100,R583)</f>
        <v>20800</v>
      </c>
    </row>
    <row r="585" customHeight="1" spans="1:18">
      <c r="A585" s="78">
        <f ca="1" t="shared" si="24"/>
        <v>20803</v>
      </c>
      <c r="B585" s="82">
        <f ca="1">IFERROR(R585+COUNTIFS($R$11:$R585,R585),"")</f>
        <v>20825</v>
      </c>
      <c r="C585" s="83" t="str">
        <f ca="1">IF(MOD(COUNTIF($Q$11:Q584,Q584),5)=0,OFFSET(装备属性!$D$1083,1+INT(COUNTA($Q$11:Q584)/5),0),C584)</f>
        <v>彩</v>
      </c>
      <c r="D585" s="82">
        <f t="shared" si="26"/>
        <v>1000</v>
      </c>
      <c r="F585" s="82">
        <f ca="1" t="shared" si="25"/>
        <v>20804</v>
      </c>
      <c r="G585" s="78" t="str">
        <f ca="1">IF(AND(LEFT("[{"&amp;M585&amp;","&amp;CEILING(N585*10000+(O585-N585)/4*(COUNTIF($F$11:F585,F585)-1)*10000,10)&amp;"}]",7)="[{equip",MID("[{"&amp;M585&amp;","&amp;CEILING(N585*10000+(O585-N585)/4*(COUNTIF($F$11:F585,F585)-1)*10000,10)&amp;"}]",8,1)&lt;&gt;"_"),"[{"&amp;M585&amp;","&amp;1&amp;"}]","[{"&amp;M585&amp;","&amp;CEILING(N585*10000+(O585-N585)/4*(COUNTIF($F$11:F585,F585)-1)*10000,10)&amp;"}]")</f>
        <v>[{equip1_rune_slot,1}]</v>
      </c>
      <c r="H585" s="82" t="s">
        <v>563</v>
      </c>
      <c r="J585" s="78">
        <f ca="1">IF(MOD(COUNTIF($Q$11:Q584,Q584),5)=0,OFFSET(装备属性!$P$1083,1+INT(COUNTA($Q$11:Q584)/5),0),J584)</f>
        <v>1</v>
      </c>
      <c r="K585" s="83" t="str">
        <f ca="1">IF(RIGHT(G585,13)="rune_slot,1}]",_xlfn.XLOOKUP(LEFT(SUBSTITUTE(G585,"[{",""),FIND(",",SUBSTITUTE(G585,"[{",""))-1),Sheet2!B:B,Sheet2!C:C)&amp;"+"&amp;1,_xlfn.XLOOKUP(LEFT(SUBSTITUTE(G585,"[{",""),FIND(",",SUBSTITUTE(G585,"[{",""))-1),Sheet2!B:B,Sheet2!C:C)&amp;"+"&amp;SUBSTITUTE(RIGHT(G585,LEN(G585)-FIND(",",G585)),"}]","")/100&amp;"%")</f>
        <v>衣服符文孔位+1</v>
      </c>
      <c r="L585" s="83" t="str">
        <f ca="1">IF(MOD(COUNTIF($Q$11:Q584,Q584),5)=0,OFFSET(装备属性!$G$1083,1+INT(COUNTA($Q$11:Q584)/5),0),L584)</f>
        <v>扩符槽</v>
      </c>
      <c r="M585" s="89" t="str">
        <f ca="1">IF(MOD(COUNTIF($Q$11:Q584,Q584),5)=0,OFFSET(装备属性!$H$1083,1+INT(COUNTA($Q$11:Q584)/5),0),M584)</f>
        <v>equip1_rune_slot</v>
      </c>
      <c r="N585" s="76">
        <f ca="1">IF(MOD(COUNTIF($Q$11:Q584,Q584),5)=0,OFFSET(装备属性!$K$1083,1+INT(COUNTA($Q$11:Q584)/5),0),N584)</f>
        <v>1</v>
      </c>
      <c r="O585" s="76">
        <f ca="1">IF(MOD(COUNTIF($Q$11:Q584,Q584),5)=0,OFFSET(装备属性!$L$1083,1+INT(COUNTA($Q$11:Q584)/5),0),O584)</f>
        <v>1</v>
      </c>
      <c r="Q585" s="89" t="str">
        <f ca="1">IF(MOD(COUNTIF($Q$11:Q584,Q584),5)=0,OFFSET(装备属性!$M$1083,1+INT(COUNTA($Q$11:Q584)/5),0),Q584)</f>
        <v>稀有词条</v>
      </c>
      <c r="R585" s="83">
        <f ca="1">IF(MOD(COUNTIF($Q$11:Q584,Q584),5)=0,10000*SUBSTITUTE(SUBSTITUTE(OFFSET(装备属性!$F$1083,1+INT(COUNTA($Q$11:Q584)/5),0),"[",""),"]","")+_xlfn.XLOOKUP(C585,$M$3:$M$7,$N$3:$N$7)*100,R584)</f>
        <v>20800</v>
      </c>
    </row>
    <row r="586" customHeight="1" spans="1:18">
      <c r="A586" s="78">
        <f ca="1" t="shared" si="24"/>
        <v>20802</v>
      </c>
      <c r="B586" s="82">
        <f ca="1">IFERROR(R586+COUNTIFS($R$11:$R586,R586),"")</f>
        <v>20826</v>
      </c>
      <c r="C586" s="83" t="str">
        <f ca="1">IF(MOD(COUNTIF($Q$11:Q585,Q585),5)=0,OFFSET(装备属性!$D$1083,1+INT(COUNTA($Q$11:Q585)/5),0),C585)</f>
        <v>彩</v>
      </c>
      <c r="D586" s="82">
        <f t="shared" si="26"/>
        <v>3000</v>
      </c>
      <c r="F586" s="82">
        <f ca="1" t="shared" si="25"/>
        <v>20805</v>
      </c>
      <c r="G586" s="78" t="str">
        <f ca="1">IF(AND(LEFT("[{"&amp;M586&amp;","&amp;CEILING(N586*10000+(O586-N586)/4*(COUNTIF($F$11:F586,F586)-1)*10000,10)&amp;"}]",7)="[{equip",MID("[{"&amp;M586&amp;","&amp;CEILING(N586*10000+(O586-N586)/4*(COUNTIF($F$11:F586,F586)-1)*10000,10)&amp;"}]",8,1)&lt;&gt;"_"),"[{"&amp;M586&amp;","&amp;1&amp;"}]","[{"&amp;M586&amp;","&amp;CEILING(N586*10000+(O586-N586)/4*(COUNTIF($F$11:F586,F586)-1)*10000,10)&amp;"}]")</f>
        <v>[{chapter_pve_hit_rate,900}]</v>
      </c>
      <c r="H586" s="82" t="s">
        <v>563</v>
      </c>
      <c r="J586" s="78">
        <f ca="1">IF(MOD(COUNTIF($Q$11:Q585,Q585),5)=0,OFFSET(装备属性!$P$1083,1+INT(COUNTA($Q$11:Q585)/5),0),J585)</f>
        <v>6</v>
      </c>
      <c r="K586" s="83" t="str">
        <f ca="1">IF(RIGHT(G586,13)="rune_slot,1}]",_xlfn.XLOOKUP(LEFT(SUBSTITUTE(G586,"[{",""),FIND(",",SUBSTITUTE(G586,"[{",""))-1),Sheet2!B:B,Sheet2!C:C)&amp;"+"&amp;1,_xlfn.XLOOKUP(LEFT(SUBSTITUTE(G586,"[{",""),FIND(",",SUBSTITUTE(G586,"[{",""))-1),Sheet2!B:B,Sheet2!C:C)&amp;"+"&amp;SUBSTITUTE(RIGHT(G586,LEN(G586)-FIND(",",G586)),"}]","")/100&amp;"%")</f>
        <v>主线挑战增伤+9%</v>
      </c>
      <c r="L586" s="83" t="str">
        <f ca="1">IF(MOD(COUNTIF($Q$11:Q585,Q585),5)=0,OFFSET(装备属性!$G$1083,1+INT(COUNTA($Q$11:Q585)/5),0),L585)</f>
        <v>主线清场Ⅴ</v>
      </c>
      <c r="M586" s="89" t="str">
        <f ca="1">IF(MOD(COUNTIF($Q$11:Q585,Q585),5)=0,OFFSET(装备属性!$H$1083,1+INT(COUNTA($Q$11:Q585)/5),0),M585)</f>
        <v>chapter_pve_hit_rate</v>
      </c>
      <c r="N586" s="76">
        <f ca="1">IF(MOD(COUNTIF($Q$11:Q585,Q585),5)=0,OFFSET(装备属性!$K$1083,1+INT(COUNTA($Q$11:Q585)/5),0),N585)</f>
        <v>0.09</v>
      </c>
      <c r="O586" s="76">
        <f ca="1">IF(MOD(COUNTIF($Q$11:Q585,Q585),5)=0,OFFSET(装备属性!$L$1083,1+INT(COUNTA($Q$11:Q585)/5),0),O585)</f>
        <v>0.1</v>
      </c>
      <c r="Q586" s="89" t="str">
        <f ca="1">IF(MOD(COUNTIF($Q$11:Q585,Q585),5)=0,OFFSET(装备属性!$M$1083,1+INT(COUNTA($Q$11:Q585)/5),0),Q585)</f>
        <v>玩法类</v>
      </c>
      <c r="R586" s="83">
        <f ca="1">IF(MOD(COUNTIF($Q$11:Q585,Q585),5)=0,10000*SUBSTITUTE(SUBSTITUTE(OFFSET(装备属性!$F$1083,1+INT(COUNTA($Q$11:Q585)/5),0),"[",""),"]","")+_xlfn.XLOOKUP(C586,$M$3:$M$7,$N$3:$N$7)*100,R585)</f>
        <v>20800</v>
      </c>
    </row>
    <row r="587" customHeight="1" spans="1:18">
      <c r="A587" s="78">
        <f ca="1" t="shared" si="24"/>
        <v>20802</v>
      </c>
      <c r="B587" s="82">
        <f ca="1">IFERROR(R587+COUNTIFS($R$11:$R587,R587),"")</f>
        <v>20827</v>
      </c>
      <c r="C587" s="83" t="str">
        <f ca="1">IF(MOD(COUNTIF($Q$11:Q586,Q586),5)=0,OFFSET(装备属性!$D$1083,1+INT(COUNTA($Q$11:Q586)/5),0),C586)</f>
        <v>彩</v>
      </c>
      <c r="D587" s="82">
        <f t="shared" si="26"/>
        <v>2500</v>
      </c>
      <c r="F587" s="82">
        <f ca="1" t="shared" si="25"/>
        <v>20805</v>
      </c>
      <c r="G587" s="78" t="str">
        <f ca="1">IF(AND(LEFT("[{"&amp;M587&amp;","&amp;CEILING(N587*10000+(O587-N587)/4*(COUNTIF($F$11:F587,F587)-1)*10000,10)&amp;"}]",7)="[{equip",MID("[{"&amp;M587&amp;","&amp;CEILING(N587*10000+(O587-N587)/4*(COUNTIF($F$11:F587,F587)-1)*10000,10)&amp;"}]",8,1)&lt;&gt;"_"),"[{"&amp;M587&amp;","&amp;1&amp;"}]","[{"&amp;M587&amp;","&amp;CEILING(N587*10000+(O587-N587)/4*(COUNTIF($F$11:F587,F587)-1)*10000,10)&amp;"}]")</f>
        <v>[{chapter_pve_hit_rate,930}]</v>
      </c>
      <c r="H587" s="82" t="s">
        <v>563</v>
      </c>
      <c r="J587" s="78">
        <f ca="1">IF(MOD(COUNTIF($Q$11:Q586,Q586),5)=0,OFFSET(装备属性!$P$1083,1+INT(COUNTA($Q$11:Q586)/5),0),J586)</f>
        <v>6</v>
      </c>
      <c r="K587" s="83" t="str">
        <f ca="1">IF(RIGHT(G587,13)="rune_slot,1}]",_xlfn.XLOOKUP(LEFT(SUBSTITUTE(G587,"[{",""),FIND(",",SUBSTITUTE(G587,"[{",""))-1),Sheet2!B:B,Sheet2!C:C)&amp;"+"&amp;1,_xlfn.XLOOKUP(LEFT(SUBSTITUTE(G587,"[{",""),FIND(",",SUBSTITUTE(G587,"[{",""))-1),Sheet2!B:B,Sheet2!C:C)&amp;"+"&amp;SUBSTITUTE(RIGHT(G587,LEN(G587)-FIND(",",G587)),"}]","")/100&amp;"%")</f>
        <v>主线挑战增伤+9.3%</v>
      </c>
      <c r="L587" s="83" t="str">
        <f ca="1">IF(MOD(COUNTIF($Q$11:Q586,Q586),5)=0,OFFSET(装备属性!$G$1083,1+INT(COUNTA($Q$11:Q586)/5),0),L586)</f>
        <v>主线清场Ⅴ</v>
      </c>
      <c r="M587" s="89" t="str">
        <f ca="1">IF(MOD(COUNTIF($Q$11:Q586,Q586),5)=0,OFFSET(装备属性!$H$1083,1+INT(COUNTA($Q$11:Q586)/5),0),M586)</f>
        <v>chapter_pve_hit_rate</v>
      </c>
      <c r="N587" s="76">
        <f ca="1">IF(MOD(COUNTIF($Q$11:Q586,Q586),5)=0,OFFSET(装备属性!$K$1083,1+INT(COUNTA($Q$11:Q586)/5),0),N586)</f>
        <v>0.09</v>
      </c>
      <c r="O587" s="76">
        <f ca="1">IF(MOD(COUNTIF($Q$11:Q586,Q586),5)=0,OFFSET(装备属性!$L$1083,1+INT(COUNTA($Q$11:Q586)/5),0),O586)</f>
        <v>0.1</v>
      </c>
      <c r="Q587" s="89" t="str">
        <f ca="1">IF(MOD(COUNTIF($Q$11:Q586,Q586),5)=0,OFFSET(装备属性!$M$1083,1+INT(COUNTA($Q$11:Q586)/5),0),Q586)</f>
        <v>玩法类</v>
      </c>
      <c r="R587" s="83">
        <f ca="1">IF(MOD(COUNTIF($Q$11:Q586,Q586),5)=0,10000*SUBSTITUTE(SUBSTITUTE(OFFSET(装备属性!$F$1083,1+INT(COUNTA($Q$11:Q586)/5),0),"[",""),"]","")+_xlfn.XLOOKUP(C587,$M$3:$M$7,$N$3:$N$7)*100,R586)</f>
        <v>20800</v>
      </c>
    </row>
    <row r="588" customHeight="1" spans="1:18">
      <c r="A588" s="78">
        <f ca="1" t="shared" ref="A588:A651" si="27">IFERROR(R588+IF(Q588="通用属性",1,IF(Q588="玩法类",2,IF(Q588="稀有词条",3,0))),"")</f>
        <v>20802</v>
      </c>
      <c r="B588" s="82">
        <f ca="1">IFERROR(R588+COUNTIFS($R$11:$R588,R588),"")</f>
        <v>20828</v>
      </c>
      <c r="C588" s="83" t="str">
        <f ca="1">IF(MOD(COUNTIF($Q$11:Q587,Q587),5)=0,OFFSET(装备属性!$D$1083,1+INT(COUNTA($Q$11:Q587)/5),0),C587)</f>
        <v>彩</v>
      </c>
      <c r="D588" s="82">
        <f t="shared" si="26"/>
        <v>2000</v>
      </c>
      <c r="F588" s="82">
        <f ca="1" t="shared" ref="F588:F651" si="28">IFERROR(R588+INT((B588-R588-1)/5),"")</f>
        <v>20805</v>
      </c>
      <c r="G588" s="78" t="str">
        <f ca="1">IF(AND(LEFT("[{"&amp;M588&amp;","&amp;CEILING(N588*10000+(O588-N588)/4*(COUNTIF($F$11:F588,F588)-1)*10000,10)&amp;"}]",7)="[{equip",MID("[{"&amp;M588&amp;","&amp;CEILING(N588*10000+(O588-N588)/4*(COUNTIF($F$11:F588,F588)-1)*10000,10)&amp;"}]",8,1)&lt;&gt;"_"),"[{"&amp;M588&amp;","&amp;1&amp;"}]","[{"&amp;M588&amp;","&amp;CEILING(N588*10000+(O588-N588)/4*(COUNTIF($F$11:F588,F588)-1)*10000,10)&amp;"}]")</f>
        <v>[{chapter_pve_hit_rate,950}]</v>
      </c>
      <c r="H588" s="82" t="s">
        <v>563</v>
      </c>
      <c r="J588" s="78">
        <f ca="1">IF(MOD(COUNTIF($Q$11:Q587,Q587),5)=0,OFFSET(装备属性!$P$1083,1+INT(COUNTA($Q$11:Q587)/5),0),J587)</f>
        <v>6</v>
      </c>
      <c r="K588" s="83" t="str">
        <f ca="1">IF(RIGHT(G588,13)="rune_slot,1}]",_xlfn.XLOOKUP(LEFT(SUBSTITUTE(G588,"[{",""),FIND(",",SUBSTITUTE(G588,"[{",""))-1),Sheet2!B:B,Sheet2!C:C)&amp;"+"&amp;1,_xlfn.XLOOKUP(LEFT(SUBSTITUTE(G588,"[{",""),FIND(",",SUBSTITUTE(G588,"[{",""))-1),Sheet2!B:B,Sheet2!C:C)&amp;"+"&amp;SUBSTITUTE(RIGHT(G588,LEN(G588)-FIND(",",G588)),"}]","")/100&amp;"%")</f>
        <v>主线挑战增伤+9.5%</v>
      </c>
      <c r="L588" s="83" t="str">
        <f ca="1">IF(MOD(COUNTIF($Q$11:Q587,Q587),5)=0,OFFSET(装备属性!$G$1083,1+INT(COUNTA($Q$11:Q587)/5),0),L587)</f>
        <v>主线清场Ⅴ</v>
      </c>
      <c r="M588" s="89" t="str">
        <f ca="1">IF(MOD(COUNTIF($Q$11:Q587,Q587),5)=0,OFFSET(装备属性!$H$1083,1+INT(COUNTA($Q$11:Q587)/5),0),M587)</f>
        <v>chapter_pve_hit_rate</v>
      </c>
      <c r="N588" s="76">
        <f ca="1">IF(MOD(COUNTIF($Q$11:Q587,Q587),5)=0,OFFSET(装备属性!$K$1083,1+INT(COUNTA($Q$11:Q587)/5),0),N587)</f>
        <v>0.09</v>
      </c>
      <c r="O588" s="76">
        <f ca="1">IF(MOD(COUNTIF($Q$11:Q587,Q587),5)=0,OFFSET(装备属性!$L$1083,1+INT(COUNTA($Q$11:Q587)/5),0),O587)</f>
        <v>0.1</v>
      </c>
      <c r="Q588" s="89" t="str">
        <f ca="1">IF(MOD(COUNTIF($Q$11:Q587,Q587),5)=0,OFFSET(装备属性!$M$1083,1+INT(COUNTA($Q$11:Q587)/5),0),Q587)</f>
        <v>玩法类</v>
      </c>
      <c r="R588" s="83">
        <f ca="1">IF(MOD(COUNTIF($Q$11:Q587,Q587),5)=0,10000*SUBSTITUTE(SUBSTITUTE(OFFSET(装备属性!$F$1083,1+INT(COUNTA($Q$11:Q587)/5),0),"[",""),"]","")+_xlfn.XLOOKUP(C588,$M$3:$M$7,$N$3:$N$7)*100,R587)</f>
        <v>20800</v>
      </c>
    </row>
    <row r="589" customHeight="1" spans="1:18">
      <c r="A589" s="78">
        <f ca="1" t="shared" si="27"/>
        <v>20802</v>
      </c>
      <c r="B589" s="82">
        <f ca="1">IFERROR(R589+COUNTIFS($R$11:$R589,R589),"")</f>
        <v>20829</v>
      </c>
      <c r="C589" s="83" t="str">
        <f ca="1">IF(MOD(COUNTIF($Q$11:Q588,Q588),5)=0,OFFSET(装备属性!$D$1083,1+INT(COUNTA($Q$11:Q588)/5),0),C588)</f>
        <v>彩</v>
      </c>
      <c r="D589" s="82">
        <f t="shared" si="26"/>
        <v>1500</v>
      </c>
      <c r="F589" s="82">
        <f ca="1" t="shared" si="28"/>
        <v>20805</v>
      </c>
      <c r="G589" s="78" t="str">
        <f ca="1">IF(AND(LEFT("[{"&amp;M589&amp;","&amp;CEILING(N589*10000+(O589-N589)/4*(COUNTIF($F$11:F589,F589)-1)*10000,10)&amp;"}]",7)="[{equip",MID("[{"&amp;M589&amp;","&amp;CEILING(N589*10000+(O589-N589)/4*(COUNTIF($F$11:F589,F589)-1)*10000,10)&amp;"}]",8,1)&lt;&gt;"_"),"[{"&amp;M589&amp;","&amp;1&amp;"}]","[{"&amp;M589&amp;","&amp;CEILING(N589*10000+(O589-N589)/4*(COUNTIF($F$11:F589,F589)-1)*10000,10)&amp;"}]")</f>
        <v>[{chapter_pve_hit_rate,980}]</v>
      </c>
      <c r="H589" s="82" t="s">
        <v>563</v>
      </c>
      <c r="J589" s="78">
        <f ca="1">IF(MOD(COUNTIF($Q$11:Q588,Q588),5)=0,OFFSET(装备属性!$P$1083,1+INT(COUNTA($Q$11:Q588)/5),0),J588)</f>
        <v>6</v>
      </c>
      <c r="K589" s="83" t="str">
        <f ca="1">IF(RIGHT(G589,13)="rune_slot,1}]",_xlfn.XLOOKUP(LEFT(SUBSTITUTE(G589,"[{",""),FIND(",",SUBSTITUTE(G589,"[{",""))-1),Sheet2!B:B,Sheet2!C:C)&amp;"+"&amp;1,_xlfn.XLOOKUP(LEFT(SUBSTITUTE(G589,"[{",""),FIND(",",SUBSTITUTE(G589,"[{",""))-1),Sheet2!B:B,Sheet2!C:C)&amp;"+"&amp;SUBSTITUTE(RIGHT(G589,LEN(G589)-FIND(",",G589)),"}]","")/100&amp;"%")</f>
        <v>主线挑战增伤+9.8%</v>
      </c>
      <c r="L589" s="83" t="str">
        <f ca="1">IF(MOD(COUNTIF($Q$11:Q588,Q588),5)=0,OFFSET(装备属性!$G$1083,1+INT(COUNTA($Q$11:Q588)/5),0),L588)</f>
        <v>主线清场Ⅴ</v>
      </c>
      <c r="M589" s="89" t="str">
        <f ca="1">IF(MOD(COUNTIF($Q$11:Q588,Q588),5)=0,OFFSET(装备属性!$H$1083,1+INT(COUNTA($Q$11:Q588)/5),0),M588)</f>
        <v>chapter_pve_hit_rate</v>
      </c>
      <c r="N589" s="76">
        <f ca="1">IF(MOD(COUNTIF($Q$11:Q588,Q588),5)=0,OFFSET(装备属性!$K$1083,1+INT(COUNTA($Q$11:Q588)/5),0),N588)</f>
        <v>0.09</v>
      </c>
      <c r="O589" s="76">
        <f ca="1">IF(MOD(COUNTIF($Q$11:Q588,Q588),5)=0,OFFSET(装备属性!$L$1083,1+INT(COUNTA($Q$11:Q588)/5),0),O588)</f>
        <v>0.1</v>
      </c>
      <c r="Q589" s="89" t="str">
        <f ca="1">IF(MOD(COUNTIF($Q$11:Q588,Q588),5)=0,OFFSET(装备属性!$M$1083,1+INT(COUNTA($Q$11:Q588)/5),0),Q588)</f>
        <v>玩法类</v>
      </c>
      <c r="R589" s="83">
        <f ca="1">IF(MOD(COUNTIF($Q$11:Q588,Q588),5)=0,10000*SUBSTITUTE(SUBSTITUTE(OFFSET(装备属性!$F$1083,1+INT(COUNTA($Q$11:Q588)/5),0),"[",""),"]","")+_xlfn.XLOOKUP(C589,$M$3:$M$7,$N$3:$N$7)*100,R588)</f>
        <v>20800</v>
      </c>
    </row>
    <row r="590" customHeight="1" spans="1:18">
      <c r="A590" s="78">
        <f ca="1" t="shared" si="27"/>
        <v>20802</v>
      </c>
      <c r="B590" s="82">
        <f ca="1">IFERROR(R590+COUNTIFS($R$11:$R590,R590),"")</f>
        <v>20830</v>
      </c>
      <c r="C590" s="83" t="str">
        <f ca="1">IF(MOD(COUNTIF($Q$11:Q589,Q589),5)=0,OFFSET(装备属性!$D$1083,1+INT(COUNTA($Q$11:Q589)/5),0),C589)</f>
        <v>彩</v>
      </c>
      <c r="D590" s="82">
        <f t="shared" si="26"/>
        <v>1000</v>
      </c>
      <c r="F590" s="82">
        <f ca="1" t="shared" si="28"/>
        <v>20805</v>
      </c>
      <c r="G590" s="78" t="str">
        <f ca="1">IF(AND(LEFT("[{"&amp;M590&amp;","&amp;CEILING(N590*10000+(O590-N590)/4*(COUNTIF($F$11:F590,F590)-1)*10000,10)&amp;"}]",7)="[{equip",MID("[{"&amp;M590&amp;","&amp;CEILING(N590*10000+(O590-N590)/4*(COUNTIF($F$11:F590,F590)-1)*10000,10)&amp;"}]",8,1)&lt;&gt;"_"),"[{"&amp;M590&amp;","&amp;1&amp;"}]","[{"&amp;M590&amp;","&amp;CEILING(N590*10000+(O590-N590)/4*(COUNTIF($F$11:F590,F590)-1)*10000,10)&amp;"}]")</f>
        <v>[{chapter_pve_hit_rate,1000}]</v>
      </c>
      <c r="H590" s="82" t="s">
        <v>563</v>
      </c>
      <c r="J590" s="78">
        <f ca="1">IF(MOD(COUNTIF($Q$11:Q589,Q589),5)=0,OFFSET(装备属性!$P$1083,1+INT(COUNTA($Q$11:Q589)/5),0),J589)</f>
        <v>6</v>
      </c>
      <c r="K590" s="83" t="str">
        <f ca="1">IF(RIGHT(G590,13)="rune_slot,1}]",_xlfn.XLOOKUP(LEFT(SUBSTITUTE(G590,"[{",""),FIND(",",SUBSTITUTE(G590,"[{",""))-1),Sheet2!B:B,Sheet2!C:C)&amp;"+"&amp;1,_xlfn.XLOOKUP(LEFT(SUBSTITUTE(G590,"[{",""),FIND(",",SUBSTITUTE(G590,"[{",""))-1),Sheet2!B:B,Sheet2!C:C)&amp;"+"&amp;SUBSTITUTE(RIGHT(G590,LEN(G590)-FIND(",",G590)),"}]","")/100&amp;"%")</f>
        <v>主线挑战增伤+10%</v>
      </c>
      <c r="L590" s="83" t="str">
        <f ca="1">IF(MOD(COUNTIF($Q$11:Q589,Q589),5)=0,OFFSET(装备属性!$G$1083,1+INT(COUNTA($Q$11:Q589)/5),0),L589)</f>
        <v>主线清场Ⅴ</v>
      </c>
      <c r="M590" s="89" t="str">
        <f ca="1">IF(MOD(COUNTIF($Q$11:Q589,Q589),5)=0,OFFSET(装备属性!$H$1083,1+INT(COUNTA($Q$11:Q589)/5),0),M589)</f>
        <v>chapter_pve_hit_rate</v>
      </c>
      <c r="N590" s="76">
        <f ca="1">IF(MOD(COUNTIF($Q$11:Q589,Q589),5)=0,OFFSET(装备属性!$K$1083,1+INT(COUNTA($Q$11:Q589)/5),0),N589)</f>
        <v>0.09</v>
      </c>
      <c r="O590" s="76">
        <f ca="1">IF(MOD(COUNTIF($Q$11:Q589,Q589),5)=0,OFFSET(装备属性!$L$1083,1+INT(COUNTA($Q$11:Q589)/5),0),O589)</f>
        <v>0.1</v>
      </c>
      <c r="Q590" s="89" t="str">
        <f ca="1">IF(MOD(COUNTIF($Q$11:Q589,Q589),5)=0,OFFSET(装备属性!$M$1083,1+INT(COUNTA($Q$11:Q589)/5),0),Q589)</f>
        <v>玩法类</v>
      </c>
      <c r="R590" s="83">
        <f ca="1">IF(MOD(COUNTIF($Q$11:Q589,Q589),5)=0,10000*SUBSTITUTE(SUBSTITUTE(OFFSET(装备属性!$F$1083,1+INT(COUNTA($Q$11:Q589)/5),0),"[",""),"]","")+_xlfn.XLOOKUP(C590,$M$3:$M$7,$N$3:$N$7)*100,R589)</f>
        <v>20800</v>
      </c>
    </row>
    <row r="591" customHeight="1" spans="1:18">
      <c r="A591" s="78">
        <f ca="1" t="shared" si="27"/>
        <v>20801</v>
      </c>
      <c r="B591" s="82">
        <f ca="1">IFERROR(R591+COUNTIFS($R$11:$R591,R591),"")</f>
        <v>20831</v>
      </c>
      <c r="C591" s="83" t="str">
        <f ca="1">IF(MOD(COUNTIF($Q$11:Q590,Q590),5)=0,OFFSET(装备属性!$D$1083,1+INT(COUNTA($Q$11:Q590)/5),0),C590)</f>
        <v>彩</v>
      </c>
      <c r="D591" s="82">
        <f t="shared" si="26"/>
        <v>3000</v>
      </c>
      <c r="F591" s="82">
        <f ca="1" t="shared" si="28"/>
        <v>20806</v>
      </c>
      <c r="G591" s="78" t="str">
        <f ca="1">IF(AND(LEFT("[{"&amp;M591&amp;","&amp;CEILING(N591*10000+(O591-N591)/4*(COUNTIF($F$11:F591,F591)-1)*10000,10)&amp;"}]",7)="[{equip",MID("[{"&amp;M591&amp;","&amp;CEILING(N591*10000+(O591-N591)/4*(COUNTIF($F$11:F591,F591)-1)*10000,10)&amp;"}]",8,1)&lt;&gt;"_"),"[{"&amp;M591&amp;","&amp;1&amp;"}]","[{"&amp;M591&amp;","&amp;CEILING(N591*10000+(O591-N591)/4*(COUNTIF($F$11:F591,F591)-1)*10000,10)&amp;"}]")</f>
        <v>[{mage_dmg_red_rate,350}]</v>
      </c>
      <c r="H591" s="82" t="s">
        <v>563</v>
      </c>
      <c r="J591" s="78">
        <f ca="1">IF(MOD(COUNTIF($Q$11:Q590,Q590),5)=0,OFFSET(装备属性!$P$1083,1+INT(COUNTA($Q$11:Q590)/5),0),J590)</f>
        <v>5</v>
      </c>
      <c r="K591" s="83" t="str">
        <f ca="1">IF(RIGHT(G591,13)="rune_slot,1}]",_xlfn.XLOOKUP(LEFT(SUBSTITUTE(G591,"[{",""),FIND(",",SUBSTITUTE(G591,"[{",""))-1),Sheet2!B:B,Sheet2!C:C)&amp;"+"&amp;1,_xlfn.XLOOKUP(LEFT(SUBSTITUTE(G591,"[{",""),FIND(",",SUBSTITUTE(G591,"[{",""))-1),Sheet2!B:B,Sheet2!C:C)&amp;"+"&amp;SUBSTITUTE(RIGHT(G591,LEN(G591)-FIND(",",G591)),"}]","")/100&amp;"%")</f>
        <v>法师伤害减免+3.5%</v>
      </c>
      <c r="L591" s="83" t="str">
        <f ca="1">IF(MOD(COUNTIF($Q$11:Q590,Q590),5)=0,OFFSET(装备属性!$G$1083,1+INT(COUNTA($Q$11:Q590)/5),0),L590)</f>
        <v>施法防抗Ⅴ</v>
      </c>
      <c r="M591" s="89" t="str">
        <f ca="1">IF(MOD(COUNTIF($Q$11:Q590,Q590),5)=0,OFFSET(装备属性!$H$1083,1+INT(COUNTA($Q$11:Q590)/5),0),M590)</f>
        <v>mage_dmg_red_rate</v>
      </c>
      <c r="N591" s="76">
        <f ca="1">IF(MOD(COUNTIF($Q$11:Q590,Q590),5)=0,OFFSET(装备属性!$K$1083,1+INT(COUNTA($Q$11:Q590)/5),0),N590)</f>
        <v>0.035</v>
      </c>
      <c r="O591" s="76">
        <f ca="1">IF(MOD(COUNTIF($Q$11:Q590,Q590),5)=0,OFFSET(装备属性!$L$1083,1+INT(COUNTA($Q$11:Q590)/5),0),O590)</f>
        <v>0.039</v>
      </c>
      <c r="Q591" s="89" t="str">
        <f ca="1">IF(MOD(COUNTIF($Q$11:Q590,Q590),5)=0,OFFSET(装备属性!$M$1083,1+INT(COUNTA($Q$11:Q590)/5),0),Q590)</f>
        <v>通用属性</v>
      </c>
      <c r="R591" s="83">
        <f ca="1">IF(MOD(COUNTIF($Q$11:Q590,Q590),5)=0,10000*SUBSTITUTE(SUBSTITUTE(OFFSET(装备属性!$F$1083,1+INT(COUNTA($Q$11:Q590)/5),0),"[",""),"]","")+_xlfn.XLOOKUP(C591,$M$3:$M$7,$N$3:$N$7)*100,R590)</f>
        <v>20800</v>
      </c>
    </row>
    <row r="592" customHeight="1" spans="1:18">
      <c r="A592" s="78">
        <f ca="1" t="shared" si="27"/>
        <v>20801</v>
      </c>
      <c r="B592" s="82">
        <f ca="1">IFERROR(R592+COUNTIFS($R$11:$R592,R592),"")</f>
        <v>20832</v>
      </c>
      <c r="C592" s="83" t="str">
        <f ca="1">IF(MOD(COUNTIF($Q$11:Q591,Q591),5)=0,OFFSET(装备属性!$D$1083,1+INT(COUNTA($Q$11:Q591)/5),0),C591)</f>
        <v>彩</v>
      </c>
      <c r="D592" s="82">
        <f t="shared" si="26"/>
        <v>2500</v>
      </c>
      <c r="F592" s="82">
        <f ca="1" t="shared" si="28"/>
        <v>20806</v>
      </c>
      <c r="G592" s="78" t="str">
        <f ca="1">IF(AND(LEFT("[{"&amp;M592&amp;","&amp;CEILING(N592*10000+(O592-N592)/4*(COUNTIF($F$11:F592,F592)-1)*10000,10)&amp;"}]",7)="[{equip",MID("[{"&amp;M592&amp;","&amp;CEILING(N592*10000+(O592-N592)/4*(COUNTIF($F$11:F592,F592)-1)*10000,10)&amp;"}]",8,1)&lt;&gt;"_"),"[{"&amp;M592&amp;","&amp;1&amp;"}]","[{"&amp;M592&amp;","&amp;CEILING(N592*10000+(O592-N592)/4*(COUNTIF($F$11:F592,F592)-1)*10000,10)&amp;"}]")</f>
        <v>[{mage_dmg_red_rate,360}]</v>
      </c>
      <c r="H592" s="82" t="s">
        <v>563</v>
      </c>
      <c r="J592" s="78">
        <f ca="1">IF(MOD(COUNTIF($Q$11:Q591,Q591),5)=0,OFFSET(装备属性!$P$1083,1+INT(COUNTA($Q$11:Q591)/5),0),J591)</f>
        <v>5</v>
      </c>
      <c r="K592" s="83" t="str">
        <f ca="1">IF(RIGHT(G592,13)="rune_slot,1}]",_xlfn.XLOOKUP(LEFT(SUBSTITUTE(G592,"[{",""),FIND(",",SUBSTITUTE(G592,"[{",""))-1),Sheet2!B:B,Sheet2!C:C)&amp;"+"&amp;1,_xlfn.XLOOKUP(LEFT(SUBSTITUTE(G592,"[{",""),FIND(",",SUBSTITUTE(G592,"[{",""))-1),Sheet2!B:B,Sheet2!C:C)&amp;"+"&amp;SUBSTITUTE(RIGHT(G592,LEN(G592)-FIND(",",G592)),"}]","")/100&amp;"%")</f>
        <v>法师伤害减免+3.6%</v>
      </c>
      <c r="L592" s="83" t="str">
        <f ca="1">IF(MOD(COUNTIF($Q$11:Q591,Q591),5)=0,OFFSET(装备属性!$G$1083,1+INT(COUNTA($Q$11:Q591)/5),0),L591)</f>
        <v>施法防抗Ⅴ</v>
      </c>
      <c r="M592" s="89" t="str">
        <f ca="1">IF(MOD(COUNTIF($Q$11:Q591,Q591),5)=0,OFFSET(装备属性!$H$1083,1+INT(COUNTA($Q$11:Q591)/5),0),M591)</f>
        <v>mage_dmg_red_rate</v>
      </c>
      <c r="N592" s="76">
        <f ca="1">IF(MOD(COUNTIF($Q$11:Q591,Q591),5)=0,OFFSET(装备属性!$K$1083,1+INT(COUNTA($Q$11:Q591)/5),0),N591)</f>
        <v>0.035</v>
      </c>
      <c r="O592" s="76">
        <f ca="1">IF(MOD(COUNTIF($Q$11:Q591,Q591),5)=0,OFFSET(装备属性!$L$1083,1+INT(COUNTA($Q$11:Q591)/5),0),O591)</f>
        <v>0.039</v>
      </c>
      <c r="Q592" s="89" t="str">
        <f ca="1">IF(MOD(COUNTIF($Q$11:Q591,Q591),5)=0,OFFSET(装备属性!$M$1083,1+INT(COUNTA($Q$11:Q591)/5),0),Q591)</f>
        <v>通用属性</v>
      </c>
      <c r="R592" s="83">
        <f ca="1">IF(MOD(COUNTIF($Q$11:Q591,Q591),5)=0,10000*SUBSTITUTE(SUBSTITUTE(OFFSET(装备属性!$F$1083,1+INT(COUNTA($Q$11:Q591)/5),0),"[",""),"]","")+_xlfn.XLOOKUP(C592,$M$3:$M$7,$N$3:$N$7)*100,R591)</f>
        <v>20800</v>
      </c>
    </row>
    <row r="593" customHeight="1" spans="1:18">
      <c r="A593" s="78">
        <f ca="1" t="shared" si="27"/>
        <v>20801</v>
      </c>
      <c r="B593" s="82">
        <f ca="1">IFERROR(R593+COUNTIFS($R$11:$R593,R593),"")</f>
        <v>20833</v>
      </c>
      <c r="C593" s="83" t="str">
        <f ca="1">IF(MOD(COUNTIF($Q$11:Q592,Q592),5)=0,OFFSET(装备属性!$D$1083,1+INT(COUNTA($Q$11:Q592)/5),0),C592)</f>
        <v>彩</v>
      </c>
      <c r="D593" s="82">
        <f t="shared" ref="D593:D656" si="29">D588</f>
        <v>2000</v>
      </c>
      <c r="F593" s="82">
        <f ca="1" t="shared" si="28"/>
        <v>20806</v>
      </c>
      <c r="G593" s="78" t="str">
        <f ca="1">IF(AND(LEFT("[{"&amp;M593&amp;","&amp;CEILING(N593*10000+(O593-N593)/4*(COUNTIF($F$11:F593,F593)-1)*10000,10)&amp;"}]",7)="[{equip",MID("[{"&amp;M593&amp;","&amp;CEILING(N593*10000+(O593-N593)/4*(COUNTIF($F$11:F593,F593)-1)*10000,10)&amp;"}]",8,1)&lt;&gt;"_"),"[{"&amp;M593&amp;","&amp;1&amp;"}]","[{"&amp;M593&amp;","&amp;CEILING(N593*10000+(O593-N593)/4*(COUNTIF($F$11:F593,F593)-1)*10000,10)&amp;"}]")</f>
        <v>[{mage_dmg_red_rate,370}]</v>
      </c>
      <c r="H593" s="82" t="s">
        <v>563</v>
      </c>
      <c r="J593" s="78">
        <f ca="1">IF(MOD(COUNTIF($Q$11:Q592,Q592),5)=0,OFFSET(装备属性!$P$1083,1+INT(COUNTA($Q$11:Q592)/5),0),J592)</f>
        <v>5</v>
      </c>
      <c r="K593" s="83" t="str">
        <f ca="1">IF(RIGHT(G593,13)="rune_slot,1}]",_xlfn.XLOOKUP(LEFT(SUBSTITUTE(G593,"[{",""),FIND(",",SUBSTITUTE(G593,"[{",""))-1),Sheet2!B:B,Sheet2!C:C)&amp;"+"&amp;1,_xlfn.XLOOKUP(LEFT(SUBSTITUTE(G593,"[{",""),FIND(",",SUBSTITUTE(G593,"[{",""))-1),Sheet2!B:B,Sheet2!C:C)&amp;"+"&amp;SUBSTITUTE(RIGHT(G593,LEN(G593)-FIND(",",G593)),"}]","")/100&amp;"%")</f>
        <v>法师伤害减免+3.7%</v>
      </c>
      <c r="L593" s="83" t="str">
        <f ca="1">IF(MOD(COUNTIF($Q$11:Q592,Q592),5)=0,OFFSET(装备属性!$G$1083,1+INT(COUNTA($Q$11:Q592)/5),0),L592)</f>
        <v>施法防抗Ⅴ</v>
      </c>
      <c r="M593" s="89" t="str">
        <f ca="1">IF(MOD(COUNTIF($Q$11:Q592,Q592),5)=0,OFFSET(装备属性!$H$1083,1+INT(COUNTA($Q$11:Q592)/5),0),M592)</f>
        <v>mage_dmg_red_rate</v>
      </c>
      <c r="N593" s="76">
        <f ca="1">IF(MOD(COUNTIF($Q$11:Q592,Q592),5)=0,OFFSET(装备属性!$K$1083,1+INT(COUNTA($Q$11:Q592)/5),0),N592)</f>
        <v>0.035</v>
      </c>
      <c r="O593" s="76">
        <f ca="1">IF(MOD(COUNTIF($Q$11:Q592,Q592),5)=0,OFFSET(装备属性!$L$1083,1+INT(COUNTA($Q$11:Q592)/5),0),O592)</f>
        <v>0.039</v>
      </c>
      <c r="Q593" s="89" t="str">
        <f ca="1">IF(MOD(COUNTIF($Q$11:Q592,Q592),5)=0,OFFSET(装备属性!$M$1083,1+INT(COUNTA($Q$11:Q592)/5),0),Q592)</f>
        <v>通用属性</v>
      </c>
      <c r="R593" s="83">
        <f ca="1">IF(MOD(COUNTIF($Q$11:Q592,Q592),5)=0,10000*SUBSTITUTE(SUBSTITUTE(OFFSET(装备属性!$F$1083,1+INT(COUNTA($Q$11:Q592)/5),0),"[",""),"]","")+_xlfn.XLOOKUP(C593,$M$3:$M$7,$N$3:$N$7)*100,R592)</f>
        <v>20800</v>
      </c>
    </row>
    <row r="594" customHeight="1" spans="1:18">
      <c r="A594" s="78">
        <f ca="1" t="shared" si="27"/>
        <v>20801</v>
      </c>
      <c r="B594" s="82">
        <f ca="1">IFERROR(R594+COUNTIFS($R$11:$R594,R594),"")</f>
        <v>20834</v>
      </c>
      <c r="C594" s="83" t="str">
        <f ca="1">IF(MOD(COUNTIF($Q$11:Q593,Q593),5)=0,OFFSET(装备属性!$D$1083,1+INT(COUNTA($Q$11:Q593)/5),0),C593)</f>
        <v>彩</v>
      </c>
      <c r="D594" s="82">
        <f t="shared" si="29"/>
        <v>1500</v>
      </c>
      <c r="F594" s="82">
        <f ca="1" t="shared" si="28"/>
        <v>20806</v>
      </c>
      <c r="G594" s="78" t="str">
        <f ca="1">IF(AND(LEFT("[{"&amp;M594&amp;","&amp;CEILING(N594*10000+(O594-N594)/4*(COUNTIF($F$11:F594,F594)-1)*10000,10)&amp;"}]",7)="[{equip",MID("[{"&amp;M594&amp;","&amp;CEILING(N594*10000+(O594-N594)/4*(COUNTIF($F$11:F594,F594)-1)*10000,10)&amp;"}]",8,1)&lt;&gt;"_"),"[{"&amp;M594&amp;","&amp;1&amp;"}]","[{"&amp;M594&amp;","&amp;CEILING(N594*10000+(O594-N594)/4*(COUNTIF($F$11:F594,F594)-1)*10000,10)&amp;"}]")</f>
        <v>[{mage_dmg_red_rate,380}]</v>
      </c>
      <c r="H594" s="82" t="s">
        <v>563</v>
      </c>
      <c r="J594" s="78">
        <f ca="1">IF(MOD(COUNTIF($Q$11:Q593,Q593),5)=0,OFFSET(装备属性!$P$1083,1+INT(COUNTA($Q$11:Q593)/5),0),J593)</f>
        <v>5</v>
      </c>
      <c r="K594" s="83" t="str">
        <f ca="1">IF(RIGHT(G594,13)="rune_slot,1}]",_xlfn.XLOOKUP(LEFT(SUBSTITUTE(G594,"[{",""),FIND(",",SUBSTITUTE(G594,"[{",""))-1),Sheet2!B:B,Sheet2!C:C)&amp;"+"&amp;1,_xlfn.XLOOKUP(LEFT(SUBSTITUTE(G594,"[{",""),FIND(",",SUBSTITUTE(G594,"[{",""))-1),Sheet2!B:B,Sheet2!C:C)&amp;"+"&amp;SUBSTITUTE(RIGHT(G594,LEN(G594)-FIND(",",G594)),"}]","")/100&amp;"%")</f>
        <v>法师伤害减免+3.8%</v>
      </c>
      <c r="L594" s="83" t="str">
        <f ca="1">IF(MOD(COUNTIF($Q$11:Q593,Q593),5)=0,OFFSET(装备属性!$G$1083,1+INT(COUNTA($Q$11:Q593)/5),0),L593)</f>
        <v>施法防抗Ⅴ</v>
      </c>
      <c r="M594" s="89" t="str">
        <f ca="1">IF(MOD(COUNTIF($Q$11:Q593,Q593),5)=0,OFFSET(装备属性!$H$1083,1+INT(COUNTA($Q$11:Q593)/5),0),M593)</f>
        <v>mage_dmg_red_rate</v>
      </c>
      <c r="N594" s="76">
        <f ca="1">IF(MOD(COUNTIF($Q$11:Q593,Q593),5)=0,OFFSET(装备属性!$K$1083,1+INT(COUNTA($Q$11:Q593)/5),0),N593)</f>
        <v>0.035</v>
      </c>
      <c r="O594" s="76">
        <f ca="1">IF(MOD(COUNTIF($Q$11:Q593,Q593),5)=0,OFFSET(装备属性!$L$1083,1+INT(COUNTA($Q$11:Q593)/5),0),O593)</f>
        <v>0.039</v>
      </c>
      <c r="Q594" s="89" t="str">
        <f ca="1">IF(MOD(COUNTIF($Q$11:Q593,Q593),5)=0,OFFSET(装备属性!$M$1083,1+INT(COUNTA($Q$11:Q593)/5),0),Q593)</f>
        <v>通用属性</v>
      </c>
      <c r="R594" s="83">
        <f ca="1">IF(MOD(COUNTIF($Q$11:Q593,Q593),5)=0,10000*SUBSTITUTE(SUBSTITUTE(OFFSET(装备属性!$F$1083,1+INT(COUNTA($Q$11:Q593)/5),0),"[",""),"]","")+_xlfn.XLOOKUP(C594,$M$3:$M$7,$N$3:$N$7)*100,R593)</f>
        <v>20800</v>
      </c>
    </row>
    <row r="595" customHeight="1" spans="1:18">
      <c r="A595" s="78">
        <f ca="1" t="shared" si="27"/>
        <v>20801</v>
      </c>
      <c r="B595" s="82">
        <f ca="1">IFERROR(R595+COUNTIFS($R$11:$R595,R595),"")</f>
        <v>20835</v>
      </c>
      <c r="C595" s="83" t="str">
        <f ca="1">IF(MOD(COUNTIF($Q$11:Q594,Q594),5)=0,OFFSET(装备属性!$D$1083,1+INT(COUNTA($Q$11:Q594)/5),0),C594)</f>
        <v>彩</v>
      </c>
      <c r="D595" s="82">
        <f t="shared" si="29"/>
        <v>1000</v>
      </c>
      <c r="F595" s="82">
        <f ca="1" t="shared" si="28"/>
        <v>20806</v>
      </c>
      <c r="G595" s="78" t="str">
        <f ca="1">IF(AND(LEFT("[{"&amp;M595&amp;","&amp;CEILING(N595*10000+(O595-N595)/4*(COUNTIF($F$11:F595,F595)-1)*10000,10)&amp;"}]",7)="[{equip",MID("[{"&amp;M595&amp;","&amp;CEILING(N595*10000+(O595-N595)/4*(COUNTIF($F$11:F595,F595)-1)*10000,10)&amp;"}]",8,1)&lt;&gt;"_"),"[{"&amp;M595&amp;","&amp;1&amp;"}]","[{"&amp;M595&amp;","&amp;CEILING(N595*10000+(O595-N595)/4*(COUNTIF($F$11:F595,F595)-1)*10000,10)&amp;"}]")</f>
        <v>[{mage_dmg_red_rate,390}]</v>
      </c>
      <c r="H595" s="82" t="s">
        <v>563</v>
      </c>
      <c r="J595" s="78">
        <f ca="1">IF(MOD(COUNTIF($Q$11:Q594,Q594),5)=0,OFFSET(装备属性!$P$1083,1+INT(COUNTA($Q$11:Q594)/5),0),J594)</f>
        <v>5</v>
      </c>
      <c r="K595" s="83" t="str">
        <f ca="1">IF(RIGHT(G595,13)="rune_slot,1}]",_xlfn.XLOOKUP(LEFT(SUBSTITUTE(G595,"[{",""),FIND(",",SUBSTITUTE(G595,"[{",""))-1),Sheet2!B:B,Sheet2!C:C)&amp;"+"&amp;1,_xlfn.XLOOKUP(LEFT(SUBSTITUTE(G595,"[{",""),FIND(",",SUBSTITUTE(G595,"[{",""))-1),Sheet2!B:B,Sheet2!C:C)&amp;"+"&amp;SUBSTITUTE(RIGHT(G595,LEN(G595)-FIND(",",G595)),"}]","")/100&amp;"%")</f>
        <v>法师伤害减免+3.9%</v>
      </c>
      <c r="L595" s="83" t="str">
        <f ca="1">IF(MOD(COUNTIF($Q$11:Q594,Q594),5)=0,OFFSET(装备属性!$G$1083,1+INT(COUNTA($Q$11:Q594)/5),0),L594)</f>
        <v>施法防抗Ⅴ</v>
      </c>
      <c r="M595" s="89" t="str">
        <f ca="1">IF(MOD(COUNTIF($Q$11:Q594,Q594),5)=0,OFFSET(装备属性!$H$1083,1+INT(COUNTA($Q$11:Q594)/5),0),M594)</f>
        <v>mage_dmg_red_rate</v>
      </c>
      <c r="N595" s="76">
        <f ca="1">IF(MOD(COUNTIF($Q$11:Q594,Q594),5)=0,OFFSET(装备属性!$K$1083,1+INT(COUNTA($Q$11:Q594)/5),0),N594)</f>
        <v>0.035</v>
      </c>
      <c r="O595" s="76">
        <f ca="1">IF(MOD(COUNTIF($Q$11:Q594,Q594),5)=0,OFFSET(装备属性!$L$1083,1+INT(COUNTA($Q$11:Q594)/5),0),O594)</f>
        <v>0.039</v>
      </c>
      <c r="Q595" s="89" t="str">
        <f ca="1">IF(MOD(COUNTIF($Q$11:Q594,Q594),5)=0,OFFSET(装备属性!$M$1083,1+INT(COUNTA($Q$11:Q594)/5),0),Q594)</f>
        <v>通用属性</v>
      </c>
      <c r="R595" s="83">
        <f ca="1">IF(MOD(COUNTIF($Q$11:Q594,Q594),5)=0,10000*SUBSTITUTE(SUBSTITUTE(OFFSET(装备属性!$F$1083,1+INT(COUNTA($Q$11:Q594)/5),0),"[",""),"]","")+_xlfn.XLOOKUP(C595,$M$3:$M$7,$N$3:$N$7)*100,R594)</f>
        <v>20800</v>
      </c>
    </row>
    <row r="596" customHeight="1" spans="1:18">
      <c r="A596" s="78">
        <f ca="1" t="shared" si="27"/>
        <v>20801</v>
      </c>
      <c r="B596" s="82">
        <f ca="1">IFERROR(R596+COUNTIFS($R$11:$R596,R596),"")</f>
        <v>20836</v>
      </c>
      <c r="C596" s="83" t="str">
        <f ca="1">IF(MOD(COUNTIF($Q$11:Q595,Q595),5)=0,OFFSET(装备属性!$D$1083,1+INT(COUNTA($Q$11:Q595)/5),0),C595)</f>
        <v>彩</v>
      </c>
      <c r="D596" s="82">
        <f t="shared" si="29"/>
        <v>3000</v>
      </c>
      <c r="F596" s="82">
        <f ca="1" t="shared" si="28"/>
        <v>20807</v>
      </c>
      <c r="G596" s="78" t="str">
        <f ca="1">IF(AND(LEFT("[{"&amp;M596&amp;","&amp;CEILING(N596*10000+(O596-N596)/4*(COUNTIF($F$11:F596,F596)-1)*10000,10)&amp;"}]",7)="[{equip",MID("[{"&amp;M596&amp;","&amp;CEILING(N596*10000+(O596-N596)/4*(COUNTIF($F$11:F596,F596)-1)*10000,10)&amp;"}]",8,1)&lt;&gt;"_"),"[{"&amp;M596&amp;","&amp;1&amp;"}]","[{"&amp;M596&amp;","&amp;CEILING(N596*10000+(O596-N596)/4*(COUNTIF($F$11:F596,F596)-1)*10000,10)&amp;"}]")</f>
        <v>[{mage_dmg_rate,900}]</v>
      </c>
      <c r="H596" s="82" t="s">
        <v>563</v>
      </c>
      <c r="J596" s="78">
        <f ca="1">IF(MOD(COUNTIF($Q$11:Q595,Q595),5)=0,OFFSET(装备属性!$P$1083,1+INT(COUNTA($Q$11:Q595)/5),0),J595)</f>
        <v>3</v>
      </c>
      <c r="K596" s="83" t="str">
        <f ca="1">IF(RIGHT(G596,13)="rune_slot,1}]",_xlfn.XLOOKUP(LEFT(SUBSTITUTE(G596,"[{",""),FIND(",",SUBSTITUTE(G596,"[{",""))-1),Sheet2!B:B,Sheet2!C:C)&amp;"+"&amp;1,_xlfn.XLOOKUP(LEFT(SUBSTITUTE(G596,"[{",""),FIND(",",SUBSTITUTE(G596,"[{",""))-1),Sheet2!B:B,Sheet2!C:C)&amp;"+"&amp;SUBSTITUTE(RIGHT(G596,LEN(G596)-FIND(",",G596)),"}]","")/100&amp;"%")</f>
        <v>法师伤害+9%</v>
      </c>
      <c r="L596" s="83" t="str">
        <f ca="1">IF(MOD(COUNTIF($Q$11:Q595,Q595),5)=0,OFFSET(装备属性!$G$1083,1+INT(COUNTA($Q$11:Q595)/5),0),L595)</f>
        <v>施法添柴Ⅴ</v>
      </c>
      <c r="M596" s="89" t="str">
        <f ca="1">IF(MOD(COUNTIF($Q$11:Q595,Q595),5)=0,OFFSET(装备属性!$H$1083,1+INT(COUNTA($Q$11:Q595)/5),0),M595)</f>
        <v>mage_dmg_rate</v>
      </c>
      <c r="N596" s="76">
        <f ca="1">IF(MOD(COUNTIF($Q$11:Q595,Q595),5)=0,OFFSET(装备属性!$K$1083,1+INT(COUNTA($Q$11:Q595)/5),0),N595)</f>
        <v>0.09</v>
      </c>
      <c r="O596" s="76">
        <f ca="1">IF(MOD(COUNTIF($Q$11:Q595,Q595),5)=0,OFFSET(装备属性!$L$1083,1+INT(COUNTA($Q$11:Q595)/5),0),O595)</f>
        <v>0.1</v>
      </c>
      <c r="Q596" s="89" t="str">
        <f ca="1">IF(MOD(COUNTIF($Q$11:Q595,Q595),5)=0,OFFSET(装备属性!$M$1083,1+INT(COUNTA($Q$11:Q595)/5),0),Q595)</f>
        <v>通用属性</v>
      </c>
      <c r="R596" s="83">
        <f ca="1">IF(MOD(COUNTIF($Q$11:Q595,Q595),5)=0,10000*SUBSTITUTE(SUBSTITUTE(OFFSET(装备属性!$F$1083,1+INT(COUNTA($Q$11:Q595)/5),0),"[",""),"]","")+_xlfn.XLOOKUP(C596,$M$3:$M$7,$N$3:$N$7)*100,R595)</f>
        <v>20800</v>
      </c>
    </row>
    <row r="597" customHeight="1" spans="1:18">
      <c r="A597" s="78">
        <f ca="1" t="shared" si="27"/>
        <v>20801</v>
      </c>
      <c r="B597" s="82">
        <f ca="1">IFERROR(R597+COUNTIFS($R$11:$R597,R597),"")</f>
        <v>20837</v>
      </c>
      <c r="C597" s="83" t="str">
        <f ca="1">IF(MOD(COUNTIF($Q$11:Q596,Q596),5)=0,OFFSET(装备属性!$D$1083,1+INT(COUNTA($Q$11:Q596)/5),0),C596)</f>
        <v>彩</v>
      </c>
      <c r="D597" s="82">
        <f t="shared" si="29"/>
        <v>2500</v>
      </c>
      <c r="F597" s="82">
        <f ca="1" t="shared" si="28"/>
        <v>20807</v>
      </c>
      <c r="G597" s="78" t="str">
        <f ca="1">IF(AND(LEFT("[{"&amp;M597&amp;","&amp;CEILING(N597*10000+(O597-N597)/4*(COUNTIF($F$11:F597,F597)-1)*10000,10)&amp;"}]",7)="[{equip",MID("[{"&amp;M597&amp;","&amp;CEILING(N597*10000+(O597-N597)/4*(COUNTIF($F$11:F597,F597)-1)*10000,10)&amp;"}]",8,1)&lt;&gt;"_"),"[{"&amp;M597&amp;","&amp;1&amp;"}]","[{"&amp;M597&amp;","&amp;CEILING(N597*10000+(O597-N597)/4*(COUNTIF($F$11:F597,F597)-1)*10000,10)&amp;"}]")</f>
        <v>[{mage_dmg_rate,930}]</v>
      </c>
      <c r="H597" s="82" t="s">
        <v>563</v>
      </c>
      <c r="J597" s="78">
        <f ca="1">IF(MOD(COUNTIF($Q$11:Q596,Q596),5)=0,OFFSET(装备属性!$P$1083,1+INT(COUNTA($Q$11:Q596)/5),0),J596)</f>
        <v>3</v>
      </c>
      <c r="K597" s="83" t="str">
        <f ca="1">IF(RIGHT(G597,13)="rune_slot,1}]",_xlfn.XLOOKUP(LEFT(SUBSTITUTE(G597,"[{",""),FIND(",",SUBSTITUTE(G597,"[{",""))-1),Sheet2!B:B,Sheet2!C:C)&amp;"+"&amp;1,_xlfn.XLOOKUP(LEFT(SUBSTITUTE(G597,"[{",""),FIND(",",SUBSTITUTE(G597,"[{",""))-1),Sheet2!B:B,Sheet2!C:C)&amp;"+"&amp;SUBSTITUTE(RIGHT(G597,LEN(G597)-FIND(",",G597)),"}]","")/100&amp;"%")</f>
        <v>法师伤害+9.3%</v>
      </c>
      <c r="L597" s="83" t="str">
        <f ca="1">IF(MOD(COUNTIF($Q$11:Q596,Q596),5)=0,OFFSET(装备属性!$G$1083,1+INT(COUNTA($Q$11:Q596)/5),0),L596)</f>
        <v>施法添柴Ⅴ</v>
      </c>
      <c r="M597" s="89" t="str">
        <f ca="1">IF(MOD(COUNTIF($Q$11:Q596,Q596),5)=0,OFFSET(装备属性!$H$1083,1+INT(COUNTA($Q$11:Q596)/5),0),M596)</f>
        <v>mage_dmg_rate</v>
      </c>
      <c r="N597" s="76">
        <f ca="1">IF(MOD(COUNTIF($Q$11:Q596,Q596),5)=0,OFFSET(装备属性!$K$1083,1+INT(COUNTA($Q$11:Q596)/5),0),N596)</f>
        <v>0.09</v>
      </c>
      <c r="O597" s="76">
        <f ca="1">IF(MOD(COUNTIF($Q$11:Q596,Q596),5)=0,OFFSET(装备属性!$L$1083,1+INT(COUNTA($Q$11:Q596)/5),0),O596)</f>
        <v>0.1</v>
      </c>
      <c r="Q597" s="89" t="str">
        <f ca="1">IF(MOD(COUNTIF($Q$11:Q596,Q596),5)=0,OFFSET(装备属性!$M$1083,1+INT(COUNTA($Q$11:Q596)/5),0),Q596)</f>
        <v>通用属性</v>
      </c>
      <c r="R597" s="83">
        <f ca="1">IF(MOD(COUNTIF($Q$11:Q596,Q596),5)=0,10000*SUBSTITUTE(SUBSTITUTE(OFFSET(装备属性!$F$1083,1+INT(COUNTA($Q$11:Q596)/5),0),"[",""),"]","")+_xlfn.XLOOKUP(C597,$M$3:$M$7,$N$3:$N$7)*100,R596)</f>
        <v>20800</v>
      </c>
    </row>
    <row r="598" customHeight="1" spans="1:18">
      <c r="A598" s="78">
        <f ca="1" t="shared" si="27"/>
        <v>20801</v>
      </c>
      <c r="B598" s="82">
        <f ca="1">IFERROR(R598+COUNTIFS($R$11:$R598,R598),"")</f>
        <v>20838</v>
      </c>
      <c r="C598" s="83" t="str">
        <f ca="1">IF(MOD(COUNTIF($Q$11:Q597,Q597),5)=0,OFFSET(装备属性!$D$1083,1+INT(COUNTA($Q$11:Q597)/5),0),C597)</f>
        <v>彩</v>
      </c>
      <c r="D598" s="82">
        <f t="shared" si="29"/>
        <v>2000</v>
      </c>
      <c r="F598" s="82">
        <f ca="1" t="shared" si="28"/>
        <v>20807</v>
      </c>
      <c r="G598" s="78" t="str">
        <f ca="1">IF(AND(LEFT("[{"&amp;M598&amp;","&amp;CEILING(N598*10000+(O598-N598)/4*(COUNTIF($F$11:F598,F598)-1)*10000,10)&amp;"}]",7)="[{equip",MID("[{"&amp;M598&amp;","&amp;CEILING(N598*10000+(O598-N598)/4*(COUNTIF($F$11:F598,F598)-1)*10000,10)&amp;"}]",8,1)&lt;&gt;"_"),"[{"&amp;M598&amp;","&amp;1&amp;"}]","[{"&amp;M598&amp;","&amp;CEILING(N598*10000+(O598-N598)/4*(COUNTIF($F$11:F598,F598)-1)*10000,10)&amp;"}]")</f>
        <v>[{mage_dmg_rate,950}]</v>
      </c>
      <c r="H598" s="82" t="s">
        <v>563</v>
      </c>
      <c r="J598" s="78">
        <f ca="1">IF(MOD(COUNTIF($Q$11:Q597,Q597),5)=0,OFFSET(装备属性!$P$1083,1+INT(COUNTA($Q$11:Q597)/5),0),J597)</f>
        <v>3</v>
      </c>
      <c r="K598" s="83" t="str">
        <f ca="1">IF(RIGHT(G598,13)="rune_slot,1}]",_xlfn.XLOOKUP(LEFT(SUBSTITUTE(G598,"[{",""),FIND(",",SUBSTITUTE(G598,"[{",""))-1),Sheet2!B:B,Sheet2!C:C)&amp;"+"&amp;1,_xlfn.XLOOKUP(LEFT(SUBSTITUTE(G598,"[{",""),FIND(",",SUBSTITUTE(G598,"[{",""))-1),Sheet2!B:B,Sheet2!C:C)&amp;"+"&amp;SUBSTITUTE(RIGHT(G598,LEN(G598)-FIND(",",G598)),"}]","")/100&amp;"%")</f>
        <v>法师伤害+9.5%</v>
      </c>
      <c r="L598" s="83" t="str">
        <f ca="1">IF(MOD(COUNTIF($Q$11:Q597,Q597),5)=0,OFFSET(装备属性!$G$1083,1+INT(COUNTA($Q$11:Q597)/5),0),L597)</f>
        <v>施法添柴Ⅴ</v>
      </c>
      <c r="M598" s="89" t="str">
        <f ca="1">IF(MOD(COUNTIF($Q$11:Q597,Q597),5)=0,OFFSET(装备属性!$H$1083,1+INT(COUNTA($Q$11:Q597)/5),0),M597)</f>
        <v>mage_dmg_rate</v>
      </c>
      <c r="N598" s="76">
        <f ca="1">IF(MOD(COUNTIF($Q$11:Q597,Q597),5)=0,OFFSET(装备属性!$K$1083,1+INT(COUNTA($Q$11:Q597)/5),0),N597)</f>
        <v>0.09</v>
      </c>
      <c r="O598" s="76">
        <f ca="1">IF(MOD(COUNTIF($Q$11:Q597,Q597),5)=0,OFFSET(装备属性!$L$1083,1+INT(COUNTA($Q$11:Q597)/5),0),O597)</f>
        <v>0.1</v>
      </c>
      <c r="Q598" s="89" t="str">
        <f ca="1">IF(MOD(COUNTIF($Q$11:Q597,Q597),5)=0,OFFSET(装备属性!$M$1083,1+INT(COUNTA($Q$11:Q597)/5),0),Q597)</f>
        <v>通用属性</v>
      </c>
      <c r="R598" s="83">
        <f ca="1">IF(MOD(COUNTIF($Q$11:Q597,Q597),5)=0,10000*SUBSTITUTE(SUBSTITUTE(OFFSET(装备属性!$F$1083,1+INT(COUNTA($Q$11:Q597)/5),0),"[",""),"]","")+_xlfn.XLOOKUP(C598,$M$3:$M$7,$N$3:$N$7)*100,R597)</f>
        <v>20800</v>
      </c>
    </row>
    <row r="599" customHeight="1" spans="1:18">
      <c r="A599" s="78">
        <f ca="1" t="shared" si="27"/>
        <v>20801</v>
      </c>
      <c r="B599" s="82">
        <f ca="1">IFERROR(R599+COUNTIFS($R$11:$R599,R599),"")</f>
        <v>20839</v>
      </c>
      <c r="C599" s="83" t="str">
        <f ca="1">IF(MOD(COUNTIF($Q$11:Q598,Q598),5)=0,OFFSET(装备属性!$D$1083,1+INT(COUNTA($Q$11:Q598)/5),0),C598)</f>
        <v>彩</v>
      </c>
      <c r="D599" s="82">
        <f t="shared" si="29"/>
        <v>1500</v>
      </c>
      <c r="F599" s="82">
        <f ca="1" t="shared" si="28"/>
        <v>20807</v>
      </c>
      <c r="G599" s="78" t="str">
        <f ca="1">IF(AND(LEFT("[{"&amp;M599&amp;","&amp;CEILING(N599*10000+(O599-N599)/4*(COUNTIF($F$11:F599,F599)-1)*10000,10)&amp;"}]",7)="[{equip",MID("[{"&amp;M599&amp;","&amp;CEILING(N599*10000+(O599-N599)/4*(COUNTIF($F$11:F599,F599)-1)*10000,10)&amp;"}]",8,1)&lt;&gt;"_"),"[{"&amp;M599&amp;","&amp;1&amp;"}]","[{"&amp;M599&amp;","&amp;CEILING(N599*10000+(O599-N599)/4*(COUNTIF($F$11:F599,F599)-1)*10000,10)&amp;"}]")</f>
        <v>[{mage_dmg_rate,980}]</v>
      </c>
      <c r="H599" s="82" t="s">
        <v>563</v>
      </c>
      <c r="J599" s="78">
        <f ca="1">IF(MOD(COUNTIF($Q$11:Q598,Q598),5)=0,OFFSET(装备属性!$P$1083,1+INT(COUNTA($Q$11:Q598)/5),0),J598)</f>
        <v>3</v>
      </c>
      <c r="K599" s="83" t="str">
        <f ca="1">IF(RIGHT(G599,13)="rune_slot,1}]",_xlfn.XLOOKUP(LEFT(SUBSTITUTE(G599,"[{",""),FIND(",",SUBSTITUTE(G599,"[{",""))-1),Sheet2!B:B,Sheet2!C:C)&amp;"+"&amp;1,_xlfn.XLOOKUP(LEFT(SUBSTITUTE(G599,"[{",""),FIND(",",SUBSTITUTE(G599,"[{",""))-1),Sheet2!B:B,Sheet2!C:C)&amp;"+"&amp;SUBSTITUTE(RIGHT(G599,LEN(G599)-FIND(",",G599)),"}]","")/100&amp;"%")</f>
        <v>法师伤害+9.8%</v>
      </c>
      <c r="L599" s="83" t="str">
        <f ca="1">IF(MOD(COUNTIF($Q$11:Q598,Q598),5)=0,OFFSET(装备属性!$G$1083,1+INT(COUNTA($Q$11:Q598)/5),0),L598)</f>
        <v>施法添柴Ⅴ</v>
      </c>
      <c r="M599" s="89" t="str">
        <f ca="1">IF(MOD(COUNTIF($Q$11:Q598,Q598),5)=0,OFFSET(装备属性!$H$1083,1+INT(COUNTA($Q$11:Q598)/5),0),M598)</f>
        <v>mage_dmg_rate</v>
      </c>
      <c r="N599" s="76">
        <f ca="1">IF(MOD(COUNTIF($Q$11:Q598,Q598),5)=0,OFFSET(装备属性!$K$1083,1+INT(COUNTA($Q$11:Q598)/5),0),N598)</f>
        <v>0.09</v>
      </c>
      <c r="O599" s="76">
        <f ca="1">IF(MOD(COUNTIF($Q$11:Q598,Q598),5)=0,OFFSET(装备属性!$L$1083,1+INT(COUNTA($Q$11:Q598)/5),0),O598)</f>
        <v>0.1</v>
      </c>
      <c r="Q599" s="89" t="str">
        <f ca="1">IF(MOD(COUNTIF($Q$11:Q598,Q598),5)=0,OFFSET(装备属性!$M$1083,1+INT(COUNTA($Q$11:Q598)/5),0),Q598)</f>
        <v>通用属性</v>
      </c>
      <c r="R599" s="83">
        <f ca="1">IF(MOD(COUNTIF($Q$11:Q598,Q598),5)=0,10000*SUBSTITUTE(SUBSTITUTE(OFFSET(装备属性!$F$1083,1+INT(COUNTA($Q$11:Q598)/5),0),"[",""),"]","")+_xlfn.XLOOKUP(C599,$M$3:$M$7,$N$3:$N$7)*100,R598)</f>
        <v>20800</v>
      </c>
    </row>
    <row r="600" customHeight="1" spans="1:18">
      <c r="A600" s="78">
        <f ca="1" t="shared" si="27"/>
        <v>20801</v>
      </c>
      <c r="B600" s="82">
        <f ca="1">IFERROR(R600+COUNTIFS($R$11:$R600,R600),"")</f>
        <v>20840</v>
      </c>
      <c r="C600" s="83" t="str">
        <f ca="1">IF(MOD(COUNTIF($Q$11:Q599,Q599),5)=0,OFFSET(装备属性!$D$1083,1+INT(COUNTA($Q$11:Q599)/5),0),C599)</f>
        <v>彩</v>
      </c>
      <c r="D600" s="82">
        <f t="shared" si="29"/>
        <v>1000</v>
      </c>
      <c r="F600" s="82">
        <f ca="1" t="shared" si="28"/>
        <v>20807</v>
      </c>
      <c r="G600" s="78" t="str">
        <f ca="1">IF(AND(LEFT("[{"&amp;M600&amp;","&amp;CEILING(N600*10000+(O600-N600)/4*(COUNTIF($F$11:F600,F600)-1)*10000,10)&amp;"}]",7)="[{equip",MID("[{"&amp;M600&amp;","&amp;CEILING(N600*10000+(O600-N600)/4*(COUNTIF($F$11:F600,F600)-1)*10000,10)&amp;"}]",8,1)&lt;&gt;"_"),"[{"&amp;M600&amp;","&amp;1&amp;"}]","[{"&amp;M600&amp;","&amp;CEILING(N600*10000+(O600-N600)/4*(COUNTIF($F$11:F600,F600)-1)*10000,10)&amp;"}]")</f>
        <v>[{mage_dmg_rate,1000}]</v>
      </c>
      <c r="H600" s="82" t="s">
        <v>563</v>
      </c>
      <c r="J600" s="78">
        <f ca="1">IF(MOD(COUNTIF($Q$11:Q599,Q599),5)=0,OFFSET(装备属性!$P$1083,1+INT(COUNTA($Q$11:Q599)/5),0),J599)</f>
        <v>3</v>
      </c>
      <c r="K600" s="83" t="str">
        <f ca="1">IF(RIGHT(G600,13)="rune_slot,1}]",_xlfn.XLOOKUP(LEFT(SUBSTITUTE(G600,"[{",""),FIND(",",SUBSTITUTE(G600,"[{",""))-1),Sheet2!B:B,Sheet2!C:C)&amp;"+"&amp;1,_xlfn.XLOOKUP(LEFT(SUBSTITUTE(G600,"[{",""),FIND(",",SUBSTITUTE(G600,"[{",""))-1),Sheet2!B:B,Sheet2!C:C)&amp;"+"&amp;SUBSTITUTE(RIGHT(G600,LEN(G600)-FIND(",",G600)),"}]","")/100&amp;"%")</f>
        <v>法师伤害+10%</v>
      </c>
      <c r="L600" s="83" t="str">
        <f ca="1">IF(MOD(COUNTIF($Q$11:Q599,Q599),5)=0,OFFSET(装备属性!$G$1083,1+INT(COUNTA($Q$11:Q599)/5),0),L599)</f>
        <v>施法添柴Ⅴ</v>
      </c>
      <c r="M600" s="89" t="str">
        <f ca="1">IF(MOD(COUNTIF($Q$11:Q599,Q599),5)=0,OFFSET(装备属性!$H$1083,1+INT(COUNTA($Q$11:Q599)/5),0),M599)</f>
        <v>mage_dmg_rate</v>
      </c>
      <c r="N600" s="76">
        <f ca="1">IF(MOD(COUNTIF($Q$11:Q599,Q599),5)=0,OFFSET(装备属性!$K$1083,1+INT(COUNTA($Q$11:Q599)/5),0),N599)</f>
        <v>0.09</v>
      </c>
      <c r="O600" s="76">
        <f ca="1">IF(MOD(COUNTIF($Q$11:Q599,Q599),5)=0,OFFSET(装备属性!$L$1083,1+INT(COUNTA($Q$11:Q599)/5),0),O599)</f>
        <v>0.1</v>
      </c>
      <c r="Q600" s="89" t="str">
        <f ca="1">IF(MOD(COUNTIF($Q$11:Q599,Q599),5)=0,OFFSET(装备属性!$M$1083,1+INT(COUNTA($Q$11:Q599)/5),0),Q599)</f>
        <v>通用属性</v>
      </c>
      <c r="R600" s="83">
        <f ca="1">IF(MOD(COUNTIF($Q$11:Q599,Q599),5)=0,10000*SUBSTITUTE(SUBSTITUTE(OFFSET(装备属性!$F$1083,1+INT(COUNTA($Q$11:Q599)/5),0),"[",""),"]","")+_xlfn.XLOOKUP(C600,$M$3:$M$7,$N$3:$N$7)*100,R599)</f>
        <v>20800</v>
      </c>
    </row>
    <row r="601" customHeight="1" spans="1:18">
      <c r="A601" s="78">
        <f ca="1" t="shared" si="27"/>
        <v>20801</v>
      </c>
      <c r="B601" s="82">
        <f ca="1">IFERROR(R601+COUNTIFS($R$11:$R601,R601),"")</f>
        <v>20841</v>
      </c>
      <c r="C601" s="83" t="str">
        <f ca="1">IF(MOD(COUNTIF($Q$11:Q600,Q600),5)=0,OFFSET(装备属性!$D$1083,1+INT(COUNTA($Q$11:Q600)/5),0),C600)</f>
        <v>彩</v>
      </c>
      <c r="D601" s="82">
        <f t="shared" si="29"/>
        <v>3000</v>
      </c>
      <c r="F601" s="82">
        <f ca="1" t="shared" si="28"/>
        <v>20808</v>
      </c>
      <c r="G601" s="78" t="str">
        <f ca="1">IF(AND(LEFT("[{"&amp;M601&amp;","&amp;CEILING(N601*10000+(O601-N601)/4*(COUNTIF($F$11:F601,F601)-1)*10000,10)&amp;"}]",7)="[{equip",MID("[{"&amp;M601&amp;","&amp;CEILING(N601*10000+(O601-N601)/4*(COUNTIF($F$11:F601,F601)-1)*10000,10)&amp;"}]",8,1)&lt;&gt;"_"),"[{"&amp;M601&amp;","&amp;1&amp;"}]","[{"&amp;M601&amp;","&amp;CEILING(N601*10000+(O601-N601)/4*(COUNTIF($F$11:F601,F601)-1)*10000,10)&amp;"}]")</f>
        <v>[{mage_class_dmg_rate,1300}]</v>
      </c>
      <c r="H601" s="82" t="s">
        <v>563</v>
      </c>
      <c r="J601" s="78">
        <f ca="1">IF(MOD(COUNTIF($Q$11:Q600,Q600),5)=0,OFFSET(装备属性!$P$1083,1+INT(COUNTA($Q$11:Q600)/5),0),J600)</f>
        <v>4</v>
      </c>
      <c r="K601" s="83" t="str">
        <f ca="1">IF(RIGHT(G601,13)="rune_slot,1}]",_xlfn.XLOOKUP(LEFT(SUBSTITUTE(G601,"[{",""),FIND(",",SUBSTITUTE(G601,"[{",""))-1),Sheet2!B:B,Sheet2!C:C)&amp;"+"&amp;1,_xlfn.XLOOKUP(LEFT(SUBSTITUTE(G601,"[{",""),FIND(",",SUBSTITUTE(G601,"[{",""))-1),Sheet2!B:B,Sheet2!C:C)&amp;"+"&amp;SUBSTITUTE(RIGHT(G601,LEN(G601)-FIND(",",G601)),"}]","")/100&amp;"%")</f>
        <v>上阵两个法师职业增伤+13%</v>
      </c>
      <c r="L601" s="83" t="str">
        <f ca="1">IF(MOD(COUNTIF($Q$11:Q600,Q600),5)=0,OFFSET(装备属性!$G$1083,1+INT(COUNTA($Q$11:Q600)/5),0),L600)</f>
        <v>施法小队Ⅴ</v>
      </c>
      <c r="M601" s="89" t="str">
        <f ca="1">IF(MOD(COUNTIF($Q$11:Q600,Q600),5)=0,OFFSET(装备属性!$H$1083,1+INT(COUNTA($Q$11:Q600)/5),0),M600)</f>
        <v>mage_class_dmg_rate</v>
      </c>
      <c r="N601" s="76">
        <f ca="1">IF(MOD(COUNTIF($Q$11:Q600,Q600),5)=0,OFFSET(装备属性!$K$1083,1+INT(COUNTA($Q$11:Q600)/5),0),N600)</f>
        <v>0.13</v>
      </c>
      <c r="O601" s="76">
        <f ca="1">IF(MOD(COUNTIF($Q$11:Q600,Q600),5)=0,OFFSET(装备属性!$L$1083,1+INT(COUNTA($Q$11:Q600)/5),0),O600)</f>
        <v>0.15</v>
      </c>
      <c r="Q601" s="89" t="str">
        <f ca="1">IF(MOD(COUNTIF($Q$11:Q600,Q600),5)=0,OFFSET(装备属性!$M$1083,1+INT(COUNTA($Q$11:Q600)/5),0),Q600)</f>
        <v>通用属性</v>
      </c>
      <c r="R601" s="83">
        <f ca="1">IF(MOD(COUNTIF($Q$11:Q600,Q600),5)=0,10000*SUBSTITUTE(SUBSTITUTE(OFFSET(装备属性!$F$1083,1+INT(COUNTA($Q$11:Q600)/5),0),"[",""),"]","")+_xlfn.XLOOKUP(C601,$M$3:$M$7,$N$3:$N$7)*100,R600)</f>
        <v>20800</v>
      </c>
    </row>
    <row r="602" customHeight="1" spans="1:18">
      <c r="A602" s="78">
        <f ca="1" t="shared" si="27"/>
        <v>20801</v>
      </c>
      <c r="B602" s="82">
        <f ca="1">IFERROR(R602+COUNTIFS($R$11:$R602,R602),"")</f>
        <v>20842</v>
      </c>
      <c r="C602" s="83" t="str">
        <f ca="1">IF(MOD(COUNTIF($Q$11:Q601,Q601),5)=0,OFFSET(装备属性!$D$1083,1+INT(COUNTA($Q$11:Q601)/5),0),C601)</f>
        <v>彩</v>
      </c>
      <c r="D602" s="82">
        <f t="shared" si="29"/>
        <v>2500</v>
      </c>
      <c r="F602" s="82">
        <f ca="1" t="shared" si="28"/>
        <v>20808</v>
      </c>
      <c r="G602" s="78" t="str">
        <f ca="1">IF(AND(LEFT("[{"&amp;M602&amp;","&amp;CEILING(N602*10000+(O602-N602)/4*(COUNTIF($F$11:F602,F602)-1)*10000,10)&amp;"}]",7)="[{equip",MID("[{"&amp;M602&amp;","&amp;CEILING(N602*10000+(O602-N602)/4*(COUNTIF($F$11:F602,F602)-1)*10000,10)&amp;"}]",8,1)&lt;&gt;"_"),"[{"&amp;M602&amp;","&amp;1&amp;"}]","[{"&amp;M602&amp;","&amp;CEILING(N602*10000+(O602-N602)/4*(COUNTIF($F$11:F602,F602)-1)*10000,10)&amp;"}]")</f>
        <v>[{mage_class_dmg_rate,1350}]</v>
      </c>
      <c r="H602" s="82" t="s">
        <v>563</v>
      </c>
      <c r="J602" s="78">
        <f ca="1">IF(MOD(COUNTIF($Q$11:Q601,Q601),5)=0,OFFSET(装备属性!$P$1083,1+INT(COUNTA($Q$11:Q601)/5),0),J601)</f>
        <v>4</v>
      </c>
      <c r="K602" s="83" t="str">
        <f ca="1">IF(RIGHT(G602,13)="rune_slot,1}]",_xlfn.XLOOKUP(LEFT(SUBSTITUTE(G602,"[{",""),FIND(",",SUBSTITUTE(G602,"[{",""))-1),Sheet2!B:B,Sheet2!C:C)&amp;"+"&amp;1,_xlfn.XLOOKUP(LEFT(SUBSTITUTE(G602,"[{",""),FIND(",",SUBSTITUTE(G602,"[{",""))-1),Sheet2!B:B,Sheet2!C:C)&amp;"+"&amp;SUBSTITUTE(RIGHT(G602,LEN(G602)-FIND(",",G602)),"}]","")/100&amp;"%")</f>
        <v>上阵两个法师职业增伤+13.5%</v>
      </c>
      <c r="L602" s="83" t="str">
        <f ca="1">IF(MOD(COUNTIF($Q$11:Q601,Q601),5)=0,OFFSET(装备属性!$G$1083,1+INT(COUNTA($Q$11:Q601)/5),0),L601)</f>
        <v>施法小队Ⅴ</v>
      </c>
      <c r="M602" s="89" t="str">
        <f ca="1">IF(MOD(COUNTIF($Q$11:Q601,Q601),5)=0,OFFSET(装备属性!$H$1083,1+INT(COUNTA($Q$11:Q601)/5),0),M601)</f>
        <v>mage_class_dmg_rate</v>
      </c>
      <c r="N602" s="76">
        <f ca="1">IF(MOD(COUNTIF($Q$11:Q601,Q601),5)=0,OFFSET(装备属性!$K$1083,1+INT(COUNTA($Q$11:Q601)/5),0),N601)</f>
        <v>0.13</v>
      </c>
      <c r="O602" s="76">
        <f ca="1">IF(MOD(COUNTIF($Q$11:Q601,Q601),5)=0,OFFSET(装备属性!$L$1083,1+INT(COUNTA($Q$11:Q601)/5),0),O601)</f>
        <v>0.15</v>
      </c>
      <c r="Q602" s="89" t="str">
        <f ca="1">IF(MOD(COUNTIF($Q$11:Q601,Q601),5)=0,OFFSET(装备属性!$M$1083,1+INT(COUNTA($Q$11:Q601)/5),0),Q601)</f>
        <v>通用属性</v>
      </c>
      <c r="R602" s="83">
        <f ca="1">IF(MOD(COUNTIF($Q$11:Q601,Q601),5)=0,10000*SUBSTITUTE(SUBSTITUTE(OFFSET(装备属性!$F$1083,1+INT(COUNTA($Q$11:Q601)/5),0),"[",""),"]","")+_xlfn.XLOOKUP(C602,$M$3:$M$7,$N$3:$N$7)*100,R601)</f>
        <v>20800</v>
      </c>
    </row>
    <row r="603" customHeight="1" spans="1:18">
      <c r="A603" s="78">
        <f ca="1" t="shared" si="27"/>
        <v>20801</v>
      </c>
      <c r="B603" s="82">
        <f ca="1">IFERROR(R603+COUNTIFS($R$11:$R603,R603),"")</f>
        <v>20843</v>
      </c>
      <c r="C603" s="83" t="str">
        <f ca="1">IF(MOD(COUNTIF($Q$11:Q602,Q602),5)=0,OFFSET(装备属性!$D$1083,1+INT(COUNTA($Q$11:Q602)/5),0),C602)</f>
        <v>彩</v>
      </c>
      <c r="D603" s="82">
        <f t="shared" si="29"/>
        <v>2000</v>
      </c>
      <c r="F603" s="82">
        <f ca="1" t="shared" si="28"/>
        <v>20808</v>
      </c>
      <c r="G603" s="78" t="str">
        <f ca="1">IF(AND(LEFT("[{"&amp;M603&amp;","&amp;CEILING(N603*10000+(O603-N603)/4*(COUNTIF($F$11:F603,F603)-1)*10000,10)&amp;"}]",7)="[{equip",MID("[{"&amp;M603&amp;","&amp;CEILING(N603*10000+(O603-N603)/4*(COUNTIF($F$11:F603,F603)-1)*10000,10)&amp;"}]",8,1)&lt;&gt;"_"),"[{"&amp;M603&amp;","&amp;1&amp;"}]","[{"&amp;M603&amp;","&amp;CEILING(N603*10000+(O603-N603)/4*(COUNTIF($F$11:F603,F603)-1)*10000,10)&amp;"}]")</f>
        <v>[{mage_class_dmg_rate,1400}]</v>
      </c>
      <c r="H603" s="82" t="s">
        <v>563</v>
      </c>
      <c r="J603" s="78">
        <f ca="1">IF(MOD(COUNTIF($Q$11:Q602,Q602),5)=0,OFFSET(装备属性!$P$1083,1+INT(COUNTA($Q$11:Q602)/5),0),J602)</f>
        <v>4</v>
      </c>
      <c r="K603" s="83" t="str">
        <f ca="1">IF(RIGHT(G603,13)="rune_slot,1}]",_xlfn.XLOOKUP(LEFT(SUBSTITUTE(G603,"[{",""),FIND(",",SUBSTITUTE(G603,"[{",""))-1),Sheet2!B:B,Sheet2!C:C)&amp;"+"&amp;1,_xlfn.XLOOKUP(LEFT(SUBSTITUTE(G603,"[{",""),FIND(",",SUBSTITUTE(G603,"[{",""))-1),Sheet2!B:B,Sheet2!C:C)&amp;"+"&amp;SUBSTITUTE(RIGHT(G603,LEN(G603)-FIND(",",G603)),"}]","")/100&amp;"%")</f>
        <v>上阵两个法师职业增伤+14%</v>
      </c>
      <c r="L603" s="83" t="str">
        <f ca="1">IF(MOD(COUNTIF($Q$11:Q602,Q602),5)=0,OFFSET(装备属性!$G$1083,1+INT(COUNTA($Q$11:Q602)/5),0),L602)</f>
        <v>施法小队Ⅴ</v>
      </c>
      <c r="M603" s="89" t="str">
        <f ca="1">IF(MOD(COUNTIF($Q$11:Q602,Q602),5)=0,OFFSET(装备属性!$H$1083,1+INT(COUNTA($Q$11:Q602)/5),0),M602)</f>
        <v>mage_class_dmg_rate</v>
      </c>
      <c r="N603" s="76">
        <f ca="1">IF(MOD(COUNTIF($Q$11:Q602,Q602),5)=0,OFFSET(装备属性!$K$1083,1+INT(COUNTA($Q$11:Q602)/5),0),N602)</f>
        <v>0.13</v>
      </c>
      <c r="O603" s="76">
        <f ca="1">IF(MOD(COUNTIF($Q$11:Q602,Q602),5)=0,OFFSET(装备属性!$L$1083,1+INT(COUNTA($Q$11:Q602)/5),0),O602)</f>
        <v>0.15</v>
      </c>
      <c r="Q603" s="89" t="str">
        <f ca="1">IF(MOD(COUNTIF($Q$11:Q602,Q602),5)=0,OFFSET(装备属性!$M$1083,1+INT(COUNTA($Q$11:Q602)/5),0),Q602)</f>
        <v>通用属性</v>
      </c>
      <c r="R603" s="83">
        <f ca="1">IF(MOD(COUNTIF($Q$11:Q602,Q602),5)=0,10000*SUBSTITUTE(SUBSTITUTE(OFFSET(装备属性!$F$1083,1+INT(COUNTA($Q$11:Q602)/5),0),"[",""),"]","")+_xlfn.XLOOKUP(C603,$M$3:$M$7,$N$3:$N$7)*100,R602)</f>
        <v>20800</v>
      </c>
    </row>
    <row r="604" customHeight="1" spans="1:18">
      <c r="A604" s="78">
        <f ca="1" t="shared" si="27"/>
        <v>20801</v>
      </c>
      <c r="B604" s="82">
        <f ca="1">IFERROR(R604+COUNTIFS($R$11:$R604,R604),"")</f>
        <v>20844</v>
      </c>
      <c r="C604" s="83" t="str">
        <f ca="1">IF(MOD(COUNTIF($Q$11:Q603,Q603),5)=0,OFFSET(装备属性!$D$1083,1+INT(COUNTA($Q$11:Q603)/5),0),C603)</f>
        <v>彩</v>
      </c>
      <c r="D604" s="82">
        <f t="shared" si="29"/>
        <v>1500</v>
      </c>
      <c r="F604" s="82">
        <f ca="1" t="shared" si="28"/>
        <v>20808</v>
      </c>
      <c r="G604" s="78" t="str">
        <f ca="1">IF(AND(LEFT("[{"&amp;M604&amp;","&amp;CEILING(N604*10000+(O604-N604)/4*(COUNTIF($F$11:F604,F604)-1)*10000,10)&amp;"}]",7)="[{equip",MID("[{"&amp;M604&amp;","&amp;CEILING(N604*10000+(O604-N604)/4*(COUNTIF($F$11:F604,F604)-1)*10000,10)&amp;"}]",8,1)&lt;&gt;"_"),"[{"&amp;M604&amp;","&amp;1&amp;"}]","[{"&amp;M604&amp;","&amp;CEILING(N604*10000+(O604-N604)/4*(COUNTIF($F$11:F604,F604)-1)*10000,10)&amp;"}]")</f>
        <v>[{mage_class_dmg_rate,1450}]</v>
      </c>
      <c r="H604" s="82" t="s">
        <v>563</v>
      </c>
      <c r="J604" s="78">
        <f ca="1">IF(MOD(COUNTIF($Q$11:Q603,Q603),5)=0,OFFSET(装备属性!$P$1083,1+INT(COUNTA($Q$11:Q603)/5),0),J603)</f>
        <v>4</v>
      </c>
      <c r="K604" s="83" t="str">
        <f ca="1">IF(RIGHT(G604,13)="rune_slot,1}]",_xlfn.XLOOKUP(LEFT(SUBSTITUTE(G604,"[{",""),FIND(",",SUBSTITUTE(G604,"[{",""))-1),Sheet2!B:B,Sheet2!C:C)&amp;"+"&amp;1,_xlfn.XLOOKUP(LEFT(SUBSTITUTE(G604,"[{",""),FIND(",",SUBSTITUTE(G604,"[{",""))-1),Sheet2!B:B,Sheet2!C:C)&amp;"+"&amp;SUBSTITUTE(RIGHT(G604,LEN(G604)-FIND(",",G604)),"}]","")/100&amp;"%")</f>
        <v>上阵两个法师职业增伤+14.5%</v>
      </c>
      <c r="L604" s="83" t="str">
        <f ca="1">IF(MOD(COUNTIF($Q$11:Q603,Q603),5)=0,OFFSET(装备属性!$G$1083,1+INT(COUNTA($Q$11:Q603)/5),0),L603)</f>
        <v>施法小队Ⅴ</v>
      </c>
      <c r="M604" s="89" t="str">
        <f ca="1">IF(MOD(COUNTIF($Q$11:Q603,Q603),5)=0,OFFSET(装备属性!$H$1083,1+INT(COUNTA($Q$11:Q603)/5),0),M603)</f>
        <v>mage_class_dmg_rate</v>
      </c>
      <c r="N604" s="76">
        <f ca="1">IF(MOD(COUNTIF($Q$11:Q603,Q603),5)=0,OFFSET(装备属性!$K$1083,1+INT(COUNTA($Q$11:Q603)/5),0),N603)</f>
        <v>0.13</v>
      </c>
      <c r="O604" s="76">
        <f ca="1">IF(MOD(COUNTIF($Q$11:Q603,Q603),5)=0,OFFSET(装备属性!$L$1083,1+INT(COUNTA($Q$11:Q603)/5),0),O603)</f>
        <v>0.15</v>
      </c>
      <c r="Q604" s="89" t="str">
        <f ca="1">IF(MOD(COUNTIF($Q$11:Q603,Q603),5)=0,OFFSET(装备属性!$M$1083,1+INT(COUNTA($Q$11:Q603)/5),0),Q603)</f>
        <v>通用属性</v>
      </c>
      <c r="R604" s="83">
        <f ca="1">IF(MOD(COUNTIF($Q$11:Q603,Q603),5)=0,10000*SUBSTITUTE(SUBSTITUTE(OFFSET(装备属性!$F$1083,1+INT(COUNTA($Q$11:Q603)/5),0),"[",""),"]","")+_xlfn.XLOOKUP(C604,$M$3:$M$7,$N$3:$N$7)*100,R603)</f>
        <v>20800</v>
      </c>
    </row>
    <row r="605" customHeight="1" spans="1:18">
      <c r="A605" s="78">
        <f ca="1" t="shared" si="27"/>
        <v>20801</v>
      </c>
      <c r="B605" s="82">
        <f ca="1">IFERROR(R605+COUNTIFS($R$11:$R605,R605),"")</f>
        <v>20845</v>
      </c>
      <c r="C605" s="83" t="str">
        <f ca="1">IF(MOD(COUNTIF($Q$11:Q604,Q604),5)=0,OFFSET(装备属性!$D$1083,1+INT(COUNTA($Q$11:Q604)/5),0),C604)</f>
        <v>彩</v>
      </c>
      <c r="D605" s="82">
        <f t="shared" si="29"/>
        <v>1000</v>
      </c>
      <c r="F605" s="82">
        <f ca="1" t="shared" si="28"/>
        <v>20808</v>
      </c>
      <c r="G605" s="78" t="str">
        <f ca="1">IF(AND(LEFT("[{"&amp;M605&amp;","&amp;CEILING(N605*10000+(O605-N605)/4*(COUNTIF($F$11:F605,F605)-1)*10000,10)&amp;"}]",7)="[{equip",MID("[{"&amp;M605&amp;","&amp;CEILING(N605*10000+(O605-N605)/4*(COUNTIF($F$11:F605,F605)-1)*10000,10)&amp;"}]",8,1)&lt;&gt;"_"),"[{"&amp;M605&amp;","&amp;1&amp;"}]","[{"&amp;M605&amp;","&amp;CEILING(N605*10000+(O605-N605)/4*(COUNTIF($F$11:F605,F605)-1)*10000,10)&amp;"}]")</f>
        <v>[{mage_class_dmg_rate,1500}]</v>
      </c>
      <c r="H605" s="82" t="s">
        <v>563</v>
      </c>
      <c r="J605" s="78">
        <f ca="1">IF(MOD(COUNTIF($Q$11:Q604,Q604),5)=0,OFFSET(装备属性!$P$1083,1+INT(COUNTA($Q$11:Q604)/5),0),J604)</f>
        <v>4</v>
      </c>
      <c r="K605" s="83" t="str">
        <f ca="1">IF(RIGHT(G605,13)="rune_slot,1}]",_xlfn.XLOOKUP(LEFT(SUBSTITUTE(G605,"[{",""),FIND(",",SUBSTITUTE(G605,"[{",""))-1),Sheet2!B:B,Sheet2!C:C)&amp;"+"&amp;1,_xlfn.XLOOKUP(LEFT(SUBSTITUTE(G605,"[{",""),FIND(",",SUBSTITUTE(G605,"[{",""))-1),Sheet2!B:B,Sheet2!C:C)&amp;"+"&amp;SUBSTITUTE(RIGHT(G605,LEN(G605)-FIND(",",G605)),"}]","")/100&amp;"%")</f>
        <v>上阵两个法师职业增伤+15%</v>
      </c>
      <c r="L605" s="83" t="str">
        <f ca="1">IF(MOD(COUNTIF($Q$11:Q604,Q604),5)=0,OFFSET(装备属性!$G$1083,1+INT(COUNTA($Q$11:Q604)/5),0),L604)</f>
        <v>施法小队Ⅴ</v>
      </c>
      <c r="M605" s="89" t="str">
        <f ca="1">IF(MOD(COUNTIF($Q$11:Q604,Q604),5)=0,OFFSET(装备属性!$H$1083,1+INT(COUNTA($Q$11:Q604)/5),0),M604)</f>
        <v>mage_class_dmg_rate</v>
      </c>
      <c r="N605" s="76">
        <f ca="1">IF(MOD(COUNTIF($Q$11:Q604,Q604),5)=0,OFFSET(装备属性!$K$1083,1+INT(COUNTA($Q$11:Q604)/5),0),N604)</f>
        <v>0.13</v>
      </c>
      <c r="O605" s="76">
        <f ca="1">IF(MOD(COUNTIF($Q$11:Q604,Q604),5)=0,OFFSET(装备属性!$L$1083,1+INT(COUNTA($Q$11:Q604)/5),0),O604)</f>
        <v>0.15</v>
      </c>
      <c r="Q605" s="89" t="str">
        <f ca="1">IF(MOD(COUNTIF($Q$11:Q604,Q604),5)=0,OFFSET(装备属性!$M$1083,1+INT(COUNTA($Q$11:Q604)/5),0),Q604)</f>
        <v>通用属性</v>
      </c>
      <c r="R605" s="83">
        <f ca="1">IF(MOD(COUNTIF($Q$11:Q604,Q604),5)=0,10000*SUBSTITUTE(SUBSTITUTE(OFFSET(装备属性!$F$1083,1+INT(COUNTA($Q$11:Q604)/5),0),"[",""),"]","")+_xlfn.XLOOKUP(C605,$M$3:$M$7,$N$3:$N$7)*100,R604)</f>
        <v>20800</v>
      </c>
    </row>
    <row r="606" customHeight="1" spans="1:18">
      <c r="A606" s="78">
        <f ca="1" t="shared" si="27"/>
        <v>20801</v>
      </c>
      <c r="B606" s="82">
        <f ca="1">IFERROR(R606+COUNTIFS($R$11:$R606,R606),"")</f>
        <v>20846</v>
      </c>
      <c r="C606" s="83" t="str">
        <f ca="1">IF(MOD(COUNTIF($Q$11:Q605,Q605),5)=0,OFFSET(装备属性!$D$1083,1+INT(COUNTA($Q$11:Q605)/5),0),C605)</f>
        <v>彩</v>
      </c>
      <c r="D606" s="82">
        <f t="shared" si="29"/>
        <v>3000</v>
      </c>
      <c r="F606" s="82">
        <f ca="1" t="shared" si="28"/>
        <v>20809</v>
      </c>
      <c r="G606" s="78" t="str">
        <f ca="1">IF(AND(LEFT("[{"&amp;M606&amp;","&amp;CEILING(N606*10000+(O606-N606)/4*(COUNTIF($F$11:F606,F606)-1)*10000,10)&amp;"}]",7)="[{equip",MID("[{"&amp;M606&amp;","&amp;CEILING(N606*10000+(O606-N606)/4*(COUNTIF($F$11:F606,F606)-1)*10000,10)&amp;"}]",8,1)&lt;&gt;"_"),"[{"&amp;M606&amp;","&amp;1&amp;"}]","[{"&amp;M606&amp;","&amp;CEILING(N606*10000+(O606-N606)/4*(COUNTIF($F$11:F606,F606)-1)*10000,10)&amp;"}]")</f>
        <v>[{mage_crit_dmg,3900}]</v>
      </c>
      <c r="H606" s="82" t="s">
        <v>563</v>
      </c>
      <c r="J606" s="78">
        <f ca="1">IF(MOD(COUNTIF($Q$11:Q605,Q605),5)=0,OFFSET(装备属性!$P$1083,1+INT(COUNTA($Q$11:Q605)/5),0),J605)</f>
        <v>10</v>
      </c>
      <c r="K606" s="83" t="str">
        <f ca="1">IF(RIGHT(G606,13)="rune_slot,1}]",_xlfn.XLOOKUP(LEFT(SUBSTITUTE(G606,"[{",""),FIND(",",SUBSTITUTE(G606,"[{",""))-1),Sheet2!B:B,Sheet2!C:C)&amp;"+"&amp;1,_xlfn.XLOOKUP(LEFT(SUBSTITUTE(G606,"[{",""),FIND(",",SUBSTITUTE(G606,"[{",""))-1),Sheet2!B:B,Sheet2!C:C)&amp;"+"&amp;SUBSTITUTE(RIGHT(G606,LEN(G606)-FIND(",",G606)),"}]","")/100&amp;"%")</f>
        <v>法师暴击伤害+39%</v>
      </c>
      <c r="L606" s="83" t="str">
        <f ca="1">IF(MOD(COUNTIF($Q$11:Q605,Q605),5)=0,OFFSET(装备属性!$G$1083,1+INT(COUNTA($Q$11:Q605)/5),0),L605)</f>
        <v>暴走施法Ⅴ</v>
      </c>
      <c r="M606" s="89" t="str">
        <f ca="1">IF(MOD(COUNTIF($Q$11:Q605,Q605),5)=0,OFFSET(装备属性!$H$1083,1+INT(COUNTA($Q$11:Q605)/5),0),M605)</f>
        <v>mage_crit_dmg</v>
      </c>
      <c r="N606" s="76">
        <f ca="1">IF(MOD(COUNTIF($Q$11:Q605,Q605),5)=0,OFFSET(装备属性!$K$1083,1+INT(COUNTA($Q$11:Q605)/5),0),N605)</f>
        <v>0.39</v>
      </c>
      <c r="O606" s="76">
        <f ca="1">IF(MOD(COUNTIF($Q$11:Q605,Q605),5)=0,OFFSET(装备属性!$L$1083,1+INT(COUNTA($Q$11:Q605)/5),0),O605)</f>
        <v>0.45</v>
      </c>
      <c r="Q606" s="89" t="str">
        <f ca="1">IF(MOD(COUNTIF($Q$11:Q605,Q605),5)=0,OFFSET(装备属性!$M$1083,1+INT(COUNTA($Q$11:Q605)/5),0),Q605)</f>
        <v>通用属性</v>
      </c>
      <c r="R606" s="83">
        <f ca="1">IF(MOD(COUNTIF($Q$11:Q605,Q605),5)=0,10000*SUBSTITUTE(SUBSTITUTE(OFFSET(装备属性!$F$1083,1+INT(COUNTA($Q$11:Q605)/5),0),"[",""),"]","")+_xlfn.XLOOKUP(C606,$M$3:$M$7,$N$3:$N$7)*100,R605)</f>
        <v>20800</v>
      </c>
    </row>
    <row r="607" customHeight="1" spans="1:18">
      <c r="A607" s="78">
        <f ca="1" t="shared" si="27"/>
        <v>20801</v>
      </c>
      <c r="B607" s="82">
        <f ca="1">IFERROR(R607+COUNTIFS($R$11:$R607,R607),"")</f>
        <v>20847</v>
      </c>
      <c r="C607" s="83" t="str">
        <f ca="1">IF(MOD(COUNTIF($Q$11:Q606,Q606),5)=0,OFFSET(装备属性!$D$1083,1+INT(COUNTA($Q$11:Q606)/5),0),C606)</f>
        <v>彩</v>
      </c>
      <c r="D607" s="82">
        <f t="shared" si="29"/>
        <v>2500</v>
      </c>
      <c r="F607" s="82">
        <f ca="1" t="shared" si="28"/>
        <v>20809</v>
      </c>
      <c r="G607" s="78" t="str">
        <f ca="1">IF(AND(LEFT("[{"&amp;M607&amp;","&amp;CEILING(N607*10000+(O607-N607)/4*(COUNTIF($F$11:F607,F607)-1)*10000,10)&amp;"}]",7)="[{equip",MID("[{"&amp;M607&amp;","&amp;CEILING(N607*10000+(O607-N607)/4*(COUNTIF($F$11:F607,F607)-1)*10000,10)&amp;"}]",8,1)&lt;&gt;"_"),"[{"&amp;M607&amp;","&amp;1&amp;"}]","[{"&amp;M607&amp;","&amp;CEILING(N607*10000+(O607-N607)/4*(COUNTIF($F$11:F607,F607)-1)*10000,10)&amp;"}]")</f>
        <v>[{mage_crit_dmg,4050}]</v>
      </c>
      <c r="H607" s="82" t="s">
        <v>563</v>
      </c>
      <c r="J607" s="78">
        <f ca="1">IF(MOD(COUNTIF($Q$11:Q606,Q606),5)=0,OFFSET(装备属性!$P$1083,1+INT(COUNTA($Q$11:Q606)/5),0),J606)</f>
        <v>10</v>
      </c>
      <c r="K607" s="83" t="str">
        <f ca="1">IF(RIGHT(G607,13)="rune_slot,1}]",_xlfn.XLOOKUP(LEFT(SUBSTITUTE(G607,"[{",""),FIND(",",SUBSTITUTE(G607,"[{",""))-1),Sheet2!B:B,Sheet2!C:C)&amp;"+"&amp;1,_xlfn.XLOOKUP(LEFT(SUBSTITUTE(G607,"[{",""),FIND(",",SUBSTITUTE(G607,"[{",""))-1),Sheet2!B:B,Sheet2!C:C)&amp;"+"&amp;SUBSTITUTE(RIGHT(G607,LEN(G607)-FIND(",",G607)),"}]","")/100&amp;"%")</f>
        <v>法师暴击伤害+40.5%</v>
      </c>
      <c r="L607" s="83" t="str">
        <f ca="1">IF(MOD(COUNTIF($Q$11:Q606,Q606),5)=0,OFFSET(装备属性!$G$1083,1+INT(COUNTA($Q$11:Q606)/5),0),L606)</f>
        <v>暴走施法Ⅴ</v>
      </c>
      <c r="M607" s="89" t="str">
        <f ca="1">IF(MOD(COUNTIF($Q$11:Q606,Q606),5)=0,OFFSET(装备属性!$H$1083,1+INT(COUNTA($Q$11:Q606)/5),0),M606)</f>
        <v>mage_crit_dmg</v>
      </c>
      <c r="N607" s="76">
        <f ca="1">IF(MOD(COUNTIF($Q$11:Q606,Q606),5)=0,OFFSET(装备属性!$K$1083,1+INT(COUNTA($Q$11:Q606)/5),0),N606)</f>
        <v>0.39</v>
      </c>
      <c r="O607" s="76">
        <f ca="1">IF(MOD(COUNTIF($Q$11:Q606,Q606),5)=0,OFFSET(装备属性!$L$1083,1+INT(COUNTA($Q$11:Q606)/5),0),O606)</f>
        <v>0.45</v>
      </c>
      <c r="Q607" s="89" t="str">
        <f ca="1">IF(MOD(COUNTIF($Q$11:Q606,Q606),5)=0,OFFSET(装备属性!$M$1083,1+INT(COUNTA($Q$11:Q606)/5),0),Q606)</f>
        <v>通用属性</v>
      </c>
      <c r="R607" s="83">
        <f ca="1">IF(MOD(COUNTIF($Q$11:Q606,Q606),5)=0,10000*SUBSTITUTE(SUBSTITUTE(OFFSET(装备属性!$F$1083,1+INT(COUNTA($Q$11:Q606)/5),0),"[",""),"]","")+_xlfn.XLOOKUP(C607,$M$3:$M$7,$N$3:$N$7)*100,R606)</f>
        <v>20800</v>
      </c>
    </row>
    <row r="608" customHeight="1" spans="1:18">
      <c r="A608" s="78">
        <f ca="1" t="shared" si="27"/>
        <v>20801</v>
      </c>
      <c r="B608" s="82">
        <f ca="1">IFERROR(R608+COUNTIFS($R$11:$R608,R608),"")</f>
        <v>20848</v>
      </c>
      <c r="C608" s="83" t="str">
        <f ca="1">IF(MOD(COUNTIF($Q$11:Q607,Q607),5)=0,OFFSET(装备属性!$D$1083,1+INT(COUNTA($Q$11:Q607)/5),0),C607)</f>
        <v>彩</v>
      </c>
      <c r="D608" s="82">
        <f t="shared" si="29"/>
        <v>2000</v>
      </c>
      <c r="F608" s="82">
        <f ca="1" t="shared" si="28"/>
        <v>20809</v>
      </c>
      <c r="G608" s="78" t="str">
        <f ca="1">IF(AND(LEFT("[{"&amp;M608&amp;","&amp;CEILING(N608*10000+(O608-N608)/4*(COUNTIF($F$11:F608,F608)-1)*10000,10)&amp;"}]",7)="[{equip",MID("[{"&amp;M608&amp;","&amp;CEILING(N608*10000+(O608-N608)/4*(COUNTIF($F$11:F608,F608)-1)*10000,10)&amp;"}]",8,1)&lt;&gt;"_"),"[{"&amp;M608&amp;","&amp;1&amp;"}]","[{"&amp;M608&amp;","&amp;CEILING(N608*10000+(O608-N608)/4*(COUNTIF($F$11:F608,F608)-1)*10000,10)&amp;"}]")</f>
        <v>[{mage_crit_dmg,4200}]</v>
      </c>
      <c r="H608" s="82" t="s">
        <v>563</v>
      </c>
      <c r="J608" s="78">
        <f ca="1">IF(MOD(COUNTIF($Q$11:Q607,Q607),5)=0,OFFSET(装备属性!$P$1083,1+INT(COUNTA($Q$11:Q607)/5),0),J607)</f>
        <v>10</v>
      </c>
      <c r="K608" s="83" t="str">
        <f ca="1">IF(RIGHT(G608,13)="rune_slot,1}]",_xlfn.XLOOKUP(LEFT(SUBSTITUTE(G608,"[{",""),FIND(",",SUBSTITUTE(G608,"[{",""))-1),Sheet2!B:B,Sheet2!C:C)&amp;"+"&amp;1,_xlfn.XLOOKUP(LEFT(SUBSTITUTE(G608,"[{",""),FIND(",",SUBSTITUTE(G608,"[{",""))-1),Sheet2!B:B,Sheet2!C:C)&amp;"+"&amp;SUBSTITUTE(RIGHT(G608,LEN(G608)-FIND(",",G608)),"}]","")/100&amp;"%")</f>
        <v>法师暴击伤害+42%</v>
      </c>
      <c r="L608" s="83" t="str">
        <f ca="1">IF(MOD(COUNTIF($Q$11:Q607,Q607),5)=0,OFFSET(装备属性!$G$1083,1+INT(COUNTA($Q$11:Q607)/5),0),L607)</f>
        <v>暴走施法Ⅴ</v>
      </c>
      <c r="M608" s="89" t="str">
        <f ca="1">IF(MOD(COUNTIF($Q$11:Q607,Q607),5)=0,OFFSET(装备属性!$H$1083,1+INT(COUNTA($Q$11:Q607)/5),0),M607)</f>
        <v>mage_crit_dmg</v>
      </c>
      <c r="N608" s="76">
        <f ca="1">IF(MOD(COUNTIF($Q$11:Q607,Q607),5)=0,OFFSET(装备属性!$K$1083,1+INT(COUNTA($Q$11:Q607)/5),0),N607)</f>
        <v>0.39</v>
      </c>
      <c r="O608" s="76">
        <f ca="1">IF(MOD(COUNTIF($Q$11:Q607,Q607),5)=0,OFFSET(装备属性!$L$1083,1+INT(COUNTA($Q$11:Q607)/5),0),O607)</f>
        <v>0.45</v>
      </c>
      <c r="Q608" s="89" t="str">
        <f ca="1">IF(MOD(COUNTIF($Q$11:Q607,Q607),5)=0,OFFSET(装备属性!$M$1083,1+INT(COUNTA($Q$11:Q607)/5),0),Q607)</f>
        <v>通用属性</v>
      </c>
      <c r="R608" s="83">
        <f ca="1">IF(MOD(COUNTIF($Q$11:Q607,Q607),5)=0,10000*SUBSTITUTE(SUBSTITUTE(OFFSET(装备属性!$F$1083,1+INT(COUNTA($Q$11:Q607)/5),0),"[",""),"]","")+_xlfn.XLOOKUP(C608,$M$3:$M$7,$N$3:$N$7)*100,R607)</f>
        <v>20800</v>
      </c>
    </row>
    <row r="609" customHeight="1" spans="1:18">
      <c r="A609" s="78">
        <f ca="1" t="shared" si="27"/>
        <v>20801</v>
      </c>
      <c r="B609" s="82">
        <f ca="1">IFERROR(R609+COUNTIFS($R$11:$R609,R609),"")</f>
        <v>20849</v>
      </c>
      <c r="C609" s="83" t="str">
        <f ca="1">IF(MOD(COUNTIF($Q$11:Q608,Q608),5)=0,OFFSET(装备属性!$D$1083,1+INT(COUNTA($Q$11:Q608)/5),0),C608)</f>
        <v>彩</v>
      </c>
      <c r="D609" s="82">
        <f t="shared" si="29"/>
        <v>1500</v>
      </c>
      <c r="F609" s="82">
        <f ca="1" t="shared" si="28"/>
        <v>20809</v>
      </c>
      <c r="G609" s="78" t="str">
        <f ca="1">IF(AND(LEFT("[{"&amp;M609&amp;","&amp;CEILING(N609*10000+(O609-N609)/4*(COUNTIF($F$11:F609,F609)-1)*10000,10)&amp;"}]",7)="[{equip",MID("[{"&amp;M609&amp;","&amp;CEILING(N609*10000+(O609-N609)/4*(COUNTIF($F$11:F609,F609)-1)*10000,10)&amp;"}]",8,1)&lt;&gt;"_"),"[{"&amp;M609&amp;","&amp;1&amp;"}]","[{"&amp;M609&amp;","&amp;CEILING(N609*10000+(O609-N609)/4*(COUNTIF($F$11:F609,F609)-1)*10000,10)&amp;"}]")</f>
        <v>[{mage_crit_dmg,4350}]</v>
      </c>
      <c r="H609" s="82" t="s">
        <v>563</v>
      </c>
      <c r="J609" s="78">
        <f ca="1">IF(MOD(COUNTIF($Q$11:Q608,Q608),5)=0,OFFSET(装备属性!$P$1083,1+INT(COUNTA($Q$11:Q608)/5),0),J608)</f>
        <v>10</v>
      </c>
      <c r="K609" s="83" t="str">
        <f ca="1">IF(RIGHT(G609,13)="rune_slot,1}]",_xlfn.XLOOKUP(LEFT(SUBSTITUTE(G609,"[{",""),FIND(",",SUBSTITUTE(G609,"[{",""))-1),Sheet2!B:B,Sheet2!C:C)&amp;"+"&amp;1,_xlfn.XLOOKUP(LEFT(SUBSTITUTE(G609,"[{",""),FIND(",",SUBSTITUTE(G609,"[{",""))-1),Sheet2!B:B,Sheet2!C:C)&amp;"+"&amp;SUBSTITUTE(RIGHT(G609,LEN(G609)-FIND(",",G609)),"}]","")/100&amp;"%")</f>
        <v>法师暴击伤害+43.5%</v>
      </c>
      <c r="L609" s="83" t="str">
        <f ca="1">IF(MOD(COUNTIF($Q$11:Q608,Q608),5)=0,OFFSET(装备属性!$G$1083,1+INT(COUNTA($Q$11:Q608)/5),0),L608)</f>
        <v>暴走施法Ⅴ</v>
      </c>
      <c r="M609" s="89" t="str">
        <f ca="1">IF(MOD(COUNTIF($Q$11:Q608,Q608),5)=0,OFFSET(装备属性!$H$1083,1+INT(COUNTA($Q$11:Q608)/5),0),M608)</f>
        <v>mage_crit_dmg</v>
      </c>
      <c r="N609" s="76">
        <f ca="1">IF(MOD(COUNTIF($Q$11:Q608,Q608),5)=0,OFFSET(装备属性!$K$1083,1+INT(COUNTA($Q$11:Q608)/5),0),N608)</f>
        <v>0.39</v>
      </c>
      <c r="O609" s="76">
        <f ca="1">IF(MOD(COUNTIF($Q$11:Q608,Q608),5)=0,OFFSET(装备属性!$L$1083,1+INT(COUNTA($Q$11:Q608)/5),0),O608)</f>
        <v>0.45</v>
      </c>
      <c r="Q609" s="89" t="str">
        <f ca="1">IF(MOD(COUNTIF($Q$11:Q608,Q608),5)=0,OFFSET(装备属性!$M$1083,1+INT(COUNTA($Q$11:Q608)/5),0),Q608)</f>
        <v>通用属性</v>
      </c>
      <c r="R609" s="83">
        <f ca="1">IF(MOD(COUNTIF($Q$11:Q608,Q608),5)=0,10000*SUBSTITUTE(SUBSTITUTE(OFFSET(装备属性!$F$1083,1+INT(COUNTA($Q$11:Q608)/5),0),"[",""),"]","")+_xlfn.XLOOKUP(C609,$M$3:$M$7,$N$3:$N$7)*100,R608)</f>
        <v>20800</v>
      </c>
    </row>
    <row r="610" customHeight="1" spans="1:18">
      <c r="A610" s="78">
        <f ca="1" t="shared" si="27"/>
        <v>20801</v>
      </c>
      <c r="B610" s="82">
        <f ca="1">IFERROR(R610+COUNTIFS($R$11:$R610,R610),"")</f>
        <v>20850</v>
      </c>
      <c r="C610" s="83" t="str">
        <f ca="1">IF(MOD(COUNTIF($Q$11:Q609,Q609),5)=0,OFFSET(装备属性!$D$1083,1+INT(COUNTA($Q$11:Q609)/5),0),C609)</f>
        <v>彩</v>
      </c>
      <c r="D610" s="82">
        <f t="shared" si="29"/>
        <v>1000</v>
      </c>
      <c r="F610" s="82">
        <f ca="1" t="shared" si="28"/>
        <v>20809</v>
      </c>
      <c r="G610" s="78" t="str">
        <f ca="1">IF(AND(LEFT("[{"&amp;M610&amp;","&amp;CEILING(N610*10000+(O610-N610)/4*(COUNTIF($F$11:F610,F610)-1)*10000,10)&amp;"}]",7)="[{equip",MID("[{"&amp;M610&amp;","&amp;CEILING(N610*10000+(O610-N610)/4*(COUNTIF($F$11:F610,F610)-1)*10000,10)&amp;"}]",8,1)&lt;&gt;"_"),"[{"&amp;M610&amp;","&amp;1&amp;"}]","[{"&amp;M610&amp;","&amp;CEILING(N610*10000+(O610-N610)/4*(COUNTIF($F$11:F610,F610)-1)*10000,10)&amp;"}]")</f>
        <v>[{mage_crit_dmg,4500}]</v>
      </c>
      <c r="H610" s="82" t="s">
        <v>563</v>
      </c>
      <c r="J610" s="78">
        <f ca="1">IF(MOD(COUNTIF($Q$11:Q609,Q609),5)=0,OFFSET(装备属性!$P$1083,1+INT(COUNTA($Q$11:Q609)/5),0),J609)</f>
        <v>10</v>
      </c>
      <c r="K610" s="83" t="str">
        <f ca="1">IF(RIGHT(G610,13)="rune_slot,1}]",_xlfn.XLOOKUP(LEFT(SUBSTITUTE(G610,"[{",""),FIND(",",SUBSTITUTE(G610,"[{",""))-1),Sheet2!B:B,Sheet2!C:C)&amp;"+"&amp;1,_xlfn.XLOOKUP(LEFT(SUBSTITUTE(G610,"[{",""),FIND(",",SUBSTITUTE(G610,"[{",""))-1),Sheet2!B:B,Sheet2!C:C)&amp;"+"&amp;SUBSTITUTE(RIGHT(G610,LEN(G610)-FIND(",",G610)),"}]","")/100&amp;"%")</f>
        <v>法师暴击伤害+45%</v>
      </c>
      <c r="L610" s="83" t="str">
        <f ca="1">IF(MOD(COUNTIF($Q$11:Q609,Q609),5)=0,OFFSET(装备属性!$G$1083,1+INT(COUNTA($Q$11:Q609)/5),0),L609)</f>
        <v>暴走施法Ⅴ</v>
      </c>
      <c r="M610" s="89" t="str">
        <f ca="1">IF(MOD(COUNTIF($Q$11:Q609,Q609),5)=0,OFFSET(装备属性!$H$1083,1+INT(COUNTA($Q$11:Q609)/5),0),M609)</f>
        <v>mage_crit_dmg</v>
      </c>
      <c r="N610" s="76">
        <f ca="1">IF(MOD(COUNTIF($Q$11:Q609,Q609),5)=0,OFFSET(装备属性!$K$1083,1+INT(COUNTA($Q$11:Q609)/5),0),N609)</f>
        <v>0.39</v>
      </c>
      <c r="O610" s="76">
        <f ca="1">IF(MOD(COUNTIF($Q$11:Q609,Q609),5)=0,OFFSET(装备属性!$L$1083,1+INT(COUNTA($Q$11:Q609)/5),0),O609)</f>
        <v>0.45</v>
      </c>
      <c r="Q610" s="89" t="str">
        <f ca="1">IF(MOD(COUNTIF($Q$11:Q609,Q609),5)=0,OFFSET(装备属性!$M$1083,1+INT(COUNTA($Q$11:Q609)/5),0),Q609)</f>
        <v>通用属性</v>
      </c>
      <c r="R610" s="83">
        <f ca="1">IF(MOD(COUNTIF($Q$11:Q609,Q609),5)=0,10000*SUBSTITUTE(SUBSTITUTE(OFFSET(装备属性!$F$1083,1+INT(COUNTA($Q$11:Q609)/5),0),"[",""),"]","")+_xlfn.XLOOKUP(C610,$M$3:$M$7,$N$3:$N$7)*100,R609)</f>
        <v>20800</v>
      </c>
    </row>
    <row r="611" customHeight="1" spans="1:18">
      <c r="A611" s="78" t="str">
        <f ca="1" t="shared" si="27"/>
        <v/>
      </c>
      <c r="B611" s="82" t="str">
        <f ca="1">IFERROR(R611+COUNTIFS($R$11:$R611,R611),"")</f>
        <v/>
      </c>
      <c r="C611" s="83">
        <f ca="1">IF(MOD(COUNTIF($Q$11:Q610,Q610),5)=0,OFFSET(装备属性!$D$1083,1+INT(COUNTA($Q$11:Q610)/5),0),C610)</f>
        <v>0</v>
      </c>
      <c r="D611" s="82">
        <f t="shared" si="29"/>
        <v>3000</v>
      </c>
      <c r="F611" s="82" t="str">
        <f ca="1" t="shared" si="28"/>
        <v/>
      </c>
      <c r="G611" s="78" t="str">
        <f ca="1">IF(AND(LEFT("[{"&amp;M611&amp;","&amp;CEILING(N611*10000+(O611-N611)/4*(COUNTIF($F$11:F611,F611)-1)*10000,10)&amp;"}]",7)="[{equip",MID("[{"&amp;M611&amp;","&amp;CEILING(N611*10000+(O611-N611)/4*(COUNTIF($F$11:F611,F611)-1)*10000,10)&amp;"}]",8,1)&lt;&gt;"_"),"[{"&amp;M611&amp;","&amp;1&amp;"}]","[{"&amp;M611&amp;","&amp;CEILING(N611*10000+(O611-N611)/4*(COUNTIF($F$11:F611,F611)-1)*10000,10)&amp;"}]")</f>
        <v>[{global_dmg_rate,7350}]</v>
      </c>
      <c r="H611" s="82" t="s">
        <v>563</v>
      </c>
      <c r="J611" s="78">
        <f ca="1">IF(MOD(COUNTIF($Q$11:Q610,Q610),5)=0,OFFSET(装备属性!$P$1083,1+INT(COUNTA($Q$11:Q610)/5),0),J610)</f>
        <v>2</v>
      </c>
      <c r="K611" s="83" t="str">
        <f ca="1">IF(RIGHT(G611,13)="rune_slot,1}]",_xlfn.XLOOKUP(LEFT(SUBSTITUTE(G611,"[{",""),FIND(",",SUBSTITUTE(G611,"[{",""))-1),Sheet2!B:B,Sheet2!C:C)&amp;"+"&amp;1,_xlfn.XLOOKUP(LEFT(SUBSTITUTE(G611,"[{",""),FIND(",",SUBSTITUTE(G611,"[{",""))-1),Sheet2!B:B,Sheet2!C:C)&amp;"+"&amp;SUBSTITUTE(RIGHT(G611,LEN(G611)-FIND(",",G611)),"}]","")/100&amp;"%")</f>
        <v>伤害加成+73.5%</v>
      </c>
      <c r="L611" s="83" t="str">
        <f ca="1">IF(MOD(COUNTIF($Q$11:Q610,Q610),5)=0,OFFSET(装备属性!$G$1083,1+INT(COUNTA($Q$11:Q610)/5),0),L610)</f>
        <v>全职小队Ⅰ</v>
      </c>
      <c r="M611" s="89" t="str">
        <f ca="1">IF(MOD(COUNTIF($Q$11:Q610,Q610),5)=0,OFFSET(装备属性!$H$1083,1+INT(COUNTA($Q$11:Q610)/5),0),M610)</f>
        <v>global_dmg_rate</v>
      </c>
      <c r="N611" s="76">
        <f ca="1">IF(MOD(COUNTIF($Q$11:Q610,Q610),5)=0,OFFSET(装备属性!$K$1083,1+INT(COUNTA($Q$11:Q610)/5),0),N610)</f>
        <v>0.03</v>
      </c>
      <c r="O611" s="76">
        <f ca="1">IF(MOD(COUNTIF($Q$11:Q610,Q610),5)=0,OFFSET(装备属性!$L$1083,1+INT(COUNTA($Q$11:Q610)/5),0),O610)</f>
        <v>0.042</v>
      </c>
      <c r="Q611" s="89" t="str">
        <f ca="1">IF(MOD(COUNTIF($Q$11:Q610,Q610),5)=0,OFFSET(装备属性!$M$1083,1+INT(COUNTA($Q$11:Q610)/5),0),Q610)</f>
        <v>通用属性</v>
      </c>
      <c r="R611" s="83" t="e">
        <f ca="1">IF(MOD(COUNTIF($Q$11:Q610,Q610),5)=0,10000*SUBSTITUTE(SUBSTITUTE(OFFSET(装备属性!$F$1083,1+INT(COUNTA($Q$11:Q610)/5),0),"[",""),"]","")+_xlfn.XLOOKUP(C611,$M$3:$M$7,$N$3:$N$7)*100,R610)</f>
        <v>#N/A</v>
      </c>
    </row>
    <row r="612" customHeight="1" spans="1:18">
      <c r="A612" s="78" t="str">
        <f ca="1" t="shared" si="27"/>
        <v/>
      </c>
      <c r="B612" s="82" t="str">
        <f ca="1">IFERROR(R612+COUNTIFS($R$11:$R612,R612),"")</f>
        <v/>
      </c>
      <c r="C612" s="83">
        <f ca="1">IF(MOD(COUNTIF($Q$11:Q611,Q611),5)=0,OFFSET(装备属性!$D$1083,1+INT(COUNTA($Q$11:Q611)/5),0),C611)</f>
        <v>0</v>
      </c>
      <c r="D612" s="82">
        <f t="shared" si="29"/>
        <v>2500</v>
      </c>
      <c r="F612" s="82" t="str">
        <f ca="1" t="shared" si="28"/>
        <v/>
      </c>
      <c r="G612" s="78" t="str">
        <f ca="1">IF(AND(LEFT("[{"&amp;M612&amp;","&amp;CEILING(N612*10000+(O612-N612)/4*(COUNTIF($F$11:F612,F612)-1)*10000,10)&amp;"}]",7)="[{equip",MID("[{"&amp;M612&amp;","&amp;CEILING(N612*10000+(O612-N612)/4*(COUNTIF($F$11:F612,F612)-1)*10000,10)&amp;"}]",8,1)&lt;&gt;"_"),"[{"&amp;M612&amp;","&amp;1&amp;"}]","[{"&amp;M612&amp;","&amp;CEILING(N612*10000+(O612-N612)/4*(COUNTIF($F$11:F612,F612)-1)*10000,10)&amp;"}]")</f>
        <v>[{global_dmg_rate,7380}]</v>
      </c>
      <c r="H612" s="82" t="s">
        <v>563</v>
      </c>
      <c r="J612" s="78">
        <f ca="1">IF(MOD(COUNTIF($Q$11:Q611,Q611),5)=0,OFFSET(装备属性!$P$1083,1+INT(COUNTA($Q$11:Q611)/5),0),J611)</f>
        <v>2</v>
      </c>
      <c r="K612" s="83" t="str">
        <f ca="1">IF(RIGHT(G612,13)="rune_slot,1}]",_xlfn.XLOOKUP(LEFT(SUBSTITUTE(G612,"[{",""),FIND(",",SUBSTITUTE(G612,"[{",""))-1),Sheet2!B:B,Sheet2!C:C)&amp;"+"&amp;1,_xlfn.XLOOKUP(LEFT(SUBSTITUTE(G612,"[{",""),FIND(",",SUBSTITUTE(G612,"[{",""))-1),Sheet2!B:B,Sheet2!C:C)&amp;"+"&amp;SUBSTITUTE(RIGHT(G612,LEN(G612)-FIND(",",G612)),"}]","")/100&amp;"%")</f>
        <v>伤害加成+73.8%</v>
      </c>
      <c r="L612" s="83" t="str">
        <f ca="1">IF(MOD(COUNTIF($Q$11:Q611,Q611),5)=0,OFFSET(装备属性!$G$1083,1+INT(COUNTA($Q$11:Q611)/5),0),L611)</f>
        <v>全职小队Ⅰ</v>
      </c>
      <c r="M612" s="89" t="str">
        <f ca="1">IF(MOD(COUNTIF($Q$11:Q611,Q611),5)=0,OFFSET(装备属性!$H$1083,1+INT(COUNTA($Q$11:Q611)/5),0),M611)</f>
        <v>global_dmg_rate</v>
      </c>
      <c r="N612" s="76">
        <f ca="1">IF(MOD(COUNTIF($Q$11:Q611,Q611),5)=0,OFFSET(装备属性!$K$1083,1+INT(COUNTA($Q$11:Q611)/5),0),N611)</f>
        <v>0.03</v>
      </c>
      <c r="O612" s="76">
        <f ca="1">IF(MOD(COUNTIF($Q$11:Q611,Q611),5)=0,OFFSET(装备属性!$L$1083,1+INT(COUNTA($Q$11:Q611)/5),0),O611)</f>
        <v>0.042</v>
      </c>
      <c r="Q612" s="89" t="str">
        <f ca="1">IF(MOD(COUNTIF($Q$11:Q611,Q611),5)=0,OFFSET(装备属性!$M$1083,1+INT(COUNTA($Q$11:Q611)/5),0),Q611)</f>
        <v>通用属性</v>
      </c>
      <c r="R612" s="83" t="e">
        <f ca="1">IF(MOD(COUNTIF($Q$11:Q611,Q611),5)=0,10000*SUBSTITUTE(SUBSTITUTE(OFFSET(装备属性!$F$1083,1+INT(COUNTA($Q$11:Q611)/5),0),"[",""),"]","")+_xlfn.XLOOKUP(C612,$M$3:$M$7,$N$3:$N$7)*100,R611)</f>
        <v>#N/A</v>
      </c>
    </row>
    <row r="613" customHeight="1" spans="1:18">
      <c r="A613" s="78" t="str">
        <f ca="1" t="shared" si="27"/>
        <v/>
      </c>
      <c r="B613" s="82" t="str">
        <f ca="1">IFERROR(R613+COUNTIFS($R$11:$R613,R613),"")</f>
        <v/>
      </c>
      <c r="C613" s="83">
        <f ca="1">IF(MOD(COUNTIF($Q$11:Q612,Q612),5)=0,OFFSET(装备属性!$D$1083,1+INT(COUNTA($Q$11:Q612)/5),0),C612)</f>
        <v>0</v>
      </c>
      <c r="D613" s="82">
        <f t="shared" si="29"/>
        <v>2000</v>
      </c>
      <c r="F613" s="82" t="str">
        <f ca="1" t="shared" si="28"/>
        <v/>
      </c>
      <c r="G613" s="78" t="str">
        <f ca="1">IF(AND(LEFT("[{"&amp;M613&amp;","&amp;CEILING(N613*10000+(O613-N613)/4*(COUNTIF($F$11:F613,F613)-1)*10000,10)&amp;"}]",7)="[{equip",MID("[{"&amp;M613&amp;","&amp;CEILING(N613*10000+(O613-N613)/4*(COUNTIF($F$11:F613,F613)-1)*10000,10)&amp;"}]",8,1)&lt;&gt;"_"),"[{"&amp;M613&amp;","&amp;1&amp;"}]","[{"&amp;M613&amp;","&amp;CEILING(N613*10000+(O613-N613)/4*(COUNTIF($F$11:F613,F613)-1)*10000,10)&amp;"}]")</f>
        <v>[{global_dmg_rate,7410}]</v>
      </c>
      <c r="H613" s="82" t="s">
        <v>563</v>
      </c>
      <c r="J613" s="78">
        <f ca="1">IF(MOD(COUNTIF($Q$11:Q612,Q612),5)=0,OFFSET(装备属性!$P$1083,1+INT(COUNTA($Q$11:Q612)/5),0),J612)</f>
        <v>2</v>
      </c>
      <c r="K613" s="83" t="str">
        <f ca="1">IF(RIGHT(G613,13)="rune_slot,1}]",_xlfn.XLOOKUP(LEFT(SUBSTITUTE(G613,"[{",""),FIND(",",SUBSTITUTE(G613,"[{",""))-1),Sheet2!B:B,Sheet2!C:C)&amp;"+"&amp;1,_xlfn.XLOOKUP(LEFT(SUBSTITUTE(G613,"[{",""),FIND(",",SUBSTITUTE(G613,"[{",""))-1),Sheet2!B:B,Sheet2!C:C)&amp;"+"&amp;SUBSTITUTE(RIGHT(G613,LEN(G613)-FIND(",",G613)),"}]","")/100&amp;"%")</f>
        <v>伤害加成+74.1%</v>
      </c>
      <c r="L613" s="83" t="str">
        <f ca="1">IF(MOD(COUNTIF($Q$11:Q612,Q612),5)=0,OFFSET(装备属性!$G$1083,1+INT(COUNTA($Q$11:Q612)/5),0),L612)</f>
        <v>全职小队Ⅰ</v>
      </c>
      <c r="M613" s="89" t="str">
        <f ca="1">IF(MOD(COUNTIF($Q$11:Q612,Q612),5)=0,OFFSET(装备属性!$H$1083,1+INT(COUNTA($Q$11:Q612)/5),0),M612)</f>
        <v>global_dmg_rate</v>
      </c>
      <c r="N613" s="76">
        <f ca="1">IF(MOD(COUNTIF($Q$11:Q612,Q612),5)=0,OFFSET(装备属性!$K$1083,1+INT(COUNTA($Q$11:Q612)/5),0),N612)</f>
        <v>0.03</v>
      </c>
      <c r="O613" s="76">
        <f ca="1">IF(MOD(COUNTIF($Q$11:Q612,Q612),5)=0,OFFSET(装备属性!$L$1083,1+INT(COUNTA($Q$11:Q612)/5),0),O612)</f>
        <v>0.042</v>
      </c>
      <c r="Q613" s="89" t="str">
        <f ca="1">IF(MOD(COUNTIF($Q$11:Q612,Q612),5)=0,OFFSET(装备属性!$M$1083,1+INT(COUNTA($Q$11:Q612)/5),0),Q612)</f>
        <v>通用属性</v>
      </c>
      <c r="R613" s="83" t="e">
        <f ca="1">IF(MOD(COUNTIF($Q$11:Q612,Q612),5)=0,10000*SUBSTITUTE(SUBSTITUTE(OFFSET(装备属性!$F$1083,1+INT(COUNTA($Q$11:Q612)/5),0),"[",""),"]","")+_xlfn.XLOOKUP(C613,$M$3:$M$7,$N$3:$N$7)*100,R612)</f>
        <v>#N/A</v>
      </c>
    </row>
    <row r="614" customHeight="1" spans="1:18">
      <c r="A614" s="78" t="str">
        <f ca="1" t="shared" si="27"/>
        <v/>
      </c>
      <c r="B614" s="82" t="str">
        <f ca="1">IFERROR(R614+COUNTIFS($R$11:$R614,R614),"")</f>
        <v/>
      </c>
      <c r="C614" s="83">
        <f ca="1">IF(MOD(COUNTIF($Q$11:Q613,Q613),5)=0,OFFSET(装备属性!$D$1083,1+INT(COUNTA($Q$11:Q613)/5),0),C613)</f>
        <v>0</v>
      </c>
      <c r="D614" s="82">
        <f t="shared" si="29"/>
        <v>1500</v>
      </c>
      <c r="F614" s="82" t="str">
        <f ca="1" t="shared" si="28"/>
        <v/>
      </c>
      <c r="G614" s="78" t="str">
        <f ca="1">IF(AND(LEFT("[{"&amp;M614&amp;","&amp;CEILING(N614*10000+(O614-N614)/4*(COUNTIF($F$11:F614,F614)-1)*10000,10)&amp;"}]",7)="[{equip",MID("[{"&amp;M614&amp;","&amp;CEILING(N614*10000+(O614-N614)/4*(COUNTIF($F$11:F614,F614)-1)*10000,10)&amp;"}]",8,1)&lt;&gt;"_"),"[{"&amp;M614&amp;","&amp;1&amp;"}]","[{"&amp;M614&amp;","&amp;CEILING(N614*10000+(O614-N614)/4*(COUNTIF($F$11:F614,F614)-1)*10000,10)&amp;"}]")</f>
        <v>[{global_dmg_rate,7440}]</v>
      </c>
      <c r="H614" s="82" t="s">
        <v>563</v>
      </c>
      <c r="J614" s="78">
        <f ca="1">IF(MOD(COUNTIF($Q$11:Q613,Q613),5)=0,OFFSET(装备属性!$P$1083,1+INT(COUNTA($Q$11:Q613)/5),0),J613)</f>
        <v>2</v>
      </c>
      <c r="K614" s="83" t="str">
        <f ca="1">IF(RIGHT(G614,13)="rune_slot,1}]",_xlfn.XLOOKUP(LEFT(SUBSTITUTE(G614,"[{",""),FIND(",",SUBSTITUTE(G614,"[{",""))-1),Sheet2!B:B,Sheet2!C:C)&amp;"+"&amp;1,_xlfn.XLOOKUP(LEFT(SUBSTITUTE(G614,"[{",""),FIND(",",SUBSTITUTE(G614,"[{",""))-1),Sheet2!B:B,Sheet2!C:C)&amp;"+"&amp;SUBSTITUTE(RIGHT(G614,LEN(G614)-FIND(",",G614)),"}]","")/100&amp;"%")</f>
        <v>伤害加成+74.4%</v>
      </c>
      <c r="L614" s="83" t="str">
        <f ca="1">IF(MOD(COUNTIF($Q$11:Q613,Q613),5)=0,OFFSET(装备属性!$G$1083,1+INT(COUNTA($Q$11:Q613)/5),0),L613)</f>
        <v>全职小队Ⅰ</v>
      </c>
      <c r="M614" s="89" t="str">
        <f ca="1">IF(MOD(COUNTIF($Q$11:Q613,Q613),5)=0,OFFSET(装备属性!$H$1083,1+INT(COUNTA($Q$11:Q613)/5),0),M613)</f>
        <v>global_dmg_rate</v>
      </c>
      <c r="N614" s="76">
        <f ca="1">IF(MOD(COUNTIF($Q$11:Q613,Q613),5)=0,OFFSET(装备属性!$K$1083,1+INT(COUNTA($Q$11:Q613)/5),0),N613)</f>
        <v>0.03</v>
      </c>
      <c r="O614" s="76">
        <f ca="1">IF(MOD(COUNTIF($Q$11:Q613,Q613),5)=0,OFFSET(装备属性!$L$1083,1+INT(COUNTA($Q$11:Q613)/5),0),O613)</f>
        <v>0.042</v>
      </c>
      <c r="Q614" s="89" t="str">
        <f ca="1">IF(MOD(COUNTIF($Q$11:Q613,Q613),5)=0,OFFSET(装备属性!$M$1083,1+INT(COUNTA($Q$11:Q613)/5),0),Q613)</f>
        <v>通用属性</v>
      </c>
      <c r="R614" s="83" t="e">
        <f ca="1">IF(MOD(COUNTIF($Q$11:Q613,Q613),5)=0,10000*SUBSTITUTE(SUBSTITUTE(OFFSET(装备属性!$F$1083,1+INT(COUNTA($Q$11:Q613)/5),0),"[",""),"]","")+_xlfn.XLOOKUP(C614,$M$3:$M$7,$N$3:$N$7)*100,R613)</f>
        <v>#N/A</v>
      </c>
    </row>
    <row r="615" customHeight="1" spans="1:18">
      <c r="A615" s="78" t="str">
        <f ca="1" t="shared" si="27"/>
        <v/>
      </c>
      <c r="B615" s="82" t="str">
        <f ca="1">IFERROR(R615+COUNTIFS($R$11:$R615,R615),"")</f>
        <v/>
      </c>
      <c r="C615" s="83">
        <f ca="1">IF(MOD(COUNTIF($Q$11:Q614,Q614),5)=0,OFFSET(装备属性!$D$1083,1+INT(COUNTA($Q$11:Q614)/5),0),C614)</f>
        <v>0</v>
      </c>
      <c r="D615" s="82">
        <f t="shared" si="29"/>
        <v>1000</v>
      </c>
      <c r="F615" s="82" t="str">
        <f ca="1" t="shared" si="28"/>
        <v/>
      </c>
      <c r="G615" s="78" t="str">
        <f ca="1">IF(AND(LEFT("[{"&amp;M615&amp;","&amp;CEILING(N615*10000+(O615-N615)/4*(COUNTIF($F$11:F615,F615)-1)*10000,10)&amp;"}]",7)="[{equip",MID("[{"&amp;M615&amp;","&amp;CEILING(N615*10000+(O615-N615)/4*(COUNTIF($F$11:F615,F615)-1)*10000,10)&amp;"}]",8,1)&lt;&gt;"_"),"[{"&amp;M615&amp;","&amp;1&amp;"}]","[{"&amp;M615&amp;","&amp;CEILING(N615*10000+(O615-N615)/4*(COUNTIF($F$11:F615,F615)-1)*10000,10)&amp;"}]")</f>
        <v>[{global_dmg_rate,7470}]</v>
      </c>
      <c r="H615" s="82" t="s">
        <v>563</v>
      </c>
      <c r="J615" s="78">
        <f ca="1">IF(MOD(COUNTIF($Q$11:Q614,Q614),5)=0,OFFSET(装备属性!$P$1083,1+INT(COUNTA($Q$11:Q614)/5),0),J614)</f>
        <v>2</v>
      </c>
      <c r="K615" s="83" t="str">
        <f ca="1">IF(RIGHT(G615,13)="rune_slot,1}]",_xlfn.XLOOKUP(LEFT(SUBSTITUTE(G615,"[{",""),FIND(",",SUBSTITUTE(G615,"[{",""))-1),Sheet2!B:B,Sheet2!C:C)&amp;"+"&amp;1,_xlfn.XLOOKUP(LEFT(SUBSTITUTE(G615,"[{",""),FIND(",",SUBSTITUTE(G615,"[{",""))-1),Sheet2!B:B,Sheet2!C:C)&amp;"+"&amp;SUBSTITUTE(RIGHT(G615,LEN(G615)-FIND(",",G615)),"}]","")/100&amp;"%")</f>
        <v>伤害加成+74.7%</v>
      </c>
      <c r="L615" s="83" t="str">
        <f ca="1">IF(MOD(COUNTIF($Q$11:Q614,Q614),5)=0,OFFSET(装备属性!$G$1083,1+INT(COUNTA($Q$11:Q614)/5),0),L614)</f>
        <v>全职小队Ⅰ</v>
      </c>
      <c r="M615" s="89" t="str">
        <f ca="1">IF(MOD(COUNTIF($Q$11:Q614,Q614),5)=0,OFFSET(装备属性!$H$1083,1+INT(COUNTA($Q$11:Q614)/5),0),M614)</f>
        <v>global_dmg_rate</v>
      </c>
      <c r="N615" s="76">
        <f ca="1">IF(MOD(COUNTIF($Q$11:Q614,Q614),5)=0,OFFSET(装备属性!$K$1083,1+INT(COUNTA($Q$11:Q614)/5),0),N614)</f>
        <v>0.03</v>
      </c>
      <c r="O615" s="76">
        <f ca="1">IF(MOD(COUNTIF($Q$11:Q614,Q614),5)=0,OFFSET(装备属性!$L$1083,1+INT(COUNTA($Q$11:Q614)/5),0),O614)</f>
        <v>0.042</v>
      </c>
      <c r="Q615" s="89" t="str">
        <f ca="1">IF(MOD(COUNTIF($Q$11:Q614,Q614),5)=0,OFFSET(装备属性!$M$1083,1+INT(COUNTA($Q$11:Q614)/5),0),Q614)</f>
        <v>通用属性</v>
      </c>
      <c r="R615" s="83" t="e">
        <f ca="1">IF(MOD(COUNTIF($Q$11:Q614,Q614),5)=0,10000*SUBSTITUTE(SUBSTITUTE(OFFSET(装备属性!$F$1083,1+INT(COUNTA($Q$11:Q614)/5),0),"[",""),"]","")+_xlfn.XLOOKUP(C615,$M$3:$M$7,$N$3:$N$7)*100,R614)</f>
        <v>#N/A</v>
      </c>
    </row>
    <row r="616" customHeight="1" spans="1:18">
      <c r="A616" s="78">
        <f ca="1" t="shared" si="27"/>
        <v>30401</v>
      </c>
      <c r="B616" s="82">
        <f ca="1">IFERROR(R616+COUNTIFS($R$11:$R616,R616),"")</f>
        <v>30401</v>
      </c>
      <c r="C616" s="83" t="str">
        <f ca="1">IF(MOD(COUNTIF($Q$11:Q615,Q615),5)=0,OFFSET(装备属性!$D$1083,1+INT(COUNTA($Q$11:Q615)/5),0),C615)</f>
        <v>紫</v>
      </c>
      <c r="D616" s="82">
        <f t="shared" si="29"/>
        <v>3000</v>
      </c>
      <c r="F616" s="82">
        <f ca="1" t="shared" si="28"/>
        <v>30400</v>
      </c>
      <c r="G616" s="78" t="str">
        <f ca="1">IF(AND(LEFT("[{"&amp;M616&amp;","&amp;CEILING(N616*10000+(O616-N616)/4*(COUNTIF($F$11:F616,F616)-1)*10000,10)&amp;"}]",7)="[{equip",MID("[{"&amp;M616&amp;","&amp;CEILING(N616*10000+(O616-N616)/4*(COUNTIF($F$11:F616,F616)-1)*10000,10)&amp;"}]",8,1)&lt;&gt;"_"),"[{"&amp;M616&amp;","&amp;1&amp;"}]","[{"&amp;M616&amp;","&amp;CEILING(N616*10000+(O616-N616)/4*(COUNTIF($F$11:F616,F616)-1)*10000,10)&amp;"}]")</f>
        <v>[{dmg_red_rate,100}]</v>
      </c>
      <c r="H616" s="82" t="s">
        <v>563</v>
      </c>
      <c r="J616" s="78">
        <f ca="1">IF(MOD(COUNTIF($Q$11:Q615,Q615),5)=0,OFFSET(装备属性!$P$1083,1+INT(COUNTA($Q$11:Q615)/5),0),J615)</f>
        <v>6</v>
      </c>
      <c r="K616" s="83" t="str">
        <f ca="1">IF(RIGHT(G616,13)="rune_slot,1}]",_xlfn.XLOOKUP(LEFT(SUBSTITUTE(G616,"[{",""),FIND(",",SUBSTITUTE(G616,"[{",""))-1),Sheet2!B:B,Sheet2!C:C)&amp;"+"&amp;1,_xlfn.XLOOKUP(LEFT(SUBSTITUTE(G616,"[{",""),FIND(",",SUBSTITUTE(G616,"[{",""))-1),Sheet2!B:B,Sheet2!C:C)&amp;"+"&amp;SUBSTITUTE(RIGHT(G616,LEN(G616)-FIND(",",G616)),"}]","")/100&amp;"%")</f>
        <v>伤害减免+1%</v>
      </c>
      <c r="L616" s="83" t="str">
        <f ca="1">IF(MOD(COUNTIF($Q$11:Q615,Q615),5)=0,OFFSET(装备属性!$G$1083,1+INT(COUNTA($Q$11:Q615)/5),0),L615)</f>
        <v>全员抗揍Ⅰ</v>
      </c>
      <c r="M616" s="89" t="str">
        <f ca="1">IF(MOD(COUNTIF($Q$11:Q615,Q615),5)=0,OFFSET(装备属性!$H$1083,1+INT(COUNTA($Q$11:Q615)/5),0),M615)</f>
        <v>dmg_red_rate</v>
      </c>
      <c r="N616" s="76">
        <f ca="1">IF(MOD(COUNTIF($Q$11:Q615,Q615),5)=0,OFFSET(装备属性!$K$1083,1+INT(COUNTA($Q$11:Q615)/5),0),N615)</f>
        <v>0.01</v>
      </c>
      <c r="O616" s="76">
        <f ca="1">IF(MOD(COUNTIF($Q$11:Q615,Q615),5)=0,OFFSET(装备属性!$L$1083,1+INT(COUNTA($Q$11:Q615)/5),0),O615)</f>
        <v>0.014</v>
      </c>
      <c r="Q616" s="89" t="str">
        <f ca="1">IF(MOD(COUNTIF($Q$11:Q615,Q615),5)=0,OFFSET(装备属性!$M$1083,1+INT(COUNTA($Q$11:Q615)/5),0),Q615)</f>
        <v>通用属性</v>
      </c>
      <c r="R616" s="83">
        <f ca="1">IF(MOD(COUNTIF($Q$11:Q615,Q615),5)=0,10000*SUBSTITUTE(SUBSTITUTE(OFFSET(装备属性!$F$1083,1+INT(COUNTA($Q$11:Q615)/5),0),"[",""),"]","")+_xlfn.XLOOKUP(C616,$M$3:$M$7,$N$3:$N$7)*100,R615)</f>
        <v>30400</v>
      </c>
    </row>
    <row r="617" customHeight="1" spans="1:18">
      <c r="A617" s="78">
        <f ca="1" t="shared" si="27"/>
        <v>30401</v>
      </c>
      <c r="B617" s="82">
        <f ca="1">IFERROR(R617+COUNTIFS($R$11:$R617,R617),"")</f>
        <v>30402</v>
      </c>
      <c r="C617" s="83" t="str">
        <f ca="1">IF(MOD(COUNTIF($Q$11:Q616,Q616),5)=0,OFFSET(装备属性!$D$1083,1+INT(COUNTA($Q$11:Q616)/5),0),C616)</f>
        <v>紫</v>
      </c>
      <c r="D617" s="82">
        <f t="shared" si="29"/>
        <v>2500</v>
      </c>
      <c r="F617" s="82">
        <f ca="1" t="shared" si="28"/>
        <v>30400</v>
      </c>
      <c r="G617" s="78" t="str">
        <f ca="1">IF(AND(LEFT("[{"&amp;M617&amp;","&amp;CEILING(N617*10000+(O617-N617)/4*(COUNTIF($F$11:F617,F617)-1)*10000,10)&amp;"}]",7)="[{equip",MID("[{"&amp;M617&amp;","&amp;CEILING(N617*10000+(O617-N617)/4*(COUNTIF($F$11:F617,F617)-1)*10000,10)&amp;"}]",8,1)&lt;&gt;"_"),"[{"&amp;M617&amp;","&amp;1&amp;"}]","[{"&amp;M617&amp;","&amp;CEILING(N617*10000+(O617-N617)/4*(COUNTIF($F$11:F617,F617)-1)*10000,10)&amp;"}]")</f>
        <v>[{dmg_red_rate,110}]</v>
      </c>
      <c r="H617" s="82" t="s">
        <v>563</v>
      </c>
      <c r="J617" s="78">
        <f ca="1">IF(MOD(COUNTIF($Q$11:Q616,Q616),5)=0,OFFSET(装备属性!$P$1083,1+INT(COUNTA($Q$11:Q616)/5),0),J616)</f>
        <v>6</v>
      </c>
      <c r="K617" s="83" t="str">
        <f ca="1">IF(RIGHT(G617,13)="rune_slot,1}]",_xlfn.XLOOKUP(LEFT(SUBSTITUTE(G617,"[{",""),FIND(",",SUBSTITUTE(G617,"[{",""))-1),Sheet2!B:B,Sheet2!C:C)&amp;"+"&amp;1,_xlfn.XLOOKUP(LEFT(SUBSTITUTE(G617,"[{",""),FIND(",",SUBSTITUTE(G617,"[{",""))-1),Sheet2!B:B,Sheet2!C:C)&amp;"+"&amp;SUBSTITUTE(RIGHT(G617,LEN(G617)-FIND(",",G617)),"}]","")/100&amp;"%")</f>
        <v>伤害减免+1.1%</v>
      </c>
      <c r="L617" s="83" t="str">
        <f ca="1">IF(MOD(COUNTIF($Q$11:Q616,Q616),5)=0,OFFSET(装备属性!$G$1083,1+INT(COUNTA($Q$11:Q616)/5),0),L616)</f>
        <v>全员抗揍Ⅰ</v>
      </c>
      <c r="M617" s="89" t="str">
        <f ca="1">IF(MOD(COUNTIF($Q$11:Q616,Q616),5)=0,OFFSET(装备属性!$H$1083,1+INT(COUNTA($Q$11:Q616)/5),0),M616)</f>
        <v>dmg_red_rate</v>
      </c>
      <c r="N617" s="76">
        <f ca="1">IF(MOD(COUNTIF($Q$11:Q616,Q616),5)=0,OFFSET(装备属性!$K$1083,1+INT(COUNTA($Q$11:Q616)/5),0),N616)</f>
        <v>0.01</v>
      </c>
      <c r="O617" s="76">
        <f ca="1">IF(MOD(COUNTIF($Q$11:Q616,Q616),5)=0,OFFSET(装备属性!$L$1083,1+INT(COUNTA($Q$11:Q616)/5),0),O616)</f>
        <v>0.014</v>
      </c>
      <c r="Q617" s="89" t="str">
        <f ca="1">IF(MOD(COUNTIF($Q$11:Q616,Q616),5)=0,OFFSET(装备属性!$M$1083,1+INT(COUNTA($Q$11:Q616)/5),0),Q616)</f>
        <v>通用属性</v>
      </c>
      <c r="R617" s="83">
        <f ca="1">IF(MOD(COUNTIF($Q$11:Q616,Q616),5)=0,10000*SUBSTITUTE(SUBSTITUTE(OFFSET(装备属性!$F$1083,1+INT(COUNTA($Q$11:Q616)/5),0),"[",""),"]","")+_xlfn.XLOOKUP(C617,$M$3:$M$7,$N$3:$N$7)*100,R616)</f>
        <v>30400</v>
      </c>
    </row>
    <row r="618" customHeight="1" spans="1:18">
      <c r="A618" s="78">
        <f ca="1" t="shared" si="27"/>
        <v>30401</v>
      </c>
      <c r="B618" s="82">
        <f ca="1">IFERROR(R618+COUNTIFS($R$11:$R618,R618),"")</f>
        <v>30403</v>
      </c>
      <c r="C618" s="83" t="str">
        <f ca="1">IF(MOD(COUNTIF($Q$11:Q617,Q617),5)=0,OFFSET(装备属性!$D$1083,1+INT(COUNTA($Q$11:Q617)/5),0),C617)</f>
        <v>紫</v>
      </c>
      <c r="D618" s="82">
        <f t="shared" si="29"/>
        <v>2000</v>
      </c>
      <c r="F618" s="82">
        <f ca="1" t="shared" si="28"/>
        <v>30400</v>
      </c>
      <c r="G618" s="78" t="str">
        <f ca="1">IF(AND(LEFT("[{"&amp;M618&amp;","&amp;CEILING(N618*10000+(O618-N618)/4*(COUNTIF($F$11:F618,F618)-1)*10000,10)&amp;"}]",7)="[{equip",MID("[{"&amp;M618&amp;","&amp;CEILING(N618*10000+(O618-N618)/4*(COUNTIF($F$11:F618,F618)-1)*10000,10)&amp;"}]",8,1)&lt;&gt;"_"),"[{"&amp;M618&amp;","&amp;1&amp;"}]","[{"&amp;M618&amp;","&amp;CEILING(N618*10000+(O618-N618)/4*(COUNTIF($F$11:F618,F618)-1)*10000,10)&amp;"}]")</f>
        <v>[{dmg_red_rate,120}]</v>
      </c>
      <c r="H618" s="82" t="s">
        <v>563</v>
      </c>
      <c r="J618" s="78">
        <f ca="1">IF(MOD(COUNTIF($Q$11:Q617,Q617),5)=0,OFFSET(装备属性!$P$1083,1+INT(COUNTA($Q$11:Q617)/5),0),J617)</f>
        <v>6</v>
      </c>
      <c r="K618" s="83" t="str">
        <f ca="1">IF(RIGHT(G618,13)="rune_slot,1}]",_xlfn.XLOOKUP(LEFT(SUBSTITUTE(G618,"[{",""),FIND(",",SUBSTITUTE(G618,"[{",""))-1),Sheet2!B:B,Sheet2!C:C)&amp;"+"&amp;1,_xlfn.XLOOKUP(LEFT(SUBSTITUTE(G618,"[{",""),FIND(",",SUBSTITUTE(G618,"[{",""))-1),Sheet2!B:B,Sheet2!C:C)&amp;"+"&amp;SUBSTITUTE(RIGHT(G618,LEN(G618)-FIND(",",G618)),"}]","")/100&amp;"%")</f>
        <v>伤害减免+1.2%</v>
      </c>
      <c r="L618" s="83" t="str">
        <f ca="1">IF(MOD(COUNTIF($Q$11:Q617,Q617),5)=0,OFFSET(装备属性!$G$1083,1+INT(COUNTA($Q$11:Q617)/5),0),L617)</f>
        <v>全员抗揍Ⅰ</v>
      </c>
      <c r="M618" s="89" t="str">
        <f ca="1">IF(MOD(COUNTIF($Q$11:Q617,Q617),5)=0,OFFSET(装备属性!$H$1083,1+INT(COUNTA($Q$11:Q617)/5),0),M617)</f>
        <v>dmg_red_rate</v>
      </c>
      <c r="N618" s="76">
        <f ca="1">IF(MOD(COUNTIF($Q$11:Q617,Q617),5)=0,OFFSET(装备属性!$K$1083,1+INT(COUNTA($Q$11:Q617)/5),0),N617)</f>
        <v>0.01</v>
      </c>
      <c r="O618" s="76">
        <f ca="1">IF(MOD(COUNTIF($Q$11:Q617,Q617),5)=0,OFFSET(装备属性!$L$1083,1+INT(COUNTA($Q$11:Q617)/5),0),O617)</f>
        <v>0.014</v>
      </c>
      <c r="Q618" s="89" t="str">
        <f ca="1">IF(MOD(COUNTIF($Q$11:Q617,Q617),5)=0,OFFSET(装备属性!$M$1083,1+INT(COUNTA($Q$11:Q617)/5),0),Q617)</f>
        <v>通用属性</v>
      </c>
      <c r="R618" s="83">
        <f ca="1">IF(MOD(COUNTIF($Q$11:Q617,Q617),5)=0,10000*SUBSTITUTE(SUBSTITUTE(OFFSET(装备属性!$F$1083,1+INT(COUNTA($Q$11:Q617)/5),0),"[",""),"]","")+_xlfn.XLOOKUP(C618,$M$3:$M$7,$N$3:$N$7)*100,R617)</f>
        <v>30400</v>
      </c>
    </row>
    <row r="619" customHeight="1" spans="1:18">
      <c r="A619" s="78">
        <f ca="1" t="shared" si="27"/>
        <v>30401</v>
      </c>
      <c r="B619" s="82">
        <f ca="1">IFERROR(R619+COUNTIFS($R$11:$R619,R619),"")</f>
        <v>30404</v>
      </c>
      <c r="C619" s="83" t="str">
        <f ca="1">IF(MOD(COUNTIF($Q$11:Q618,Q618),5)=0,OFFSET(装备属性!$D$1083,1+INT(COUNTA($Q$11:Q618)/5),0),C618)</f>
        <v>紫</v>
      </c>
      <c r="D619" s="82">
        <f t="shared" si="29"/>
        <v>1500</v>
      </c>
      <c r="F619" s="82">
        <f ca="1" t="shared" si="28"/>
        <v>30400</v>
      </c>
      <c r="G619" s="78" t="str">
        <f ca="1">IF(AND(LEFT("[{"&amp;M619&amp;","&amp;CEILING(N619*10000+(O619-N619)/4*(COUNTIF($F$11:F619,F619)-1)*10000,10)&amp;"}]",7)="[{equip",MID("[{"&amp;M619&amp;","&amp;CEILING(N619*10000+(O619-N619)/4*(COUNTIF($F$11:F619,F619)-1)*10000,10)&amp;"}]",8,1)&lt;&gt;"_"),"[{"&amp;M619&amp;","&amp;1&amp;"}]","[{"&amp;M619&amp;","&amp;CEILING(N619*10000+(O619-N619)/4*(COUNTIF($F$11:F619,F619)-1)*10000,10)&amp;"}]")</f>
        <v>[{dmg_red_rate,130}]</v>
      </c>
      <c r="H619" s="82" t="s">
        <v>563</v>
      </c>
      <c r="J619" s="78">
        <f ca="1">IF(MOD(COUNTIF($Q$11:Q618,Q618),5)=0,OFFSET(装备属性!$P$1083,1+INT(COUNTA($Q$11:Q618)/5),0),J618)</f>
        <v>6</v>
      </c>
      <c r="K619" s="83" t="str">
        <f ca="1">IF(RIGHT(G619,13)="rune_slot,1}]",_xlfn.XLOOKUP(LEFT(SUBSTITUTE(G619,"[{",""),FIND(",",SUBSTITUTE(G619,"[{",""))-1),Sheet2!B:B,Sheet2!C:C)&amp;"+"&amp;1,_xlfn.XLOOKUP(LEFT(SUBSTITUTE(G619,"[{",""),FIND(",",SUBSTITUTE(G619,"[{",""))-1),Sheet2!B:B,Sheet2!C:C)&amp;"+"&amp;SUBSTITUTE(RIGHT(G619,LEN(G619)-FIND(",",G619)),"}]","")/100&amp;"%")</f>
        <v>伤害减免+1.3%</v>
      </c>
      <c r="L619" s="83" t="str">
        <f ca="1">IF(MOD(COUNTIF($Q$11:Q618,Q618),5)=0,OFFSET(装备属性!$G$1083,1+INT(COUNTA($Q$11:Q618)/5),0),L618)</f>
        <v>全员抗揍Ⅰ</v>
      </c>
      <c r="M619" s="89" t="str">
        <f ca="1">IF(MOD(COUNTIF($Q$11:Q618,Q618),5)=0,OFFSET(装备属性!$H$1083,1+INT(COUNTA($Q$11:Q618)/5),0),M618)</f>
        <v>dmg_red_rate</v>
      </c>
      <c r="N619" s="76">
        <f ca="1">IF(MOD(COUNTIF($Q$11:Q618,Q618),5)=0,OFFSET(装备属性!$K$1083,1+INT(COUNTA($Q$11:Q618)/5),0),N618)</f>
        <v>0.01</v>
      </c>
      <c r="O619" s="76">
        <f ca="1">IF(MOD(COUNTIF($Q$11:Q618,Q618),5)=0,OFFSET(装备属性!$L$1083,1+INT(COUNTA($Q$11:Q618)/5),0),O618)</f>
        <v>0.014</v>
      </c>
      <c r="Q619" s="89" t="str">
        <f ca="1">IF(MOD(COUNTIF($Q$11:Q618,Q618),5)=0,OFFSET(装备属性!$M$1083,1+INT(COUNTA($Q$11:Q618)/5),0),Q618)</f>
        <v>通用属性</v>
      </c>
      <c r="R619" s="83">
        <f ca="1">IF(MOD(COUNTIF($Q$11:Q618,Q618),5)=0,10000*SUBSTITUTE(SUBSTITUTE(OFFSET(装备属性!$F$1083,1+INT(COUNTA($Q$11:Q618)/5),0),"[",""),"]","")+_xlfn.XLOOKUP(C619,$M$3:$M$7,$N$3:$N$7)*100,R618)</f>
        <v>30400</v>
      </c>
    </row>
    <row r="620" customHeight="1" spans="1:18">
      <c r="A620" s="78">
        <f ca="1" t="shared" si="27"/>
        <v>30401</v>
      </c>
      <c r="B620" s="82">
        <f ca="1">IFERROR(R620+COUNTIFS($R$11:$R620,R620),"")</f>
        <v>30405</v>
      </c>
      <c r="C620" s="83" t="str">
        <f ca="1">IF(MOD(COUNTIF($Q$11:Q619,Q619),5)=0,OFFSET(装备属性!$D$1083,1+INT(COUNTA($Q$11:Q619)/5),0),C619)</f>
        <v>紫</v>
      </c>
      <c r="D620" s="82">
        <f t="shared" si="29"/>
        <v>1000</v>
      </c>
      <c r="F620" s="82">
        <f ca="1" t="shared" si="28"/>
        <v>30400</v>
      </c>
      <c r="G620" s="78" t="str">
        <f ca="1">IF(AND(LEFT("[{"&amp;M620&amp;","&amp;CEILING(N620*10000+(O620-N620)/4*(COUNTIF($F$11:F620,F620)-1)*10000,10)&amp;"}]",7)="[{equip",MID("[{"&amp;M620&amp;","&amp;CEILING(N620*10000+(O620-N620)/4*(COUNTIF($F$11:F620,F620)-1)*10000,10)&amp;"}]",8,1)&lt;&gt;"_"),"[{"&amp;M620&amp;","&amp;1&amp;"}]","[{"&amp;M620&amp;","&amp;CEILING(N620*10000+(O620-N620)/4*(COUNTIF($F$11:F620,F620)-1)*10000,10)&amp;"}]")</f>
        <v>[{dmg_red_rate,140}]</v>
      </c>
      <c r="H620" s="82" t="s">
        <v>563</v>
      </c>
      <c r="J620" s="78">
        <f ca="1">IF(MOD(COUNTIF($Q$11:Q619,Q619),5)=0,OFFSET(装备属性!$P$1083,1+INT(COUNTA($Q$11:Q619)/5),0),J619)</f>
        <v>6</v>
      </c>
      <c r="K620" s="83" t="str">
        <f ca="1">IF(RIGHT(G620,13)="rune_slot,1}]",_xlfn.XLOOKUP(LEFT(SUBSTITUTE(G620,"[{",""),FIND(",",SUBSTITUTE(G620,"[{",""))-1),Sheet2!B:B,Sheet2!C:C)&amp;"+"&amp;1,_xlfn.XLOOKUP(LEFT(SUBSTITUTE(G620,"[{",""),FIND(",",SUBSTITUTE(G620,"[{",""))-1),Sheet2!B:B,Sheet2!C:C)&amp;"+"&amp;SUBSTITUTE(RIGHT(G620,LEN(G620)-FIND(",",G620)),"}]","")/100&amp;"%")</f>
        <v>伤害减免+1.4%</v>
      </c>
      <c r="L620" s="83" t="str">
        <f ca="1">IF(MOD(COUNTIF($Q$11:Q619,Q619),5)=0,OFFSET(装备属性!$G$1083,1+INT(COUNTA($Q$11:Q619)/5),0),L619)</f>
        <v>全员抗揍Ⅰ</v>
      </c>
      <c r="M620" s="89" t="str">
        <f ca="1">IF(MOD(COUNTIF($Q$11:Q619,Q619),5)=0,OFFSET(装备属性!$H$1083,1+INT(COUNTA($Q$11:Q619)/5),0),M619)</f>
        <v>dmg_red_rate</v>
      </c>
      <c r="N620" s="76">
        <f ca="1">IF(MOD(COUNTIF($Q$11:Q619,Q619),5)=0,OFFSET(装备属性!$K$1083,1+INT(COUNTA($Q$11:Q619)/5),0),N619)</f>
        <v>0.01</v>
      </c>
      <c r="O620" s="76">
        <f ca="1">IF(MOD(COUNTIF($Q$11:Q619,Q619),5)=0,OFFSET(装备属性!$L$1083,1+INT(COUNTA($Q$11:Q619)/5),0),O619)</f>
        <v>0.014</v>
      </c>
      <c r="Q620" s="89" t="str">
        <f ca="1">IF(MOD(COUNTIF($Q$11:Q619,Q619),5)=0,OFFSET(装备属性!$M$1083,1+INT(COUNTA($Q$11:Q619)/5),0),Q619)</f>
        <v>通用属性</v>
      </c>
      <c r="R620" s="83">
        <f ca="1">IF(MOD(COUNTIF($Q$11:Q619,Q619),5)=0,10000*SUBSTITUTE(SUBSTITUTE(OFFSET(装备属性!$F$1083,1+INT(COUNTA($Q$11:Q619)/5),0),"[",""),"]","")+_xlfn.XLOOKUP(C620,$M$3:$M$7,$N$3:$N$7)*100,R619)</f>
        <v>30400</v>
      </c>
    </row>
    <row r="621" customHeight="1" spans="1:18">
      <c r="A621" s="78">
        <f ca="1" t="shared" si="27"/>
        <v>30401</v>
      </c>
      <c r="B621" s="82">
        <f ca="1">IFERROR(R621+COUNTIFS($R$11:$R621,R621),"")</f>
        <v>30406</v>
      </c>
      <c r="C621" s="83" t="str">
        <f ca="1">IF(MOD(COUNTIF($Q$11:Q620,Q620),5)=0,OFFSET(装备属性!$D$1083,1+INT(COUNTA($Q$11:Q620)/5),0),C620)</f>
        <v>紫</v>
      </c>
      <c r="D621" s="82">
        <f t="shared" si="29"/>
        <v>3000</v>
      </c>
      <c r="F621" s="82">
        <f ca="1" t="shared" si="28"/>
        <v>30401</v>
      </c>
      <c r="G621" s="78" t="str">
        <f ca="1">IF(AND(LEFT("[{"&amp;M621&amp;","&amp;CEILING(N621*10000+(O621-N621)/4*(COUNTIF($F$11:F621,F621)-1)*10000,10)&amp;"}]",7)="[{equip",MID("[{"&amp;M621&amp;","&amp;CEILING(N621*10000+(O621-N621)/4*(COUNTIF($F$11:F621,F621)-1)*10000,10)&amp;"}]",8,1)&lt;&gt;"_"),"[{"&amp;M621&amp;","&amp;1&amp;"}]","[{"&amp;M621&amp;","&amp;CEILING(N621*10000+(O621-N621)/4*(COUNTIF($F$11:F621,F621)-1)*10000,10)&amp;"}]")</f>
        <v>[{all_class_dmg,300}]</v>
      </c>
      <c r="H621" s="82" t="s">
        <v>563</v>
      </c>
      <c r="J621" s="78">
        <f ca="1">IF(MOD(COUNTIF($Q$11:Q620,Q620),5)=0,OFFSET(装备属性!$P$1083,1+INT(COUNTA($Q$11:Q620)/5),0),J620)</f>
        <v>2</v>
      </c>
      <c r="K621" s="83" t="str">
        <f ca="1">IF(RIGHT(G621,13)="rune_slot,1}]",_xlfn.XLOOKUP(LEFT(SUBSTITUTE(G621,"[{",""),FIND(",",SUBSTITUTE(G621,"[{",""))-1),Sheet2!B:B,Sheet2!C:C)&amp;"+"&amp;1,_xlfn.XLOOKUP(LEFT(SUBSTITUTE(G621,"[{",""),FIND(",",SUBSTITUTE(G621,"[{",""))-1),Sheet2!B:B,Sheet2!C:C)&amp;"+"&amp;SUBSTITUTE(RIGHT(G621,LEN(G621)-FIND(",",G621)),"}]","")/100&amp;"%")</f>
        <v>上阵五个不同职业增伤+3%</v>
      </c>
      <c r="L621" s="83" t="str">
        <f ca="1">IF(MOD(COUNTIF($Q$11:Q620,Q620),5)=0,OFFSET(装备属性!$G$1083,1+INT(COUNTA($Q$11:Q620)/5),0),L620)</f>
        <v>全员出力Ⅰ</v>
      </c>
      <c r="M621" s="89" t="str">
        <f ca="1">IF(MOD(COUNTIF($Q$11:Q620,Q620),5)=0,OFFSET(装备属性!$H$1083,1+INT(COUNTA($Q$11:Q620)/5),0),M620)</f>
        <v>all_class_dmg</v>
      </c>
      <c r="N621" s="76">
        <f ca="1">IF(MOD(COUNTIF($Q$11:Q620,Q620),5)=0,OFFSET(装备属性!$K$1083,1+INT(COUNTA($Q$11:Q620)/5),0),N620)</f>
        <v>0.03</v>
      </c>
      <c r="O621" s="76">
        <f ca="1">IF(MOD(COUNTIF($Q$11:Q620,Q620),5)=0,OFFSET(装备属性!$L$1083,1+INT(COUNTA($Q$11:Q620)/5),0),O620)</f>
        <v>0.042</v>
      </c>
      <c r="Q621" s="89" t="str">
        <f ca="1">IF(MOD(COUNTIF($Q$11:Q620,Q620),5)=0,OFFSET(装备属性!$M$1083,1+INT(COUNTA($Q$11:Q620)/5),0),Q620)</f>
        <v>通用属性</v>
      </c>
      <c r="R621" s="83">
        <f ca="1">IF(MOD(COUNTIF($Q$11:Q620,Q620),5)=0,10000*SUBSTITUTE(SUBSTITUTE(OFFSET(装备属性!$F$1083,1+INT(COUNTA($Q$11:Q620)/5),0),"[",""),"]","")+_xlfn.XLOOKUP(C621,$M$3:$M$7,$N$3:$N$7)*100,R620)</f>
        <v>30400</v>
      </c>
    </row>
    <row r="622" customHeight="1" spans="1:18">
      <c r="A622" s="78">
        <f ca="1" t="shared" si="27"/>
        <v>30401</v>
      </c>
      <c r="B622" s="82">
        <f ca="1">IFERROR(R622+COUNTIFS($R$11:$R622,R622),"")</f>
        <v>30407</v>
      </c>
      <c r="C622" s="83" t="str">
        <f ca="1">IF(MOD(COUNTIF($Q$11:Q621,Q621),5)=0,OFFSET(装备属性!$D$1083,1+INT(COUNTA($Q$11:Q621)/5),0),C621)</f>
        <v>紫</v>
      </c>
      <c r="D622" s="82">
        <f t="shared" si="29"/>
        <v>2500</v>
      </c>
      <c r="F622" s="82">
        <f ca="1" t="shared" si="28"/>
        <v>30401</v>
      </c>
      <c r="G622" s="78" t="str">
        <f ca="1">IF(AND(LEFT("[{"&amp;M622&amp;","&amp;CEILING(N622*10000+(O622-N622)/4*(COUNTIF($F$11:F622,F622)-1)*10000,10)&amp;"}]",7)="[{equip",MID("[{"&amp;M622&amp;","&amp;CEILING(N622*10000+(O622-N622)/4*(COUNTIF($F$11:F622,F622)-1)*10000,10)&amp;"}]",8,1)&lt;&gt;"_"),"[{"&amp;M622&amp;","&amp;1&amp;"}]","[{"&amp;M622&amp;","&amp;CEILING(N622*10000+(O622-N622)/4*(COUNTIF($F$11:F622,F622)-1)*10000,10)&amp;"}]")</f>
        <v>[{all_class_dmg,330}]</v>
      </c>
      <c r="H622" s="82" t="s">
        <v>563</v>
      </c>
      <c r="J622" s="78">
        <f ca="1">IF(MOD(COUNTIF($Q$11:Q621,Q621),5)=0,OFFSET(装备属性!$P$1083,1+INT(COUNTA($Q$11:Q621)/5),0),J621)</f>
        <v>2</v>
      </c>
      <c r="K622" s="83" t="str">
        <f ca="1">IF(RIGHT(G622,13)="rune_slot,1}]",_xlfn.XLOOKUP(LEFT(SUBSTITUTE(G622,"[{",""),FIND(",",SUBSTITUTE(G622,"[{",""))-1),Sheet2!B:B,Sheet2!C:C)&amp;"+"&amp;1,_xlfn.XLOOKUP(LEFT(SUBSTITUTE(G622,"[{",""),FIND(",",SUBSTITUTE(G622,"[{",""))-1),Sheet2!B:B,Sheet2!C:C)&amp;"+"&amp;SUBSTITUTE(RIGHT(G622,LEN(G622)-FIND(",",G622)),"}]","")/100&amp;"%")</f>
        <v>上阵五个不同职业增伤+3.3%</v>
      </c>
      <c r="L622" s="83" t="str">
        <f ca="1">IF(MOD(COUNTIF($Q$11:Q621,Q621),5)=0,OFFSET(装备属性!$G$1083,1+INT(COUNTA($Q$11:Q621)/5),0),L621)</f>
        <v>全员出力Ⅰ</v>
      </c>
      <c r="M622" s="89" t="str">
        <f ca="1">IF(MOD(COUNTIF($Q$11:Q621,Q621),5)=0,OFFSET(装备属性!$H$1083,1+INT(COUNTA($Q$11:Q621)/5),0),M621)</f>
        <v>all_class_dmg</v>
      </c>
      <c r="N622" s="76">
        <f ca="1">IF(MOD(COUNTIF($Q$11:Q621,Q621),5)=0,OFFSET(装备属性!$K$1083,1+INT(COUNTA($Q$11:Q621)/5),0),N621)</f>
        <v>0.03</v>
      </c>
      <c r="O622" s="76">
        <f ca="1">IF(MOD(COUNTIF($Q$11:Q621,Q621),5)=0,OFFSET(装备属性!$L$1083,1+INT(COUNTA($Q$11:Q621)/5),0),O621)</f>
        <v>0.042</v>
      </c>
      <c r="Q622" s="89" t="str">
        <f ca="1">IF(MOD(COUNTIF($Q$11:Q621,Q621),5)=0,OFFSET(装备属性!$M$1083,1+INT(COUNTA($Q$11:Q621)/5),0),Q621)</f>
        <v>通用属性</v>
      </c>
      <c r="R622" s="83">
        <f ca="1">IF(MOD(COUNTIF($Q$11:Q621,Q621),5)=0,10000*SUBSTITUTE(SUBSTITUTE(OFFSET(装备属性!$F$1083,1+INT(COUNTA($Q$11:Q621)/5),0),"[",""),"]","")+_xlfn.XLOOKUP(C622,$M$3:$M$7,$N$3:$N$7)*100,R621)</f>
        <v>30400</v>
      </c>
    </row>
    <row r="623" customHeight="1" spans="1:18">
      <c r="A623" s="78">
        <f ca="1" t="shared" si="27"/>
        <v>30401</v>
      </c>
      <c r="B623" s="82">
        <f ca="1">IFERROR(R623+COUNTIFS($R$11:$R623,R623),"")</f>
        <v>30408</v>
      </c>
      <c r="C623" s="83" t="str">
        <f ca="1">IF(MOD(COUNTIF($Q$11:Q622,Q622),5)=0,OFFSET(装备属性!$D$1083,1+INT(COUNTA($Q$11:Q622)/5),0),C622)</f>
        <v>紫</v>
      </c>
      <c r="D623" s="82">
        <f t="shared" si="29"/>
        <v>2000</v>
      </c>
      <c r="F623" s="82">
        <f ca="1" t="shared" si="28"/>
        <v>30401</v>
      </c>
      <c r="G623" s="78" t="str">
        <f ca="1">IF(AND(LEFT("[{"&amp;M623&amp;","&amp;CEILING(N623*10000+(O623-N623)/4*(COUNTIF($F$11:F623,F623)-1)*10000,10)&amp;"}]",7)="[{equip",MID("[{"&amp;M623&amp;","&amp;CEILING(N623*10000+(O623-N623)/4*(COUNTIF($F$11:F623,F623)-1)*10000,10)&amp;"}]",8,1)&lt;&gt;"_"),"[{"&amp;M623&amp;","&amp;1&amp;"}]","[{"&amp;M623&amp;","&amp;CEILING(N623*10000+(O623-N623)/4*(COUNTIF($F$11:F623,F623)-1)*10000,10)&amp;"}]")</f>
        <v>[{all_class_dmg,360}]</v>
      </c>
      <c r="H623" s="82" t="s">
        <v>563</v>
      </c>
      <c r="J623" s="78">
        <f ca="1">IF(MOD(COUNTIF($Q$11:Q622,Q622),5)=0,OFFSET(装备属性!$P$1083,1+INT(COUNTA($Q$11:Q622)/5),0),J622)</f>
        <v>2</v>
      </c>
      <c r="K623" s="83" t="str">
        <f ca="1">IF(RIGHT(G623,13)="rune_slot,1}]",_xlfn.XLOOKUP(LEFT(SUBSTITUTE(G623,"[{",""),FIND(",",SUBSTITUTE(G623,"[{",""))-1),Sheet2!B:B,Sheet2!C:C)&amp;"+"&amp;1,_xlfn.XLOOKUP(LEFT(SUBSTITUTE(G623,"[{",""),FIND(",",SUBSTITUTE(G623,"[{",""))-1),Sheet2!B:B,Sheet2!C:C)&amp;"+"&amp;SUBSTITUTE(RIGHT(G623,LEN(G623)-FIND(",",G623)),"}]","")/100&amp;"%")</f>
        <v>上阵五个不同职业增伤+3.6%</v>
      </c>
      <c r="L623" s="83" t="str">
        <f ca="1">IF(MOD(COUNTIF($Q$11:Q622,Q622),5)=0,OFFSET(装备属性!$G$1083,1+INT(COUNTA($Q$11:Q622)/5),0),L622)</f>
        <v>全员出力Ⅰ</v>
      </c>
      <c r="M623" s="89" t="str">
        <f ca="1">IF(MOD(COUNTIF($Q$11:Q622,Q622),5)=0,OFFSET(装备属性!$H$1083,1+INT(COUNTA($Q$11:Q622)/5),0),M622)</f>
        <v>all_class_dmg</v>
      </c>
      <c r="N623" s="76">
        <f ca="1">IF(MOD(COUNTIF($Q$11:Q622,Q622),5)=0,OFFSET(装备属性!$K$1083,1+INT(COUNTA($Q$11:Q622)/5),0),N622)</f>
        <v>0.03</v>
      </c>
      <c r="O623" s="76">
        <f ca="1">IF(MOD(COUNTIF($Q$11:Q622,Q622),5)=0,OFFSET(装备属性!$L$1083,1+INT(COUNTA($Q$11:Q622)/5),0),O622)</f>
        <v>0.042</v>
      </c>
      <c r="Q623" s="89" t="str">
        <f ca="1">IF(MOD(COUNTIF($Q$11:Q622,Q622),5)=0,OFFSET(装备属性!$M$1083,1+INT(COUNTA($Q$11:Q622)/5),0),Q622)</f>
        <v>通用属性</v>
      </c>
      <c r="R623" s="83">
        <f ca="1">IF(MOD(COUNTIF($Q$11:Q622,Q622),5)=0,10000*SUBSTITUTE(SUBSTITUTE(OFFSET(装备属性!$F$1083,1+INT(COUNTA($Q$11:Q622)/5),0),"[",""),"]","")+_xlfn.XLOOKUP(C623,$M$3:$M$7,$N$3:$N$7)*100,R622)</f>
        <v>30400</v>
      </c>
    </row>
    <row r="624" customHeight="1" spans="1:18">
      <c r="A624" s="78">
        <f ca="1" t="shared" si="27"/>
        <v>30401</v>
      </c>
      <c r="B624" s="82">
        <f ca="1">IFERROR(R624+COUNTIFS($R$11:$R624,R624),"")</f>
        <v>30409</v>
      </c>
      <c r="C624" s="83" t="str">
        <f ca="1">IF(MOD(COUNTIF($Q$11:Q623,Q623),5)=0,OFFSET(装备属性!$D$1083,1+INT(COUNTA($Q$11:Q623)/5),0),C623)</f>
        <v>紫</v>
      </c>
      <c r="D624" s="82">
        <f t="shared" si="29"/>
        <v>1500</v>
      </c>
      <c r="F624" s="82">
        <f ca="1" t="shared" si="28"/>
        <v>30401</v>
      </c>
      <c r="G624" s="78" t="str">
        <f ca="1">IF(AND(LEFT("[{"&amp;M624&amp;","&amp;CEILING(N624*10000+(O624-N624)/4*(COUNTIF($F$11:F624,F624)-1)*10000,10)&amp;"}]",7)="[{equip",MID("[{"&amp;M624&amp;","&amp;CEILING(N624*10000+(O624-N624)/4*(COUNTIF($F$11:F624,F624)-1)*10000,10)&amp;"}]",8,1)&lt;&gt;"_"),"[{"&amp;M624&amp;","&amp;1&amp;"}]","[{"&amp;M624&amp;","&amp;CEILING(N624*10000+(O624-N624)/4*(COUNTIF($F$11:F624,F624)-1)*10000,10)&amp;"}]")</f>
        <v>[{all_class_dmg,390}]</v>
      </c>
      <c r="H624" s="82" t="s">
        <v>563</v>
      </c>
      <c r="J624" s="78">
        <f ca="1">IF(MOD(COUNTIF($Q$11:Q623,Q623),5)=0,OFFSET(装备属性!$P$1083,1+INT(COUNTA($Q$11:Q623)/5),0),J623)</f>
        <v>2</v>
      </c>
      <c r="K624" s="83" t="str">
        <f ca="1">IF(RIGHT(G624,13)="rune_slot,1}]",_xlfn.XLOOKUP(LEFT(SUBSTITUTE(G624,"[{",""),FIND(",",SUBSTITUTE(G624,"[{",""))-1),Sheet2!B:B,Sheet2!C:C)&amp;"+"&amp;1,_xlfn.XLOOKUP(LEFT(SUBSTITUTE(G624,"[{",""),FIND(",",SUBSTITUTE(G624,"[{",""))-1),Sheet2!B:B,Sheet2!C:C)&amp;"+"&amp;SUBSTITUTE(RIGHT(G624,LEN(G624)-FIND(",",G624)),"}]","")/100&amp;"%")</f>
        <v>上阵五个不同职业增伤+3.9%</v>
      </c>
      <c r="L624" s="83" t="str">
        <f ca="1">IF(MOD(COUNTIF($Q$11:Q623,Q623),5)=0,OFFSET(装备属性!$G$1083,1+INT(COUNTA($Q$11:Q623)/5),0),L623)</f>
        <v>全员出力Ⅰ</v>
      </c>
      <c r="M624" s="89" t="str">
        <f ca="1">IF(MOD(COUNTIF($Q$11:Q623,Q623),5)=0,OFFSET(装备属性!$H$1083,1+INT(COUNTA($Q$11:Q623)/5),0),M623)</f>
        <v>all_class_dmg</v>
      </c>
      <c r="N624" s="76">
        <f ca="1">IF(MOD(COUNTIF($Q$11:Q623,Q623),5)=0,OFFSET(装备属性!$K$1083,1+INT(COUNTA($Q$11:Q623)/5),0),N623)</f>
        <v>0.03</v>
      </c>
      <c r="O624" s="76">
        <f ca="1">IF(MOD(COUNTIF($Q$11:Q623,Q623),5)=0,OFFSET(装备属性!$L$1083,1+INT(COUNTA($Q$11:Q623)/5),0),O623)</f>
        <v>0.042</v>
      </c>
      <c r="Q624" s="89" t="str">
        <f ca="1">IF(MOD(COUNTIF($Q$11:Q623,Q623),5)=0,OFFSET(装备属性!$M$1083,1+INT(COUNTA($Q$11:Q623)/5),0),Q623)</f>
        <v>通用属性</v>
      </c>
      <c r="R624" s="83">
        <f ca="1">IF(MOD(COUNTIF($Q$11:Q623,Q623),5)=0,10000*SUBSTITUTE(SUBSTITUTE(OFFSET(装备属性!$F$1083,1+INT(COUNTA($Q$11:Q623)/5),0),"[",""),"]","")+_xlfn.XLOOKUP(C624,$M$3:$M$7,$N$3:$N$7)*100,R623)</f>
        <v>30400</v>
      </c>
    </row>
    <row r="625" customHeight="1" spans="1:18">
      <c r="A625" s="78">
        <f ca="1" t="shared" si="27"/>
        <v>30401</v>
      </c>
      <c r="B625" s="82">
        <f ca="1">IFERROR(R625+COUNTIFS($R$11:$R625,R625),"")</f>
        <v>30410</v>
      </c>
      <c r="C625" s="83" t="str">
        <f ca="1">IF(MOD(COUNTIF($Q$11:Q624,Q624),5)=0,OFFSET(装备属性!$D$1083,1+INT(COUNTA($Q$11:Q624)/5),0),C624)</f>
        <v>紫</v>
      </c>
      <c r="D625" s="82">
        <f t="shared" si="29"/>
        <v>1000</v>
      </c>
      <c r="F625" s="82">
        <f ca="1" t="shared" si="28"/>
        <v>30401</v>
      </c>
      <c r="G625" s="78" t="str">
        <f ca="1">IF(AND(LEFT("[{"&amp;M625&amp;","&amp;CEILING(N625*10000+(O625-N625)/4*(COUNTIF($F$11:F625,F625)-1)*10000,10)&amp;"}]",7)="[{equip",MID("[{"&amp;M625&amp;","&amp;CEILING(N625*10000+(O625-N625)/4*(COUNTIF($F$11:F625,F625)-1)*10000,10)&amp;"}]",8,1)&lt;&gt;"_"),"[{"&amp;M625&amp;","&amp;1&amp;"}]","[{"&amp;M625&amp;","&amp;CEILING(N625*10000+(O625-N625)/4*(COUNTIF($F$11:F625,F625)-1)*10000,10)&amp;"}]")</f>
        <v>[{all_class_dmg,420}]</v>
      </c>
      <c r="H625" s="82" t="s">
        <v>563</v>
      </c>
      <c r="J625" s="78">
        <f ca="1">IF(MOD(COUNTIF($Q$11:Q624,Q624),5)=0,OFFSET(装备属性!$P$1083,1+INT(COUNTA($Q$11:Q624)/5),0),J624)</f>
        <v>2</v>
      </c>
      <c r="K625" s="83" t="str">
        <f ca="1">IF(RIGHT(G625,13)="rune_slot,1}]",_xlfn.XLOOKUP(LEFT(SUBSTITUTE(G625,"[{",""),FIND(",",SUBSTITUTE(G625,"[{",""))-1),Sheet2!B:B,Sheet2!C:C)&amp;"+"&amp;1,_xlfn.XLOOKUP(LEFT(SUBSTITUTE(G625,"[{",""),FIND(",",SUBSTITUTE(G625,"[{",""))-1),Sheet2!B:B,Sheet2!C:C)&amp;"+"&amp;SUBSTITUTE(RIGHT(G625,LEN(G625)-FIND(",",G625)),"}]","")/100&amp;"%")</f>
        <v>上阵五个不同职业增伤+4.2%</v>
      </c>
      <c r="L625" s="83" t="str">
        <f ca="1">IF(MOD(COUNTIF($Q$11:Q624,Q624),5)=0,OFFSET(装备属性!$G$1083,1+INT(COUNTA($Q$11:Q624)/5),0),L624)</f>
        <v>全员出力Ⅰ</v>
      </c>
      <c r="M625" s="89" t="str">
        <f ca="1">IF(MOD(COUNTIF($Q$11:Q624,Q624),5)=0,OFFSET(装备属性!$H$1083,1+INT(COUNTA($Q$11:Q624)/5),0),M624)</f>
        <v>all_class_dmg</v>
      </c>
      <c r="N625" s="76">
        <f ca="1">IF(MOD(COUNTIF($Q$11:Q624,Q624),5)=0,OFFSET(装备属性!$K$1083,1+INT(COUNTA($Q$11:Q624)/5),0),N624)</f>
        <v>0.03</v>
      </c>
      <c r="O625" s="76">
        <f ca="1">IF(MOD(COUNTIF($Q$11:Q624,Q624),5)=0,OFFSET(装备属性!$L$1083,1+INT(COUNTA($Q$11:Q624)/5),0),O624)</f>
        <v>0.042</v>
      </c>
      <c r="Q625" s="89" t="str">
        <f ca="1">IF(MOD(COUNTIF($Q$11:Q624,Q624),5)=0,OFFSET(装备属性!$M$1083,1+INT(COUNTA($Q$11:Q624)/5),0),Q624)</f>
        <v>通用属性</v>
      </c>
      <c r="R625" s="83">
        <f ca="1">IF(MOD(COUNTIF($Q$11:Q624,Q624),5)=0,10000*SUBSTITUTE(SUBSTITUTE(OFFSET(装备属性!$F$1083,1+INT(COUNTA($Q$11:Q624)/5),0),"[",""),"]","")+_xlfn.XLOOKUP(C625,$M$3:$M$7,$N$3:$N$7)*100,R624)</f>
        <v>30400</v>
      </c>
    </row>
    <row r="626" customHeight="1" spans="1:18">
      <c r="A626" s="78" t="str">
        <f ca="1" t="shared" si="27"/>
        <v/>
      </c>
      <c r="B626" s="82" t="str">
        <f ca="1">IFERROR(R626+COUNTIFS($R$11:$R626,R626),"")</f>
        <v/>
      </c>
      <c r="C626" s="83">
        <f ca="1">IF(MOD(COUNTIF($Q$11:Q625,Q625),5)=0,OFFSET(装备属性!$D$1083,1+INT(COUNTA($Q$11:Q625)/5),0),C625)</f>
        <v>0</v>
      </c>
      <c r="D626" s="82">
        <f t="shared" si="29"/>
        <v>3000</v>
      </c>
      <c r="F626" s="82" t="str">
        <f ca="1" t="shared" si="28"/>
        <v/>
      </c>
      <c r="G626" s="78" t="str">
        <f ca="1">IF(AND(LEFT("[{"&amp;M626&amp;","&amp;CEILING(N626*10000+(O626-N626)/4*(COUNTIF($F$11:F626,F626)-1)*10000,10)&amp;"}]",7)="[{equip",MID("[{"&amp;M626&amp;","&amp;CEILING(N626*10000+(O626-N626)/4*(COUNTIF($F$11:F626,F626)-1)*10000,10)&amp;"}]",8,1)&lt;&gt;"_"),"[{"&amp;M626&amp;","&amp;1&amp;"}]","[{"&amp;M626&amp;","&amp;CEILING(N626*10000+(O626-N626)/4*(COUNTIF($F$11:F626,F626)-1)*10000,10)&amp;"}]")</f>
        <v>[{exp_boost,2000}]</v>
      </c>
      <c r="H626" s="82" t="s">
        <v>563</v>
      </c>
      <c r="J626" s="78">
        <f ca="1">IF(MOD(COUNTIF($Q$11:Q625,Q625),5)=0,OFFSET(装备属性!$P$1083,1+INT(COUNTA($Q$11:Q625)/5),0),J625)</f>
        <v>9</v>
      </c>
      <c r="K626" s="83" t="str">
        <f ca="1">IF(RIGHT(G626,13)="rune_slot,1}]",_xlfn.XLOOKUP(LEFT(SUBSTITUTE(G626,"[{",""),FIND(",",SUBSTITUTE(G626,"[{",""))-1),Sheet2!B:B,Sheet2!C:C)&amp;"+"&amp;1,_xlfn.XLOOKUP(LEFT(SUBSTITUTE(G626,"[{",""),FIND(",",SUBSTITUTE(G626,"[{",""))-1),Sheet2!B:B,Sheet2!C:C)&amp;"+"&amp;SUBSTITUTE(RIGHT(G626,LEN(G626)-FIND(",",G626)),"}]","")/100&amp;"%")</f>
        <v>经验加成+20%</v>
      </c>
      <c r="L626" s="83" t="str">
        <f ca="1">IF(MOD(COUNTIF($Q$11:Q625,Q625),5)=0,OFFSET(装备属性!$G$1083,1+INT(COUNTA($Q$11:Q625)/5),0),L625)</f>
        <v>涨见识</v>
      </c>
      <c r="M626" s="89" t="str">
        <f ca="1">IF(MOD(COUNTIF($Q$11:Q625,Q625),5)=0,OFFSET(装备属性!$H$1083,1+INT(COUNTA($Q$11:Q625)/5),0),M625)</f>
        <v>exp_boost</v>
      </c>
      <c r="N626" s="76">
        <f ca="1">IF(MOD(COUNTIF($Q$11:Q625,Q625),5)=0,OFFSET(装备属性!$K$1083,1+INT(COUNTA($Q$11:Q625)/5),0),N625)</f>
        <v>0.2</v>
      </c>
      <c r="O626" s="76">
        <f ca="1">IF(MOD(COUNTIF($Q$11:Q625,Q625),5)=0,OFFSET(装备属性!$L$1083,1+INT(COUNTA($Q$11:Q625)/5),0),O625)</f>
        <v>0.2</v>
      </c>
      <c r="Q626" s="89" t="str">
        <f ca="1">IF(MOD(COUNTIF($Q$11:Q625,Q625),5)=0,OFFSET(装备属性!$M$1083,1+INT(COUNTA($Q$11:Q625)/5),0),Q625)</f>
        <v>稀有词条</v>
      </c>
      <c r="R626" s="83" t="e">
        <f ca="1">IF(MOD(COUNTIF($Q$11:Q625,Q625),5)=0,10000*SUBSTITUTE(SUBSTITUTE(OFFSET(装备属性!$F$1083,1+INT(COUNTA($Q$11:Q625)/5),0),"[",""),"]","")+_xlfn.XLOOKUP(C626,$M$3:$M$7,$N$3:$N$7)*100,R625)</f>
        <v>#N/A</v>
      </c>
    </row>
    <row r="627" customHeight="1" spans="1:18">
      <c r="A627" s="78" t="str">
        <f ca="1" t="shared" si="27"/>
        <v/>
      </c>
      <c r="B627" s="82" t="str">
        <f ca="1">IFERROR(R627+COUNTIFS($R$11:$R627,R627),"")</f>
        <v/>
      </c>
      <c r="C627" s="83">
        <f ca="1">IF(MOD(COUNTIF($Q$11:Q626,Q626),5)=0,OFFSET(装备属性!$D$1083,1+INT(COUNTA($Q$11:Q626)/5),0),C626)</f>
        <v>0</v>
      </c>
      <c r="D627" s="82">
        <f t="shared" si="29"/>
        <v>2500</v>
      </c>
      <c r="F627" s="82" t="str">
        <f ca="1" t="shared" si="28"/>
        <v/>
      </c>
      <c r="G627" s="78" t="str">
        <f ca="1">IF(AND(LEFT("[{"&amp;M627&amp;","&amp;CEILING(N627*10000+(O627-N627)/4*(COUNTIF($F$11:F627,F627)-1)*10000,10)&amp;"}]",7)="[{equip",MID("[{"&amp;M627&amp;","&amp;CEILING(N627*10000+(O627-N627)/4*(COUNTIF($F$11:F627,F627)-1)*10000,10)&amp;"}]",8,1)&lt;&gt;"_"),"[{"&amp;M627&amp;","&amp;1&amp;"}]","[{"&amp;M627&amp;","&amp;CEILING(N627*10000+(O627-N627)/4*(COUNTIF($F$11:F627,F627)-1)*10000,10)&amp;"}]")</f>
        <v>[{exp_boost,2000}]</v>
      </c>
      <c r="H627" s="82" t="s">
        <v>563</v>
      </c>
      <c r="J627" s="78">
        <f ca="1">IF(MOD(COUNTIF($Q$11:Q626,Q626),5)=0,OFFSET(装备属性!$P$1083,1+INT(COUNTA($Q$11:Q626)/5),0),J626)</f>
        <v>9</v>
      </c>
      <c r="K627" s="83" t="str">
        <f ca="1">IF(RIGHT(G627,13)="rune_slot,1}]",_xlfn.XLOOKUP(LEFT(SUBSTITUTE(G627,"[{",""),FIND(",",SUBSTITUTE(G627,"[{",""))-1),Sheet2!B:B,Sheet2!C:C)&amp;"+"&amp;1,_xlfn.XLOOKUP(LEFT(SUBSTITUTE(G627,"[{",""),FIND(",",SUBSTITUTE(G627,"[{",""))-1),Sheet2!B:B,Sheet2!C:C)&amp;"+"&amp;SUBSTITUTE(RIGHT(G627,LEN(G627)-FIND(",",G627)),"}]","")/100&amp;"%")</f>
        <v>经验加成+20%</v>
      </c>
      <c r="L627" s="83" t="str">
        <f ca="1">IF(MOD(COUNTIF($Q$11:Q626,Q626),5)=0,OFFSET(装备属性!$G$1083,1+INT(COUNTA($Q$11:Q626)/5),0),L626)</f>
        <v>涨见识</v>
      </c>
      <c r="M627" s="89" t="str">
        <f ca="1">IF(MOD(COUNTIF($Q$11:Q626,Q626),5)=0,OFFSET(装备属性!$H$1083,1+INT(COUNTA($Q$11:Q626)/5),0),M626)</f>
        <v>exp_boost</v>
      </c>
      <c r="N627" s="76">
        <f ca="1">IF(MOD(COUNTIF($Q$11:Q626,Q626),5)=0,OFFSET(装备属性!$K$1083,1+INT(COUNTA($Q$11:Q626)/5),0),N626)</f>
        <v>0.2</v>
      </c>
      <c r="O627" s="76">
        <f ca="1">IF(MOD(COUNTIF($Q$11:Q626,Q626),5)=0,OFFSET(装备属性!$L$1083,1+INT(COUNTA($Q$11:Q626)/5),0),O626)</f>
        <v>0.2</v>
      </c>
      <c r="Q627" s="89" t="str">
        <f ca="1">IF(MOD(COUNTIF($Q$11:Q626,Q626),5)=0,OFFSET(装备属性!$M$1083,1+INT(COUNTA($Q$11:Q626)/5),0),Q626)</f>
        <v>稀有词条</v>
      </c>
      <c r="R627" s="83" t="e">
        <f ca="1">IF(MOD(COUNTIF($Q$11:Q626,Q626),5)=0,10000*SUBSTITUTE(SUBSTITUTE(OFFSET(装备属性!$F$1083,1+INT(COUNTA($Q$11:Q626)/5),0),"[",""),"]","")+_xlfn.XLOOKUP(C627,$M$3:$M$7,$N$3:$N$7)*100,R626)</f>
        <v>#N/A</v>
      </c>
    </row>
    <row r="628" customHeight="1" spans="1:18">
      <c r="A628" s="78" t="str">
        <f ca="1" t="shared" si="27"/>
        <v/>
      </c>
      <c r="B628" s="82" t="str">
        <f ca="1">IFERROR(R628+COUNTIFS($R$11:$R628,R628),"")</f>
        <v/>
      </c>
      <c r="C628" s="83">
        <f ca="1">IF(MOD(COUNTIF($Q$11:Q627,Q627),5)=0,OFFSET(装备属性!$D$1083,1+INT(COUNTA($Q$11:Q627)/5),0),C627)</f>
        <v>0</v>
      </c>
      <c r="D628" s="82">
        <f t="shared" si="29"/>
        <v>2000</v>
      </c>
      <c r="F628" s="82" t="str">
        <f ca="1" t="shared" si="28"/>
        <v/>
      </c>
      <c r="G628" s="78" t="str">
        <f ca="1">IF(AND(LEFT("[{"&amp;M628&amp;","&amp;CEILING(N628*10000+(O628-N628)/4*(COUNTIF($F$11:F628,F628)-1)*10000,10)&amp;"}]",7)="[{equip",MID("[{"&amp;M628&amp;","&amp;CEILING(N628*10000+(O628-N628)/4*(COUNTIF($F$11:F628,F628)-1)*10000,10)&amp;"}]",8,1)&lt;&gt;"_"),"[{"&amp;M628&amp;","&amp;1&amp;"}]","[{"&amp;M628&amp;","&amp;CEILING(N628*10000+(O628-N628)/4*(COUNTIF($F$11:F628,F628)-1)*10000,10)&amp;"}]")</f>
        <v>[{exp_boost,2000}]</v>
      </c>
      <c r="H628" s="82" t="s">
        <v>563</v>
      </c>
      <c r="J628" s="78">
        <f ca="1">IF(MOD(COUNTIF($Q$11:Q627,Q627),5)=0,OFFSET(装备属性!$P$1083,1+INT(COUNTA($Q$11:Q627)/5),0),J627)</f>
        <v>9</v>
      </c>
      <c r="K628" s="83" t="str">
        <f ca="1">IF(RIGHT(G628,13)="rune_slot,1}]",_xlfn.XLOOKUP(LEFT(SUBSTITUTE(G628,"[{",""),FIND(",",SUBSTITUTE(G628,"[{",""))-1),Sheet2!B:B,Sheet2!C:C)&amp;"+"&amp;1,_xlfn.XLOOKUP(LEFT(SUBSTITUTE(G628,"[{",""),FIND(",",SUBSTITUTE(G628,"[{",""))-1),Sheet2!B:B,Sheet2!C:C)&amp;"+"&amp;SUBSTITUTE(RIGHT(G628,LEN(G628)-FIND(",",G628)),"}]","")/100&amp;"%")</f>
        <v>经验加成+20%</v>
      </c>
      <c r="L628" s="83" t="str">
        <f ca="1">IF(MOD(COUNTIF($Q$11:Q627,Q627),5)=0,OFFSET(装备属性!$G$1083,1+INT(COUNTA($Q$11:Q627)/5),0),L627)</f>
        <v>涨见识</v>
      </c>
      <c r="M628" s="89" t="str">
        <f ca="1">IF(MOD(COUNTIF($Q$11:Q627,Q627),5)=0,OFFSET(装备属性!$H$1083,1+INT(COUNTA($Q$11:Q627)/5),0),M627)</f>
        <v>exp_boost</v>
      </c>
      <c r="N628" s="76">
        <f ca="1">IF(MOD(COUNTIF($Q$11:Q627,Q627),5)=0,OFFSET(装备属性!$K$1083,1+INT(COUNTA($Q$11:Q627)/5),0),N627)</f>
        <v>0.2</v>
      </c>
      <c r="O628" s="76">
        <f ca="1">IF(MOD(COUNTIF($Q$11:Q627,Q627),5)=0,OFFSET(装备属性!$L$1083,1+INT(COUNTA($Q$11:Q627)/5),0),O627)</f>
        <v>0.2</v>
      </c>
      <c r="Q628" s="89" t="str">
        <f ca="1">IF(MOD(COUNTIF($Q$11:Q627,Q627),5)=0,OFFSET(装备属性!$M$1083,1+INT(COUNTA($Q$11:Q627)/5),0),Q627)</f>
        <v>稀有词条</v>
      </c>
      <c r="R628" s="83" t="e">
        <f ca="1">IF(MOD(COUNTIF($Q$11:Q627,Q627),5)=0,10000*SUBSTITUTE(SUBSTITUTE(OFFSET(装备属性!$F$1083,1+INT(COUNTA($Q$11:Q627)/5),0),"[",""),"]","")+_xlfn.XLOOKUP(C628,$M$3:$M$7,$N$3:$N$7)*100,R627)</f>
        <v>#N/A</v>
      </c>
    </row>
    <row r="629" customHeight="1" spans="1:18">
      <c r="A629" s="78" t="str">
        <f ca="1" t="shared" si="27"/>
        <v/>
      </c>
      <c r="B629" s="82" t="str">
        <f ca="1">IFERROR(R629+COUNTIFS($R$11:$R629,R629),"")</f>
        <v/>
      </c>
      <c r="C629" s="83">
        <f ca="1">IF(MOD(COUNTIF($Q$11:Q628,Q628),5)=0,OFFSET(装备属性!$D$1083,1+INT(COUNTA($Q$11:Q628)/5),0),C628)</f>
        <v>0</v>
      </c>
      <c r="D629" s="82">
        <f t="shared" si="29"/>
        <v>1500</v>
      </c>
      <c r="F629" s="82" t="str">
        <f ca="1" t="shared" si="28"/>
        <v/>
      </c>
      <c r="G629" s="78" t="str">
        <f ca="1">IF(AND(LEFT("[{"&amp;M629&amp;","&amp;CEILING(N629*10000+(O629-N629)/4*(COUNTIF($F$11:F629,F629)-1)*10000,10)&amp;"}]",7)="[{equip",MID("[{"&amp;M629&amp;","&amp;CEILING(N629*10000+(O629-N629)/4*(COUNTIF($F$11:F629,F629)-1)*10000,10)&amp;"}]",8,1)&lt;&gt;"_"),"[{"&amp;M629&amp;","&amp;1&amp;"}]","[{"&amp;M629&amp;","&amp;CEILING(N629*10000+(O629-N629)/4*(COUNTIF($F$11:F629,F629)-1)*10000,10)&amp;"}]")</f>
        <v>[{exp_boost,2000}]</v>
      </c>
      <c r="H629" s="82" t="s">
        <v>563</v>
      </c>
      <c r="J629" s="78">
        <f ca="1">IF(MOD(COUNTIF($Q$11:Q628,Q628),5)=0,OFFSET(装备属性!$P$1083,1+INT(COUNTA($Q$11:Q628)/5),0),J628)</f>
        <v>9</v>
      </c>
      <c r="K629" s="83" t="str">
        <f ca="1">IF(RIGHT(G629,13)="rune_slot,1}]",_xlfn.XLOOKUP(LEFT(SUBSTITUTE(G629,"[{",""),FIND(",",SUBSTITUTE(G629,"[{",""))-1),Sheet2!B:B,Sheet2!C:C)&amp;"+"&amp;1,_xlfn.XLOOKUP(LEFT(SUBSTITUTE(G629,"[{",""),FIND(",",SUBSTITUTE(G629,"[{",""))-1),Sheet2!B:B,Sheet2!C:C)&amp;"+"&amp;SUBSTITUTE(RIGHT(G629,LEN(G629)-FIND(",",G629)),"}]","")/100&amp;"%")</f>
        <v>经验加成+20%</v>
      </c>
      <c r="L629" s="83" t="str">
        <f ca="1">IF(MOD(COUNTIF($Q$11:Q628,Q628),5)=0,OFFSET(装备属性!$G$1083,1+INT(COUNTA($Q$11:Q628)/5),0),L628)</f>
        <v>涨见识</v>
      </c>
      <c r="M629" s="89" t="str">
        <f ca="1">IF(MOD(COUNTIF($Q$11:Q628,Q628),5)=0,OFFSET(装备属性!$H$1083,1+INT(COUNTA($Q$11:Q628)/5),0),M628)</f>
        <v>exp_boost</v>
      </c>
      <c r="N629" s="76">
        <f ca="1">IF(MOD(COUNTIF($Q$11:Q628,Q628),5)=0,OFFSET(装备属性!$K$1083,1+INT(COUNTA($Q$11:Q628)/5),0),N628)</f>
        <v>0.2</v>
      </c>
      <c r="O629" s="76">
        <f ca="1">IF(MOD(COUNTIF($Q$11:Q628,Q628),5)=0,OFFSET(装备属性!$L$1083,1+INT(COUNTA($Q$11:Q628)/5),0),O628)</f>
        <v>0.2</v>
      </c>
      <c r="Q629" s="89" t="str">
        <f ca="1">IF(MOD(COUNTIF($Q$11:Q628,Q628),5)=0,OFFSET(装备属性!$M$1083,1+INT(COUNTA($Q$11:Q628)/5),0),Q628)</f>
        <v>稀有词条</v>
      </c>
      <c r="R629" s="83" t="e">
        <f ca="1">IF(MOD(COUNTIF($Q$11:Q628,Q628),5)=0,10000*SUBSTITUTE(SUBSTITUTE(OFFSET(装备属性!$F$1083,1+INT(COUNTA($Q$11:Q628)/5),0),"[",""),"]","")+_xlfn.XLOOKUP(C629,$M$3:$M$7,$N$3:$N$7)*100,R628)</f>
        <v>#N/A</v>
      </c>
    </row>
    <row r="630" customHeight="1" spans="1:18">
      <c r="A630" s="78" t="str">
        <f ca="1" t="shared" si="27"/>
        <v/>
      </c>
      <c r="B630" s="82" t="str">
        <f ca="1">IFERROR(R630+COUNTIFS($R$11:$R630,R630),"")</f>
        <v/>
      </c>
      <c r="C630" s="83">
        <f ca="1">IF(MOD(COUNTIF($Q$11:Q629,Q629),5)=0,OFFSET(装备属性!$D$1083,1+INT(COUNTA($Q$11:Q629)/5),0),C629)</f>
        <v>0</v>
      </c>
      <c r="D630" s="82">
        <f t="shared" si="29"/>
        <v>1000</v>
      </c>
      <c r="F630" s="82" t="str">
        <f ca="1" t="shared" si="28"/>
        <v/>
      </c>
      <c r="G630" s="78" t="str">
        <f ca="1">IF(AND(LEFT("[{"&amp;M630&amp;","&amp;CEILING(N630*10000+(O630-N630)/4*(COUNTIF($F$11:F630,F630)-1)*10000,10)&amp;"}]",7)="[{equip",MID("[{"&amp;M630&amp;","&amp;CEILING(N630*10000+(O630-N630)/4*(COUNTIF($F$11:F630,F630)-1)*10000,10)&amp;"}]",8,1)&lt;&gt;"_"),"[{"&amp;M630&amp;","&amp;1&amp;"}]","[{"&amp;M630&amp;","&amp;CEILING(N630*10000+(O630-N630)/4*(COUNTIF($F$11:F630,F630)-1)*10000,10)&amp;"}]")</f>
        <v>[{exp_boost,2000}]</v>
      </c>
      <c r="H630" s="82" t="s">
        <v>563</v>
      </c>
      <c r="J630" s="78">
        <f ca="1">IF(MOD(COUNTIF($Q$11:Q629,Q629),5)=0,OFFSET(装备属性!$P$1083,1+INT(COUNTA($Q$11:Q629)/5),0),J629)</f>
        <v>9</v>
      </c>
      <c r="K630" s="83" t="str">
        <f ca="1">IF(RIGHT(G630,13)="rune_slot,1}]",_xlfn.XLOOKUP(LEFT(SUBSTITUTE(G630,"[{",""),FIND(",",SUBSTITUTE(G630,"[{",""))-1),Sheet2!B:B,Sheet2!C:C)&amp;"+"&amp;1,_xlfn.XLOOKUP(LEFT(SUBSTITUTE(G630,"[{",""),FIND(",",SUBSTITUTE(G630,"[{",""))-1),Sheet2!B:B,Sheet2!C:C)&amp;"+"&amp;SUBSTITUTE(RIGHT(G630,LEN(G630)-FIND(",",G630)),"}]","")/100&amp;"%")</f>
        <v>经验加成+20%</v>
      </c>
      <c r="L630" s="83" t="str">
        <f ca="1">IF(MOD(COUNTIF($Q$11:Q629,Q629),5)=0,OFFSET(装备属性!$G$1083,1+INT(COUNTA($Q$11:Q629)/5),0),L629)</f>
        <v>涨见识</v>
      </c>
      <c r="M630" s="89" t="str">
        <f ca="1">IF(MOD(COUNTIF($Q$11:Q629,Q629),5)=0,OFFSET(装备属性!$H$1083,1+INT(COUNTA($Q$11:Q629)/5),0),M629)</f>
        <v>exp_boost</v>
      </c>
      <c r="N630" s="76">
        <f ca="1">IF(MOD(COUNTIF($Q$11:Q629,Q629),5)=0,OFFSET(装备属性!$K$1083,1+INT(COUNTA($Q$11:Q629)/5),0),N629)</f>
        <v>0.2</v>
      </c>
      <c r="O630" s="76">
        <f ca="1">IF(MOD(COUNTIF($Q$11:Q629,Q629),5)=0,OFFSET(装备属性!$L$1083,1+INT(COUNTA($Q$11:Q629)/5),0),O629)</f>
        <v>0.2</v>
      </c>
      <c r="Q630" s="89" t="str">
        <f ca="1">IF(MOD(COUNTIF($Q$11:Q629,Q629),5)=0,OFFSET(装备属性!$M$1083,1+INT(COUNTA($Q$11:Q629)/5),0),Q629)</f>
        <v>稀有词条</v>
      </c>
      <c r="R630" s="83" t="e">
        <f ca="1">IF(MOD(COUNTIF($Q$11:Q629,Q629),5)=0,10000*SUBSTITUTE(SUBSTITUTE(OFFSET(装备属性!$F$1083,1+INT(COUNTA($Q$11:Q629)/5),0),"[",""),"]","")+_xlfn.XLOOKUP(C630,$M$3:$M$7,$N$3:$N$7)*100,R629)</f>
        <v>#N/A</v>
      </c>
    </row>
    <row r="631" customHeight="1" spans="1:18">
      <c r="A631" s="78" t="str">
        <f ca="1" t="shared" si="27"/>
        <v/>
      </c>
      <c r="B631" s="82" t="str">
        <f ca="1">IFERROR(R631+COUNTIFS($R$11:$R631,R631),"")</f>
        <v/>
      </c>
      <c r="C631" s="83">
        <f ca="1">IF(MOD(COUNTIF($Q$11:Q630,Q630),5)=0,OFFSET(装备属性!$D$1083,1+INT(COUNTA($Q$11:Q630)/5),0),C630)</f>
        <v>0</v>
      </c>
      <c r="D631" s="82">
        <f t="shared" si="29"/>
        <v>3000</v>
      </c>
      <c r="F631" s="82" t="str">
        <f ca="1" t="shared" si="28"/>
        <v/>
      </c>
      <c r="G631" s="78" t="str">
        <f ca="1">IF(AND(LEFT("[{"&amp;M631&amp;","&amp;CEILING(N631*10000+(O631-N631)/4*(COUNTIF($F$11:F631,F631)-1)*10000,10)&amp;"}]",7)="[{equip",MID("[{"&amp;M631&amp;","&amp;CEILING(N631*10000+(O631-N631)/4*(COUNTIF($F$11:F631,F631)-1)*10000,10)&amp;"}]",8,1)&lt;&gt;"_"),"[{"&amp;M631&amp;","&amp;1&amp;"}]","[{"&amp;M631&amp;","&amp;CEILING(N631*10000+(O631-N631)/4*(COUNTIF($F$11:F631,F631)-1)*10000,10)&amp;"}]")</f>
        <v>[{equip_base_attr,2500}]</v>
      </c>
      <c r="H631" s="82" t="s">
        <v>563</v>
      </c>
      <c r="J631" s="78">
        <f ca="1">IF(MOD(COUNTIF($Q$11:Q630,Q630),5)=0,OFFSET(装备属性!$P$1083,1+INT(COUNTA($Q$11:Q630)/5),0),J630)</f>
        <v>7</v>
      </c>
      <c r="K631" s="83" t="str">
        <f ca="1">IF(RIGHT(G631,13)="rune_slot,1}]",_xlfn.XLOOKUP(LEFT(SUBSTITUTE(G631,"[{",""),FIND(",",SUBSTITUTE(G631,"[{",""))-1),Sheet2!B:B,Sheet2!C:C)&amp;"+"&amp;1,_xlfn.XLOOKUP(LEFT(SUBSTITUTE(G631,"[{",""),FIND(",",SUBSTITUTE(G631,"[{",""))-1),Sheet2!B:B,Sheet2!C:C)&amp;"+"&amp;SUBSTITUTE(RIGHT(G631,LEN(G631)-FIND(",",G631)),"}]","")/100&amp;"%")</f>
        <v>装备基础属性加成+25%</v>
      </c>
      <c r="L631" s="83" t="str">
        <f ca="1">IF(MOD(COUNTIF($Q$11:Q630,Q630),5)=0,OFFSET(装备属性!$G$1083,1+INT(COUNTA($Q$11:Q630)/5),0),L630)</f>
        <v>厚底子</v>
      </c>
      <c r="M631" s="89" t="str">
        <f ca="1">IF(MOD(COUNTIF($Q$11:Q630,Q630),5)=0,OFFSET(装备属性!$H$1083,1+INT(COUNTA($Q$11:Q630)/5),0),M630)</f>
        <v>equip_base_attr</v>
      </c>
      <c r="N631" s="76">
        <f ca="1">IF(MOD(COUNTIF($Q$11:Q630,Q630),5)=0,OFFSET(装备属性!$K$1083,1+INT(COUNTA($Q$11:Q630)/5),0),N630)</f>
        <v>0.25</v>
      </c>
      <c r="O631" s="76">
        <f ca="1">IF(MOD(COUNTIF($Q$11:Q630,Q630),5)=0,OFFSET(装备属性!$L$1083,1+INT(COUNTA($Q$11:Q630)/5),0),O630)</f>
        <v>0.25</v>
      </c>
      <c r="Q631" s="89" t="str">
        <f ca="1">IF(MOD(COUNTIF($Q$11:Q630,Q630),5)=0,OFFSET(装备属性!$M$1083,1+INT(COUNTA($Q$11:Q630)/5),0),Q630)</f>
        <v>稀有词条</v>
      </c>
      <c r="R631" s="83" t="e">
        <f ca="1">IF(MOD(COUNTIF($Q$11:Q630,Q630),5)=0,10000*SUBSTITUTE(SUBSTITUTE(OFFSET(装备属性!$F$1083,1+INT(COUNTA($Q$11:Q630)/5),0),"[",""),"]","")+_xlfn.XLOOKUP(C631,$M$3:$M$7,$N$3:$N$7)*100,R630)</f>
        <v>#N/A</v>
      </c>
    </row>
    <row r="632" customHeight="1" spans="1:18">
      <c r="A632" s="78" t="str">
        <f ca="1" t="shared" si="27"/>
        <v/>
      </c>
      <c r="B632" s="82" t="str">
        <f ca="1">IFERROR(R632+COUNTIFS($R$11:$R632,R632),"")</f>
        <v/>
      </c>
      <c r="C632" s="83">
        <f ca="1">IF(MOD(COUNTIF($Q$11:Q631,Q631),5)=0,OFFSET(装备属性!$D$1083,1+INT(COUNTA($Q$11:Q631)/5),0),C631)</f>
        <v>0</v>
      </c>
      <c r="D632" s="82">
        <f t="shared" si="29"/>
        <v>2500</v>
      </c>
      <c r="F632" s="82" t="str">
        <f ca="1" t="shared" si="28"/>
        <v/>
      </c>
      <c r="G632" s="78" t="str">
        <f ca="1">IF(AND(LEFT("[{"&amp;M632&amp;","&amp;CEILING(N632*10000+(O632-N632)/4*(COUNTIF($F$11:F632,F632)-1)*10000,10)&amp;"}]",7)="[{equip",MID("[{"&amp;M632&amp;","&amp;CEILING(N632*10000+(O632-N632)/4*(COUNTIF($F$11:F632,F632)-1)*10000,10)&amp;"}]",8,1)&lt;&gt;"_"),"[{"&amp;M632&amp;","&amp;1&amp;"}]","[{"&amp;M632&amp;","&amp;CEILING(N632*10000+(O632-N632)/4*(COUNTIF($F$11:F632,F632)-1)*10000,10)&amp;"}]")</f>
        <v>[{equip_base_attr,2500}]</v>
      </c>
      <c r="H632" s="82" t="s">
        <v>563</v>
      </c>
      <c r="J632" s="78">
        <f ca="1">IF(MOD(COUNTIF($Q$11:Q631,Q631),5)=0,OFFSET(装备属性!$P$1083,1+INT(COUNTA($Q$11:Q631)/5),0),J631)</f>
        <v>7</v>
      </c>
      <c r="K632" s="83" t="str">
        <f ca="1">IF(RIGHT(G632,13)="rune_slot,1}]",_xlfn.XLOOKUP(LEFT(SUBSTITUTE(G632,"[{",""),FIND(",",SUBSTITUTE(G632,"[{",""))-1),Sheet2!B:B,Sheet2!C:C)&amp;"+"&amp;1,_xlfn.XLOOKUP(LEFT(SUBSTITUTE(G632,"[{",""),FIND(",",SUBSTITUTE(G632,"[{",""))-1),Sheet2!B:B,Sheet2!C:C)&amp;"+"&amp;SUBSTITUTE(RIGHT(G632,LEN(G632)-FIND(",",G632)),"}]","")/100&amp;"%")</f>
        <v>装备基础属性加成+25%</v>
      </c>
      <c r="L632" s="83" t="str">
        <f ca="1">IF(MOD(COUNTIF($Q$11:Q631,Q631),5)=0,OFFSET(装备属性!$G$1083,1+INT(COUNTA($Q$11:Q631)/5),0),L631)</f>
        <v>厚底子</v>
      </c>
      <c r="M632" s="89" t="str">
        <f ca="1">IF(MOD(COUNTIF($Q$11:Q631,Q631),5)=0,OFFSET(装备属性!$H$1083,1+INT(COUNTA($Q$11:Q631)/5),0),M631)</f>
        <v>equip_base_attr</v>
      </c>
      <c r="N632" s="76">
        <f ca="1">IF(MOD(COUNTIF($Q$11:Q631,Q631),5)=0,OFFSET(装备属性!$K$1083,1+INT(COUNTA($Q$11:Q631)/5),0),N631)</f>
        <v>0.25</v>
      </c>
      <c r="O632" s="76">
        <f ca="1">IF(MOD(COUNTIF($Q$11:Q631,Q631),5)=0,OFFSET(装备属性!$L$1083,1+INT(COUNTA($Q$11:Q631)/5),0),O631)</f>
        <v>0.25</v>
      </c>
      <c r="Q632" s="89" t="str">
        <f ca="1">IF(MOD(COUNTIF($Q$11:Q631,Q631),5)=0,OFFSET(装备属性!$M$1083,1+INT(COUNTA($Q$11:Q631)/5),0),Q631)</f>
        <v>稀有词条</v>
      </c>
      <c r="R632" s="83" t="e">
        <f ca="1">IF(MOD(COUNTIF($Q$11:Q631,Q631),5)=0,10000*SUBSTITUTE(SUBSTITUTE(OFFSET(装备属性!$F$1083,1+INT(COUNTA($Q$11:Q631)/5),0),"[",""),"]","")+_xlfn.XLOOKUP(C632,$M$3:$M$7,$N$3:$N$7)*100,R631)</f>
        <v>#N/A</v>
      </c>
    </row>
    <row r="633" customHeight="1" spans="1:18">
      <c r="A633" s="78" t="str">
        <f ca="1" t="shared" si="27"/>
        <v/>
      </c>
      <c r="B633" s="82" t="str">
        <f ca="1">IFERROR(R633+COUNTIFS($R$11:$R633,R633),"")</f>
        <v/>
      </c>
      <c r="C633" s="83">
        <f ca="1">IF(MOD(COUNTIF($Q$11:Q632,Q632),5)=0,OFFSET(装备属性!$D$1083,1+INT(COUNTA($Q$11:Q632)/5),0),C632)</f>
        <v>0</v>
      </c>
      <c r="D633" s="82">
        <f t="shared" si="29"/>
        <v>2000</v>
      </c>
      <c r="F633" s="82" t="str">
        <f ca="1" t="shared" si="28"/>
        <v/>
      </c>
      <c r="G633" s="78" t="str">
        <f ca="1">IF(AND(LEFT("[{"&amp;M633&amp;","&amp;CEILING(N633*10000+(O633-N633)/4*(COUNTIF($F$11:F633,F633)-1)*10000,10)&amp;"}]",7)="[{equip",MID("[{"&amp;M633&amp;","&amp;CEILING(N633*10000+(O633-N633)/4*(COUNTIF($F$11:F633,F633)-1)*10000,10)&amp;"}]",8,1)&lt;&gt;"_"),"[{"&amp;M633&amp;","&amp;1&amp;"}]","[{"&amp;M633&amp;","&amp;CEILING(N633*10000+(O633-N633)/4*(COUNTIF($F$11:F633,F633)-1)*10000,10)&amp;"}]")</f>
        <v>[{equip_base_attr,2500}]</v>
      </c>
      <c r="H633" s="82" t="s">
        <v>563</v>
      </c>
      <c r="J633" s="78">
        <f ca="1">IF(MOD(COUNTIF($Q$11:Q632,Q632),5)=0,OFFSET(装备属性!$P$1083,1+INT(COUNTA($Q$11:Q632)/5),0),J632)</f>
        <v>7</v>
      </c>
      <c r="K633" s="83" t="str">
        <f ca="1">IF(RIGHT(G633,13)="rune_slot,1}]",_xlfn.XLOOKUP(LEFT(SUBSTITUTE(G633,"[{",""),FIND(",",SUBSTITUTE(G633,"[{",""))-1),Sheet2!B:B,Sheet2!C:C)&amp;"+"&amp;1,_xlfn.XLOOKUP(LEFT(SUBSTITUTE(G633,"[{",""),FIND(",",SUBSTITUTE(G633,"[{",""))-1),Sheet2!B:B,Sheet2!C:C)&amp;"+"&amp;SUBSTITUTE(RIGHT(G633,LEN(G633)-FIND(",",G633)),"}]","")/100&amp;"%")</f>
        <v>装备基础属性加成+25%</v>
      </c>
      <c r="L633" s="83" t="str">
        <f ca="1">IF(MOD(COUNTIF($Q$11:Q632,Q632),5)=0,OFFSET(装备属性!$G$1083,1+INT(COUNTA($Q$11:Q632)/5),0),L632)</f>
        <v>厚底子</v>
      </c>
      <c r="M633" s="89" t="str">
        <f ca="1">IF(MOD(COUNTIF($Q$11:Q632,Q632),5)=0,OFFSET(装备属性!$H$1083,1+INT(COUNTA($Q$11:Q632)/5),0),M632)</f>
        <v>equip_base_attr</v>
      </c>
      <c r="N633" s="76">
        <f ca="1">IF(MOD(COUNTIF($Q$11:Q632,Q632),5)=0,OFFSET(装备属性!$K$1083,1+INT(COUNTA($Q$11:Q632)/5),0),N632)</f>
        <v>0.25</v>
      </c>
      <c r="O633" s="76">
        <f ca="1">IF(MOD(COUNTIF($Q$11:Q632,Q632),5)=0,OFFSET(装备属性!$L$1083,1+INT(COUNTA($Q$11:Q632)/5),0),O632)</f>
        <v>0.25</v>
      </c>
      <c r="Q633" s="89" t="str">
        <f ca="1">IF(MOD(COUNTIF($Q$11:Q632,Q632),5)=0,OFFSET(装备属性!$M$1083,1+INT(COUNTA($Q$11:Q632)/5),0),Q632)</f>
        <v>稀有词条</v>
      </c>
      <c r="R633" s="83" t="e">
        <f ca="1">IF(MOD(COUNTIF($Q$11:Q632,Q632),5)=0,10000*SUBSTITUTE(SUBSTITUTE(OFFSET(装备属性!$F$1083,1+INT(COUNTA($Q$11:Q632)/5),0),"[",""),"]","")+_xlfn.XLOOKUP(C633,$M$3:$M$7,$N$3:$N$7)*100,R632)</f>
        <v>#N/A</v>
      </c>
    </row>
    <row r="634" customHeight="1" spans="1:18">
      <c r="A634" s="78" t="str">
        <f ca="1" t="shared" si="27"/>
        <v/>
      </c>
      <c r="B634" s="82" t="str">
        <f ca="1">IFERROR(R634+COUNTIFS($R$11:$R634,R634),"")</f>
        <v/>
      </c>
      <c r="C634" s="83">
        <f ca="1">IF(MOD(COUNTIF($Q$11:Q633,Q633),5)=0,OFFSET(装备属性!$D$1083,1+INT(COUNTA($Q$11:Q633)/5),0),C633)</f>
        <v>0</v>
      </c>
      <c r="D634" s="82">
        <f t="shared" si="29"/>
        <v>1500</v>
      </c>
      <c r="F634" s="82" t="str">
        <f ca="1" t="shared" si="28"/>
        <v/>
      </c>
      <c r="G634" s="78" t="str">
        <f ca="1">IF(AND(LEFT("[{"&amp;M634&amp;","&amp;CEILING(N634*10000+(O634-N634)/4*(COUNTIF($F$11:F634,F634)-1)*10000,10)&amp;"}]",7)="[{equip",MID("[{"&amp;M634&amp;","&amp;CEILING(N634*10000+(O634-N634)/4*(COUNTIF($F$11:F634,F634)-1)*10000,10)&amp;"}]",8,1)&lt;&gt;"_"),"[{"&amp;M634&amp;","&amp;1&amp;"}]","[{"&amp;M634&amp;","&amp;CEILING(N634*10000+(O634-N634)/4*(COUNTIF($F$11:F634,F634)-1)*10000,10)&amp;"}]")</f>
        <v>[{equip_base_attr,2500}]</v>
      </c>
      <c r="H634" s="82" t="s">
        <v>563</v>
      </c>
      <c r="J634" s="78">
        <f ca="1">IF(MOD(COUNTIF($Q$11:Q633,Q633),5)=0,OFFSET(装备属性!$P$1083,1+INT(COUNTA($Q$11:Q633)/5),0),J633)</f>
        <v>7</v>
      </c>
      <c r="K634" s="83" t="str">
        <f ca="1">IF(RIGHT(G634,13)="rune_slot,1}]",_xlfn.XLOOKUP(LEFT(SUBSTITUTE(G634,"[{",""),FIND(",",SUBSTITUTE(G634,"[{",""))-1),Sheet2!B:B,Sheet2!C:C)&amp;"+"&amp;1,_xlfn.XLOOKUP(LEFT(SUBSTITUTE(G634,"[{",""),FIND(",",SUBSTITUTE(G634,"[{",""))-1),Sheet2!B:B,Sheet2!C:C)&amp;"+"&amp;SUBSTITUTE(RIGHT(G634,LEN(G634)-FIND(",",G634)),"}]","")/100&amp;"%")</f>
        <v>装备基础属性加成+25%</v>
      </c>
      <c r="L634" s="83" t="str">
        <f ca="1">IF(MOD(COUNTIF($Q$11:Q633,Q633),5)=0,OFFSET(装备属性!$G$1083,1+INT(COUNTA($Q$11:Q633)/5),0),L633)</f>
        <v>厚底子</v>
      </c>
      <c r="M634" s="89" t="str">
        <f ca="1">IF(MOD(COUNTIF($Q$11:Q633,Q633),5)=0,OFFSET(装备属性!$H$1083,1+INT(COUNTA($Q$11:Q633)/5),0),M633)</f>
        <v>equip_base_attr</v>
      </c>
      <c r="N634" s="76">
        <f ca="1">IF(MOD(COUNTIF($Q$11:Q633,Q633),5)=0,OFFSET(装备属性!$K$1083,1+INT(COUNTA($Q$11:Q633)/5),0),N633)</f>
        <v>0.25</v>
      </c>
      <c r="O634" s="76">
        <f ca="1">IF(MOD(COUNTIF($Q$11:Q633,Q633),5)=0,OFFSET(装备属性!$L$1083,1+INT(COUNTA($Q$11:Q633)/5),0),O633)</f>
        <v>0.25</v>
      </c>
      <c r="Q634" s="89" t="str">
        <f ca="1">IF(MOD(COUNTIF($Q$11:Q633,Q633),5)=0,OFFSET(装备属性!$M$1083,1+INT(COUNTA($Q$11:Q633)/5),0),Q633)</f>
        <v>稀有词条</v>
      </c>
      <c r="R634" s="83" t="e">
        <f ca="1">IF(MOD(COUNTIF($Q$11:Q633,Q633),5)=0,10000*SUBSTITUTE(SUBSTITUTE(OFFSET(装备属性!$F$1083,1+INT(COUNTA($Q$11:Q633)/5),0),"[",""),"]","")+_xlfn.XLOOKUP(C634,$M$3:$M$7,$N$3:$N$7)*100,R633)</f>
        <v>#N/A</v>
      </c>
    </row>
    <row r="635" customHeight="1" spans="1:18">
      <c r="A635" s="78" t="str">
        <f ca="1" t="shared" si="27"/>
        <v/>
      </c>
      <c r="B635" s="82" t="str">
        <f ca="1">IFERROR(R635+COUNTIFS($R$11:$R635,R635),"")</f>
        <v/>
      </c>
      <c r="C635" s="83">
        <f ca="1">IF(MOD(COUNTIF($Q$11:Q634,Q634),5)=0,OFFSET(装备属性!$D$1083,1+INT(COUNTA($Q$11:Q634)/5),0),C634)</f>
        <v>0</v>
      </c>
      <c r="D635" s="82">
        <f t="shared" si="29"/>
        <v>1000</v>
      </c>
      <c r="F635" s="82" t="str">
        <f ca="1" t="shared" si="28"/>
        <v/>
      </c>
      <c r="G635" s="78" t="str">
        <f ca="1">IF(AND(LEFT("[{"&amp;M635&amp;","&amp;CEILING(N635*10000+(O635-N635)/4*(COUNTIF($F$11:F635,F635)-1)*10000,10)&amp;"}]",7)="[{equip",MID("[{"&amp;M635&amp;","&amp;CEILING(N635*10000+(O635-N635)/4*(COUNTIF($F$11:F635,F635)-1)*10000,10)&amp;"}]",8,1)&lt;&gt;"_"),"[{"&amp;M635&amp;","&amp;1&amp;"}]","[{"&amp;M635&amp;","&amp;CEILING(N635*10000+(O635-N635)/4*(COUNTIF($F$11:F635,F635)-1)*10000,10)&amp;"}]")</f>
        <v>[{equip_base_attr,2500}]</v>
      </c>
      <c r="H635" s="82" t="s">
        <v>563</v>
      </c>
      <c r="J635" s="78">
        <f ca="1">IF(MOD(COUNTIF($Q$11:Q634,Q634),5)=0,OFFSET(装备属性!$P$1083,1+INT(COUNTA($Q$11:Q634)/5),0),J634)</f>
        <v>7</v>
      </c>
      <c r="K635" s="83" t="str">
        <f ca="1">IF(RIGHT(G635,13)="rune_slot,1}]",_xlfn.XLOOKUP(LEFT(SUBSTITUTE(G635,"[{",""),FIND(",",SUBSTITUTE(G635,"[{",""))-1),Sheet2!B:B,Sheet2!C:C)&amp;"+"&amp;1,_xlfn.XLOOKUP(LEFT(SUBSTITUTE(G635,"[{",""),FIND(",",SUBSTITUTE(G635,"[{",""))-1),Sheet2!B:B,Sheet2!C:C)&amp;"+"&amp;SUBSTITUTE(RIGHT(G635,LEN(G635)-FIND(",",G635)),"}]","")/100&amp;"%")</f>
        <v>装备基础属性加成+25%</v>
      </c>
      <c r="L635" s="83" t="str">
        <f ca="1">IF(MOD(COUNTIF($Q$11:Q634,Q634),5)=0,OFFSET(装备属性!$G$1083,1+INT(COUNTA($Q$11:Q634)/5),0),L634)</f>
        <v>厚底子</v>
      </c>
      <c r="M635" s="89" t="str">
        <f ca="1">IF(MOD(COUNTIF($Q$11:Q634,Q634),5)=0,OFFSET(装备属性!$H$1083,1+INT(COUNTA($Q$11:Q634)/5),0),M634)</f>
        <v>equip_base_attr</v>
      </c>
      <c r="N635" s="76">
        <f ca="1">IF(MOD(COUNTIF($Q$11:Q634,Q634),5)=0,OFFSET(装备属性!$K$1083,1+INT(COUNTA($Q$11:Q634)/5),0),N634)</f>
        <v>0.25</v>
      </c>
      <c r="O635" s="76">
        <f ca="1">IF(MOD(COUNTIF($Q$11:Q634,Q634),5)=0,OFFSET(装备属性!$L$1083,1+INT(COUNTA($Q$11:Q634)/5),0),O634)</f>
        <v>0.25</v>
      </c>
      <c r="Q635" s="89" t="str">
        <f ca="1">IF(MOD(COUNTIF($Q$11:Q634,Q634),5)=0,OFFSET(装备属性!$M$1083,1+INT(COUNTA($Q$11:Q634)/5),0),Q634)</f>
        <v>稀有词条</v>
      </c>
      <c r="R635" s="83" t="e">
        <f ca="1">IF(MOD(COUNTIF($Q$11:Q634,Q634),5)=0,10000*SUBSTITUTE(SUBSTITUTE(OFFSET(装备属性!$F$1083,1+INT(COUNTA($Q$11:Q634)/5),0),"[",""),"]","")+_xlfn.XLOOKUP(C635,$M$3:$M$7,$N$3:$N$7)*100,R634)</f>
        <v>#N/A</v>
      </c>
    </row>
    <row r="636" customHeight="1" spans="1:18">
      <c r="A636" s="78" t="str">
        <f ca="1" t="shared" si="27"/>
        <v/>
      </c>
      <c r="B636" s="82" t="str">
        <f ca="1">IFERROR(R636+COUNTIFS($R$11:$R636,R636),"")</f>
        <v/>
      </c>
      <c r="C636" s="83">
        <f ca="1">IF(MOD(COUNTIF($Q$11:Q635,Q635),5)=0,OFFSET(装备属性!$D$1083,1+INT(COUNTA($Q$11:Q635)/5),0),C635)</f>
        <v>0</v>
      </c>
      <c r="D636" s="82">
        <f t="shared" si="29"/>
        <v>3000</v>
      </c>
      <c r="F636" s="82" t="str">
        <f ca="1" t="shared" si="28"/>
        <v/>
      </c>
      <c r="G636" s="78" t="str">
        <f ca="1">IF(AND(LEFT("[{"&amp;M636&amp;","&amp;CEILING(N636*10000+(O636-N636)/4*(COUNTIF($F$11:F636,F636)-1)*10000,10)&amp;"}]",7)="[{equip",MID("[{"&amp;M636&amp;","&amp;CEILING(N636*10000+(O636-N636)/4*(COUNTIF($F$11:F636,F636)-1)*10000,10)&amp;"}]",8,1)&lt;&gt;"_"),"[{"&amp;M636&amp;","&amp;1&amp;"}]","[{"&amp;M636&amp;","&amp;CEILING(N636*10000+(O636-N636)/4*(COUNTIF($F$11:F636,F636)-1)*10000,10)&amp;"}]")</f>
        <v>[{equip_extra_attr,5000}]</v>
      </c>
      <c r="H636" s="82" t="s">
        <v>563</v>
      </c>
      <c r="J636" s="78">
        <f ca="1">IF(MOD(COUNTIF($Q$11:Q635,Q635),5)=0,OFFSET(装备属性!$P$1083,1+INT(COUNTA($Q$11:Q635)/5),0),J635)</f>
        <v>8</v>
      </c>
      <c r="K636" s="83" t="str">
        <f ca="1">IF(RIGHT(G636,13)="rune_slot,1}]",_xlfn.XLOOKUP(LEFT(SUBSTITUTE(G636,"[{",""),FIND(",",SUBSTITUTE(G636,"[{",""))-1),Sheet2!B:B,Sheet2!C:C)&amp;"+"&amp;1,_xlfn.XLOOKUP(LEFT(SUBSTITUTE(G636,"[{",""),FIND(",",SUBSTITUTE(G636,"[{",""))-1),Sheet2!B:B,Sheet2!C:C)&amp;"+"&amp;SUBSTITUTE(RIGHT(G636,LEN(G636)-FIND(",",G636)),"}]","")/100&amp;"%")</f>
        <v>装备附加属性加成+50%</v>
      </c>
      <c r="L636" s="83" t="str">
        <f ca="1">IF(MOD(COUNTIF($Q$11:Q635,Q635),5)=0,OFFSET(装备属性!$G$1083,1+INT(COUNTA($Q$11:Q635)/5),0),L635)</f>
        <v>提成色</v>
      </c>
      <c r="M636" s="89" t="str">
        <f ca="1">IF(MOD(COUNTIF($Q$11:Q635,Q635),5)=0,OFFSET(装备属性!$H$1083,1+INT(COUNTA($Q$11:Q635)/5),0),M635)</f>
        <v>equip_extra_attr</v>
      </c>
      <c r="N636" s="76">
        <f ca="1">IF(MOD(COUNTIF($Q$11:Q635,Q635),5)=0,OFFSET(装备属性!$K$1083,1+INT(COUNTA($Q$11:Q635)/5),0),N635)</f>
        <v>0.5</v>
      </c>
      <c r="O636" s="76">
        <f ca="1">IF(MOD(COUNTIF($Q$11:Q635,Q635),5)=0,OFFSET(装备属性!$L$1083,1+INT(COUNTA($Q$11:Q635)/5),0),O635)</f>
        <v>0.5</v>
      </c>
      <c r="Q636" s="89" t="str">
        <f ca="1">IF(MOD(COUNTIF($Q$11:Q635,Q635),5)=0,OFFSET(装备属性!$M$1083,1+INT(COUNTA($Q$11:Q635)/5),0),Q635)</f>
        <v>稀有词条</v>
      </c>
      <c r="R636" s="83" t="e">
        <f ca="1">IF(MOD(COUNTIF($Q$11:Q635,Q635),5)=0,10000*SUBSTITUTE(SUBSTITUTE(OFFSET(装备属性!$F$1083,1+INT(COUNTA($Q$11:Q635)/5),0),"[",""),"]","")+_xlfn.XLOOKUP(C636,$M$3:$M$7,$N$3:$N$7)*100,R635)</f>
        <v>#N/A</v>
      </c>
    </row>
    <row r="637" customHeight="1" spans="1:18">
      <c r="A637" s="78" t="str">
        <f ca="1" t="shared" si="27"/>
        <v/>
      </c>
      <c r="B637" s="82" t="str">
        <f ca="1">IFERROR(R637+COUNTIFS($R$11:$R637,R637),"")</f>
        <v/>
      </c>
      <c r="C637" s="83">
        <f ca="1">IF(MOD(COUNTIF($Q$11:Q636,Q636),5)=0,OFFSET(装备属性!$D$1083,1+INT(COUNTA($Q$11:Q636)/5),0),C636)</f>
        <v>0</v>
      </c>
      <c r="D637" s="82">
        <f t="shared" si="29"/>
        <v>2500</v>
      </c>
      <c r="F637" s="82" t="str">
        <f ca="1" t="shared" si="28"/>
        <v/>
      </c>
      <c r="G637" s="78" t="str">
        <f ca="1">IF(AND(LEFT("[{"&amp;M637&amp;","&amp;CEILING(N637*10000+(O637-N637)/4*(COUNTIF($F$11:F637,F637)-1)*10000,10)&amp;"}]",7)="[{equip",MID("[{"&amp;M637&amp;","&amp;CEILING(N637*10000+(O637-N637)/4*(COUNTIF($F$11:F637,F637)-1)*10000,10)&amp;"}]",8,1)&lt;&gt;"_"),"[{"&amp;M637&amp;","&amp;1&amp;"}]","[{"&amp;M637&amp;","&amp;CEILING(N637*10000+(O637-N637)/4*(COUNTIF($F$11:F637,F637)-1)*10000,10)&amp;"}]")</f>
        <v>[{equip_extra_attr,5000}]</v>
      </c>
      <c r="H637" s="82" t="s">
        <v>563</v>
      </c>
      <c r="J637" s="78">
        <f ca="1">IF(MOD(COUNTIF($Q$11:Q636,Q636),5)=0,OFFSET(装备属性!$P$1083,1+INT(COUNTA($Q$11:Q636)/5),0),J636)</f>
        <v>8</v>
      </c>
      <c r="K637" s="83" t="str">
        <f ca="1">IF(RIGHT(G637,13)="rune_slot,1}]",_xlfn.XLOOKUP(LEFT(SUBSTITUTE(G637,"[{",""),FIND(",",SUBSTITUTE(G637,"[{",""))-1),Sheet2!B:B,Sheet2!C:C)&amp;"+"&amp;1,_xlfn.XLOOKUP(LEFT(SUBSTITUTE(G637,"[{",""),FIND(",",SUBSTITUTE(G637,"[{",""))-1),Sheet2!B:B,Sheet2!C:C)&amp;"+"&amp;SUBSTITUTE(RIGHT(G637,LEN(G637)-FIND(",",G637)),"}]","")/100&amp;"%")</f>
        <v>装备附加属性加成+50%</v>
      </c>
      <c r="L637" s="83" t="str">
        <f ca="1">IF(MOD(COUNTIF($Q$11:Q636,Q636),5)=0,OFFSET(装备属性!$G$1083,1+INT(COUNTA($Q$11:Q636)/5),0),L636)</f>
        <v>提成色</v>
      </c>
      <c r="M637" s="89" t="str">
        <f ca="1">IF(MOD(COUNTIF($Q$11:Q636,Q636),5)=0,OFFSET(装备属性!$H$1083,1+INT(COUNTA($Q$11:Q636)/5),0),M636)</f>
        <v>equip_extra_attr</v>
      </c>
      <c r="N637" s="76">
        <f ca="1">IF(MOD(COUNTIF($Q$11:Q636,Q636),5)=0,OFFSET(装备属性!$K$1083,1+INT(COUNTA($Q$11:Q636)/5),0),N636)</f>
        <v>0.5</v>
      </c>
      <c r="O637" s="76">
        <f ca="1">IF(MOD(COUNTIF($Q$11:Q636,Q636),5)=0,OFFSET(装备属性!$L$1083,1+INT(COUNTA($Q$11:Q636)/5),0),O636)</f>
        <v>0.5</v>
      </c>
      <c r="Q637" s="89" t="str">
        <f ca="1">IF(MOD(COUNTIF($Q$11:Q636,Q636),5)=0,OFFSET(装备属性!$M$1083,1+INT(COUNTA($Q$11:Q636)/5),0),Q636)</f>
        <v>稀有词条</v>
      </c>
      <c r="R637" s="83" t="e">
        <f ca="1">IF(MOD(COUNTIF($Q$11:Q636,Q636),5)=0,10000*SUBSTITUTE(SUBSTITUTE(OFFSET(装备属性!$F$1083,1+INT(COUNTA($Q$11:Q636)/5),0),"[",""),"]","")+_xlfn.XLOOKUP(C637,$M$3:$M$7,$N$3:$N$7)*100,R636)</f>
        <v>#N/A</v>
      </c>
    </row>
    <row r="638" customHeight="1" spans="1:18">
      <c r="A638" s="78" t="str">
        <f ca="1" t="shared" si="27"/>
        <v/>
      </c>
      <c r="B638" s="82" t="str">
        <f ca="1">IFERROR(R638+COUNTIFS($R$11:$R638,R638),"")</f>
        <v/>
      </c>
      <c r="C638" s="83">
        <f ca="1">IF(MOD(COUNTIF($Q$11:Q637,Q637),5)=0,OFFSET(装备属性!$D$1083,1+INT(COUNTA($Q$11:Q637)/5),0),C637)</f>
        <v>0</v>
      </c>
      <c r="D638" s="82">
        <f t="shared" si="29"/>
        <v>2000</v>
      </c>
      <c r="F638" s="82" t="str">
        <f ca="1" t="shared" si="28"/>
        <v/>
      </c>
      <c r="G638" s="78" t="str">
        <f ca="1">IF(AND(LEFT("[{"&amp;M638&amp;","&amp;CEILING(N638*10000+(O638-N638)/4*(COUNTIF($F$11:F638,F638)-1)*10000,10)&amp;"}]",7)="[{equip",MID("[{"&amp;M638&amp;","&amp;CEILING(N638*10000+(O638-N638)/4*(COUNTIF($F$11:F638,F638)-1)*10000,10)&amp;"}]",8,1)&lt;&gt;"_"),"[{"&amp;M638&amp;","&amp;1&amp;"}]","[{"&amp;M638&amp;","&amp;CEILING(N638*10000+(O638-N638)/4*(COUNTIF($F$11:F638,F638)-1)*10000,10)&amp;"}]")</f>
        <v>[{equip_extra_attr,5000}]</v>
      </c>
      <c r="H638" s="82" t="s">
        <v>563</v>
      </c>
      <c r="J638" s="78">
        <f ca="1">IF(MOD(COUNTIF($Q$11:Q637,Q637),5)=0,OFFSET(装备属性!$P$1083,1+INT(COUNTA($Q$11:Q637)/5),0),J637)</f>
        <v>8</v>
      </c>
      <c r="K638" s="83" t="str">
        <f ca="1">IF(RIGHT(G638,13)="rune_slot,1}]",_xlfn.XLOOKUP(LEFT(SUBSTITUTE(G638,"[{",""),FIND(",",SUBSTITUTE(G638,"[{",""))-1),Sheet2!B:B,Sheet2!C:C)&amp;"+"&amp;1,_xlfn.XLOOKUP(LEFT(SUBSTITUTE(G638,"[{",""),FIND(",",SUBSTITUTE(G638,"[{",""))-1),Sheet2!B:B,Sheet2!C:C)&amp;"+"&amp;SUBSTITUTE(RIGHT(G638,LEN(G638)-FIND(",",G638)),"}]","")/100&amp;"%")</f>
        <v>装备附加属性加成+50%</v>
      </c>
      <c r="L638" s="83" t="str">
        <f ca="1">IF(MOD(COUNTIF($Q$11:Q637,Q637),5)=0,OFFSET(装备属性!$G$1083,1+INT(COUNTA($Q$11:Q637)/5),0),L637)</f>
        <v>提成色</v>
      </c>
      <c r="M638" s="89" t="str">
        <f ca="1">IF(MOD(COUNTIF($Q$11:Q637,Q637),5)=0,OFFSET(装备属性!$H$1083,1+INT(COUNTA($Q$11:Q637)/5),0),M637)</f>
        <v>equip_extra_attr</v>
      </c>
      <c r="N638" s="76">
        <f ca="1">IF(MOD(COUNTIF($Q$11:Q637,Q637),5)=0,OFFSET(装备属性!$K$1083,1+INT(COUNTA($Q$11:Q637)/5),0),N637)</f>
        <v>0.5</v>
      </c>
      <c r="O638" s="76">
        <f ca="1">IF(MOD(COUNTIF($Q$11:Q637,Q637),5)=0,OFFSET(装备属性!$L$1083,1+INT(COUNTA($Q$11:Q637)/5),0),O637)</f>
        <v>0.5</v>
      </c>
      <c r="Q638" s="89" t="str">
        <f ca="1">IF(MOD(COUNTIF($Q$11:Q637,Q637),5)=0,OFFSET(装备属性!$M$1083,1+INT(COUNTA($Q$11:Q637)/5),0),Q637)</f>
        <v>稀有词条</v>
      </c>
      <c r="R638" s="83" t="e">
        <f ca="1">IF(MOD(COUNTIF($Q$11:Q637,Q637),5)=0,10000*SUBSTITUTE(SUBSTITUTE(OFFSET(装备属性!$F$1083,1+INT(COUNTA($Q$11:Q637)/5),0),"[",""),"]","")+_xlfn.XLOOKUP(C638,$M$3:$M$7,$N$3:$N$7)*100,R637)</f>
        <v>#N/A</v>
      </c>
    </row>
    <row r="639" customHeight="1" spans="1:18">
      <c r="A639" s="78" t="str">
        <f ca="1" t="shared" si="27"/>
        <v/>
      </c>
      <c r="B639" s="82" t="str">
        <f ca="1">IFERROR(R639+COUNTIFS($R$11:$R639,R639),"")</f>
        <v/>
      </c>
      <c r="C639" s="83">
        <f ca="1">IF(MOD(COUNTIF($Q$11:Q638,Q638),5)=0,OFFSET(装备属性!$D$1083,1+INT(COUNTA($Q$11:Q638)/5),0),C638)</f>
        <v>0</v>
      </c>
      <c r="D639" s="82">
        <f t="shared" si="29"/>
        <v>1500</v>
      </c>
      <c r="F639" s="82" t="str">
        <f ca="1" t="shared" si="28"/>
        <v/>
      </c>
      <c r="G639" s="78" t="str">
        <f ca="1">IF(AND(LEFT("[{"&amp;M639&amp;","&amp;CEILING(N639*10000+(O639-N639)/4*(COUNTIF($F$11:F639,F639)-1)*10000,10)&amp;"}]",7)="[{equip",MID("[{"&amp;M639&amp;","&amp;CEILING(N639*10000+(O639-N639)/4*(COUNTIF($F$11:F639,F639)-1)*10000,10)&amp;"}]",8,1)&lt;&gt;"_"),"[{"&amp;M639&amp;","&amp;1&amp;"}]","[{"&amp;M639&amp;","&amp;CEILING(N639*10000+(O639-N639)/4*(COUNTIF($F$11:F639,F639)-1)*10000,10)&amp;"}]")</f>
        <v>[{equip_extra_attr,5000}]</v>
      </c>
      <c r="H639" s="82" t="s">
        <v>563</v>
      </c>
      <c r="J639" s="78">
        <f ca="1">IF(MOD(COUNTIF($Q$11:Q638,Q638),5)=0,OFFSET(装备属性!$P$1083,1+INT(COUNTA($Q$11:Q638)/5),0),J638)</f>
        <v>8</v>
      </c>
      <c r="K639" s="83" t="str">
        <f ca="1">IF(RIGHT(G639,13)="rune_slot,1}]",_xlfn.XLOOKUP(LEFT(SUBSTITUTE(G639,"[{",""),FIND(",",SUBSTITUTE(G639,"[{",""))-1),Sheet2!B:B,Sheet2!C:C)&amp;"+"&amp;1,_xlfn.XLOOKUP(LEFT(SUBSTITUTE(G639,"[{",""),FIND(",",SUBSTITUTE(G639,"[{",""))-1),Sheet2!B:B,Sheet2!C:C)&amp;"+"&amp;SUBSTITUTE(RIGHT(G639,LEN(G639)-FIND(",",G639)),"}]","")/100&amp;"%")</f>
        <v>装备附加属性加成+50%</v>
      </c>
      <c r="L639" s="83" t="str">
        <f ca="1">IF(MOD(COUNTIF($Q$11:Q638,Q638),5)=0,OFFSET(装备属性!$G$1083,1+INT(COUNTA($Q$11:Q638)/5),0),L638)</f>
        <v>提成色</v>
      </c>
      <c r="M639" s="89" t="str">
        <f ca="1">IF(MOD(COUNTIF($Q$11:Q638,Q638),5)=0,OFFSET(装备属性!$H$1083,1+INT(COUNTA($Q$11:Q638)/5),0),M638)</f>
        <v>equip_extra_attr</v>
      </c>
      <c r="N639" s="76">
        <f ca="1">IF(MOD(COUNTIF($Q$11:Q638,Q638),5)=0,OFFSET(装备属性!$K$1083,1+INT(COUNTA($Q$11:Q638)/5),0),N638)</f>
        <v>0.5</v>
      </c>
      <c r="O639" s="76">
        <f ca="1">IF(MOD(COUNTIF($Q$11:Q638,Q638),5)=0,OFFSET(装备属性!$L$1083,1+INT(COUNTA($Q$11:Q638)/5),0),O638)</f>
        <v>0.5</v>
      </c>
      <c r="Q639" s="89" t="str">
        <f ca="1">IF(MOD(COUNTIF($Q$11:Q638,Q638),5)=0,OFFSET(装备属性!$M$1083,1+INT(COUNTA($Q$11:Q638)/5),0),Q638)</f>
        <v>稀有词条</v>
      </c>
      <c r="R639" s="83" t="e">
        <f ca="1">IF(MOD(COUNTIF($Q$11:Q638,Q638),5)=0,10000*SUBSTITUTE(SUBSTITUTE(OFFSET(装备属性!$F$1083,1+INT(COUNTA($Q$11:Q638)/5),0),"[",""),"]","")+_xlfn.XLOOKUP(C639,$M$3:$M$7,$N$3:$N$7)*100,R638)</f>
        <v>#N/A</v>
      </c>
    </row>
    <row r="640" customHeight="1" spans="1:18">
      <c r="A640" s="78" t="str">
        <f ca="1" t="shared" si="27"/>
        <v/>
      </c>
      <c r="B640" s="82" t="str">
        <f ca="1">IFERROR(R640+COUNTIFS($R$11:$R640,R640),"")</f>
        <v/>
      </c>
      <c r="C640" s="83">
        <f ca="1">IF(MOD(COUNTIF($Q$11:Q639,Q639),5)=0,OFFSET(装备属性!$D$1083,1+INT(COUNTA($Q$11:Q639)/5),0),C639)</f>
        <v>0</v>
      </c>
      <c r="D640" s="82">
        <f t="shared" si="29"/>
        <v>1000</v>
      </c>
      <c r="F640" s="82" t="str">
        <f ca="1" t="shared" si="28"/>
        <v/>
      </c>
      <c r="G640" s="78" t="str">
        <f ca="1">IF(AND(LEFT("[{"&amp;M640&amp;","&amp;CEILING(N640*10000+(O640-N640)/4*(COUNTIF($F$11:F640,F640)-1)*10000,10)&amp;"}]",7)="[{equip",MID("[{"&amp;M640&amp;","&amp;CEILING(N640*10000+(O640-N640)/4*(COUNTIF($F$11:F640,F640)-1)*10000,10)&amp;"}]",8,1)&lt;&gt;"_"),"[{"&amp;M640&amp;","&amp;1&amp;"}]","[{"&amp;M640&amp;","&amp;CEILING(N640*10000+(O640-N640)/4*(COUNTIF($F$11:F640,F640)-1)*10000,10)&amp;"}]")</f>
        <v>[{equip_extra_attr,5000}]</v>
      </c>
      <c r="H640" s="82" t="s">
        <v>563</v>
      </c>
      <c r="J640" s="78">
        <f ca="1">IF(MOD(COUNTIF($Q$11:Q639,Q639),5)=0,OFFSET(装备属性!$P$1083,1+INT(COUNTA($Q$11:Q639)/5),0),J639)</f>
        <v>8</v>
      </c>
      <c r="K640" s="83" t="str">
        <f ca="1">IF(RIGHT(G640,13)="rune_slot,1}]",_xlfn.XLOOKUP(LEFT(SUBSTITUTE(G640,"[{",""),FIND(",",SUBSTITUTE(G640,"[{",""))-1),Sheet2!B:B,Sheet2!C:C)&amp;"+"&amp;1,_xlfn.XLOOKUP(LEFT(SUBSTITUTE(G640,"[{",""),FIND(",",SUBSTITUTE(G640,"[{",""))-1),Sheet2!B:B,Sheet2!C:C)&amp;"+"&amp;SUBSTITUTE(RIGHT(G640,LEN(G640)-FIND(",",G640)),"}]","")/100&amp;"%")</f>
        <v>装备附加属性加成+50%</v>
      </c>
      <c r="L640" s="83" t="str">
        <f ca="1">IF(MOD(COUNTIF($Q$11:Q639,Q639),5)=0,OFFSET(装备属性!$G$1083,1+INT(COUNTA($Q$11:Q639)/5),0),L639)</f>
        <v>提成色</v>
      </c>
      <c r="M640" s="89" t="str">
        <f ca="1">IF(MOD(COUNTIF($Q$11:Q639,Q639),5)=0,OFFSET(装备属性!$H$1083,1+INT(COUNTA($Q$11:Q639)/5),0),M639)</f>
        <v>equip_extra_attr</v>
      </c>
      <c r="N640" s="76">
        <f ca="1">IF(MOD(COUNTIF($Q$11:Q639,Q639),5)=0,OFFSET(装备属性!$K$1083,1+INT(COUNTA($Q$11:Q639)/5),0),N639)</f>
        <v>0.5</v>
      </c>
      <c r="O640" s="76">
        <f ca="1">IF(MOD(COUNTIF($Q$11:Q639,Q639),5)=0,OFFSET(装备属性!$L$1083,1+INT(COUNTA($Q$11:Q639)/5),0),O639)</f>
        <v>0.5</v>
      </c>
      <c r="Q640" s="89" t="str">
        <f ca="1">IF(MOD(COUNTIF($Q$11:Q639,Q639),5)=0,OFFSET(装备属性!$M$1083,1+INT(COUNTA($Q$11:Q639)/5),0),Q639)</f>
        <v>稀有词条</v>
      </c>
      <c r="R640" s="83" t="e">
        <f ca="1">IF(MOD(COUNTIF($Q$11:Q639,Q639),5)=0,10000*SUBSTITUTE(SUBSTITUTE(OFFSET(装备属性!$F$1083,1+INT(COUNTA($Q$11:Q639)/5),0),"[",""),"]","")+_xlfn.XLOOKUP(C640,$M$3:$M$7,$N$3:$N$7)*100,R639)</f>
        <v>#N/A</v>
      </c>
    </row>
    <row r="641" customHeight="1" spans="1:18">
      <c r="A641" s="78" t="str">
        <f ca="1" t="shared" si="27"/>
        <v/>
      </c>
      <c r="B641" s="82" t="str">
        <f ca="1">IFERROR(R641+COUNTIFS($R$11:$R641,R641),"")</f>
        <v/>
      </c>
      <c r="C641" s="83">
        <f ca="1">IF(MOD(COUNTIF($Q$11:Q640,Q640),5)=0,OFFSET(装备属性!$D$1083,1+INT(COUNTA($Q$11:Q640)/5),0),C640)</f>
        <v>0</v>
      </c>
      <c r="D641" s="82">
        <f t="shared" si="29"/>
        <v>3000</v>
      </c>
      <c r="F641" s="82" t="str">
        <f ca="1" t="shared" si="28"/>
        <v/>
      </c>
      <c r="G641" s="78" t="str">
        <f ca="1">IF(AND(LEFT("[{"&amp;M641&amp;","&amp;CEILING(N641*10000+(O641-N641)/4*(COUNTIF($F$11:F641,F641)-1)*10000,10)&amp;"}]",7)="[{equip",MID("[{"&amp;M641&amp;","&amp;CEILING(N641*10000+(O641-N641)/4*(COUNTIF($F$11:F641,F641)-1)*10000,10)&amp;"}]",8,1)&lt;&gt;"_"),"[{"&amp;M641&amp;","&amp;1&amp;"}]","[{"&amp;M641&amp;","&amp;CEILING(N641*10000+(O641-N641)/4*(COUNTIF($F$11:F641,F641)-1)*10000,10)&amp;"}]")</f>
        <v>[{arena_pve_hit_rare,9370}]</v>
      </c>
      <c r="H641" s="82" t="s">
        <v>563</v>
      </c>
      <c r="J641" s="78">
        <f ca="1">IF(MOD(COUNTIF($Q$11:Q640,Q640),5)=0,OFFSET(装备属性!$P$1083,1+INT(COUNTA($Q$11:Q640)/5),0),J640)</f>
        <v>1</v>
      </c>
      <c r="K641" s="83" t="str">
        <f ca="1">IF(RIGHT(G641,13)="rune_slot,1}]",_xlfn.XLOOKUP(LEFT(SUBSTITUTE(G641,"[{",""),FIND(",",SUBSTITUTE(G641,"[{",""))-1),Sheet2!B:B,Sheet2!C:C)&amp;"+"&amp;1,_xlfn.XLOOKUP(LEFT(SUBSTITUTE(G641,"[{",""),FIND(",",SUBSTITUTE(G641,"[{",""))-1),Sheet2!B:B,Sheet2!C:C)&amp;"+"&amp;SUBSTITUTE(RIGHT(G641,LEN(G641)-FIND(",",G641)),"}]","")/100&amp;"%")</f>
        <v>荧幕争锋增伤+93.7%</v>
      </c>
      <c r="L641" s="83" t="str">
        <f ca="1">IF(MOD(COUNTIF($Q$11:Q640,Q640),5)=0,OFFSET(装备属性!$G$1083,1+INT(COUNTA($Q$11:Q640)/5),0),L640)</f>
        <v>关键开团Ⅰ</v>
      </c>
      <c r="M641" s="89" t="str">
        <f ca="1">IF(MOD(COUNTIF($Q$11:Q640,Q640),5)=0,OFFSET(装备属性!$H$1083,1+INT(COUNTA($Q$11:Q640)/5),0),M640)</f>
        <v>arena_pve_hit_rare</v>
      </c>
      <c r="N641" s="76">
        <f ca="1">IF(MOD(COUNTIF($Q$11:Q640,Q640),5)=0,OFFSET(装备属性!$K$1083,1+INT(COUNTA($Q$11:Q640)/5),0),N640)</f>
        <v>0.044</v>
      </c>
      <c r="O641" s="76">
        <f ca="1">IF(MOD(COUNTIF($Q$11:Q640,Q640),5)=0,OFFSET(装备属性!$L$1083,1+INT(COUNTA($Q$11:Q640)/5),0),O640)</f>
        <v>0.058</v>
      </c>
      <c r="Q641" s="89" t="str">
        <f ca="1">IF(MOD(COUNTIF($Q$11:Q640,Q640),5)=0,OFFSET(装备属性!$M$1083,1+INT(COUNTA($Q$11:Q640)/5),0),Q640)</f>
        <v>玩法类</v>
      </c>
      <c r="R641" s="83" t="e">
        <f ca="1">IF(MOD(COUNTIF($Q$11:Q640,Q640),5)=0,10000*SUBSTITUTE(SUBSTITUTE(OFFSET(装备属性!$F$1083,1+INT(COUNTA($Q$11:Q640)/5),0),"[",""),"]","")+_xlfn.XLOOKUP(C641,$M$3:$M$7,$N$3:$N$7)*100,R640)</f>
        <v>#N/A</v>
      </c>
    </row>
    <row r="642" customHeight="1" spans="1:18">
      <c r="A642" s="78" t="str">
        <f ca="1" t="shared" si="27"/>
        <v/>
      </c>
      <c r="B642" s="82" t="str">
        <f ca="1">IFERROR(R642+COUNTIFS($R$11:$R642,R642),"")</f>
        <v/>
      </c>
      <c r="C642" s="83">
        <f ca="1">IF(MOD(COUNTIF($Q$11:Q641,Q641),5)=0,OFFSET(装备属性!$D$1083,1+INT(COUNTA($Q$11:Q641)/5),0),C641)</f>
        <v>0</v>
      </c>
      <c r="D642" s="82">
        <f t="shared" si="29"/>
        <v>2500</v>
      </c>
      <c r="F642" s="82" t="str">
        <f ca="1" t="shared" si="28"/>
        <v/>
      </c>
      <c r="G642" s="78" t="str">
        <f ca="1">IF(AND(LEFT("[{"&amp;M642&amp;","&amp;CEILING(N642*10000+(O642-N642)/4*(COUNTIF($F$11:F642,F642)-1)*10000,10)&amp;"}]",7)="[{equip",MID("[{"&amp;M642&amp;","&amp;CEILING(N642*10000+(O642-N642)/4*(COUNTIF($F$11:F642,F642)-1)*10000,10)&amp;"}]",8,1)&lt;&gt;"_"),"[{"&amp;M642&amp;","&amp;1&amp;"}]","[{"&amp;M642&amp;","&amp;CEILING(N642*10000+(O642-N642)/4*(COUNTIF($F$11:F642,F642)-1)*10000,10)&amp;"}]")</f>
        <v>[{arena_pve_hit_rare,9400}]</v>
      </c>
      <c r="H642" s="82" t="s">
        <v>563</v>
      </c>
      <c r="J642" s="78">
        <f ca="1">IF(MOD(COUNTIF($Q$11:Q641,Q641),5)=0,OFFSET(装备属性!$P$1083,1+INT(COUNTA($Q$11:Q641)/5),0),J641)</f>
        <v>1</v>
      </c>
      <c r="K642" s="83" t="str">
        <f ca="1">IF(RIGHT(G642,13)="rune_slot,1}]",_xlfn.XLOOKUP(LEFT(SUBSTITUTE(G642,"[{",""),FIND(",",SUBSTITUTE(G642,"[{",""))-1),Sheet2!B:B,Sheet2!C:C)&amp;"+"&amp;1,_xlfn.XLOOKUP(LEFT(SUBSTITUTE(G642,"[{",""),FIND(",",SUBSTITUTE(G642,"[{",""))-1),Sheet2!B:B,Sheet2!C:C)&amp;"+"&amp;SUBSTITUTE(RIGHT(G642,LEN(G642)-FIND(",",G642)),"}]","")/100&amp;"%")</f>
        <v>荧幕争锋增伤+94%</v>
      </c>
      <c r="L642" s="83" t="str">
        <f ca="1">IF(MOD(COUNTIF($Q$11:Q641,Q641),5)=0,OFFSET(装备属性!$G$1083,1+INT(COUNTA($Q$11:Q641)/5),0),L641)</f>
        <v>关键开团Ⅰ</v>
      </c>
      <c r="M642" s="89" t="str">
        <f ca="1">IF(MOD(COUNTIF($Q$11:Q641,Q641),5)=0,OFFSET(装备属性!$H$1083,1+INT(COUNTA($Q$11:Q641)/5),0),M641)</f>
        <v>arena_pve_hit_rare</v>
      </c>
      <c r="N642" s="76">
        <f ca="1">IF(MOD(COUNTIF($Q$11:Q641,Q641),5)=0,OFFSET(装备属性!$K$1083,1+INT(COUNTA($Q$11:Q641)/5),0),N641)</f>
        <v>0.044</v>
      </c>
      <c r="O642" s="76">
        <f ca="1">IF(MOD(COUNTIF($Q$11:Q641,Q641),5)=0,OFFSET(装备属性!$L$1083,1+INT(COUNTA($Q$11:Q641)/5),0),O641)</f>
        <v>0.058</v>
      </c>
      <c r="Q642" s="89" t="str">
        <f ca="1">IF(MOD(COUNTIF($Q$11:Q641,Q641),5)=0,OFFSET(装备属性!$M$1083,1+INT(COUNTA($Q$11:Q641)/5),0),Q641)</f>
        <v>玩法类</v>
      </c>
      <c r="R642" s="83" t="e">
        <f ca="1">IF(MOD(COUNTIF($Q$11:Q641,Q641),5)=0,10000*SUBSTITUTE(SUBSTITUTE(OFFSET(装备属性!$F$1083,1+INT(COUNTA($Q$11:Q641)/5),0),"[",""),"]","")+_xlfn.XLOOKUP(C642,$M$3:$M$7,$N$3:$N$7)*100,R641)</f>
        <v>#N/A</v>
      </c>
    </row>
    <row r="643" customHeight="1" spans="1:18">
      <c r="A643" s="78" t="str">
        <f ca="1" t="shared" si="27"/>
        <v/>
      </c>
      <c r="B643" s="82" t="str">
        <f ca="1">IFERROR(R643+COUNTIFS($R$11:$R643,R643),"")</f>
        <v/>
      </c>
      <c r="C643" s="83">
        <f ca="1">IF(MOD(COUNTIF($Q$11:Q642,Q642),5)=0,OFFSET(装备属性!$D$1083,1+INT(COUNTA($Q$11:Q642)/5),0),C642)</f>
        <v>0</v>
      </c>
      <c r="D643" s="82">
        <f t="shared" si="29"/>
        <v>2000</v>
      </c>
      <c r="F643" s="82" t="str">
        <f ca="1" t="shared" si="28"/>
        <v/>
      </c>
      <c r="G643" s="78" t="str">
        <f ca="1">IF(AND(LEFT("[{"&amp;M643&amp;","&amp;CEILING(N643*10000+(O643-N643)/4*(COUNTIF($F$11:F643,F643)-1)*10000,10)&amp;"}]",7)="[{equip",MID("[{"&amp;M643&amp;","&amp;CEILING(N643*10000+(O643-N643)/4*(COUNTIF($F$11:F643,F643)-1)*10000,10)&amp;"}]",8,1)&lt;&gt;"_"),"[{"&amp;M643&amp;","&amp;1&amp;"}]","[{"&amp;M643&amp;","&amp;CEILING(N643*10000+(O643-N643)/4*(COUNTIF($F$11:F643,F643)-1)*10000,10)&amp;"}]")</f>
        <v>[{arena_pve_hit_rare,9440}]</v>
      </c>
      <c r="H643" s="82" t="s">
        <v>563</v>
      </c>
      <c r="J643" s="78">
        <f ca="1">IF(MOD(COUNTIF($Q$11:Q642,Q642),5)=0,OFFSET(装备属性!$P$1083,1+INT(COUNTA($Q$11:Q642)/5),0),J642)</f>
        <v>1</v>
      </c>
      <c r="K643" s="83" t="str">
        <f ca="1">IF(RIGHT(G643,13)="rune_slot,1}]",_xlfn.XLOOKUP(LEFT(SUBSTITUTE(G643,"[{",""),FIND(",",SUBSTITUTE(G643,"[{",""))-1),Sheet2!B:B,Sheet2!C:C)&amp;"+"&amp;1,_xlfn.XLOOKUP(LEFT(SUBSTITUTE(G643,"[{",""),FIND(",",SUBSTITUTE(G643,"[{",""))-1),Sheet2!B:B,Sheet2!C:C)&amp;"+"&amp;SUBSTITUTE(RIGHT(G643,LEN(G643)-FIND(",",G643)),"}]","")/100&amp;"%")</f>
        <v>荧幕争锋增伤+94.4%</v>
      </c>
      <c r="L643" s="83" t="str">
        <f ca="1">IF(MOD(COUNTIF($Q$11:Q642,Q642),5)=0,OFFSET(装备属性!$G$1083,1+INT(COUNTA($Q$11:Q642)/5),0),L642)</f>
        <v>关键开团Ⅰ</v>
      </c>
      <c r="M643" s="89" t="str">
        <f ca="1">IF(MOD(COUNTIF($Q$11:Q642,Q642),5)=0,OFFSET(装备属性!$H$1083,1+INT(COUNTA($Q$11:Q642)/5),0),M642)</f>
        <v>arena_pve_hit_rare</v>
      </c>
      <c r="N643" s="76">
        <f ca="1">IF(MOD(COUNTIF($Q$11:Q642,Q642),5)=0,OFFSET(装备属性!$K$1083,1+INT(COUNTA($Q$11:Q642)/5),0),N642)</f>
        <v>0.044</v>
      </c>
      <c r="O643" s="76">
        <f ca="1">IF(MOD(COUNTIF($Q$11:Q642,Q642),5)=0,OFFSET(装备属性!$L$1083,1+INT(COUNTA($Q$11:Q642)/5),0),O642)</f>
        <v>0.058</v>
      </c>
      <c r="Q643" s="89" t="str">
        <f ca="1">IF(MOD(COUNTIF($Q$11:Q642,Q642),5)=0,OFFSET(装备属性!$M$1083,1+INT(COUNTA($Q$11:Q642)/5),0),Q642)</f>
        <v>玩法类</v>
      </c>
      <c r="R643" s="83" t="e">
        <f ca="1">IF(MOD(COUNTIF($Q$11:Q642,Q642),5)=0,10000*SUBSTITUTE(SUBSTITUTE(OFFSET(装备属性!$F$1083,1+INT(COUNTA($Q$11:Q642)/5),0),"[",""),"]","")+_xlfn.XLOOKUP(C643,$M$3:$M$7,$N$3:$N$7)*100,R642)</f>
        <v>#N/A</v>
      </c>
    </row>
    <row r="644" customHeight="1" spans="1:18">
      <c r="A644" s="78" t="str">
        <f ca="1" t="shared" si="27"/>
        <v/>
      </c>
      <c r="B644" s="82" t="str">
        <f ca="1">IFERROR(R644+COUNTIFS($R$11:$R644,R644),"")</f>
        <v/>
      </c>
      <c r="C644" s="83">
        <f ca="1">IF(MOD(COUNTIF($Q$11:Q643,Q643),5)=0,OFFSET(装备属性!$D$1083,1+INT(COUNTA($Q$11:Q643)/5),0),C643)</f>
        <v>0</v>
      </c>
      <c r="D644" s="82">
        <f t="shared" si="29"/>
        <v>1500</v>
      </c>
      <c r="F644" s="82" t="str">
        <f ca="1" t="shared" si="28"/>
        <v/>
      </c>
      <c r="G644" s="78" t="str">
        <f ca="1">IF(AND(LEFT("[{"&amp;M644&amp;","&amp;CEILING(N644*10000+(O644-N644)/4*(COUNTIF($F$11:F644,F644)-1)*10000,10)&amp;"}]",7)="[{equip",MID("[{"&amp;M644&amp;","&amp;CEILING(N644*10000+(O644-N644)/4*(COUNTIF($F$11:F644,F644)-1)*10000,10)&amp;"}]",8,1)&lt;&gt;"_"),"[{"&amp;M644&amp;","&amp;1&amp;"}]","[{"&amp;M644&amp;","&amp;CEILING(N644*10000+(O644-N644)/4*(COUNTIF($F$11:F644,F644)-1)*10000,10)&amp;"}]")</f>
        <v>[{arena_pve_hit_rare,9470}]</v>
      </c>
      <c r="H644" s="82" t="s">
        <v>563</v>
      </c>
      <c r="J644" s="78">
        <f ca="1">IF(MOD(COUNTIF($Q$11:Q643,Q643),5)=0,OFFSET(装备属性!$P$1083,1+INT(COUNTA($Q$11:Q643)/5),0),J643)</f>
        <v>1</v>
      </c>
      <c r="K644" s="83" t="str">
        <f ca="1">IF(RIGHT(G644,13)="rune_slot,1}]",_xlfn.XLOOKUP(LEFT(SUBSTITUTE(G644,"[{",""),FIND(",",SUBSTITUTE(G644,"[{",""))-1),Sheet2!B:B,Sheet2!C:C)&amp;"+"&amp;1,_xlfn.XLOOKUP(LEFT(SUBSTITUTE(G644,"[{",""),FIND(",",SUBSTITUTE(G644,"[{",""))-1),Sheet2!B:B,Sheet2!C:C)&amp;"+"&amp;SUBSTITUTE(RIGHT(G644,LEN(G644)-FIND(",",G644)),"}]","")/100&amp;"%")</f>
        <v>荧幕争锋增伤+94.7%</v>
      </c>
      <c r="L644" s="83" t="str">
        <f ca="1">IF(MOD(COUNTIF($Q$11:Q643,Q643),5)=0,OFFSET(装备属性!$G$1083,1+INT(COUNTA($Q$11:Q643)/5),0),L643)</f>
        <v>关键开团Ⅰ</v>
      </c>
      <c r="M644" s="89" t="str">
        <f ca="1">IF(MOD(COUNTIF($Q$11:Q643,Q643),5)=0,OFFSET(装备属性!$H$1083,1+INT(COUNTA($Q$11:Q643)/5),0),M643)</f>
        <v>arena_pve_hit_rare</v>
      </c>
      <c r="N644" s="76">
        <f ca="1">IF(MOD(COUNTIF($Q$11:Q643,Q643),5)=0,OFFSET(装备属性!$K$1083,1+INT(COUNTA($Q$11:Q643)/5),0),N643)</f>
        <v>0.044</v>
      </c>
      <c r="O644" s="76">
        <f ca="1">IF(MOD(COUNTIF($Q$11:Q643,Q643),5)=0,OFFSET(装备属性!$L$1083,1+INT(COUNTA($Q$11:Q643)/5),0),O643)</f>
        <v>0.058</v>
      </c>
      <c r="Q644" s="89" t="str">
        <f ca="1">IF(MOD(COUNTIF($Q$11:Q643,Q643),5)=0,OFFSET(装备属性!$M$1083,1+INT(COUNTA($Q$11:Q643)/5),0),Q643)</f>
        <v>玩法类</v>
      </c>
      <c r="R644" s="83" t="e">
        <f ca="1">IF(MOD(COUNTIF($Q$11:Q643,Q643),5)=0,10000*SUBSTITUTE(SUBSTITUTE(OFFSET(装备属性!$F$1083,1+INT(COUNTA($Q$11:Q643)/5),0),"[",""),"]","")+_xlfn.XLOOKUP(C644,$M$3:$M$7,$N$3:$N$7)*100,R643)</f>
        <v>#N/A</v>
      </c>
    </row>
    <row r="645" customHeight="1" spans="1:18">
      <c r="A645" s="78" t="str">
        <f ca="1" t="shared" si="27"/>
        <v/>
      </c>
      <c r="B645" s="82" t="str">
        <f ca="1">IFERROR(R645+COUNTIFS($R$11:$R645,R645),"")</f>
        <v/>
      </c>
      <c r="C645" s="83">
        <f ca="1">IF(MOD(COUNTIF($Q$11:Q644,Q644),5)=0,OFFSET(装备属性!$D$1083,1+INT(COUNTA($Q$11:Q644)/5),0),C644)</f>
        <v>0</v>
      </c>
      <c r="D645" s="82">
        <f t="shared" si="29"/>
        <v>1000</v>
      </c>
      <c r="F645" s="82" t="str">
        <f ca="1" t="shared" si="28"/>
        <v/>
      </c>
      <c r="G645" s="78" t="str">
        <f ca="1">IF(AND(LEFT("[{"&amp;M645&amp;","&amp;CEILING(N645*10000+(O645-N645)/4*(COUNTIF($F$11:F645,F645)-1)*10000,10)&amp;"}]",7)="[{equip",MID("[{"&amp;M645&amp;","&amp;CEILING(N645*10000+(O645-N645)/4*(COUNTIF($F$11:F645,F645)-1)*10000,10)&amp;"}]",8,1)&lt;&gt;"_"),"[{"&amp;M645&amp;","&amp;1&amp;"}]","[{"&amp;M645&amp;","&amp;CEILING(N645*10000+(O645-N645)/4*(COUNTIF($F$11:F645,F645)-1)*10000,10)&amp;"}]")</f>
        <v>[{arena_pve_hit_rare,9510}]</v>
      </c>
      <c r="H645" s="82" t="s">
        <v>563</v>
      </c>
      <c r="J645" s="78">
        <f ca="1">IF(MOD(COUNTIF($Q$11:Q644,Q644),5)=0,OFFSET(装备属性!$P$1083,1+INT(COUNTA($Q$11:Q644)/5),0),J644)</f>
        <v>1</v>
      </c>
      <c r="K645" s="83" t="str">
        <f ca="1">IF(RIGHT(G645,13)="rune_slot,1}]",_xlfn.XLOOKUP(LEFT(SUBSTITUTE(G645,"[{",""),FIND(",",SUBSTITUTE(G645,"[{",""))-1),Sheet2!B:B,Sheet2!C:C)&amp;"+"&amp;1,_xlfn.XLOOKUP(LEFT(SUBSTITUTE(G645,"[{",""),FIND(",",SUBSTITUTE(G645,"[{",""))-1),Sheet2!B:B,Sheet2!C:C)&amp;"+"&amp;SUBSTITUTE(RIGHT(G645,LEN(G645)-FIND(",",G645)),"}]","")/100&amp;"%")</f>
        <v>荧幕争锋增伤+95.1%</v>
      </c>
      <c r="L645" s="83" t="str">
        <f ca="1">IF(MOD(COUNTIF($Q$11:Q644,Q644),5)=0,OFFSET(装备属性!$G$1083,1+INT(COUNTA($Q$11:Q644)/5),0),L644)</f>
        <v>关键开团Ⅰ</v>
      </c>
      <c r="M645" s="89" t="str">
        <f ca="1">IF(MOD(COUNTIF($Q$11:Q644,Q644),5)=0,OFFSET(装备属性!$H$1083,1+INT(COUNTA($Q$11:Q644)/5),0),M644)</f>
        <v>arena_pve_hit_rare</v>
      </c>
      <c r="N645" s="76">
        <f ca="1">IF(MOD(COUNTIF($Q$11:Q644,Q644),5)=0,OFFSET(装备属性!$K$1083,1+INT(COUNTA($Q$11:Q644)/5),0),N644)</f>
        <v>0.044</v>
      </c>
      <c r="O645" s="76">
        <f ca="1">IF(MOD(COUNTIF($Q$11:Q644,Q644),5)=0,OFFSET(装备属性!$L$1083,1+INT(COUNTA($Q$11:Q644)/5),0),O644)</f>
        <v>0.058</v>
      </c>
      <c r="Q645" s="89" t="str">
        <f ca="1">IF(MOD(COUNTIF($Q$11:Q644,Q644),5)=0,OFFSET(装备属性!$M$1083,1+INT(COUNTA($Q$11:Q644)/5),0),Q644)</f>
        <v>玩法类</v>
      </c>
      <c r="R645" s="83" t="e">
        <f ca="1">IF(MOD(COUNTIF($Q$11:Q644,Q644),5)=0,10000*SUBSTITUTE(SUBSTITUTE(OFFSET(装备属性!$F$1083,1+INT(COUNTA($Q$11:Q644)/5),0),"[",""),"]","")+_xlfn.XLOOKUP(C645,$M$3:$M$7,$N$3:$N$7)*100,R644)</f>
        <v>#N/A</v>
      </c>
    </row>
    <row r="646" customHeight="1" spans="1:18">
      <c r="A646" s="78" t="str">
        <f ca="1" t="shared" si="27"/>
        <v/>
      </c>
      <c r="B646" s="82" t="str">
        <f ca="1">IFERROR(R646+COUNTIFS($R$11:$R646,R646),"")</f>
        <v/>
      </c>
      <c r="C646" s="83">
        <f ca="1">IF(MOD(COUNTIF($Q$11:Q645,Q645),5)=0,OFFSET(装备属性!$D$1083,1+INT(COUNTA($Q$11:Q645)/5),0),C645)</f>
        <v>0</v>
      </c>
      <c r="D646" s="82">
        <f t="shared" si="29"/>
        <v>3000</v>
      </c>
      <c r="F646" s="82" t="str">
        <f ca="1" t="shared" si="28"/>
        <v/>
      </c>
      <c r="G646" s="78" t="str">
        <f ca="1">IF(AND(LEFT("[{"&amp;M646&amp;","&amp;CEILING(N646*10000+(O646-N646)/4*(COUNTIF($F$11:F646,F646)-1)*10000,10)&amp;"}]",7)="[{equip",MID("[{"&amp;M646&amp;","&amp;CEILING(N646*10000+(O646-N646)/4*(COUNTIF($F$11:F646,F646)-1)*10000,10)&amp;"}]",8,1)&lt;&gt;"_"),"[{"&amp;M646&amp;","&amp;1&amp;"}]","[{"&amp;M646&amp;","&amp;CEILING(N646*10000+(O646-N646)/4*(COUNTIF($F$11:F646,F646)-1)*10000,10)&amp;"}]")</f>
        <v>[{equip3_rune_slot,1}]</v>
      </c>
      <c r="H646" s="82" t="s">
        <v>563</v>
      </c>
      <c r="J646" s="78">
        <f ca="1">IF(MOD(COUNTIF($Q$11:Q645,Q645),5)=0,OFFSET(装备属性!$P$1083,1+INT(COUNTA($Q$11:Q645)/5),0),J645)</f>
        <v>6</v>
      </c>
      <c r="K646" s="83" t="str">
        <f ca="1">IF(RIGHT(G646,13)="rune_slot,1}]",_xlfn.XLOOKUP(LEFT(SUBSTITUTE(G646,"[{",""),FIND(",",SUBSTITUTE(G646,"[{",""))-1),Sheet2!B:B,Sheet2!C:C)&amp;"+"&amp;1,_xlfn.XLOOKUP(LEFT(SUBSTITUTE(G646,"[{",""),FIND(",",SUBSTITUTE(G646,"[{",""))-1),Sheet2!B:B,Sheet2!C:C)&amp;"+"&amp;SUBSTITUTE(RIGHT(G646,LEN(G646)-FIND(",",G646)),"}]","")/100&amp;"%")</f>
        <v>饰品符文孔位+1</v>
      </c>
      <c r="L646" s="83" t="str">
        <f ca="1">IF(MOD(COUNTIF($Q$11:Q645,Q645),5)=0,OFFSET(装备属性!$G$1083,1+INT(COUNTA($Q$11:Q645)/5),0),L645)</f>
        <v>扩符槽</v>
      </c>
      <c r="M646" s="89" t="str">
        <f ca="1">IF(MOD(COUNTIF($Q$11:Q645,Q645),5)=0,OFFSET(装备属性!$H$1083,1+INT(COUNTA($Q$11:Q645)/5),0),M645)</f>
        <v>equip3_rune_slot</v>
      </c>
      <c r="N646" s="76">
        <f ca="1">IF(MOD(COUNTIF($Q$11:Q645,Q645),5)=0,OFFSET(装备属性!$K$1083,1+INT(COUNTA($Q$11:Q645)/5),0),N645)</f>
        <v>1</v>
      </c>
      <c r="O646" s="76">
        <f ca="1">IF(MOD(COUNTIF($Q$11:Q645,Q645),5)=0,OFFSET(装备属性!$L$1083,1+INT(COUNTA($Q$11:Q645)/5),0),O645)</f>
        <v>1</v>
      </c>
      <c r="Q646" s="89" t="str">
        <f ca="1">IF(MOD(COUNTIF($Q$11:Q645,Q645),5)=0,OFFSET(装备属性!$M$1083,1+INT(COUNTA($Q$11:Q645)/5),0),Q645)</f>
        <v>稀有词条</v>
      </c>
      <c r="R646" s="83" t="e">
        <f ca="1">IF(MOD(COUNTIF($Q$11:Q645,Q645),5)=0,10000*SUBSTITUTE(SUBSTITUTE(OFFSET(装备属性!$F$1083,1+INT(COUNTA($Q$11:Q645)/5),0),"[",""),"]","")+_xlfn.XLOOKUP(C646,$M$3:$M$7,$N$3:$N$7)*100,R645)</f>
        <v>#N/A</v>
      </c>
    </row>
    <row r="647" customHeight="1" spans="1:18">
      <c r="A647" s="78" t="str">
        <f ca="1" t="shared" si="27"/>
        <v/>
      </c>
      <c r="B647" s="82" t="str">
        <f ca="1">IFERROR(R647+COUNTIFS($R$11:$R647,R647),"")</f>
        <v/>
      </c>
      <c r="C647" s="83">
        <f ca="1">IF(MOD(COUNTIF($Q$11:Q646,Q646),5)=0,OFFSET(装备属性!$D$1083,1+INT(COUNTA($Q$11:Q646)/5),0),C646)</f>
        <v>0</v>
      </c>
      <c r="D647" s="82">
        <f t="shared" si="29"/>
        <v>2500</v>
      </c>
      <c r="F647" s="82" t="str">
        <f ca="1" t="shared" si="28"/>
        <v/>
      </c>
      <c r="G647" s="78" t="str">
        <f ca="1">IF(AND(LEFT("[{"&amp;M647&amp;","&amp;CEILING(N647*10000+(O647-N647)/4*(COUNTIF($F$11:F647,F647)-1)*10000,10)&amp;"}]",7)="[{equip",MID("[{"&amp;M647&amp;","&amp;CEILING(N647*10000+(O647-N647)/4*(COUNTIF($F$11:F647,F647)-1)*10000,10)&amp;"}]",8,1)&lt;&gt;"_"),"[{"&amp;M647&amp;","&amp;1&amp;"}]","[{"&amp;M647&amp;","&amp;CEILING(N647*10000+(O647-N647)/4*(COUNTIF($F$11:F647,F647)-1)*10000,10)&amp;"}]")</f>
        <v>[{equip3_rune_slot,1}]</v>
      </c>
      <c r="H647" s="82" t="s">
        <v>563</v>
      </c>
      <c r="J647" s="78">
        <f ca="1">IF(MOD(COUNTIF($Q$11:Q646,Q646),5)=0,OFFSET(装备属性!$P$1083,1+INT(COUNTA($Q$11:Q646)/5),0),J646)</f>
        <v>6</v>
      </c>
      <c r="K647" s="83" t="str">
        <f ca="1">IF(RIGHT(G647,13)="rune_slot,1}]",_xlfn.XLOOKUP(LEFT(SUBSTITUTE(G647,"[{",""),FIND(",",SUBSTITUTE(G647,"[{",""))-1),Sheet2!B:B,Sheet2!C:C)&amp;"+"&amp;1,_xlfn.XLOOKUP(LEFT(SUBSTITUTE(G647,"[{",""),FIND(",",SUBSTITUTE(G647,"[{",""))-1),Sheet2!B:B,Sheet2!C:C)&amp;"+"&amp;SUBSTITUTE(RIGHT(G647,LEN(G647)-FIND(",",G647)),"}]","")/100&amp;"%")</f>
        <v>饰品符文孔位+1</v>
      </c>
      <c r="L647" s="83" t="str">
        <f ca="1">IF(MOD(COUNTIF($Q$11:Q646,Q646),5)=0,OFFSET(装备属性!$G$1083,1+INT(COUNTA($Q$11:Q646)/5),0),L646)</f>
        <v>扩符槽</v>
      </c>
      <c r="M647" s="89" t="str">
        <f ca="1">IF(MOD(COUNTIF($Q$11:Q646,Q646),5)=0,OFFSET(装备属性!$H$1083,1+INT(COUNTA($Q$11:Q646)/5),0),M646)</f>
        <v>equip3_rune_slot</v>
      </c>
      <c r="N647" s="76">
        <f ca="1">IF(MOD(COUNTIF($Q$11:Q646,Q646),5)=0,OFFSET(装备属性!$K$1083,1+INT(COUNTA($Q$11:Q646)/5),0),N646)</f>
        <v>1</v>
      </c>
      <c r="O647" s="76">
        <f ca="1">IF(MOD(COUNTIF($Q$11:Q646,Q646),5)=0,OFFSET(装备属性!$L$1083,1+INT(COUNTA($Q$11:Q646)/5),0),O646)</f>
        <v>1</v>
      </c>
      <c r="Q647" s="89" t="str">
        <f ca="1">IF(MOD(COUNTIF($Q$11:Q646,Q646),5)=0,OFFSET(装备属性!$M$1083,1+INT(COUNTA($Q$11:Q646)/5),0),Q646)</f>
        <v>稀有词条</v>
      </c>
      <c r="R647" s="83" t="e">
        <f ca="1">IF(MOD(COUNTIF($Q$11:Q646,Q646),5)=0,10000*SUBSTITUTE(SUBSTITUTE(OFFSET(装备属性!$F$1083,1+INT(COUNTA($Q$11:Q646)/5),0),"[",""),"]","")+_xlfn.XLOOKUP(C647,$M$3:$M$7,$N$3:$N$7)*100,R646)</f>
        <v>#N/A</v>
      </c>
    </row>
    <row r="648" customHeight="1" spans="1:18">
      <c r="A648" s="78" t="str">
        <f ca="1" t="shared" si="27"/>
        <v/>
      </c>
      <c r="B648" s="82" t="str">
        <f ca="1">IFERROR(R648+COUNTIFS($R$11:$R648,R648),"")</f>
        <v/>
      </c>
      <c r="C648" s="83">
        <f ca="1">IF(MOD(COUNTIF($Q$11:Q647,Q647),5)=0,OFFSET(装备属性!$D$1083,1+INT(COUNTA($Q$11:Q647)/5),0),C647)</f>
        <v>0</v>
      </c>
      <c r="D648" s="82">
        <f t="shared" si="29"/>
        <v>2000</v>
      </c>
      <c r="F648" s="82" t="str">
        <f ca="1" t="shared" si="28"/>
        <v/>
      </c>
      <c r="G648" s="78" t="str">
        <f ca="1">IF(AND(LEFT("[{"&amp;M648&amp;","&amp;CEILING(N648*10000+(O648-N648)/4*(COUNTIF($F$11:F648,F648)-1)*10000,10)&amp;"}]",7)="[{equip",MID("[{"&amp;M648&amp;","&amp;CEILING(N648*10000+(O648-N648)/4*(COUNTIF($F$11:F648,F648)-1)*10000,10)&amp;"}]",8,1)&lt;&gt;"_"),"[{"&amp;M648&amp;","&amp;1&amp;"}]","[{"&amp;M648&amp;","&amp;CEILING(N648*10000+(O648-N648)/4*(COUNTIF($F$11:F648,F648)-1)*10000,10)&amp;"}]")</f>
        <v>[{equip3_rune_slot,1}]</v>
      </c>
      <c r="H648" s="82" t="s">
        <v>563</v>
      </c>
      <c r="J648" s="78">
        <f ca="1">IF(MOD(COUNTIF($Q$11:Q647,Q647),5)=0,OFFSET(装备属性!$P$1083,1+INT(COUNTA($Q$11:Q647)/5),0),J647)</f>
        <v>6</v>
      </c>
      <c r="K648" s="83" t="str">
        <f ca="1">IF(RIGHT(G648,13)="rune_slot,1}]",_xlfn.XLOOKUP(LEFT(SUBSTITUTE(G648,"[{",""),FIND(",",SUBSTITUTE(G648,"[{",""))-1),Sheet2!B:B,Sheet2!C:C)&amp;"+"&amp;1,_xlfn.XLOOKUP(LEFT(SUBSTITUTE(G648,"[{",""),FIND(",",SUBSTITUTE(G648,"[{",""))-1),Sheet2!B:B,Sheet2!C:C)&amp;"+"&amp;SUBSTITUTE(RIGHT(G648,LEN(G648)-FIND(",",G648)),"}]","")/100&amp;"%")</f>
        <v>饰品符文孔位+1</v>
      </c>
      <c r="L648" s="83" t="str">
        <f ca="1">IF(MOD(COUNTIF($Q$11:Q647,Q647),5)=0,OFFSET(装备属性!$G$1083,1+INT(COUNTA($Q$11:Q647)/5),0),L647)</f>
        <v>扩符槽</v>
      </c>
      <c r="M648" s="89" t="str">
        <f ca="1">IF(MOD(COUNTIF($Q$11:Q647,Q647),5)=0,OFFSET(装备属性!$H$1083,1+INT(COUNTA($Q$11:Q647)/5),0),M647)</f>
        <v>equip3_rune_slot</v>
      </c>
      <c r="N648" s="76">
        <f ca="1">IF(MOD(COUNTIF($Q$11:Q647,Q647),5)=0,OFFSET(装备属性!$K$1083,1+INT(COUNTA($Q$11:Q647)/5),0),N647)</f>
        <v>1</v>
      </c>
      <c r="O648" s="76">
        <f ca="1">IF(MOD(COUNTIF($Q$11:Q647,Q647),5)=0,OFFSET(装备属性!$L$1083,1+INT(COUNTA($Q$11:Q647)/5),0),O647)</f>
        <v>1</v>
      </c>
      <c r="Q648" s="89" t="str">
        <f ca="1">IF(MOD(COUNTIF($Q$11:Q647,Q647),5)=0,OFFSET(装备属性!$M$1083,1+INT(COUNTA($Q$11:Q647)/5),0),Q647)</f>
        <v>稀有词条</v>
      </c>
      <c r="R648" s="83" t="e">
        <f ca="1">IF(MOD(COUNTIF($Q$11:Q647,Q647),5)=0,10000*SUBSTITUTE(SUBSTITUTE(OFFSET(装备属性!$F$1083,1+INT(COUNTA($Q$11:Q647)/5),0),"[",""),"]","")+_xlfn.XLOOKUP(C648,$M$3:$M$7,$N$3:$N$7)*100,R647)</f>
        <v>#N/A</v>
      </c>
    </row>
    <row r="649" customHeight="1" spans="1:18">
      <c r="A649" s="78" t="str">
        <f ca="1" t="shared" si="27"/>
        <v/>
      </c>
      <c r="B649" s="82" t="str">
        <f ca="1">IFERROR(R649+COUNTIFS($R$11:$R649,R649),"")</f>
        <v/>
      </c>
      <c r="C649" s="83">
        <f ca="1">IF(MOD(COUNTIF($Q$11:Q648,Q648),5)=0,OFFSET(装备属性!$D$1083,1+INT(COUNTA($Q$11:Q648)/5),0),C648)</f>
        <v>0</v>
      </c>
      <c r="D649" s="82">
        <f t="shared" si="29"/>
        <v>1500</v>
      </c>
      <c r="F649" s="82" t="str">
        <f ca="1" t="shared" si="28"/>
        <v/>
      </c>
      <c r="G649" s="78" t="str">
        <f ca="1">IF(AND(LEFT("[{"&amp;M649&amp;","&amp;CEILING(N649*10000+(O649-N649)/4*(COUNTIF($F$11:F649,F649)-1)*10000,10)&amp;"}]",7)="[{equip",MID("[{"&amp;M649&amp;","&amp;CEILING(N649*10000+(O649-N649)/4*(COUNTIF($F$11:F649,F649)-1)*10000,10)&amp;"}]",8,1)&lt;&gt;"_"),"[{"&amp;M649&amp;","&amp;1&amp;"}]","[{"&amp;M649&amp;","&amp;CEILING(N649*10000+(O649-N649)/4*(COUNTIF($F$11:F649,F649)-1)*10000,10)&amp;"}]")</f>
        <v>[{equip3_rune_slot,1}]</v>
      </c>
      <c r="H649" s="82" t="s">
        <v>563</v>
      </c>
      <c r="J649" s="78">
        <f ca="1">IF(MOD(COUNTIF($Q$11:Q648,Q648),5)=0,OFFSET(装备属性!$P$1083,1+INT(COUNTA($Q$11:Q648)/5),0),J648)</f>
        <v>6</v>
      </c>
      <c r="K649" s="83" t="str">
        <f ca="1">IF(RIGHT(G649,13)="rune_slot,1}]",_xlfn.XLOOKUP(LEFT(SUBSTITUTE(G649,"[{",""),FIND(",",SUBSTITUTE(G649,"[{",""))-1),Sheet2!B:B,Sheet2!C:C)&amp;"+"&amp;1,_xlfn.XLOOKUP(LEFT(SUBSTITUTE(G649,"[{",""),FIND(",",SUBSTITUTE(G649,"[{",""))-1),Sheet2!B:B,Sheet2!C:C)&amp;"+"&amp;SUBSTITUTE(RIGHT(G649,LEN(G649)-FIND(",",G649)),"}]","")/100&amp;"%")</f>
        <v>饰品符文孔位+1</v>
      </c>
      <c r="L649" s="83" t="str">
        <f ca="1">IF(MOD(COUNTIF($Q$11:Q648,Q648),5)=0,OFFSET(装备属性!$G$1083,1+INT(COUNTA($Q$11:Q648)/5),0),L648)</f>
        <v>扩符槽</v>
      </c>
      <c r="M649" s="89" t="str">
        <f ca="1">IF(MOD(COUNTIF($Q$11:Q648,Q648),5)=0,OFFSET(装备属性!$H$1083,1+INT(COUNTA($Q$11:Q648)/5),0),M648)</f>
        <v>equip3_rune_slot</v>
      </c>
      <c r="N649" s="76">
        <f ca="1">IF(MOD(COUNTIF($Q$11:Q648,Q648),5)=0,OFFSET(装备属性!$K$1083,1+INT(COUNTA($Q$11:Q648)/5),0),N648)</f>
        <v>1</v>
      </c>
      <c r="O649" s="76">
        <f ca="1">IF(MOD(COUNTIF($Q$11:Q648,Q648),5)=0,OFFSET(装备属性!$L$1083,1+INT(COUNTA($Q$11:Q648)/5),0),O648)</f>
        <v>1</v>
      </c>
      <c r="Q649" s="89" t="str">
        <f ca="1">IF(MOD(COUNTIF($Q$11:Q648,Q648),5)=0,OFFSET(装备属性!$M$1083,1+INT(COUNTA($Q$11:Q648)/5),0),Q648)</f>
        <v>稀有词条</v>
      </c>
      <c r="R649" s="83" t="e">
        <f ca="1">IF(MOD(COUNTIF($Q$11:Q648,Q648),5)=0,10000*SUBSTITUTE(SUBSTITUTE(OFFSET(装备属性!$F$1083,1+INT(COUNTA($Q$11:Q648)/5),0),"[",""),"]","")+_xlfn.XLOOKUP(C649,$M$3:$M$7,$N$3:$N$7)*100,R648)</f>
        <v>#N/A</v>
      </c>
    </row>
    <row r="650" customHeight="1" spans="1:18">
      <c r="A650" s="78" t="str">
        <f ca="1" t="shared" si="27"/>
        <v/>
      </c>
      <c r="B650" s="82" t="str">
        <f ca="1">IFERROR(R650+COUNTIFS($R$11:$R650,R650),"")</f>
        <v/>
      </c>
      <c r="C650" s="83">
        <f ca="1">IF(MOD(COUNTIF($Q$11:Q649,Q649),5)=0,OFFSET(装备属性!$D$1083,1+INT(COUNTA($Q$11:Q649)/5),0),C649)</f>
        <v>0</v>
      </c>
      <c r="D650" s="82">
        <f t="shared" si="29"/>
        <v>1000</v>
      </c>
      <c r="F650" s="82" t="str">
        <f ca="1" t="shared" si="28"/>
        <v/>
      </c>
      <c r="G650" s="78" t="str">
        <f ca="1">IF(AND(LEFT("[{"&amp;M650&amp;","&amp;CEILING(N650*10000+(O650-N650)/4*(COUNTIF($F$11:F650,F650)-1)*10000,10)&amp;"}]",7)="[{equip",MID("[{"&amp;M650&amp;","&amp;CEILING(N650*10000+(O650-N650)/4*(COUNTIF($F$11:F650,F650)-1)*10000,10)&amp;"}]",8,1)&lt;&gt;"_"),"[{"&amp;M650&amp;","&amp;1&amp;"}]","[{"&amp;M650&amp;","&amp;CEILING(N650*10000+(O650-N650)/4*(COUNTIF($F$11:F650,F650)-1)*10000,10)&amp;"}]")</f>
        <v>[{equip3_rune_slot,1}]</v>
      </c>
      <c r="H650" s="82" t="s">
        <v>563</v>
      </c>
      <c r="J650" s="78">
        <f ca="1">IF(MOD(COUNTIF($Q$11:Q649,Q649),5)=0,OFFSET(装备属性!$P$1083,1+INT(COUNTA($Q$11:Q649)/5),0),J649)</f>
        <v>6</v>
      </c>
      <c r="K650" s="83" t="str">
        <f ca="1">IF(RIGHT(G650,13)="rune_slot,1}]",_xlfn.XLOOKUP(LEFT(SUBSTITUTE(G650,"[{",""),FIND(",",SUBSTITUTE(G650,"[{",""))-1),Sheet2!B:B,Sheet2!C:C)&amp;"+"&amp;1,_xlfn.XLOOKUP(LEFT(SUBSTITUTE(G650,"[{",""),FIND(",",SUBSTITUTE(G650,"[{",""))-1),Sheet2!B:B,Sheet2!C:C)&amp;"+"&amp;SUBSTITUTE(RIGHT(G650,LEN(G650)-FIND(",",G650)),"}]","")/100&amp;"%")</f>
        <v>饰品符文孔位+1</v>
      </c>
      <c r="L650" s="83" t="str">
        <f ca="1">IF(MOD(COUNTIF($Q$11:Q649,Q649),5)=0,OFFSET(装备属性!$G$1083,1+INT(COUNTA($Q$11:Q649)/5),0),L649)</f>
        <v>扩符槽</v>
      </c>
      <c r="M650" s="89" t="str">
        <f ca="1">IF(MOD(COUNTIF($Q$11:Q649,Q649),5)=0,OFFSET(装备属性!$H$1083,1+INT(COUNTA($Q$11:Q649)/5),0),M649)</f>
        <v>equip3_rune_slot</v>
      </c>
      <c r="N650" s="76">
        <f ca="1">IF(MOD(COUNTIF($Q$11:Q649,Q649),5)=0,OFFSET(装备属性!$K$1083,1+INT(COUNTA($Q$11:Q649)/5),0),N649)</f>
        <v>1</v>
      </c>
      <c r="O650" s="76">
        <f ca="1">IF(MOD(COUNTIF($Q$11:Q649,Q649),5)=0,OFFSET(装备属性!$L$1083,1+INT(COUNTA($Q$11:Q649)/5),0),O649)</f>
        <v>1</v>
      </c>
      <c r="Q650" s="89" t="str">
        <f ca="1">IF(MOD(COUNTIF($Q$11:Q649,Q649),5)=0,OFFSET(装备属性!$M$1083,1+INT(COUNTA($Q$11:Q649)/5),0),Q649)</f>
        <v>稀有词条</v>
      </c>
      <c r="R650" s="83" t="e">
        <f ca="1">IF(MOD(COUNTIF($Q$11:Q649,Q649),5)=0,10000*SUBSTITUTE(SUBSTITUTE(OFFSET(装备属性!$F$1083,1+INT(COUNTA($Q$11:Q649)/5),0),"[",""),"]","")+_xlfn.XLOOKUP(C650,$M$3:$M$7,$N$3:$N$7)*100,R649)</f>
        <v>#N/A</v>
      </c>
    </row>
    <row r="651" customHeight="1" spans="1:18">
      <c r="A651" s="78">
        <f ca="1" t="shared" si="27"/>
        <v>30401</v>
      </c>
      <c r="B651" s="82">
        <f ca="1">IFERROR(R651+COUNTIFS($R$11:$R651,R651),"")</f>
        <v>30411</v>
      </c>
      <c r="C651" s="83" t="str">
        <f ca="1">IF(MOD(COUNTIF($Q$11:Q650,Q650),5)=0,OFFSET(装备属性!$D$1083,1+INT(COUNTA($Q$11:Q650)/5),0),C650)</f>
        <v>紫</v>
      </c>
      <c r="D651" s="82">
        <f t="shared" si="29"/>
        <v>3000</v>
      </c>
      <c r="F651" s="82">
        <f ca="1" t="shared" si="28"/>
        <v>30402</v>
      </c>
      <c r="G651" s="78" t="str">
        <f ca="1">IF(AND(LEFT("[{"&amp;M651&amp;","&amp;CEILING(N651*10000+(O651-N651)/4*(COUNTIF($F$11:F651,F651)-1)*10000,10)&amp;"}]",7)="[{equip",MID("[{"&amp;M651&amp;","&amp;CEILING(N651*10000+(O651-N651)/4*(COUNTIF($F$11:F651,F651)-1)*10000,10)&amp;"}]",8,1)&lt;&gt;"_"),"[{"&amp;M651&amp;","&amp;1&amp;"}]","[{"&amp;M651&amp;","&amp;CEILING(N651*10000+(O651-N651)/4*(COUNTIF($F$11:F651,F651)-1)*10000,10)&amp;"}]")</f>
        <v>[{hunter_dmg_red_rate,150}]</v>
      </c>
      <c r="H651" s="82" t="s">
        <v>563</v>
      </c>
      <c r="J651" s="78">
        <f ca="1">IF(MOD(COUNTIF($Q$11:Q650,Q650),5)=0,OFFSET(装备属性!$P$1083,1+INT(COUNTA($Q$11:Q650)/5),0),J650)</f>
        <v>5</v>
      </c>
      <c r="K651" s="83" t="str">
        <f ca="1">IF(RIGHT(G651,13)="rune_slot,1}]",_xlfn.XLOOKUP(LEFT(SUBSTITUTE(G651,"[{",""),FIND(",",SUBSTITUTE(G651,"[{",""))-1),Sheet2!B:B,Sheet2!C:C)&amp;"+"&amp;1,_xlfn.XLOOKUP(LEFT(SUBSTITUTE(G651,"[{",""),FIND(",",SUBSTITUTE(G651,"[{",""))-1),Sheet2!B:B,Sheet2!C:C)&amp;"+"&amp;SUBSTITUTE(RIGHT(G651,LEN(G651)-FIND(",",G651)),"}]","")/100&amp;"%")</f>
        <v>射手伤害减免+1.5%</v>
      </c>
      <c r="L651" s="83" t="str">
        <f ca="1">IF(MOD(COUNTIF($Q$11:Q650,Q650),5)=0,OFFSET(装备属性!$G$1083,1+INT(COUNTA($Q$11:Q650)/5),0),L650)</f>
        <v>远程躲伤Ⅰ</v>
      </c>
      <c r="M651" s="89" t="str">
        <f ca="1">IF(MOD(COUNTIF($Q$11:Q650,Q650),5)=0,OFFSET(装备属性!$H$1083,1+INT(COUNTA($Q$11:Q650)/5),0),M650)</f>
        <v>hunter_dmg_red_rate</v>
      </c>
      <c r="N651" s="76">
        <f ca="1">IF(MOD(COUNTIF($Q$11:Q650,Q650),5)=0,OFFSET(装备属性!$K$1083,1+INT(COUNTA($Q$11:Q650)/5),0),N650)</f>
        <v>0.015</v>
      </c>
      <c r="O651" s="76">
        <f ca="1">IF(MOD(COUNTIF($Q$11:Q650,Q650),5)=0,OFFSET(装备属性!$L$1083,1+INT(COUNTA($Q$11:Q650)/5),0),O650)</f>
        <v>0.019</v>
      </c>
      <c r="Q651" s="89" t="str">
        <f ca="1">IF(MOD(COUNTIF($Q$11:Q650,Q650),5)=0,OFFSET(装备属性!$M$1083,1+INT(COUNTA($Q$11:Q650)/5),0),Q650)</f>
        <v>通用属性</v>
      </c>
      <c r="R651" s="83">
        <f ca="1">IF(MOD(COUNTIF($Q$11:Q650,Q650),5)=0,10000*SUBSTITUTE(SUBSTITUTE(OFFSET(装备属性!$F$1083,1+INT(COUNTA($Q$11:Q650)/5),0),"[",""),"]","")+_xlfn.XLOOKUP(C651,$M$3:$M$7,$N$3:$N$7)*100,R650)</f>
        <v>30400</v>
      </c>
    </row>
    <row r="652" customHeight="1" spans="1:18">
      <c r="A652" s="78">
        <f ca="1" t="shared" ref="A652:A715" si="30">IFERROR(R652+IF(Q652="通用属性",1,IF(Q652="玩法类",2,IF(Q652="稀有词条",3,0))),"")</f>
        <v>30401</v>
      </c>
      <c r="B652" s="82">
        <f ca="1">IFERROR(R652+COUNTIFS($R$11:$R652,R652),"")</f>
        <v>30412</v>
      </c>
      <c r="C652" s="83" t="str">
        <f ca="1">IF(MOD(COUNTIF($Q$11:Q651,Q651),5)=0,OFFSET(装备属性!$D$1083,1+INT(COUNTA($Q$11:Q651)/5),0),C651)</f>
        <v>紫</v>
      </c>
      <c r="D652" s="82">
        <f t="shared" si="29"/>
        <v>2500</v>
      </c>
      <c r="F652" s="82">
        <f ca="1" t="shared" ref="F652:F715" si="31">IFERROR(R652+INT((B652-R652-1)/5),"")</f>
        <v>30402</v>
      </c>
      <c r="G652" s="78" t="str">
        <f ca="1">IF(AND(LEFT("[{"&amp;M652&amp;","&amp;CEILING(N652*10000+(O652-N652)/4*(COUNTIF($F$11:F652,F652)-1)*10000,10)&amp;"}]",7)="[{equip",MID("[{"&amp;M652&amp;","&amp;CEILING(N652*10000+(O652-N652)/4*(COUNTIF($F$11:F652,F652)-1)*10000,10)&amp;"}]",8,1)&lt;&gt;"_"),"[{"&amp;M652&amp;","&amp;1&amp;"}]","[{"&amp;M652&amp;","&amp;CEILING(N652*10000+(O652-N652)/4*(COUNTIF($F$11:F652,F652)-1)*10000,10)&amp;"}]")</f>
        <v>[{hunter_dmg_red_rate,160}]</v>
      </c>
      <c r="H652" s="82" t="s">
        <v>563</v>
      </c>
      <c r="J652" s="78">
        <f ca="1">IF(MOD(COUNTIF($Q$11:Q651,Q651),5)=0,OFFSET(装备属性!$P$1083,1+INT(COUNTA($Q$11:Q651)/5),0),J651)</f>
        <v>5</v>
      </c>
      <c r="K652" s="83" t="str">
        <f ca="1">IF(RIGHT(G652,13)="rune_slot,1}]",_xlfn.XLOOKUP(LEFT(SUBSTITUTE(G652,"[{",""),FIND(",",SUBSTITUTE(G652,"[{",""))-1),Sheet2!B:B,Sheet2!C:C)&amp;"+"&amp;1,_xlfn.XLOOKUP(LEFT(SUBSTITUTE(G652,"[{",""),FIND(",",SUBSTITUTE(G652,"[{",""))-1),Sheet2!B:B,Sheet2!C:C)&amp;"+"&amp;SUBSTITUTE(RIGHT(G652,LEN(G652)-FIND(",",G652)),"}]","")/100&amp;"%")</f>
        <v>射手伤害减免+1.6%</v>
      </c>
      <c r="L652" s="83" t="str">
        <f ca="1">IF(MOD(COUNTIF($Q$11:Q651,Q651),5)=0,OFFSET(装备属性!$G$1083,1+INT(COUNTA($Q$11:Q651)/5),0),L651)</f>
        <v>远程躲伤Ⅰ</v>
      </c>
      <c r="M652" s="89" t="str">
        <f ca="1">IF(MOD(COUNTIF($Q$11:Q651,Q651),5)=0,OFFSET(装备属性!$H$1083,1+INT(COUNTA($Q$11:Q651)/5),0),M651)</f>
        <v>hunter_dmg_red_rate</v>
      </c>
      <c r="N652" s="76">
        <f ca="1">IF(MOD(COUNTIF($Q$11:Q651,Q651),5)=0,OFFSET(装备属性!$K$1083,1+INT(COUNTA($Q$11:Q651)/5),0),N651)</f>
        <v>0.015</v>
      </c>
      <c r="O652" s="76">
        <f ca="1">IF(MOD(COUNTIF($Q$11:Q651,Q651),5)=0,OFFSET(装备属性!$L$1083,1+INT(COUNTA($Q$11:Q651)/5),0),O651)</f>
        <v>0.019</v>
      </c>
      <c r="Q652" s="89" t="str">
        <f ca="1">IF(MOD(COUNTIF($Q$11:Q651,Q651),5)=0,OFFSET(装备属性!$M$1083,1+INT(COUNTA($Q$11:Q651)/5),0),Q651)</f>
        <v>通用属性</v>
      </c>
      <c r="R652" s="83">
        <f ca="1">IF(MOD(COUNTIF($Q$11:Q651,Q651),5)=0,10000*SUBSTITUTE(SUBSTITUTE(OFFSET(装备属性!$F$1083,1+INT(COUNTA($Q$11:Q651)/5),0),"[",""),"]","")+_xlfn.XLOOKUP(C652,$M$3:$M$7,$N$3:$N$7)*100,R651)</f>
        <v>30400</v>
      </c>
    </row>
    <row r="653" customHeight="1" spans="1:18">
      <c r="A653" s="78">
        <f ca="1" t="shared" si="30"/>
        <v>30401</v>
      </c>
      <c r="B653" s="82">
        <f ca="1">IFERROR(R653+COUNTIFS($R$11:$R653,R653),"")</f>
        <v>30413</v>
      </c>
      <c r="C653" s="83" t="str">
        <f ca="1">IF(MOD(COUNTIF($Q$11:Q652,Q652),5)=0,OFFSET(装备属性!$D$1083,1+INT(COUNTA($Q$11:Q652)/5),0),C652)</f>
        <v>紫</v>
      </c>
      <c r="D653" s="82">
        <f t="shared" si="29"/>
        <v>2000</v>
      </c>
      <c r="F653" s="82">
        <f ca="1" t="shared" si="31"/>
        <v>30402</v>
      </c>
      <c r="G653" s="78" t="str">
        <f ca="1">IF(AND(LEFT("[{"&amp;M653&amp;","&amp;CEILING(N653*10000+(O653-N653)/4*(COUNTIF($F$11:F653,F653)-1)*10000,10)&amp;"}]",7)="[{equip",MID("[{"&amp;M653&amp;","&amp;CEILING(N653*10000+(O653-N653)/4*(COUNTIF($F$11:F653,F653)-1)*10000,10)&amp;"}]",8,1)&lt;&gt;"_"),"[{"&amp;M653&amp;","&amp;1&amp;"}]","[{"&amp;M653&amp;","&amp;CEILING(N653*10000+(O653-N653)/4*(COUNTIF($F$11:F653,F653)-1)*10000,10)&amp;"}]")</f>
        <v>[{hunter_dmg_red_rate,170}]</v>
      </c>
      <c r="H653" s="82" t="s">
        <v>563</v>
      </c>
      <c r="J653" s="78">
        <f ca="1">IF(MOD(COUNTIF($Q$11:Q652,Q652),5)=0,OFFSET(装备属性!$P$1083,1+INT(COUNTA($Q$11:Q652)/5),0),J652)</f>
        <v>5</v>
      </c>
      <c r="K653" s="83" t="str">
        <f ca="1">IF(RIGHT(G653,13)="rune_slot,1}]",_xlfn.XLOOKUP(LEFT(SUBSTITUTE(G653,"[{",""),FIND(",",SUBSTITUTE(G653,"[{",""))-1),Sheet2!B:B,Sheet2!C:C)&amp;"+"&amp;1,_xlfn.XLOOKUP(LEFT(SUBSTITUTE(G653,"[{",""),FIND(",",SUBSTITUTE(G653,"[{",""))-1),Sheet2!B:B,Sheet2!C:C)&amp;"+"&amp;SUBSTITUTE(RIGHT(G653,LEN(G653)-FIND(",",G653)),"}]","")/100&amp;"%")</f>
        <v>射手伤害减免+1.7%</v>
      </c>
      <c r="L653" s="83" t="str">
        <f ca="1">IF(MOD(COUNTIF($Q$11:Q652,Q652),5)=0,OFFSET(装备属性!$G$1083,1+INT(COUNTA($Q$11:Q652)/5),0),L652)</f>
        <v>远程躲伤Ⅰ</v>
      </c>
      <c r="M653" s="89" t="str">
        <f ca="1">IF(MOD(COUNTIF($Q$11:Q652,Q652),5)=0,OFFSET(装备属性!$H$1083,1+INT(COUNTA($Q$11:Q652)/5),0),M652)</f>
        <v>hunter_dmg_red_rate</v>
      </c>
      <c r="N653" s="76">
        <f ca="1">IF(MOD(COUNTIF($Q$11:Q652,Q652),5)=0,OFFSET(装备属性!$K$1083,1+INT(COUNTA($Q$11:Q652)/5),0),N652)</f>
        <v>0.015</v>
      </c>
      <c r="O653" s="76">
        <f ca="1">IF(MOD(COUNTIF($Q$11:Q652,Q652),5)=0,OFFSET(装备属性!$L$1083,1+INT(COUNTA($Q$11:Q652)/5),0),O652)</f>
        <v>0.019</v>
      </c>
      <c r="Q653" s="89" t="str">
        <f ca="1">IF(MOD(COUNTIF($Q$11:Q652,Q652),5)=0,OFFSET(装备属性!$M$1083,1+INT(COUNTA($Q$11:Q652)/5),0),Q652)</f>
        <v>通用属性</v>
      </c>
      <c r="R653" s="83">
        <f ca="1">IF(MOD(COUNTIF($Q$11:Q652,Q652),5)=0,10000*SUBSTITUTE(SUBSTITUTE(OFFSET(装备属性!$F$1083,1+INT(COUNTA($Q$11:Q652)/5),0),"[",""),"]","")+_xlfn.XLOOKUP(C653,$M$3:$M$7,$N$3:$N$7)*100,R652)</f>
        <v>30400</v>
      </c>
    </row>
    <row r="654" customHeight="1" spans="1:18">
      <c r="A654" s="78">
        <f ca="1" t="shared" si="30"/>
        <v>30401</v>
      </c>
      <c r="B654" s="82">
        <f ca="1">IFERROR(R654+COUNTIFS($R$11:$R654,R654),"")</f>
        <v>30414</v>
      </c>
      <c r="C654" s="83" t="str">
        <f ca="1">IF(MOD(COUNTIF($Q$11:Q653,Q653),5)=0,OFFSET(装备属性!$D$1083,1+INT(COUNTA($Q$11:Q653)/5),0),C653)</f>
        <v>紫</v>
      </c>
      <c r="D654" s="82">
        <f t="shared" si="29"/>
        <v>1500</v>
      </c>
      <c r="F654" s="82">
        <f ca="1" t="shared" si="31"/>
        <v>30402</v>
      </c>
      <c r="G654" s="78" t="str">
        <f ca="1">IF(AND(LEFT("[{"&amp;M654&amp;","&amp;CEILING(N654*10000+(O654-N654)/4*(COUNTIF($F$11:F654,F654)-1)*10000,10)&amp;"}]",7)="[{equip",MID("[{"&amp;M654&amp;","&amp;CEILING(N654*10000+(O654-N654)/4*(COUNTIF($F$11:F654,F654)-1)*10000,10)&amp;"}]",8,1)&lt;&gt;"_"),"[{"&amp;M654&amp;","&amp;1&amp;"}]","[{"&amp;M654&amp;","&amp;CEILING(N654*10000+(O654-N654)/4*(COUNTIF($F$11:F654,F654)-1)*10000,10)&amp;"}]")</f>
        <v>[{hunter_dmg_red_rate,180}]</v>
      </c>
      <c r="H654" s="82" t="s">
        <v>563</v>
      </c>
      <c r="J654" s="78">
        <f ca="1">IF(MOD(COUNTIF($Q$11:Q653,Q653),5)=0,OFFSET(装备属性!$P$1083,1+INT(COUNTA($Q$11:Q653)/5),0),J653)</f>
        <v>5</v>
      </c>
      <c r="K654" s="83" t="str">
        <f ca="1">IF(RIGHT(G654,13)="rune_slot,1}]",_xlfn.XLOOKUP(LEFT(SUBSTITUTE(G654,"[{",""),FIND(",",SUBSTITUTE(G654,"[{",""))-1),Sheet2!B:B,Sheet2!C:C)&amp;"+"&amp;1,_xlfn.XLOOKUP(LEFT(SUBSTITUTE(G654,"[{",""),FIND(",",SUBSTITUTE(G654,"[{",""))-1),Sheet2!B:B,Sheet2!C:C)&amp;"+"&amp;SUBSTITUTE(RIGHT(G654,LEN(G654)-FIND(",",G654)),"}]","")/100&amp;"%")</f>
        <v>射手伤害减免+1.8%</v>
      </c>
      <c r="L654" s="83" t="str">
        <f ca="1">IF(MOD(COUNTIF($Q$11:Q653,Q653),5)=0,OFFSET(装备属性!$G$1083,1+INT(COUNTA($Q$11:Q653)/5),0),L653)</f>
        <v>远程躲伤Ⅰ</v>
      </c>
      <c r="M654" s="89" t="str">
        <f ca="1">IF(MOD(COUNTIF($Q$11:Q653,Q653),5)=0,OFFSET(装备属性!$H$1083,1+INT(COUNTA($Q$11:Q653)/5),0),M653)</f>
        <v>hunter_dmg_red_rate</v>
      </c>
      <c r="N654" s="76">
        <f ca="1">IF(MOD(COUNTIF($Q$11:Q653,Q653),5)=0,OFFSET(装备属性!$K$1083,1+INT(COUNTA($Q$11:Q653)/5),0),N653)</f>
        <v>0.015</v>
      </c>
      <c r="O654" s="76">
        <f ca="1">IF(MOD(COUNTIF($Q$11:Q653,Q653),5)=0,OFFSET(装备属性!$L$1083,1+INT(COUNTA($Q$11:Q653)/5),0),O653)</f>
        <v>0.019</v>
      </c>
      <c r="Q654" s="89" t="str">
        <f ca="1">IF(MOD(COUNTIF($Q$11:Q653,Q653),5)=0,OFFSET(装备属性!$M$1083,1+INT(COUNTA($Q$11:Q653)/5),0),Q653)</f>
        <v>通用属性</v>
      </c>
      <c r="R654" s="83">
        <f ca="1">IF(MOD(COUNTIF($Q$11:Q653,Q653),5)=0,10000*SUBSTITUTE(SUBSTITUTE(OFFSET(装备属性!$F$1083,1+INT(COUNTA($Q$11:Q653)/5),0),"[",""),"]","")+_xlfn.XLOOKUP(C654,$M$3:$M$7,$N$3:$N$7)*100,R653)</f>
        <v>30400</v>
      </c>
    </row>
    <row r="655" customHeight="1" spans="1:18">
      <c r="A655" s="78">
        <f ca="1" t="shared" si="30"/>
        <v>30401</v>
      </c>
      <c r="B655" s="82">
        <f ca="1">IFERROR(R655+COUNTIFS($R$11:$R655,R655),"")</f>
        <v>30415</v>
      </c>
      <c r="C655" s="83" t="str">
        <f ca="1">IF(MOD(COUNTIF($Q$11:Q654,Q654),5)=0,OFFSET(装备属性!$D$1083,1+INT(COUNTA($Q$11:Q654)/5),0),C654)</f>
        <v>紫</v>
      </c>
      <c r="D655" s="82">
        <f t="shared" si="29"/>
        <v>1000</v>
      </c>
      <c r="F655" s="82">
        <f ca="1" t="shared" si="31"/>
        <v>30402</v>
      </c>
      <c r="G655" s="78" t="str">
        <f ca="1">IF(AND(LEFT("[{"&amp;M655&amp;","&amp;CEILING(N655*10000+(O655-N655)/4*(COUNTIF($F$11:F655,F655)-1)*10000,10)&amp;"}]",7)="[{equip",MID("[{"&amp;M655&amp;","&amp;CEILING(N655*10000+(O655-N655)/4*(COUNTIF($F$11:F655,F655)-1)*10000,10)&amp;"}]",8,1)&lt;&gt;"_"),"[{"&amp;M655&amp;","&amp;1&amp;"}]","[{"&amp;M655&amp;","&amp;CEILING(N655*10000+(O655-N655)/4*(COUNTIF($F$11:F655,F655)-1)*10000,10)&amp;"}]")</f>
        <v>[{hunter_dmg_red_rate,190}]</v>
      </c>
      <c r="H655" s="82" t="s">
        <v>563</v>
      </c>
      <c r="J655" s="78">
        <f ca="1">IF(MOD(COUNTIF($Q$11:Q654,Q654),5)=0,OFFSET(装备属性!$P$1083,1+INT(COUNTA($Q$11:Q654)/5),0),J654)</f>
        <v>5</v>
      </c>
      <c r="K655" s="83" t="str">
        <f ca="1">IF(RIGHT(G655,13)="rune_slot,1}]",_xlfn.XLOOKUP(LEFT(SUBSTITUTE(G655,"[{",""),FIND(",",SUBSTITUTE(G655,"[{",""))-1),Sheet2!B:B,Sheet2!C:C)&amp;"+"&amp;1,_xlfn.XLOOKUP(LEFT(SUBSTITUTE(G655,"[{",""),FIND(",",SUBSTITUTE(G655,"[{",""))-1),Sheet2!B:B,Sheet2!C:C)&amp;"+"&amp;SUBSTITUTE(RIGHT(G655,LEN(G655)-FIND(",",G655)),"}]","")/100&amp;"%")</f>
        <v>射手伤害减免+1.9%</v>
      </c>
      <c r="L655" s="83" t="str">
        <f ca="1">IF(MOD(COUNTIF($Q$11:Q654,Q654),5)=0,OFFSET(装备属性!$G$1083,1+INT(COUNTA($Q$11:Q654)/5),0),L654)</f>
        <v>远程躲伤Ⅰ</v>
      </c>
      <c r="M655" s="89" t="str">
        <f ca="1">IF(MOD(COUNTIF($Q$11:Q654,Q654),5)=0,OFFSET(装备属性!$H$1083,1+INT(COUNTA($Q$11:Q654)/5),0),M654)</f>
        <v>hunter_dmg_red_rate</v>
      </c>
      <c r="N655" s="76">
        <f ca="1">IF(MOD(COUNTIF($Q$11:Q654,Q654),5)=0,OFFSET(装备属性!$K$1083,1+INT(COUNTA($Q$11:Q654)/5),0),N654)</f>
        <v>0.015</v>
      </c>
      <c r="O655" s="76">
        <f ca="1">IF(MOD(COUNTIF($Q$11:Q654,Q654),5)=0,OFFSET(装备属性!$L$1083,1+INT(COUNTA($Q$11:Q654)/5),0),O654)</f>
        <v>0.019</v>
      </c>
      <c r="Q655" s="89" t="str">
        <f ca="1">IF(MOD(COUNTIF($Q$11:Q654,Q654),5)=0,OFFSET(装备属性!$M$1083,1+INT(COUNTA($Q$11:Q654)/5),0),Q654)</f>
        <v>通用属性</v>
      </c>
      <c r="R655" s="83">
        <f ca="1">IF(MOD(COUNTIF($Q$11:Q654,Q654),5)=0,10000*SUBSTITUTE(SUBSTITUTE(OFFSET(装备属性!$F$1083,1+INT(COUNTA($Q$11:Q654)/5),0),"[",""),"]","")+_xlfn.XLOOKUP(C655,$M$3:$M$7,$N$3:$N$7)*100,R654)</f>
        <v>30400</v>
      </c>
    </row>
    <row r="656" customHeight="1" spans="1:18">
      <c r="A656" s="78">
        <f ca="1" t="shared" si="30"/>
        <v>30401</v>
      </c>
      <c r="B656" s="82">
        <f ca="1">IFERROR(R656+COUNTIFS($R$11:$R656,R656),"")</f>
        <v>30416</v>
      </c>
      <c r="C656" s="83" t="str">
        <f ca="1">IF(MOD(COUNTIF($Q$11:Q655,Q655),5)=0,OFFSET(装备属性!$D$1083,1+INT(COUNTA($Q$11:Q655)/5),0),C655)</f>
        <v>紫</v>
      </c>
      <c r="D656" s="82">
        <f t="shared" si="29"/>
        <v>3000</v>
      </c>
      <c r="F656" s="82">
        <f ca="1" t="shared" si="31"/>
        <v>30403</v>
      </c>
      <c r="G656" s="78" t="str">
        <f ca="1">IF(AND(LEFT("[{"&amp;M656&amp;","&amp;CEILING(N656*10000+(O656-N656)/4*(COUNTIF($F$11:F656,F656)-1)*10000,10)&amp;"}]",7)="[{equip",MID("[{"&amp;M656&amp;","&amp;CEILING(N656*10000+(O656-N656)/4*(COUNTIF($F$11:F656,F656)-1)*10000,10)&amp;"}]",8,1)&lt;&gt;"_"),"[{"&amp;M656&amp;","&amp;1&amp;"}]","[{"&amp;M656&amp;","&amp;CEILING(N656*10000+(O656-N656)/4*(COUNTIF($F$11:F656,F656)-1)*10000,10)&amp;"}]")</f>
        <v>[{hunter_dmg_rate,440}]</v>
      </c>
      <c r="H656" s="82" t="s">
        <v>563</v>
      </c>
      <c r="J656" s="78">
        <f ca="1">IF(MOD(COUNTIF($Q$11:Q655,Q655),5)=0,OFFSET(装备属性!$P$1083,1+INT(COUNTA($Q$11:Q655)/5),0),J655)</f>
        <v>3</v>
      </c>
      <c r="K656" s="83" t="str">
        <f ca="1">IF(RIGHT(G656,13)="rune_slot,1}]",_xlfn.XLOOKUP(LEFT(SUBSTITUTE(G656,"[{",""),FIND(",",SUBSTITUTE(G656,"[{",""))-1),Sheet2!B:B,Sheet2!C:C)&amp;"+"&amp;1,_xlfn.XLOOKUP(LEFT(SUBSTITUTE(G656,"[{",""),FIND(",",SUBSTITUTE(G656,"[{",""))-1),Sheet2!B:B,Sheet2!C:C)&amp;"+"&amp;SUBSTITUTE(RIGHT(G656,LEN(G656)-FIND(",",G656)),"}]","")/100&amp;"%")</f>
        <v>射手伤害+4.4%</v>
      </c>
      <c r="L656" s="83" t="str">
        <f ca="1">IF(MOD(COUNTIF($Q$11:Q655,Q655),5)=0,OFFSET(装备属性!$G$1083,1+INT(COUNTA($Q$11:Q655)/5),0),L655)</f>
        <v>远程喂饭Ⅰ</v>
      </c>
      <c r="M656" s="89" t="str">
        <f ca="1">IF(MOD(COUNTIF($Q$11:Q655,Q655),5)=0,OFFSET(装备属性!$H$1083,1+INT(COUNTA($Q$11:Q655)/5),0),M655)</f>
        <v>hunter_dmg_rate</v>
      </c>
      <c r="N656" s="76">
        <f ca="1">IF(MOD(COUNTIF($Q$11:Q655,Q655),5)=0,OFFSET(装备属性!$K$1083,1+INT(COUNTA($Q$11:Q655)/5),0),N655)</f>
        <v>0.044</v>
      </c>
      <c r="O656" s="76">
        <f ca="1">IF(MOD(COUNTIF($Q$11:Q655,Q655),5)=0,OFFSET(装备属性!$L$1083,1+INT(COUNTA($Q$11:Q655)/5),0),O655)</f>
        <v>0.058</v>
      </c>
      <c r="Q656" s="89" t="str">
        <f ca="1">IF(MOD(COUNTIF($Q$11:Q655,Q655),5)=0,OFFSET(装备属性!$M$1083,1+INT(COUNTA($Q$11:Q655)/5),0),Q655)</f>
        <v>通用属性</v>
      </c>
      <c r="R656" s="83">
        <f ca="1">IF(MOD(COUNTIF($Q$11:Q655,Q655),5)=0,10000*SUBSTITUTE(SUBSTITUTE(OFFSET(装备属性!$F$1083,1+INT(COUNTA($Q$11:Q655)/5),0),"[",""),"]","")+_xlfn.XLOOKUP(C656,$M$3:$M$7,$N$3:$N$7)*100,R655)</f>
        <v>30400</v>
      </c>
    </row>
    <row r="657" customHeight="1" spans="1:18">
      <c r="A657" s="78">
        <f ca="1" t="shared" si="30"/>
        <v>30401</v>
      </c>
      <c r="B657" s="82">
        <f ca="1">IFERROR(R657+COUNTIFS($R$11:$R657,R657),"")</f>
        <v>30417</v>
      </c>
      <c r="C657" s="83" t="str">
        <f ca="1">IF(MOD(COUNTIF($Q$11:Q656,Q656),5)=0,OFFSET(装备属性!$D$1083,1+INT(COUNTA($Q$11:Q656)/5),0),C656)</f>
        <v>紫</v>
      </c>
      <c r="D657" s="82">
        <f t="shared" ref="D657:D720" si="32">D652</f>
        <v>2500</v>
      </c>
      <c r="F657" s="82">
        <f ca="1" t="shared" si="31"/>
        <v>30403</v>
      </c>
      <c r="G657" s="78" t="str">
        <f ca="1">IF(AND(LEFT("[{"&amp;M657&amp;","&amp;CEILING(N657*10000+(O657-N657)/4*(COUNTIF($F$11:F657,F657)-1)*10000,10)&amp;"}]",7)="[{equip",MID("[{"&amp;M657&amp;","&amp;CEILING(N657*10000+(O657-N657)/4*(COUNTIF($F$11:F657,F657)-1)*10000,10)&amp;"}]",8,1)&lt;&gt;"_"),"[{"&amp;M657&amp;","&amp;1&amp;"}]","[{"&amp;M657&amp;","&amp;CEILING(N657*10000+(O657-N657)/4*(COUNTIF($F$11:F657,F657)-1)*10000,10)&amp;"}]")</f>
        <v>[{hunter_dmg_rate,480}]</v>
      </c>
      <c r="H657" s="82" t="s">
        <v>563</v>
      </c>
      <c r="J657" s="78">
        <f ca="1">IF(MOD(COUNTIF($Q$11:Q656,Q656),5)=0,OFFSET(装备属性!$P$1083,1+INT(COUNTA($Q$11:Q656)/5),0),J656)</f>
        <v>3</v>
      </c>
      <c r="K657" s="83" t="str">
        <f ca="1">IF(RIGHT(G657,13)="rune_slot,1}]",_xlfn.XLOOKUP(LEFT(SUBSTITUTE(G657,"[{",""),FIND(",",SUBSTITUTE(G657,"[{",""))-1),Sheet2!B:B,Sheet2!C:C)&amp;"+"&amp;1,_xlfn.XLOOKUP(LEFT(SUBSTITUTE(G657,"[{",""),FIND(",",SUBSTITUTE(G657,"[{",""))-1),Sheet2!B:B,Sheet2!C:C)&amp;"+"&amp;SUBSTITUTE(RIGHT(G657,LEN(G657)-FIND(",",G657)),"}]","")/100&amp;"%")</f>
        <v>射手伤害+4.8%</v>
      </c>
      <c r="L657" s="83" t="str">
        <f ca="1">IF(MOD(COUNTIF($Q$11:Q656,Q656),5)=0,OFFSET(装备属性!$G$1083,1+INT(COUNTA($Q$11:Q656)/5),0),L656)</f>
        <v>远程喂饭Ⅰ</v>
      </c>
      <c r="M657" s="89" t="str">
        <f ca="1">IF(MOD(COUNTIF($Q$11:Q656,Q656),5)=0,OFFSET(装备属性!$H$1083,1+INT(COUNTA($Q$11:Q656)/5),0),M656)</f>
        <v>hunter_dmg_rate</v>
      </c>
      <c r="N657" s="76">
        <f ca="1">IF(MOD(COUNTIF($Q$11:Q656,Q656),5)=0,OFFSET(装备属性!$K$1083,1+INT(COUNTA($Q$11:Q656)/5),0),N656)</f>
        <v>0.044</v>
      </c>
      <c r="O657" s="76">
        <f ca="1">IF(MOD(COUNTIF($Q$11:Q656,Q656),5)=0,OFFSET(装备属性!$L$1083,1+INT(COUNTA($Q$11:Q656)/5),0),O656)</f>
        <v>0.058</v>
      </c>
      <c r="Q657" s="89" t="str">
        <f ca="1">IF(MOD(COUNTIF($Q$11:Q656,Q656),5)=0,OFFSET(装备属性!$M$1083,1+INT(COUNTA($Q$11:Q656)/5),0),Q656)</f>
        <v>通用属性</v>
      </c>
      <c r="R657" s="83">
        <f ca="1">IF(MOD(COUNTIF($Q$11:Q656,Q656),5)=0,10000*SUBSTITUTE(SUBSTITUTE(OFFSET(装备属性!$F$1083,1+INT(COUNTA($Q$11:Q656)/5),0),"[",""),"]","")+_xlfn.XLOOKUP(C657,$M$3:$M$7,$N$3:$N$7)*100,R656)</f>
        <v>30400</v>
      </c>
    </row>
    <row r="658" customHeight="1" spans="1:18">
      <c r="A658" s="78">
        <f ca="1" t="shared" si="30"/>
        <v>30401</v>
      </c>
      <c r="B658" s="82">
        <f ca="1">IFERROR(R658+COUNTIFS($R$11:$R658,R658),"")</f>
        <v>30418</v>
      </c>
      <c r="C658" s="83" t="str">
        <f ca="1">IF(MOD(COUNTIF($Q$11:Q657,Q657),5)=0,OFFSET(装备属性!$D$1083,1+INT(COUNTA($Q$11:Q657)/5),0),C657)</f>
        <v>紫</v>
      </c>
      <c r="D658" s="82">
        <f t="shared" si="32"/>
        <v>2000</v>
      </c>
      <c r="F658" s="82">
        <f ca="1" t="shared" si="31"/>
        <v>30403</v>
      </c>
      <c r="G658" s="78" t="str">
        <f ca="1">IF(AND(LEFT("[{"&amp;M658&amp;","&amp;CEILING(N658*10000+(O658-N658)/4*(COUNTIF($F$11:F658,F658)-1)*10000,10)&amp;"}]",7)="[{equip",MID("[{"&amp;M658&amp;","&amp;CEILING(N658*10000+(O658-N658)/4*(COUNTIF($F$11:F658,F658)-1)*10000,10)&amp;"}]",8,1)&lt;&gt;"_"),"[{"&amp;M658&amp;","&amp;1&amp;"}]","[{"&amp;M658&amp;","&amp;CEILING(N658*10000+(O658-N658)/4*(COUNTIF($F$11:F658,F658)-1)*10000,10)&amp;"}]")</f>
        <v>[{hunter_dmg_rate,510}]</v>
      </c>
      <c r="H658" s="82" t="s">
        <v>563</v>
      </c>
      <c r="J658" s="78">
        <f ca="1">IF(MOD(COUNTIF($Q$11:Q657,Q657),5)=0,OFFSET(装备属性!$P$1083,1+INT(COUNTA($Q$11:Q657)/5),0),J657)</f>
        <v>3</v>
      </c>
      <c r="K658" s="83" t="str">
        <f ca="1">IF(RIGHT(G658,13)="rune_slot,1}]",_xlfn.XLOOKUP(LEFT(SUBSTITUTE(G658,"[{",""),FIND(",",SUBSTITUTE(G658,"[{",""))-1),Sheet2!B:B,Sheet2!C:C)&amp;"+"&amp;1,_xlfn.XLOOKUP(LEFT(SUBSTITUTE(G658,"[{",""),FIND(",",SUBSTITUTE(G658,"[{",""))-1),Sheet2!B:B,Sheet2!C:C)&amp;"+"&amp;SUBSTITUTE(RIGHT(G658,LEN(G658)-FIND(",",G658)),"}]","")/100&amp;"%")</f>
        <v>射手伤害+5.1%</v>
      </c>
      <c r="L658" s="83" t="str">
        <f ca="1">IF(MOD(COUNTIF($Q$11:Q657,Q657),5)=0,OFFSET(装备属性!$G$1083,1+INT(COUNTA($Q$11:Q657)/5),0),L657)</f>
        <v>远程喂饭Ⅰ</v>
      </c>
      <c r="M658" s="89" t="str">
        <f ca="1">IF(MOD(COUNTIF($Q$11:Q657,Q657),5)=0,OFFSET(装备属性!$H$1083,1+INT(COUNTA($Q$11:Q657)/5),0),M657)</f>
        <v>hunter_dmg_rate</v>
      </c>
      <c r="N658" s="76">
        <f ca="1">IF(MOD(COUNTIF($Q$11:Q657,Q657),5)=0,OFFSET(装备属性!$K$1083,1+INT(COUNTA($Q$11:Q657)/5),0),N657)</f>
        <v>0.044</v>
      </c>
      <c r="O658" s="76">
        <f ca="1">IF(MOD(COUNTIF($Q$11:Q657,Q657),5)=0,OFFSET(装备属性!$L$1083,1+INT(COUNTA($Q$11:Q657)/5),0),O657)</f>
        <v>0.058</v>
      </c>
      <c r="Q658" s="89" t="str">
        <f ca="1">IF(MOD(COUNTIF($Q$11:Q657,Q657),5)=0,OFFSET(装备属性!$M$1083,1+INT(COUNTA($Q$11:Q657)/5),0),Q657)</f>
        <v>通用属性</v>
      </c>
      <c r="R658" s="83">
        <f ca="1">IF(MOD(COUNTIF($Q$11:Q657,Q657),5)=0,10000*SUBSTITUTE(SUBSTITUTE(OFFSET(装备属性!$F$1083,1+INT(COUNTA($Q$11:Q657)/5),0),"[",""),"]","")+_xlfn.XLOOKUP(C658,$M$3:$M$7,$N$3:$N$7)*100,R657)</f>
        <v>30400</v>
      </c>
    </row>
    <row r="659" customHeight="1" spans="1:18">
      <c r="A659" s="78">
        <f ca="1" t="shared" si="30"/>
        <v>30401</v>
      </c>
      <c r="B659" s="82">
        <f ca="1">IFERROR(R659+COUNTIFS($R$11:$R659,R659),"")</f>
        <v>30419</v>
      </c>
      <c r="C659" s="83" t="str">
        <f ca="1">IF(MOD(COUNTIF($Q$11:Q658,Q658),5)=0,OFFSET(装备属性!$D$1083,1+INT(COUNTA($Q$11:Q658)/5),0),C658)</f>
        <v>紫</v>
      </c>
      <c r="D659" s="82">
        <f t="shared" si="32"/>
        <v>1500</v>
      </c>
      <c r="F659" s="82">
        <f ca="1" t="shared" si="31"/>
        <v>30403</v>
      </c>
      <c r="G659" s="78" t="str">
        <f ca="1">IF(AND(LEFT("[{"&amp;M659&amp;","&amp;CEILING(N659*10000+(O659-N659)/4*(COUNTIF($F$11:F659,F659)-1)*10000,10)&amp;"}]",7)="[{equip",MID("[{"&amp;M659&amp;","&amp;CEILING(N659*10000+(O659-N659)/4*(COUNTIF($F$11:F659,F659)-1)*10000,10)&amp;"}]",8,1)&lt;&gt;"_"),"[{"&amp;M659&amp;","&amp;1&amp;"}]","[{"&amp;M659&amp;","&amp;CEILING(N659*10000+(O659-N659)/4*(COUNTIF($F$11:F659,F659)-1)*10000,10)&amp;"}]")</f>
        <v>[{hunter_dmg_rate,550}]</v>
      </c>
      <c r="H659" s="82" t="s">
        <v>563</v>
      </c>
      <c r="J659" s="78">
        <f ca="1">IF(MOD(COUNTIF($Q$11:Q658,Q658),5)=0,OFFSET(装备属性!$P$1083,1+INT(COUNTA($Q$11:Q658)/5),0),J658)</f>
        <v>3</v>
      </c>
      <c r="K659" s="83" t="str">
        <f ca="1">IF(RIGHT(G659,13)="rune_slot,1}]",_xlfn.XLOOKUP(LEFT(SUBSTITUTE(G659,"[{",""),FIND(",",SUBSTITUTE(G659,"[{",""))-1),Sheet2!B:B,Sheet2!C:C)&amp;"+"&amp;1,_xlfn.XLOOKUP(LEFT(SUBSTITUTE(G659,"[{",""),FIND(",",SUBSTITUTE(G659,"[{",""))-1),Sheet2!B:B,Sheet2!C:C)&amp;"+"&amp;SUBSTITUTE(RIGHT(G659,LEN(G659)-FIND(",",G659)),"}]","")/100&amp;"%")</f>
        <v>射手伤害+5.5%</v>
      </c>
      <c r="L659" s="83" t="str">
        <f ca="1">IF(MOD(COUNTIF($Q$11:Q658,Q658),5)=0,OFFSET(装备属性!$G$1083,1+INT(COUNTA($Q$11:Q658)/5),0),L658)</f>
        <v>远程喂饭Ⅰ</v>
      </c>
      <c r="M659" s="89" t="str">
        <f ca="1">IF(MOD(COUNTIF($Q$11:Q658,Q658),5)=0,OFFSET(装备属性!$H$1083,1+INT(COUNTA($Q$11:Q658)/5),0),M658)</f>
        <v>hunter_dmg_rate</v>
      </c>
      <c r="N659" s="76">
        <f ca="1">IF(MOD(COUNTIF($Q$11:Q658,Q658),5)=0,OFFSET(装备属性!$K$1083,1+INT(COUNTA($Q$11:Q658)/5),0),N658)</f>
        <v>0.044</v>
      </c>
      <c r="O659" s="76">
        <f ca="1">IF(MOD(COUNTIF($Q$11:Q658,Q658),5)=0,OFFSET(装备属性!$L$1083,1+INT(COUNTA($Q$11:Q658)/5),0),O658)</f>
        <v>0.058</v>
      </c>
      <c r="Q659" s="89" t="str">
        <f ca="1">IF(MOD(COUNTIF($Q$11:Q658,Q658),5)=0,OFFSET(装备属性!$M$1083,1+INT(COUNTA($Q$11:Q658)/5),0),Q658)</f>
        <v>通用属性</v>
      </c>
      <c r="R659" s="83">
        <f ca="1">IF(MOD(COUNTIF($Q$11:Q658,Q658),5)=0,10000*SUBSTITUTE(SUBSTITUTE(OFFSET(装备属性!$F$1083,1+INT(COUNTA($Q$11:Q658)/5),0),"[",""),"]","")+_xlfn.XLOOKUP(C659,$M$3:$M$7,$N$3:$N$7)*100,R658)</f>
        <v>30400</v>
      </c>
    </row>
    <row r="660" customHeight="1" spans="1:18">
      <c r="A660" s="78">
        <f ca="1" t="shared" si="30"/>
        <v>30401</v>
      </c>
      <c r="B660" s="82">
        <f ca="1">IFERROR(R660+COUNTIFS($R$11:$R660,R660),"")</f>
        <v>30420</v>
      </c>
      <c r="C660" s="83" t="str">
        <f ca="1">IF(MOD(COUNTIF($Q$11:Q659,Q659),5)=0,OFFSET(装备属性!$D$1083,1+INT(COUNTA($Q$11:Q659)/5),0),C659)</f>
        <v>紫</v>
      </c>
      <c r="D660" s="82">
        <f t="shared" si="32"/>
        <v>1000</v>
      </c>
      <c r="F660" s="82">
        <f ca="1" t="shared" si="31"/>
        <v>30403</v>
      </c>
      <c r="G660" s="78" t="str">
        <f ca="1">IF(AND(LEFT("[{"&amp;M660&amp;","&amp;CEILING(N660*10000+(O660-N660)/4*(COUNTIF($F$11:F660,F660)-1)*10000,10)&amp;"}]",7)="[{equip",MID("[{"&amp;M660&amp;","&amp;CEILING(N660*10000+(O660-N660)/4*(COUNTIF($F$11:F660,F660)-1)*10000,10)&amp;"}]",8,1)&lt;&gt;"_"),"[{"&amp;M660&amp;","&amp;1&amp;"}]","[{"&amp;M660&amp;","&amp;CEILING(N660*10000+(O660-N660)/4*(COUNTIF($F$11:F660,F660)-1)*10000,10)&amp;"}]")</f>
        <v>[{hunter_dmg_rate,580}]</v>
      </c>
      <c r="H660" s="82" t="s">
        <v>563</v>
      </c>
      <c r="J660" s="78">
        <f ca="1">IF(MOD(COUNTIF($Q$11:Q659,Q659),5)=0,OFFSET(装备属性!$P$1083,1+INT(COUNTA($Q$11:Q659)/5),0),J659)</f>
        <v>3</v>
      </c>
      <c r="K660" s="83" t="str">
        <f ca="1">IF(RIGHT(G660,13)="rune_slot,1}]",_xlfn.XLOOKUP(LEFT(SUBSTITUTE(G660,"[{",""),FIND(",",SUBSTITUTE(G660,"[{",""))-1),Sheet2!B:B,Sheet2!C:C)&amp;"+"&amp;1,_xlfn.XLOOKUP(LEFT(SUBSTITUTE(G660,"[{",""),FIND(",",SUBSTITUTE(G660,"[{",""))-1),Sheet2!B:B,Sheet2!C:C)&amp;"+"&amp;SUBSTITUTE(RIGHT(G660,LEN(G660)-FIND(",",G660)),"}]","")/100&amp;"%")</f>
        <v>射手伤害+5.8%</v>
      </c>
      <c r="L660" s="83" t="str">
        <f ca="1">IF(MOD(COUNTIF($Q$11:Q659,Q659),5)=0,OFFSET(装备属性!$G$1083,1+INT(COUNTA($Q$11:Q659)/5),0),L659)</f>
        <v>远程喂饭Ⅰ</v>
      </c>
      <c r="M660" s="89" t="str">
        <f ca="1">IF(MOD(COUNTIF($Q$11:Q659,Q659),5)=0,OFFSET(装备属性!$H$1083,1+INT(COUNTA($Q$11:Q659)/5),0),M659)</f>
        <v>hunter_dmg_rate</v>
      </c>
      <c r="N660" s="76">
        <f ca="1">IF(MOD(COUNTIF($Q$11:Q659,Q659),5)=0,OFFSET(装备属性!$K$1083,1+INT(COUNTA($Q$11:Q659)/5),0),N659)</f>
        <v>0.044</v>
      </c>
      <c r="O660" s="76">
        <f ca="1">IF(MOD(COUNTIF($Q$11:Q659,Q659),5)=0,OFFSET(装备属性!$L$1083,1+INT(COUNTA($Q$11:Q659)/5),0),O659)</f>
        <v>0.058</v>
      </c>
      <c r="Q660" s="89" t="str">
        <f ca="1">IF(MOD(COUNTIF($Q$11:Q659,Q659),5)=0,OFFSET(装备属性!$M$1083,1+INT(COUNTA($Q$11:Q659)/5),0),Q659)</f>
        <v>通用属性</v>
      </c>
      <c r="R660" s="83">
        <f ca="1">IF(MOD(COUNTIF($Q$11:Q659,Q659),5)=0,10000*SUBSTITUTE(SUBSTITUTE(OFFSET(装备属性!$F$1083,1+INT(COUNTA($Q$11:Q659)/5),0),"[",""),"]","")+_xlfn.XLOOKUP(C660,$M$3:$M$7,$N$3:$N$7)*100,R659)</f>
        <v>30400</v>
      </c>
    </row>
    <row r="661" customHeight="1" spans="1:18">
      <c r="A661" s="78" t="str">
        <f ca="1" t="shared" si="30"/>
        <v/>
      </c>
      <c r="B661" s="82" t="str">
        <f ca="1">IFERROR(R661+COUNTIFS($R$11:$R661,R661),"")</f>
        <v/>
      </c>
      <c r="C661" s="83">
        <f ca="1">IF(MOD(COUNTIF($Q$11:Q660,Q660),5)=0,OFFSET(装备属性!$D$1083,1+INT(COUNTA($Q$11:Q660)/5),0),C660)</f>
        <v>0</v>
      </c>
      <c r="D661" s="82">
        <f t="shared" si="32"/>
        <v>3000</v>
      </c>
      <c r="F661" s="82" t="str">
        <f ca="1" t="shared" si="31"/>
        <v/>
      </c>
      <c r="G661" s="78" t="str">
        <f ca="1">IF(AND(LEFT("[{"&amp;M661&amp;","&amp;CEILING(N661*10000+(O661-N661)/4*(COUNTIF($F$11:F661,F661)-1)*10000,10)&amp;"}]",7)="[{equip",MID("[{"&amp;M661&amp;","&amp;CEILING(N661*10000+(O661-N661)/4*(COUNTIF($F$11:F661,F661)-1)*10000,10)&amp;"}]",8,1)&lt;&gt;"_"),"[{"&amp;M661&amp;","&amp;1&amp;"}]","[{"&amp;M661&amp;","&amp;CEILING(N661*10000+(O661-N661)/4*(COUNTIF($F$11:F661,F661)-1)*10000,10)&amp;"}]")</f>
        <v>[{hunter_class_dmg_rate,10540}]</v>
      </c>
      <c r="H661" s="82" t="s">
        <v>563</v>
      </c>
      <c r="J661" s="78">
        <f ca="1">IF(MOD(COUNTIF($Q$11:Q660,Q660),5)=0,OFFSET(装备属性!$P$1083,1+INT(COUNTA($Q$11:Q660)/5),0),J660)</f>
        <v>4</v>
      </c>
      <c r="K661" s="83" t="str">
        <f ca="1">IF(RIGHT(G661,13)="rune_slot,1}]",_xlfn.XLOOKUP(LEFT(SUBSTITUTE(G661,"[{",""),FIND(",",SUBSTITUTE(G661,"[{",""))-1),Sheet2!B:B,Sheet2!C:C)&amp;"+"&amp;1,_xlfn.XLOOKUP(LEFT(SUBSTITUTE(G661,"[{",""),FIND(",",SUBSTITUTE(G661,"[{",""))-1),Sheet2!B:B,Sheet2!C:C)&amp;"+"&amp;SUBSTITUTE(RIGHT(G661,LEN(G661)-FIND(",",G661)),"}]","")/100&amp;"%")</f>
        <v>上阵两个射手职业增伤+105.4%</v>
      </c>
      <c r="L661" s="83" t="str">
        <f ca="1">IF(MOD(COUNTIF($Q$11:Q660,Q660),5)=0,OFFSET(装备属性!$G$1083,1+INT(COUNTA($Q$11:Q660)/5),0),L660)</f>
        <v>远程小队Ⅰ</v>
      </c>
      <c r="M661" s="89" t="str">
        <f ca="1">IF(MOD(COUNTIF($Q$11:Q660,Q660),5)=0,OFFSET(装备属性!$H$1083,1+INT(COUNTA($Q$11:Q660)/5),0),M660)</f>
        <v>hunter_class_dmg_rate</v>
      </c>
      <c r="N661" s="76">
        <f ca="1">IF(MOD(COUNTIF($Q$11:Q660,Q660),5)=0,OFFSET(装备属性!$K$1083,1+INT(COUNTA($Q$11:Q660)/5),0),N660)</f>
        <v>0.06</v>
      </c>
      <c r="O661" s="76">
        <f ca="1">IF(MOD(COUNTIF($Q$11:Q660,Q660),5)=0,OFFSET(装备属性!$L$1083,1+INT(COUNTA($Q$11:Q660)/5),0),O660)</f>
        <v>0.075</v>
      </c>
      <c r="Q661" s="89" t="str">
        <f ca="1">IF(MOD(COUNTIF($Q$11:Q660,Q660),5)=0,OFFSET(装备属性!$M$1083,1+INT(COUNTA($Q$11:Q660)/5),0),Q660)</f>
        <v>通用属性</v>
      </c>
      <c r="R661" s="83" t="e">
        <f ca="1">IF(MOD(COUNTIF($Q$11:Q660,Q660),5)=0,10000*SUBSTITUTE(SUBSTITUTE(OFFSET(装备属性!$F$1083,1+INT(COUNTA($Q$11:Q660)/5),0),"[",""),"]","")+_xlfn.XLOOKUP(C661,$M$3:$M$7,$N$3:$N$7)*100,R660)</f>
        <v>#N/A</v>
      </c>
    </row>
    <row r="662" customHeight="1" spans="1:18">
      <c r="A662" s="78" t="str">
        <f ca="1" t="shared" si="30"/>
        <v/>
      </c>
      <c r="B662" s="82" t="str">
        <f ca="1">IFERROR(R662+COUNTIFS($R$11:$R662,R662),"")</f>
        <v/>
      </c>
      <c r="C662" s="83">
        <f ca="1">IF(MOD(COUNTIF($Q$11:Q661,Q661),5)=0,OFFSET(装备属性!$D$1083,1+INT(COUNTA($Q$11:Q661)/5),0),C661)</f>
        <v>0</v>
      </c>
      <c r="D662" s="82">
        <f t="shared" si="32"/>
        <v>2500</v>
      </c>
      <c r="F662" s="82" t="str">
        <f ca="1" t="shared" si="31"/>
        <v/>
      </c>
      <c r="G662" s="78" t="str">
        <f ca="1">IF(AND(LEFT("[{"&amp;M662&amp;","&amp;CEILING(N662*10000+(O662-N662)/4*(COUNTIF($F$11:F662,F662)-1)*10000,10)&amp;"}]",7)="[{equip",MID("[{"&amp;M662&amp;","&amp;CEILING(N662*10000+(O662-N662)/4*(COUNTIF($F$11:F662,F662)-1)*10000,10)&amp;"}]",8,1)&lt;&gt;"_"),"[{"&amp;M662&amp;","&amp;1&amp;"}]","[{"&amp;M662&amp;","&amp;CEILING(N662*10000+(O662-N662)/4*(COUNTIF($F$11:F662,F662)-1)*10000,10)&amp;"}]")</f>
        <v>[{hunter_class_dmg_rate,10580}]</v>
      </c>
      <c r="H662" s="82" t="s">
        <v>563</v>
      </c>
      <c r="J662" s="78">
        <f ca="1">IF(MOD(COUNTIF($Q$11:Q661,Q661),5)=0,OFFSET(装备属性!$P$1083,1+INT(COUNTA($Q$11:Q661)/5),0),J661)</f>
        <v>4</v>
      </c>
      <c r="K662" s="83" t="str">
        <f ca="1">IF(RIGHT(G662,13)="rune_slot,1}]",_xlfn.XLOOKUP(LEFT(SUBSTITUTE(G662,"[{",""),FIND(",",SUBSTITUTE(G662,"[{",""))-1),Sheet2!B:B,Sheet2!C:C)&amp;"+"&amp;1,_xlfn.XLOOKUP(LEFT(SUBSTITUTE(G662,"[{",""),FIND(",",SUBSTITUTE(G662,"[{",""))-1),Sheet2!B:B,Sheet2!C:C)&amp;"+"&amp;SUBSTITUTE(RIGHT(G662,LEN(G662)-FIND(",",G662)),"}]","")/100&amp;"%")</f>
        <v>上阵两个射手职业增伤+105.8%</v>
      </c>
      <c r="L662" s="83" t="str">
        <f ca="1">IF(MOD(COUNTIF($Q$11:Q661,Q661),5)=0,OFFSET(装备属性!$G$1083,1+INT(COUNTA($Q$11:Q661)/5),0),L661)</f>
        <v>远程小队Ⅰ</v>
      </c>
      <c r="M662" s="89" t="str">
        <f ca="1">IF(MOD(COUNTIF($Q$11:Q661,Q661),5)=0,OFFSET(装备属性!$H$1083,1+INT(COUNTA($Q$11:Q661)/5),0),M661)</f>
        <v>hunter_class_dmg_rate</v>
      </c>
      <c r="N662" s="76">
        <f ca="1">IF(MOD(COUNTIF($Q$11:Q661,Q661),5)=0,OFFSET(装备属性!$K$1083,1+INT(COUNTA($Q$11:Q661)/5),0),N661)</f>
        <v>0.06</v>
      </c>
      <c r="O662" s="76">
        <f ca="1">IF(MOD(COUNTIF($Q$11:Q661,Q661),5)=0,OFFSET(装备属性!$L$1083,1+INT(COUNTA($Q$11:Q661)/5),0),O661)</f>
        <v>0.075</v>
      </c>
      <c r="Q662" s="89" t="str">
        <f ca="1">IF(MOD(COUNTIF($Q$11:Q661,Q661),5)=0,OFFSET(装备属性!$M$1083,1+INT(COUNTA($Q$11:Q661)/5),0),Q661)</f>
        <v>通用属性</v>
      </c>
      <c r="R662" s="83" t="e">
        <f ca="1">IF(MOD(COUNTIF($Q$11:Q661,Q661),5)=0,10000*SUBSTITUTE(SUBSTITUTE(OFFSET(装备属性!$F$1083,1+INT(COUNTA($Q$11:Q661)/5),0),"[",""),"]","")+_xlfn.XLOOKUP(C662,$M$3:$M$7,$N$3:$N$7)*100,R661)</f>
        <v>#N/A</v>
      </c>
    </row>
    <row r="663" customHeight="1" spans="1:18">
      <c r="A663" s="78" t="str">
        <f ca="1" t="shared" si="30"/>
        <v/>
      </c>
      <c r="B663" s="82" t="str">
        <f ca="1">IFERROR(R663+COUNTIFS($R$11:$R663,R663),"")</f>
        <v/>
      </c>
      <c r="C663" s="83">
        <f ca="1">IF(MOD(COUNTIF($Q$11:Q662,Q662),5)=0,OFFSET(装备属性!$D$1083,1+INT(COUNTA($Q$11:Q662)/5),0),C662)</f>
        <v>0</v>
      </c>
      <c r="D663" s="82">
        <f t="shared" si="32"/>
        <v>2000</v>
      </c>
      <c r="F663" s="82" t="str">
        <f ca="1" t="shared" si="31"/>
        <v/>
      </c>
      <c r="G663" s="78" t="str">
        <f ca="1">IF(AND(LEFT("[{"&amp;M663&amp;","&amp;CEILING(N663*10000+(O663-N663)/4*(COUNTIF($F$11:F663,F663)-1)*10000,10)&amp;"}]",7)="[{equip",MID("[{"&amp;M663&amp;","&amp;CEILING(N663*10000+(O663-N663)/4*(COUNTIF($F$11:F663,F663)-1)*10000,10)&amp;"}]",8,1)&lt;&gt;"_"),"[{"&amp;M663&amp;","&amp;1&amp;"}]","[{"&amp;M663&amp;","&amp;CEILING(N663*10000+(O663-N663)/4*(COUNTIF($F$11:F663,F663)-1)*10000,10)&amp;"}]")</f>
        <v>[{hunter_class_dmg_rate,10620}]</v>
      </c>
      <c r="H663" s="82" t="s">
        <v>563</v>
      </c>
      <c r="J663" s="78">
        <f ca="1">IF(MOD(COUNTIF($Q$11:Q662,Q662),5)=0,OFFSET(装备属性!$P$1083,1+INT(COUNTA($Q$11:Q662)/5),0),J662)</f>
        <v>4</v>
      </c>
      <c r="K663" s="83" t="str">
        <f ca="1">IF(RIGHT(G663,13)="rune_slot,1}]",_xlfn.XLOOKUP(LEFT(SUBSTITUTE(G663,"[{",""),FIND(",",SUBSTITUTE(G663,"[{",""))-1),Sheet2!B:B,Sheet2!C:C)&amp;"+"&amp;1,_xlfn.XLOOKUP(LEFT(SUBSTITUTE(G663,"[{",""),FIND(",",SUBSTITUTE(G663,"[{",""))-1),Sheet2!B:B,Sheet2!C:C)&amp;"+"&amp;SUBSTITUTE(RIGHT(G663,LEN(G663)-FIND(",",G663)),"}]","")/100&amp;"%")</f>
        <v>上阵两个射手职业增伤+106.2%</v>
      </c>
      <c r="L663" s="83" t="str">
        <f ca="1">IF(MOD(COUNTIF($Q$11:Q662,Q662),5)=0,OFFSET(装备属性!$G$1083,1+INT(COUNTA($Q$11:Q662)/5),0),L662)</f>
        <v>远程小队Ⅰ</v>
      </c>
      <c r="M663" s="89" t="str">
        <f ca="1">IF(MOD(COUNTIF($Q$11:Q662,Q662),5)=0,OFFSET(装备属性!$H$1083,1+INT(COUNTA($Q$11:Q662)/5),0),M662)</f>
        <v>hunter_class_dmg_rate</v>
      </c>
      <c r="N663" s="76">
        <f ca="1">IF(MOD(COUNTIF($Q$11:Q662,Q662),5)=0,OFFSET(装备属性!$K$1083,1+INT(COUNTA($Q$11:Q662)/5),0),N662)</f>
        <v>0.06</v>
      </c>
      <c r="O663" s="76">
        <f ca="1">IF(MOD(COUNTIF($Q$11:Q662,Q662),5)=0,OFFSET(装备属性!$L$1083,1+INT(COUNTA($Q$11:Q662)/5),0),O662)</f>
        <v>0.075</v>
      </c>
      <c r="Q663" s="89" t="str">
        <f ca="1">IF(MOD(COUNTIF($Q$11:Q662,Q662),5)=0,OFFSET(装备属性!$M$1083,1+INT(COUNTA($Q$11:Q662)/5),0),Q662)</f>
        <v>通用属性</v>
      </c>
      <c r="R663" s="83" t="e">
        <f ca="1">IF(MOD(COUNTIF($Q$11:Q662,Q662),5)=0,10000*SUBSTITUTE(SUBSTITUTE(OFFSET(装备属性!$F$1083,1+INT(COUNTA($Q$11:Q662)/5),0),"[",""),"]","")+_xlfn.XLOOKUP(C663,$M$3:$M$7,$N$3:$N$7)*100,R662)</f>
        <v>#N/A</v>
      </c>
    </row>
    <row r="664" customHeight="1" spans="1:18">
      <c r="A664" s="78" t="str">
        <f ca="1" t="shared" si="30"/>
        <v/>
      </c>
      <c r="B664" s="82" t="str">
        <f ca="1">IFERROR(R664+COUNTIFS($R$11:$R664,R664),"")</f>
        <v/>
      </c>
      <c r="C664" s="83">
        <f ca="1">IF(MOD(COUNTIF($Q$11:Q663,Q663),5)=0,OFFSET(装备属性!$D$1083,1+INT(COUNTA($Q$11:Q663)/5),0),C663)</f>
        <v>0</v>
      </c>
      <c r="D664" s="82">
        <f t="shared" si="32"/>
        <v>1500</v>
      </c>
      <c r="F664" s="82" t="str">
        <f ca="1" t="shared" si="31"/>
        <v/>
      </c>
      <c r="G664" s="78" t="str">
        <f ca="1">IF(AND(LEFT("[{"&amp;M664&amp;","&amp;CEILING(N664*10000+(O664-N664)/4*(COUNTIF($F$11:F664,F664)-1)*10000,10)&amp;"}]",7)="[{equip",MID("[{"&amp;M664&amp;","&amp;CEILING(N664*10000+(O664-N664)/4*(COUNTIF($F$11:F664,F664)-1)*10000,10)&amp;"}]",8,1)&lt;&gt;"_"),"[{"&amp;M664&amp;","&amp;1&amp;"}]","[{"&amp;M664&amp;","&amp;CEILING(N664*10000+(O664-N664)/4*(COUNTIF($F$11:F664,F664)-1)*10000,10)&amp;"}]")</f>
        <v>[{hunter_class_dmg_rate,10650}]</v>
      </c>
      <c r="H664" s="82" t="s">
        <v>563</v>
      </c>
      <c r="J664" s="78">
        <f ca="1">IF(MOD(COUNTIF($Q$11:Q663,Q663),5)=0,OFFSET(装备属性!$P$1083,1+INT(COUNTA($Q$11:Q663)/5),0),J663)</f>
        <v>4</v>
      </c>
      <c r="K664" s="83" t="str">
        <f ca="1">IF(RIGHT(G664,13)="rune_slot,1}]",_xlfn.XLOOKUP(LEFT(SUBSTITUTE(G664,"[{",""),FIND(",",SUBSTITUTE(G664,"[{",""))-1),Sheet2!B:B,Sheet2!C:C)&amp;"+"&amp;1,_xlfn.XLOOKUP(LEFT(SUBSTITUTE(G664,"[{",""),FIND(",",SUBSTITUTE(G664,"[{",""))-1),Sheet2!B:B,Sheet2!C:C)&amp;"+"&amp;SUBSTITUTE(RIGHT(G664,LEN(G664)-FIND(",",G664)),"}]","")/100&amp;"%")</f>
        <v>上阵两个射手职业增伤+106.5%</v>
      </c>
      <c r="L664" s="83" t="str">
        <f ca="1">IF(MOD(COUNTIF($Q$11:Q663,Q663),5)=0,OFFSET(装备属性!$G$1083,1+INT(COUNTA($Q$11:Q663)/5),0),L663)</f>
        <v>远程小队Ⅰ</v>
      </c>
      <c r="M664" s="89" t="str">
        <f ca="1">IF(MOD(COUNTIF($Q$11:Q663,Q663),5)=0,OFFSET(装备属性!$H$1083,1+INT(COUNTA($Q$11:Q663)/5),0),M663)</f>
        <v>hunter_class_dmg_rate</v>
      </c>
      <c r="N664" s="76">
        <f ca="1">IF(MOD(COUNTIF($Q$11:Q663,Q663),5)=0,OFFSET(装备属性!$K$1083,1+INT(COUNTA($Q$11:Q663)/5),0),N663)</f>
        <v>0.06</v>
      </c>
      <c r="O664" s="76">
        <f ca="1">IF(MOD(COUNTIF($Q$11:Q663,Q663),5)=0,OFFSET(装备属性!$L$1083,1+INT(COUNTA($Q$11:Q663)/5),0),O663)</f>
        <v>0.075</v>
      </c>
      <c r="Q664" s="89" t="str">
        <f ca="1">IF(MOD(COUNTIF($Q$11:Q663,Q663),5)=0,OFFSET(装备属性!$M$1083,1+INT(COUNTA($Q$11:Q663)/5),0),Q663)</f>
        <v>通用属性</v>
      </c>
      <c r="R664" s="83" t="e">
        <f ca="1">IF(MOD(COUNTIF($Q$11:Q663,Q663),5)=0,10000*SUBSTITUTE(SUBSTITUTE(OFFSET(装备属性!$F$1083,1+INT(COUNTA($Q$11:Q663)/5),0),"[",""),"]","")+_xlfn.XLOOKUP(C664,$M$3:$M$7,$N$3:$N$7)*100,R663)</f>
        <v>#N/A</v>
      </c>
    </row>
    <row r="665" customHeight="1" spans="1:18">
      <c r="A665" s="78" t="str">
        <f ca="1" t="shared" si="30"/>
        <v/>
      </c>
      <c r="B665" s="82" t="str">
        <f ca="1">IFERROR(R665+COUNTIFS($R$11:$R665,R665),"")</f>
        <v/>
      </c>
      <c r="C665" s="83">
        <f ca="1">IF(MOD(COUNTIF($Q$11:Q664,Q664),5)=0,OFFSET(装备属性!$D$1083,1+INT(COUNTA($Q$11:Q664)/5),0),C664)</f>
        <v>0</v>
      </c>
      <c r="D665" s="82">
        <f t="shared" si="32"/>
        <v>1000</v>
      </c>
      <c r="F665" s="82" t="str">
        <f ca="1" t="shared" si="31"/>
        <v/>
      </c>
      <c r="G665" s="78" t="str">
        <f ca="1">IF(AND(LEFT("[{"&amp;M665&amp;","&amp;CEILING(N665*10000+(O665-N665)/4*(COUNTIF($F$11:F665,F665)-1)*10000,10)&amp;"}]",7)="[{equip",MID("[{"&amp;M665&amp;","&amp;CEILING(N665*10000+(O665-N665)/4*(COUNTIF($F$11:F665,F665)-1)*10000,10)&amp;"}]",8,1)&lt;&gt;"_"),"[{"&amp;M665&amp;","&amp;1&amp;"}]","[{"&amp;M665&amp;","&amp;CEILING(N665*10000+(O665-N665)/4*(COUNTIF($F$11:F665,F665)-1)*10000,10)&amp;"}]")</f>
        <v>[{hunter_class_dmg_rate,10690}]</v>
      </c>
      <c r="H665" s="82" t="s">
        <v>563</v>
      </c>
      <c r="J665" s="78">
        <f ca="1">IF(MOD(COUNTIF($Q$11:Q664,Q664),5)=0,OFFSET(装备属性!$P$1083,1+INT(COUNTA($Q$11:Q664)/5),0),J664)</f>
        <v>4</v>
      </c>
      <c r="K665" s="83" t="str">
        <f ca="1">IF(RIGHT(G665,13)="rune_slot,1}]",_xlfn.XLOOKUP(LEFT(SUBSTITUTE(G665,"[{",""),FIND(",",SUBSTITUTE(G665,"[{",""))-1),Sheet2!B:B,Sheet2!C:C)&amp;"+"&amp;1,_xlfn.XLOOKUP(LEFT(SUBSTITUTE(G665,"[{",""),FIND(",",SUBSTITUTE(G665,"[{",""))-1),Sheet2!B:B,Sheet2!C:C)&amp;"+"&amp;SUBSTITUTE(RIGHT(G665,LEN(G665)-FIND(",",G665)),"}]","")/100&amp;"%")</f>
        <v>上阵两个射手职业增伤+106.9%</v>
      </c>
      <c r="L665" s="83" t="str">
        <f ca="1">IF(MOD(COUNTIF($Q$11:Q664,Q664),5)=0,OFFSET(装备属性!$G$1083,1+INT(COUNTA($Q$11:Q664)/5),0),L664)</f>
        <v>远程小队Ⅰ</v>
      </c>
      <c r="M665" s="89" t="str">
        <f ca="1">IF(MOD(COUNTIF($Q$11:Q664,Q664),5)=0,OFFSET(装备属性!$H$1083,1+INT(COUNTA($Q$11:Q664)/5),0),M664)</f>
        <v>hunter_class_dmg_rate</v>
      </c>
      <c r="N665" s="76">
        <f ca="1">IF(MOD(COUNTIF($Q$11:Q664,Q664),5)=0,OFFSET(装备属性!$K$1083,1+INT(COUNTA($Q$11:Q664)/5),0),N664)</f>
        <v>0.06</v>
      </c>
      <c r="O665" s="76">
        <f ca="1">IF(MOD(COUNTIF($Q$11:Q664,Q664),5)=0,OFFSET(装备属性!$L$1083,1+INT(COUNTA($Q$11:Q664)/5),0),O664)</f>
        <v>0.075</v>
      </c>
      <c r="Q665" s="89" t="str">
        <f ca="1">IF(MOD(COUNTIF($Q$11:Q664,Q664),5)=0,OFFSET(装备属性!$M$1083,1+INT(COUNTA($Q$11:Q664)/5),0),Q664)</f>
        <v>通用属性</v>
      </c>
      <c r="R665" s="83" t="e">
        <f ca="1">IF(MOD(COUNTIF($Q$11:Q664,Q664),5)=0,10000*SUBSTITUTE(SUBSTITUTE(OFFSET(装备属性!$F$1083,1+INT(COUNTA($Q$11:Q664)/5),0),"[",""),"]","")+_xlfn.XLOOKUP(C665,$M$3:$M$7,$N$3:$N$7)*100,R664)</f>
        <v>#N/A</v>
      </c>
    </row>
    <row r="666" customHeight="1" spans="1:18">
      <c r="A666" s="78">
        <f ca="1" t="shared" si="30"/>
        <v>30401</v>
      </c>
      <c r="B666" s="82">
        <f ca="1">IFERROR(R666+COUNTIFS($R$11:$R666,R666),"")</f>
        <v>30421</v>
      </c>
      <c r="C666" s="83" t="str">
        <f ca="1">IF(MOD(COUNTIF($Q$11:Q665,Q665),5)=0,OFFSET(装备属性!$D$1083,1+INT(COUNTA($Q$11:Q665)/5),0),C665)</f>
        <v>紫</v>
      </c>
      <c r="D666" s="82">
        <f t="shared" si="32"/>
        <v>3000</v>
      </c>
      <c r="F666" s="82">
        <f ca="1" t="shared" si="31"/>
        <v>30404</v>
      </c>
      <c r="G666" s="78" t="str">
        <f ca="1">IF(AND(LEFT("[{"&amp;M666&amp;","&amp;CEILING(N666*10000+(O666-N666)/4*(COUNTIF($F$11:F666,F666)-1)*10000,10)&amp;"}]",7)="[{equip",MID("[{"&amp;M666&amp;","&amp;CEILING(N666*10000+(O666-N666)/4*(COUNTIF($F$11:F666,F666)-1)*10000,10)&amp;"}]",8,1)&lt;&gt;"_"),"[{"&amp;M666&amp;","&amp;1&amp;"}]","[{"&amp;M666&amp;","&amp;CEILING(N666*10000+(O666-N666)/4*(COUNTIF($F$11:F666,F666)-1)*10000,10)&amp;"}]")</f>
        <v>[{hunter_crit_dmg,2000}]</v>
      </c>
      <c r="H666" s="82" t="s">
        <v>563</v>
      </c>
      <c r="J666" s="78">
        <f ca="1">IF(MOD(COUNTIF($Q$11:Q665,Q665),5)=0,OFFSET(装备属性!$P$1083,1+INT(COUNTA($Q$11:Q665)/5),0),J665)</f>
        <v>10</v>
      </c>
      <c r="K666" s="83" t="str">
        <f ca="1">IF(RIGHT(G666,13)="rune_slot,1}]",_xlfn.XLOOKUP(LEFT(SUBSTITUTE(G666,"[{",""),FIND(",",SUBSTITUTE(G666,"[{",""))-1),Sheet2!B:B,Sheet2!C:C)&amp;"+"&amp;1,_xlfn.XLOOKUP(LEFT(SUBSTITUTE(G666,"[{",""),FIND(",",SUBSTITUTE(G666,"[{",""))-1),Sheet2!B:B,Sheet2!C:C)&amp;"+"&amp;SUBSTITUTE(RIGHT(G666,LEN(G666)-FIND(",",G666)),"}]","")/100&amp;"%")</f>
        <v>射手暴击伤害+20%</v>
      </c>
      <c r="L666" s="83" t="str">
        <f ca="1">IF(MOD(COUNTIF($Q$11:Q665,Q665),5)=0,OFFSET(装备属性!$G$1083,1+INT(COUNTA($Q$11:Q665)/5),0),L665)</f>
        <v>暴走远程Ⅰ</v>
      </c>
      <c r="M666" s="89" t="str">
        <f ca="1">IF(MOD(COUNTIF($Q$11:Q665,Q665),5)=0,OFFSET(装备属性!$H$1083,1+INT(COUNTA($Q$11:Q665)/5),0),M665)</f>
        <v>hunter_crit_dmg</v>
      </c>
      <c r="N666" s="76">
        <f ca="1">IF(MOD(COUNTIF($Q$11:Q665,Q665),5)=0,OFFSET(装备属性!$K$1083,1+INT(COUNTA($Q$11:Q665)/5),0),N665)</f>
        <v>0.2</v>
      </c>
      <c r="O666" s="76">
        <f ca="1">IF(MOD(COUNTIF($Q$11:Q665,Q665),5)=0,OFFSET(装备属性!$L$1083,1+INT(COUNTA($Q$11:Q665)/5),0),O665)</f>
        <v>0.24</v>
      </c>
      <c r="Q666" s="89" t="str">
        <f ca="1">IF(MOD(COUNTIF($Q$11:Q665,Q665),5)=0,OFFSET(装备属性!$M$1083,1+INT(COUNTA($Q$11:Q665)/5),0),Q665)</f>
        <v>通用属性</v>
      </c>
      <c r="R666" s="83">
        <f ca="1">IF(MOD(COUNTIF($Q$11:Q665,Q665),5)=0,10000*SUBSTITUTE(SUBSTITUTE(OFFSET(装备属性!$F$1083,1+INT(COUNTA($Q$11:Q665)/5),0),"[",""),"]","")+_xlfn.XLOOKUP(C666,$M$3:$M$7,$N$3:$N$7)*100,R665)</f>
        <v>30400</v>
      </c>
    </row>
    <row r="667" customHeight="1" spans="1:18">
      <c r="A667" s="78">
        <f ca="1" t="shared" si="30"/>
        <v>30401</v>
      </c>
      <c r="B667" s="82">
        <f ca="1">IFERROR(R667+COUNTIFS($R$11:$R667,R667),"")</f>
        <v>30422</v>
      </c>
      <c r="C667" s="83" t="str">
        <f ca="1">IF(MOD(COUNTIF($Q$11:Q666,Q666),5)=0,OFFSET(装备属性!$D$1083,1+INT(COUNTA($Q$11:Q666)/5),0),C666)</f>
        <v>紫</v>
      </c>
      <c r="D667" s="82">
        <f t="shared" si="32"/>
        <v>2500</v>
      </c>
      <c r="F667" s="82">
        <f ca="1" t="shared" si="31"/>
        <v>30404</v>
      </c>
      <c r="G667" s="78" t="str">
        <f ca="1">IF(AND(LEFT("[{"&amp;M667&amp;","&amp;CEILING(N667*10000+(O667-N667)/4*(COUNTIF($F$11:F667,F667)-1)*10000,10)&amp;"}]",7)="[{equip",MID("[{"&amp;M667&amp;","&amp;CEILING(N667*10000+(O667-N667)/4*(COUNTIF($F$11:F667,F667)-1)*10000,10)&amp;"}]",8,1)&lt;&gt;"_"),"[{"&amp;M667&amp;","&amp;1&amp;"}]","[{"&amp;M667&amp;","&amp;CEILING(N667*10000+(O667-N667)/4*(COUNTIF($F$11:F667,F667)-1)*10000,10)&amp;"}]")</f>
        <v>[{hunter_crit_dmg,2100}]</v>
      </c>
      <c r="H667" s="82" t="s">
        <v>563</v>
      </c>
      <c r="J667" s="78">
        <f ca="1">IF(MOD(COUNTIF($Q$11:Q666,Q666),5)=0,OFFSET(装备属性!$P$1083,1+INT(COUNTA($Q$11:Q666)/5),0),J666)</f>
        <v>10</v>
      </c>
      <c r="K667" s="83" t="str">
        <f ca="1">IF(RIGHT(G667,13)="rune_slot,1}]",_xlfn.XLOOKUP(LEFT(SUBSTITUTE(G667,"[{",""),FIND(",",SUBSTITUTE(G667,"[{",""))-1),Sheet2!B:B,Sheet2!C:C)&amp;"+"&amp;1,_xlfn.XLOOKUP(LEFT(SUBSTITUTE(G667,"[{",""),FIND(",",SUBSTITUTE(G667,"[{",""))-1),Sheet2!B:B,Sheet2!C:C)&amp;"+"&amp;SUBSTITUTE(RIGHT(G667,LEN(G667)-FIND(",",G667)),"}]","")/100&amp;"%")</f>
        <v>射手暴击伤害+21%</v>
      </c>
      <c r="L667" s="83" t="str">
        <f ca="1">IF(MOD(COUNTIF($Q$11:Q666,Q666),5)=0,OFFSET(装备属性!$G$1083,1+INT(COUNTA($Q$11:Q666)/5),0),L666)</f>
        <v>暴走远程Ⅰ</v>
      </c>
      <c r="M667" s="89" t="str">
        <f ca="1">IF(MOD(COUNTIF($Q$11:Q666,Q666),5)=0,OFFSET(装备属性!$H$1083,1+INT(COUNTA($Q$11:Q666)/5),0),M666)</f>
        <v>hunter_crit_dmg</v>
      </c>
      <c r="N667" s="76">
        <f ca="1">IF(MOD(COUNTIF($Q$11:Q666,Q666),5)=0,OFFSET(装备属性!$K$1083,1+INT(COUNTA($Q$11:Q666)/5),0),N666)</f>
        <v>0.2</v>
      </c>
      <c r="O667" s="76">
        <f ca="1">IF(MOD(COUNTIF($Q$11:Q666,Q666),5)=0,OFFSET(装备属性!$L$1083,1+INT(COUNTA($Q$11:Q666)/5),0),O666)</f>
        <v>0.24</v>
      </c>
      <c r="Q667" s="89" t="str">
        <f ca="1">IF(MOD(COUNTIF($Q$11:Q666,Q666),5)=0,OFFSET(装备属性!$M$1083,1+INT(COUNTA($Q$11:Q666)/5),0),Q666)</f>
        <v>通用属性</v>
      </c>
      <c r="R667" s="83">
        <f ca="1">IF(MOD(COUNTIF($Q$11:Q666,Q666),5)=0,10000*SUBSTITUTE(SUBSTITUTE(OFFSET(装备属性!$F$1083,1+INT(COUNTA($Q$11:Q666)/5),0),"[",""),"]","")+_xlfn.XLOOKUP(C667,$M$3:$M$7,$N$3:$N$7)*100,R666)</f>
        <v>30400</v>
      </c>
    </row>
    <row r="668" customHeight="1" spans="1:18">
      <c r="A668" s="78">
        <f ca="1" t="shared" si="30"/>
        <v>30401</v>
      </c>
      <c r="B668" s="82">
        <f ca="1">IFERROR(R668+COUNTIFS($R$11:$R668,R668),"")</f>
        <v>30423</v>
      </c>
      <c r="C668" s="83" t="str">
        <f ca="1">IF(MOD(COUNTIF($Q$11:Q667,Q667),5)=0,OFFSET(装备属性!$D$1083,1+INT(COUNTA($Q$11:Q667)/5),0),C667)</f>
        <v>紫</v>
      </c>
      <c r="D668" s="82">
        <f t="shared" si="32"/>
        <v>2000</v>
      </c>
      <c r="F668" s="82">
        <f ca="1" t="shared" si="31"/>
        <v>30404</v>
      </c>
      <c r="G668" s="78" t="str">
        <f ca="1">IF(AND(LEFT("[{"&amp;M668&amp;","&amp;CEILING(N668*10000+(O668-N668)/4*(COUNTIF($F$11:F668,F668)-1)*10000,10)&amp;"}]",7)="[{equip",MID("[{"&amp;M668&amp;","&amp;CEILING(N668*10000+(O668-N668)/4*(COUNTIF($F$11:F668,F668)-1)*10000,10)&amp;"}]",8,1)&lt;&gt;"_"),"[{"&amp;M668&amp;","&amp;1&amp;"}]","[{"&amp;M668&amp;","&amp;CEILING(N668*10000+(O668-N668)/4*(COUNTIF($F$11:F668,F668)-1)*10000,10)&amp;"}]")</f>
        <v>[{hunter_crit_dmg,2200}]</v>
      </c>
      <c r="H668" s="82" t="s">
        <v>563</v>
      </c>
      <c r="J668" s="78">
        <f ca="1">IF(MOD(COUNTIF($Q$11:Q667,Q667),5)=0,OFFSET(装备属性!$P$1083,1+INT(COUNTA($Q$11:Q667)/5),0),J667)</f>
        <v>10</v>
      </c>
      <c r="K668" s="83" t="str">
        <f ca="1">IF(RIGHT(G668,13)="rune_slot,1}]",_xlfn.XLOOKUP(LEFT(SUBSTITUTE(G668,"[{",""),FIND(",",SUBSTITUTE(G668,"[{",""))-1),Sheet2!B:B,Sheet2!C:C)&amp;"+"&amp;1,_xlfn.XLOOKUP(LEFT(SUBSTITUTE(G668,"[{",""),FIND(",",SUBSTITUTE(G668,"[{",""))-1),Sheet2!B:B,Sheet2!C:C)&amp;"+"&amp;SUBSTITUTE(RIGHT(G668,LEN(G668)-FIND(",",G668)),"}]","")/100&amp;"%")</f>
        <v>射手暴击伤害+22%</v>
      </c>
      <c r="L668" s="83" t="str">
        <f ca="1">IF(MOD(COUNTIF($Q$11:Q667,Q667),5)=0,OFFSET(装备属性!$G$1083,1+INT(COUNTA($Q$11:Q667)/5),0),L667)</f>
        <v>暴走远程Ⅰ</v>
      </c>
      <c r="M668" s="89" t="str">
        <f ca="1">IF(MOD(COUNTIF($Q$11:Q667,Q667),5)=0,OFFSET(装备属性!$H$1083,1+INT(COUNTA($Q$11:Q667)/5),0),M667)</f>
        <v>hunter_crit_dmg</v>
      </c>
      <c r="N668" s="76">
        <f ca="1">IF(MOD(COUNTIF($Q$11:Q667,Q667),5)=0,OFFSET(装备属性!$K$1083,1+INT(COUNTA($Q$11:Q667)/5),0),N667)</f>
        <v>0.2</v>
      </c>
      <c r="O668" s="76">
        <f ca="1">IF(MOD(COUNTIF($Q$11:Q667,Q667),5)=0,OFFSET(装备属性!$L$1083,1+INT(COUNTA($Q$11:Q667)/5),0),O667)</f>
        <v>0.24</v>
      </c>
      <c r="Q668" s="89" t="str">
        <f ca="1">IF(MOD(COUNTIF($Q$11:Q667,Q667),5)=0,OFFSET(装备属性!$M$1083,1+INT(COUNTA($Q$11:Q667)/5),0),Q667)</f>
        <v>通用属性</v>
      </c>
      <c r="R668" s="83">
        <f ca="1">IF(MOD(COUNTIF($Q$11:Q667,Q667),5)=0,10000*SUBSTITUTE(SUBSTITUTE(OFFSET(装备属性!$F$1083,1+INT(COUNTA($Q$11:Q667)/5),0),"[",""),"]","")+_xlfn.XLOOKUP(C668,$M$3:$M$7,$N$3:$N$7)*100,R667)</f>
        <v>30400</v>
      </c>
    </row>
    <row r="669" customHeight="1" spans="1:18">
      <c r="A669" s="78">
        <f ca="1" t="shared" si="30"/>
        <v>30401</v>
      </c>
      <c r="B669" s="82">
        <f ca="1">IFERROR(R669+COUNTIFS($R$11:$R669,R669),"")</f>
        <v>30424</v>
      </c>
      <c r="C669" s="83" t="str">
        <f ca="1">IF(MOD(COUNTIF($Q$11:Q668,Q668),5)=0,OFFSET(装备属性!$D$1083,1+INT(COUNTA($Q$11:Q668)/5),0),C668)</f>
        <v>紫</v>
      </c>
      <c r="D669" s="82">
        <f t="shared" si="32"/>
        <v>1500</v>
      </c>
      <c r="F669" s="82">
        <f ca="1" t="shared" si="31"/>
        <v>30404</v>
      </c>
      <c r="G669" s="78" t="str">
        <f ca="1">IF(AND(LEFT("[{"&amp;M669&amp;","&amp;CEILING(N669*10000+(O669-N669)/4*(COUNTIF($F$11:F669,F669)-1)*10000,10)&amp;"}]",7)="[{equip",MID("[{"&amp;M669&amp;","&amp;CEILING(N669*10000+(O669-N669)/4*(COUNTIF($F$11:F669,F669)-1)*10000,10)&amp;"}]",8,1)&lt;&gt;"_"),"[{"&amp;M669&amp;","&amp;1&amp;"}]","[{"&amp;M669&amp;","&amp;CEILING(N669*10000+(O669-N669)/4*(COUNTIF($F$11:F669,F669)-1)*10000,10)&amp;"}]")</f>
        <v>[{hunter_crit_dmg,2300}]</v>
      </c>
      <c r="H669" s="82" t="s">
        <v>563</v>
      </c>
      <c r="J669" s="78">
        <f ca="1">IF(MOD(COUNTIF($Q$11:Q668,Q668),5)=0,OFFSET(装备属性!$P$1083,1+INT(COUNTA($Q$11:Q668)/5),0),J668)</f>
        <v>10</v>
      </c>
      <c r="K669" s="83" t="str">
        <f ca="1">IF(RIGHT(G669,13)="rune_slot,1}]",_xlfn.XLOOKUP(LEFT(SUBSTITUTE(G669,"[{",""),FIND(",",SUBSTITUTE(G669,"[{",""))-1),Sheet2!B:B,Sheet2!C:C)&amp;"+"&amp;1,_xlfn.XLOOKUP(LEFT(SUBSTITUTE(G669,"[{",""),FIND(",",SUBSTITUTE(G669,"[{",""))-1),Sheet2!B:B,Sheet2!C:C)&amp;"+"&amp;SUBSTITUTE(RIGHT(G669,LEN(G669)-FIND(",",G669)),"}]","")/100&amp;"%")</f>
        <v>射手暴击伤害+23%</v>
      </c>
      <c r="L669" s="83" t="str">
        <f ca="1">IF(MOD(COUNTIF($Q$11:Q668,Q668),5)=0,OFFSET(装备属性!$G$1083,1+INT(COUNTA($Q$11:Q668)/5),0),L668)</f>
        <v>暴走远程Ⅰ</v>
      </c>
      <c r="M669" s="89" t="str">
        <f ca="1">IF(MOD(COUNTIF($Q$11:Q668,Q668),5)=0,OFFSET(装备属性!$H$1083,1+INT(COUNTA($Q$11:Q668)/5),0),M668)</f>
        <v>hunter_crit_dmg</v>
      </c>
      <c r="N669" s="76">
        <f ca="1">IF(MOD(COUNTIF($Q$11:Q668,Q668),5)=0,OFFSET(装备属性!$K$1083,1+INT(COUNTA($Q$11:Q668)/5),0),N668)</f>
        <v>0.2</v>
      </c>
      <c r="O669" s="76">
        <f ca="1">IF(MOD(COUNTIF($Q$11:Q668,Q668),5)=0,OFFSET(装备属性!$L$1083,1+INT(COUNTA($Q$11:Q668)/5),0),O668)</f>
        <v>0.24</v>
      </c>
      <c r="Q669" s="89" t="str">
        <f ca="1">IF(MOD(COUNTIF($Q$11:Q668,Q668),5)=0,OFFSET(装备属性!$M$1083,1+INT(COUNTA($Q$11:Q668)/5),0),Q668)</f>
        <v>通用属性</v>
      </c>
      <c r="R669" s="83">
        <f ca="1">IF(MOD(COUNTIF($Q$11:Q668,Q668),5)=0,10000*SUBSTITUTE(SUBSTITUTE(OFFSET(装备属性!$F$1083,1+INT(COUNTA($Q$11:Q668)/5),0),"[",""),"]","")+_xlfn.XLOOKUP(C669,$M$3:$M$7,$N$3:$N$7)*100,R668)</f>
        <v>30400</v>
      </c>
    </row>
    <row r="670" customHeight="1" spans="1:18">
      <c r="A670" s="78">
        <f ca="1" t="shared" si="30"/>
        <v>30401</v>
      </c>
      <c r="B670" s="82">
        <f ca="1">IFERROR(R670+COUNTIFS($R$11:$R670,R670),"")</f>
        <v>30425</v>
      </c>
      <c r="C670" s="83" t="str">
        <f ca="1">IF(MOD(COUNTIF($Q$11:Q669,Q669),5)=0,OFFSET(装备属性!$D$1083,1+INT(COUNTA($Q$11:Q669)/5),0),C669)</f>
        <v>紫</v>
      </c>
      <c r="D670" s="82">
        <f t="shared" si="32"/>
        <v>1000</v>
      </c>
      <c r="F670" s="82">
        <f ca="1" t="shared" si="31"/>
        <v>30404</v>
      </c>
      <c r="G670" s="78" t="str">
        <f ca="1">IF(AND(LEFT("[{"&amp;M670&amp;","&amp;CEILING(N670*10000+(O670-N670)/4*(COUNTIF($F$11:F670,F670)-1)*10000,10)&amp;"}]",7)="[{equip",MID("[{"&amp;M670&amp;","&amp;CEILING(N670*10000+(O670-N670)/4*(COUNTIF($F$11:F670,F670)-1)*10000,10)&amp;"}]",8,1)&lt;&gt;"_"),"[{"&amp;M670&amp;","&amp;1&amp;"}]","[{"&amp;M670&amp;","&amp;CEILING(N670*10000+(O670-N670)/4*(COUNTIF($F$11:F670,F670)-1)*10000,10)&amp;"}]")</f>
        <v>[{hunter_crit_dmg,2400}]</v>
      </c>
      <c r="H670" s="82" t="s">
        <v>563</v>
      </c>
      <c r="J670" s="78">
        <f ca="1">IF(MOD(COUNTIF($Q$11:Q669,Q669),5)=0,OFFSET(装备属性!$P$1083,1+INT(COUNTA($Q$11:Q669)/5),0),J669)</f>
        <v>10</v>
      </c>
      <c r="K670" s="83" t="str">
        <f ca="1">IF(RIGHT(G670,13)="rune_slot,1}]",_xlfn.XLOOKUP(LEFT(SUBSTITUTE(G670,"[{",""),FIND(",",SUBSTITUTE(G670,"[{",""))-1),Sheet2!B:B,Sheet2!C:C)&amp;"+"&amp;1,_xlfn.XLOOKUP(LEFT(SUBSTITUTE(G670,"[{",""),FIND(",",SUBSTITUTE(G670,"[{",""))-1),Sheet2!B:B,Sheet2!C:C)&amp;"+"&amp;SUBSTITUTE(RIGHT(G670,LEN(G670)-FIND(",",G670)),"}]","")/100&amp;"%")</f>
        <v>射手暴击伤害+24%</v>
      </c>
      <c r="L670" s="83" t="str">
        <f ca="1">IF(MOD(COUNTIF($Q$11:Q669,Q669),5)=0,OFFSET(装备属性!$G$1083,1+INT(COUNTA($Q$11:Q669)/5),0),L669)</f>
        <v>暴走远程Ⅰ</v>
      </c>
      <c r="M670" s="89" t="str">
        <f ca="1">IF(MOD(COUNTIF($Q$11:Q669,Q669),5)=0,OFFSET(装备属性!$H$1083,1+INT(COUNTA($Q$11:Q669)/5),0),M669)</f>
        <v>hunter_crit_dmg</v>
      </c>
      <c r="N670" s="76">
        <f ca="1">IF(MOD(COUNTIF($Q$11:Q669,Q669),5)=0,OFFSET(装备属性!$K$1083,1+INT(COUNTA($Q$11:Q669)/5),0),N669)</f>
        <v>0.2</v>
      </c>
      <c r="O670" s="76">
        <f ca="1">IF(MOD(COUNTIF($Q$11:Q669,Q669),5)=0,OFFSET(装备属性!$L$1083,1+INT(COUNTA($Q$11:Q669)/5),0),O669)</f>
        <v>0.24</v>
      </c>
      <c r="Q670" s="89" t="str">
        <f ca="1">IF(MOD(COUNTIF($Q$11:Q669,Q669),5)=0,OFFSET(装备属性!$M$1083,1+INT(COUNTA($Q$11:Q669)/5),0),Q669)</f>
        <v>通用属性</v>
      </c>
      <c r="R670" s="83">
        <f ca="1">IF(MOD(COUNTIF($Q$11:Q669,Q669),5)=0,10000*SUBSTITUTE(SUBSTITUTE(OFFSET(装备属性!$F$1083,1+INT(COUNTA($Q$11:Q669)/5),0),"[",""),"]","")+_xlfn.XLOOKUP(C670,$M$3:$M$7,$N$3:$N$7)*100,R669)</f>
        <v>30400</v>
      </c>
    </row>
    <row r="671" customHeight="1" spans="1:18">
      <c r="A671" s="78" t="str">
        <f ca="1" t="shared" si="30"/>
        <v/>
      </c>
      <c r="B671" s="82" t="str">
        <f ca="1">IFERROR(R671+COUNTIFS($R$11:$R671,R671),"")</f>
        <v/>
      </c>
      <c r="C671" s="83">
        <f ca="1">IF(MOD(COUNTIF($Q$11:Q670,Q670),5)=0,OFFSET(装备属性!$D$1083,1+INT(COUNTA($Q$11:Q670)/5),0),C670)</f>
        <v>0</v>
      </c>
      <c r="D671" s="82">
        <f t="shared" si="32"/>
        <v>3000</v>
      </c>
      <c r="F671" s="82" t="str">
        <f ca="1" t="shared" si="31"/>
        <v/>
      </c>
      <c r="G671" s="78" t="str">
        <f ca="1">IF(AND(LEFT("[{"&amp;M671&amp;","&amp;CEILING(N671*10000+(O671-N671)/4*(COUNTIF($F$11:F671,F671)-1)*10000,10)&amp;"}]",7)="[{equip",MID("[{"&amp;M671&amp;","&amp;CEILING(N671*10000+(O671-N671)/4*(COUNTIF($F$11:F671,F671)-1)*10000,10)&amp;"}]",8,1)&lt;&gt;"_"),"[{"&amp;M671&amp;","&amp;1&amp;"}]","[{"&amp;M671&amp;","&amp;CEILING(N671*10000+(O671-N671)/4*(COUNTIF($F$11:F671,F671)-1)*10000,10)&amp;"}]")</f>
        <v>[{global_dmg_rate,9890}]</v>
      </c>
      <c r="H671" s="82" t="s">
        <v>563</v>
      </c>
      <c r="J671" s="78">
        <f ca="1">IF(MOD(COUNTIF($Q$11:Q670,Q670),5)=0,OFFSET(装备属性!$P$1083,1+INT(COUNTA($Q$11:Q670)/5),0),J670)</f>
        <v>2</v>
      </c>
      <c r="K671" s="83" t="str">
        <f ca="1">IF(RIGHT(G671,13)="rune_slot,1}]",_xlfn.XLOOKUP(LEFT(SUBSTITUTE(G671,"[{",""),FIND(",",SUBSTITUTE(G671,"[{",""))-1),Sheet2!B:B,Sheet2!C:C)&amp;"+"&amp;1,_xlfn.XLOOKUP(LEFT(SUBSTITUTE(G671,"[{",""),FIND(",",SUBSTITUTE(G671,"[{",""))-1),Sheet2!B:B,Sheet2!C:C)&amp;"+"&amp;SUBSTITUTE(RIGHT(G671,LEN(G671)-FIND(",",G671)),"}]","")/100&amp;"%")</f>
        <v>伤害加成+98.9%</v>
      </c>
      <c r="L671" s="83" t="str">
        <f ca="1">IF(MOD(COUNTIF($Q$11:Q670,Q670),5)=0,OFFSET(装备属性!$G$1083,1+INT(COUNTA($Q$11:Q670)/5),0),L670)</f>
        <v>全职小队Ⅱ</v>
      </c>
      <c r="M671" s="89" t="str">
        <f ca="1">IF(MOD(COUNTIF($Q$11:Q670,Q670),5)=0,OFFSET(装备属性!$H$1083,1+INT(COUNTA($Q$11:Q670)/5),0),M670)</f>
        <v>global_dmg_rate</v>
      </c>
      <c r="N671" s="76">
        <f ca="1">IF(MOD(COUNTIF($Q$11:Q670,Q670),5)=0,OFFSET(装备属性!$K$1083,1+INT(COUNTA($Q$11:Q670)/5),0),N670)</f>
        <v>0.044</v>
      </c>
      <c r="O671" s="76">
        <f ca="1">IF(MOD(COUNTIF($Q$11:Q670,Q670),5)=0,OFFSET(装备属性!$L$1083,1+INT(COUNTA($Q$11:Q670)/5),0),O670)</f>
        <v>0.058</v>
      </c>
      <c r="Q671" s="89" t="str">
        <f ca="1">IF(MOD(COUNTIF($Q$11:Q670,Q670),5)=0,OFFSET(装备属性!$M$1083,1+INT(COUNTA($Q$11:Q670)/5),0),Q670)</f>
        <v>通用属性</v>
      </c>
      <c r="R671" s="83" t="e">
        <f ca="1">IF(MOD(COUNTIF($Q$11:Q670,Q670),5)=0,10000*SUBSTITUTE(SUBSTITUTE(OFFSET(装备属性!$F$1083,1+INT(COUNTA($Q$11:Q670)/5),0),"[",""),"]","")+_xlfn.XLOOKUP(C671,$M$3:$M$7,$N$3:$N$7)*100,R670)</f>
        <v>#N/A</v>
      </c>
    </row>
    <row r="672" customHeight="1" spans="1:18">
      <c r="A672" s="78" t="str">
        <f ca="1" t="shared" si="30"/>
        <v/>
      </c>
      <c r="B672" s="82" t="str">
        <f ca="1">IFERROR(R672+COUNTIFS($R$11:$R672,R672),"")</f>
        <v/>
      </c>
      <c r="C672" s="83">
        <f ca="1">IF(MOD(COUNTIF($Q$11:Q671,Q671),5)=0,OFFSET(装备属性!$D$1083,1+INT(COUNTA($Q$11:Q671)/5),0),C671)</f>
        <v>0</v>
      </c>
      <c r="D672" s="82">
        <f t="shared" si="32"/>
        <v>2500</v>
      </c>
      <c r="F672" s="82" t="str">
        <f ca="1" t="shared" si="31"/>
        <v/>
      </c>
      <c r="G672" s="78" t="str">
        <f ca="1">IF(AND(LEFT("[{"&amp;M672&amp;","&amp;CEILING(N672*10000+(O672-N672)/4*(COUNTIF($F$11:F672,F672)-1)*10000,10)&amp;"}]",7)="[{equip",MID("[{"&amp;M672&amp;","&amp;CEILING(N672*10000+(O672-N672)/4*(COUNTIF($F$11:F672,F672)-1)*10000,10)&amp;"}]",8,1)&lt;&gt;"_"),"[{"&amp;M672&amp;","&amp;1&amp;"}]","[{"&amp;M672&amp;","&amp;CEILING(N672*10000+(O672-N672)/4*(COUNTIF($F$11:F672,F672)-1)*10000,10)&amp;"}]")</f>
        <v>[{global_dmg_rate,9930}]</v>
      </c>
      <c r="H672" s="82" t="s">
        <v>563</v>
      </c>
      <c r="J672" s="78">
        <f ca="1">IF(MOD(COUNTIF($Q$11:Q671,Q671),5)=0,OFFSET(装备属性!$P$1083,1+INT(COUNTA($Q$11:Q671)/5),0),J671)</f>
        <v>2</v>
      </c>
      <c r="K672" s="83" t="str">
        <f ca="1">IF(RIGHT(G672,13)="rune_slot,1}]",_xlfn.XLOOKUP(LEFT(SUBSTITUTE(G672,"[{",""),FIND(",",SUBSTITUTE(G672,"[{",""))-1),Sheet2!B:B,Sheet2!C:C)&amp;"+"&amp;1,_xlfn.XLOOKUP(LEFT(SUBSTITUTE(G672,"[{",""),FIND(",",SUBSTITUTE(G672,"[{",""))-1),Sheet2!B:B,Sheet2!C:C)&amp;"+"&amp;SUBSTITUTE(RIGHT(G672,LEN(G672)-FIND(",",G672)),"}]","")/100&amp;"%")</f>
        <v>伤害加成+99.3%</v>
      </c>
      <c r="L672" s="83" t="str">
        <f ca="1">IF(MOD(COUNTIF($Q$11:Q671,Q671),5)=0,OFFSET(装备属性!$G$1083,1+INT(COUNTA($Q$11:Q671)/5),0),L671)</f>
        <v>全职小队Ⅱ</v>
      </c>
      <c r="M672" s="89" t="str">
        <f ca="1">IF(MOD(COUNTIF($Q$11:Q671,Q671),5)=0,OFFSET(装备属性!$H$1083,1+INT(COUNTA($Q$11:Q671)/5),0),M671)</f>
        <v>global_dmg_rate</v>
      </c>
      <c r="N672" s="76">
        <f ca="1">IF(MOD(COUNTIF($Q$11:Q671,Q671),5)=0,OFFSET(装备属性!$K$1083,1+INT(COUNTA($Q$11:Q671)/5),0),N671)</f>
        <v>0.044</v>
      </c>
      <c r="O672" s="76">
        <f ca="1">IF(MOD(COUNTIF($Q$11:Q671,Q671),5)=0,OFFSET(装备属性!$L$1083,1+INT(COUNTA($Q$11:Q671)/5),0),O671)</f>
        <v>0.058</v>
      </c>
      <c r="Q672" s="89" t="str">
        <f ca="1">IF(MOD(COUNTIF($Q$11:Q671,Q671),5)=0,OFFSET(装备属性!$M$1083,1+INT(COUNTA($Q$11:Q671)/5),0),Q671)</f>
        <v>通用属性</v>
      </c>
      <c r="R672" s="83" t="e">
        <f ca="1">IF(MOD(COUNTIF($Q$11:Q671,Q671),5)=0,10000*SUBSTITUTE(SUBSTITUTE(OFFSET(装备属性!$F$1083,1+INT(COUNTA($Q$11:Q671)/5),0),"[",""),"]","")+_xlfn.XLOOKUP(C672,$M$3:$M$7,$N$3:$N$7)*100,R671)</f>
        <v>#N/A</v>
      </c>
    </row>
    <row r="673" customHeight="1" spans="1:18">
      <c r="A673" s="78" t="str">
        <f ca="1" t="shared" si="30"/>
        <v/>
      </c>
      <c r="B673" s="82" t="str">
        <f ca="1">IFERROR(R673+COUNTIFS($R$11:$R673,R673),"")</f>
        <v/>
      </c>
      <c r="C673" s="83">
        <f ca="1">IF(MOD(COUNTIF($Q$11:Q672,Q672),5)=0,OFFSET(装备属性!$D$1083,1+INT(COUNTA($Q$11:Q672)/5),0),C672)</f>
        <v>0</v>
      </c>
      <c r="D673" s="82">
        <f t="shared" si="32"/>
        <v>2000</v>
      </c>
      <c r="F673" s="82" t="str">
        <f ca="1" t="shared" si="31"/>
        <v/>
      </c>
      <c r="G673" s="78" t="str">
        <f ca="1">IF(AND(LEFT("[{"&amp;M673&amp;","&amp;CEILING(N673*10000+(O673-N673)/4*(COUNTIF($F$11:F673,F673)-1)*10000,10)&amp;"}]",7)="[{equip",MID("[{"&amp;M673&amp;","&amp;CEILING(N673*10000+(O673-N673)/4*(COUNTIF($F$11:F673,F673)-1)*10000,10)&amp;"}]",8,1)&lt;&gt;"_"),"[{"&amp;M673&amp;","&amp;1&amp;"}]","[{"&amp;M673&amp;","&amp;CEILING(N673*10000+(O673-N673)/4*(COUNTIF($F$11:F673,F673)-1)*10000,10)&amp;"}]")</f>
        <v>[{global_dmg_rate,9960}]</v>
      </c>
      <c r="H673" s="82" t="s">
        <v>563</v>
      </c>
      <c r="J673" s="78">
        <f ca="1">IF(MOD(COUNTIF($Q$11:Q672,Q672),5)=0,OFFSET(装备属性!$P$1083,1+INT(COUNTA($Q$11:Q672)/5),0),J672)</f>
        <v>2</v>
      </c>
      <c r="K673" s="83" t="str">
        <f ca="1">IF(RIGHT(G673,13)="rune_slot,1}]",_xlfn.XLOOKUP(LEFT(SUBSTITUTE(G673,"[{",""),FIND(",",SUBSTITUTE(G673,"[{",""))-1),Sheet2!B:B,Sheet2!C:C)&amp;"+"&amp;1,_xlfn.XLOOKUP(LEFT(SUBSTITUTE(G673,"[{",""),FIND(",",SUBSTITUTE(G673,"[{",""))-1),Sheet2!B:B,Sheet2!C:C)&amp;"+"&amp;SUBSTITUTE(RIGHT(G673,LEN(G673)-FIND(",",G673)),"}]","")/100&amp;"%")</f>
        <v>伤害加成+99.6%</v>
      </c>
      <c r="L673" s="83" t="str">
        <f ca="1">IF(MOD(COUNTIF($Q$11:Q672,Q672),5)=0,OFFSET(装备属性!$G$1083,1+INT(COUNTA($Q$11:Q672)/5),0),L672)</f>
        <v>全职小队Ⅱ</v>
      </c>
      <c r="M673" s="89" t="str">
        <f ca="1">IF(MOD(COUNTIF($Q$11:Q672,Q672),5)=0,OFFSET(装备属性!$H$1083,1+INT(COUNTA($Q$11:Q672)/5),0),M672)</f>
        <v>global_dmg_rate</v>
      </c>
      <c r="N673" s="76">
        <f ca="1">IF(MOD(COUNTIF($Q$11:Q672,Q672),5)=0,OFFSET(装备属性!$K$1083,1+INT(COUNTA($Q$11:Q672)/5),0),N672)</f>
        <v>0.044</v>
      </c>
      <c r="O673" s="76">
        <f ca="1">IF(MOD(COUNTIF($Q$11:Q672,Q672),5)=0,OFFSET(装备属性!$L$1083,1+INT(COUNTA($Q$11:Q672)/5),0),O672)</f>
        <v>0.058</v>
      </c>
      <c r="Q673" s="89" t="str">
        <f ca="1">IF(MOD(COUNTIF($Q$11:Q672,Q672),5)=0,OFFSET(装备属性!$M$1083,1+INT(COUNTA($Q$11:Q672)/5),0),Q672)</f>
        <v>通用属性</v>
      </c>
      <c r="R673" s="83" t="e">
        <f ca="1">IF(MOD(COUNTIF($Q$11:Q672,Q672),5)=0,10000*SUBSTITUTE(SUBSTITUTE(OFFSET(装备属性!$F$1083,1+INT(COUNTA($Q$11:Q672)/5),0),"[",""),"]","")+_xlfn.XLOOKUP(C673,$M$3:$M$7,$N$3:$N$7)*100,R672)</f>
        <v>#N/A</v>
      </c>
    </row>
    <row r="674" customHeight="1" spans="1:18">
      <c r="A674" s="78" t="str">
        <f ca="1" t="shared" si="30"/>
        <v/>
      </c>
      <c r="B674" s="82" t="str">
        <f ca="1">IFERROR(R674+COUNTIFS($R$11:$R674,R674),"")</f>
        <v/>
      </c>
      <c r="C674" s="83">
        <f ca="1">IF(MOD(COUNTIF($Q$11:Q673,Q673),5)=0,OFFSET(装备属性!$D$1083,1+INT(COUNTA($Q$11:Q673)/5),0),C673)</f>
        <v>0</v>
      </c>
      <c r="D674" s="82">
        <f t="shared" si="32"/>
        <v>1500</v>
      </c>
      <c r="F674" s="82" t="str">
        <f ca="1" t="shared" si="31"/>
        <v/>
      </c>
      <c r="G674" s="78" t="str">
        <f ca="1">IF(AND(LEFT("[{"&amp;M674&amp;","&amp;CEILING(N674*10000+(O674-N674)/4*(COUNTIF($F$11:F674,F674)-1)*10000,10)&amp;"}]",7)="[{equip",MID("[{"&amp;M674&amp;","&amp;CEILING(N674*10000+(O674-N674)/4*(COUNTIF($F$11:F674,F674)-1)*10000,10)&amp;"}]",8,1)&lt;&gt;"_"),"[{"&amp;M674&amp;","&amp;1&amp;"}]","[{"&amp;M674&amp;","&amp;CEILING(N674*10000+(O674-N674)/4*(COUNTIF($F$11:F674,F674)-1)*10000,10)&amp;"}]")</f>
        <v>[{global_dmg_rate,10000}]</v>
      </c>
      <c r="H674" s="82" t="s">
        <v>563</v>
      </c>
      <c r="J674" s="78">
        <f ca="1">IF(MOD(COUNTIF($Q$11:Q673,Q673),5)=0,OFFSET(装备属性!$P$1083,1+INT(COUNTA($Q$11:Q673)/5),0),J673)</f>
        <v>2</v>
      </c>
      <c r="K674" s="83" t="str">
        <f ca="1">IF(RIGHT(G674,13)="rune_slot,1}]",_xlfn.XLOOKUP(LEFT(SUBSTITUTE(G674,"[{",""),FIND(",",SUBSTITUTE(G674,"[{",""))-1),Sheet2!B:B,Sheet2!C:C)&amp;"+"&amp;1,_xlfn.XLOOKUP(LEFT(SUBSTITUTE(G674,"[{",""),FIND(",",SUBSTITUTE(G674,"[{",""))-1),Sheet2!B:B,Sheet2!C:C)&amp;"+"&amp;SUBSTITUTE(RIGHT(G674,LEN(G674)-FIND(",",G674)),"}]","")/100&amp;"%")</f>
        <v>伤害加成+100%</v>
      </c>
      <c r="L674" s="83" t="str">
        <f ca="1">IF(MOD(COUNTIF($Q$11:Q673,Q673),5)=0,OFFSET(装备属性!$G$1083,1+INT(COUNTA($Q$11:Q673)/5),0),L673)</f>
        <v>全职小队Ⅱ</v>
      </c>
      <c r="M674" s="89" t="str">
        <f ca="1">IF(MOD(COUNTIF($Q$11:Q673,Q673),5)=0,OFFSET(装备属性!$H$1083,1+INT(COUNTA($Q$11:Q673)/5),0),M673)</f>
        <v>global_dmg_rate</v>
      </c>
      <c r="N674" s="76">
        <f ca="1">IF(MOD(COUNTIF($Q$11:Q673,Q673),5)=0,OFFSET(装备属性!$K$1083,1+INT(COUNTA($Q$11:Q673)/5),0),N673)</f>
        <v>0.044</v>
      </c>
      <c r="O674" s="76">
        <f ca="1">IF(MOD(COUNTIF($Q$11:Q673,Q673),5)=0,OFFSET(装备属性!$L$1083,1+INT(COUNTA($Q$11:Q673)/5),0),O673)</f>
        <v>0.058</v>
      </c>
      <c r="Q674" s="89" t="str">
        <f ca="1">IF(MOD(COUNTIF($Q$11:Q673,Q673),5)=0,OFFSET(装备属性!$M$1083,1+INT(COUNTA($Q$11:Q673)/5),0),Q673)</f>
        <v>通用属性</v>
      </c>
      <c r="R674" s="83" t="e">
        <f ca="1">IF(MOD(COUNTIF($Q$11:Q673,Q673),5)=0,10000*SUBSTITUTE(SUBSTITUTE(OFFSET(装备属性!$F$1083,1+INT(COUNTA($Q$11:Q673)/5),0),"[",""),"]","")+_xlfn.XLOOKUP(C674,$M$3:$M$7,$N$3:$N$7)*100,R673)</f>
        <v>#N/A</v>
      </c>
    </row>
    <row r="675" customHeight="1" spans="1:18">
      <c r="A675" s="78" t="str">
        <f ca="1" t="shared" si="30"/>
        <v/>
      </c>
      <c r="B675" s="82" t="str">
        <f ca="1">IFERROR(R675+COUNTIFS($R$11:$R675,R675),"")</f>
        <v/>
      </c>
      <c r="C675" s="83">
        <f ca="1">IF(MOD(COUNTIF($Q$11:Q674,Q674),5)=0,OFFSET(装备属性!$D$1083,1+INT(COUNTA($Q$11:Q674)/5),0),C674)</f>
        <v>0</v>
      </c>
      <c r="D675" s="82">
        <f t="shared" si="32"/>
        <v>1000</v>
      </c>
      <c r="F675" s="82" t="str">
        <f ca="1" t="shared" si="31"/>
        <v/>
      </c>
      <c r="G675" s="78" t="str">
        <f ca="1">IF(AND(LEFT("[{"&amp;M675&amp;","&amp;CEILING(N675*10000+(O675-N675)/4*(COUNTIF($F$11:F675,F675)-1)*10000,10)&amp;"}]",7)="[{equip",MID("[{"&amp;M675&amp;","&amp;CEILING(N675*10000+(O675-N675)/4*(COUNTIF($F$11:F675,F675)-1)*10000,10)&amp;"}]",8,1)&lt;&gt;"_"),"[{"&amp;M675&amp;","&amp;1&amp;"}]","[{"&amp;M675&amp;","&amp;CEILING(N675*10000+(O675-N675)/4*(COUNTIF($F$11:F675,F675)-1)*10000,10)&amp;"}]")</f>
        <v>[{global_dmg_rate,10030}]</v>
      </c>
      <c r="H675" s="82" t="s">
        <v>563</v>
      </c>
      <c r="J675" s="78">
        <f ca="1">IF(MOD(COUNTIF($Q$11:Q674,Q674),5)=0,OFFSET(装备属性!$P$1083,1+INT(COUNTA($Q$11:Q674)/5),0),J674)</f>
        <v>2</v>
      </c>
      <c r="K675" s="83" t="str">
        <f ca="1">IF(RIGHT(G675,13)="rune_slot,1}]",_xlfn.XLOOKUP(LEFT(SUBSTITUTE(G675,"[{",""),FIND(",",SUBSTITUTE(G675,"[{",""))-1),Sheet2!B:B,Sheet2!C:C)&amp;"+"&amp;1,_xlfn.XLOOKUP(LEFT(SUBSTITUTE(G675,"[{",""),FIND(",",SUBSTITUTE(G675,"[{",""))-1),Sheet2!B:B,Sheet2!C:C)&amp;"+"&amp;SUBSTITUTE(RIGHT(G675,LEN(G675)-FIND(",",G675)),"}]","")/100&amp;"%")</f>
        <v>伤害加成+100.3%</v>
      </c>
      <c r="L675" s="83" t="str">
        <f ca="1">IF(MOD(COUNTIF($Q$11:Q674,Q674),5)=0,OFFSET(装备属性!$G$1083,1+INT(COUNTA($Q$11:Q674)/5),0),L674)</f>
        <v>全职小队Ⅱ</v>
      </c>
      <c r="M675" s="89" t="str">
        <f ca="1">IF(MOD(COUNTIF($Q$11:Q674,Q674),5)=0,OFFSET(装备属性!$H$1083,1+INT(COUNTA($Q$11:Q674)/5),0),M674)</f>
        <v>global_dmg_rate</v>
      </c>
      <c r="N675" s="76">
        <f ca="1">IF(MOD(COUNTIF($Q$11:Q674,Q674),5)=0,OFFSET(装备属性!$K$1083,1+INT(COUNTA($Q$11:Q674)/5),0),N674)</f>
        <v>0.044</v>
      </c>
      <c r="O675" s="76">
        <f ca="1">IF(MOD(COUNTIF($Q$11:Q674,Q674),5)=0,OFFSET(装备属性!$L$1083,1+INT(COUNTA($Q$11:Q674)/5),0),O674)</f>
        <v>0.058</v>
      </c>
      <c r="Q675" s="89" t="str">
        <f ca="1">IF(MOD(COUNTIF($Q$11:Q674,Q674),5)=0,OFFSET(装备属性!$M$1083,1+INT(COUNTA($Q$11:Q674)/5),0),Q674)</f>
        <v>通用属性</v>
      </c>
      <c r="R675" s="83" t="e">
        <f ca="1">IF(MOD(COUNTIF($Q$11:Q674,Q674),5)=0,10000*SUBSTITUTE(SUBSTITUTE(OFFSET(装备属性!$F$1083,1+INT(COUNTA($Q$11:Q674)/5),0),"[",""),"]","")+_xlfn.XLOOKUP(C675,$M$3:$M$7,$N$3:$N$7)*100,R674)</f>
        <v>#N/A</v>
      </c>
    </row>
    <row r="676" customHeight="1" spans="1:18">
      <c r="A676" s="78">
        <f ca="1" t="shared" si="30"/>
        <v>30501</v>
      </c>
      <c r="B676" s="82">
        <f ca="1">IFERROR(R676+COUNTIFS($R$11:$R676,R676),"")</f>
        <v>30501</v>
      </c>
      <c r="C676" s="83" t="str">
        <f ca="1">IF(MOD(COUNTIF($Q$11:Q675,Q675),5)=0,OFFSET(装备属性!$D$1083,1+INT(COUNTA($Q$11:Q675)/5),0),C675)</f>
        <v>橙</v>
      </c>
      <c r="D676" s="82">
        <f t="shared" si="32"/>
        <v>3000</v>
      </c>
      <c r="F676" s="82">
        <f ca="1" t="shared" si="31"/>
        <v>30500</v>
      </c>
      <c r="G676" s="78" t="str">
        <f ca="1">IF(AND(LEFT("[{"&amp;M676&amp;","&amp;CEILING(N676*10000+(O676-N676)/4*(COUNTIF($F$11:F676,F676)-1)*10000,10)&amp;"}]",7)="[{equip",MID("[{"&amp;M676&amp;","&amp;CEILING(N676*10000+(O676-N676)/4*(COUNTIF($F$11:F676,F676)-1)*10000,10)&amp;"}]",8,1)&lt;&gt;"_"),"[{"&amp;M676&amp;","&amp;1&amp;"}]","[{"&amp;M676&amp;","&amp;CEILING(N676*10000+(O676-N676)/4*(COUNTIF($F$11:F676,F676)-1)*10000,10)&amp;"}]")</f>
        <v>[{dmg_red_rate,150}]</v>
      </c>
      <c r="H676" s="82" t="s">
        <v>563</v>
      </c>
      <c r="J676" s="78">
        <f ca="1">IF(MOD(COUNTIF($Q$11:Q675,Q675),5)=0,OFFSET(装备属性!$P$1083,1+INT(COUNTA($Q$11:Q675)/5),0),J675)</f>
        <v>6</v>
      </c>
      <c r="K676" s="83" t="str">
        <f ca="1">IF(RIGHT(G676,13)="rune_slot,1}]",_xlfn.XLOOKUP(LEFT(SUBSTITUTE(G676,"[{",""),FIND(",",SUBSTITUTE(G676,"[{",""))-1),Sheet2!B:B,Sheet2!C:C)&amp;"+"&amp;1,_xlfn.XLOOKUP(LEFT(SUBSTITUTE(G676,"[{",""),FIND(",",SUBSTITUTE(G676,"[{",""))-1),Sheet2!B:B,Sheet2!C:C)&amp;"+"&amp;SUBSTITUTE(RIGHT(G676,LEN(G676)-FIND(",",G676)),"}]","")/100&amp;"%")</f>
        <v>伤害减免+1.5%</v>
      </c>
      <c r="L676" s="83" t="str">
        <f ca="1">IF(MOD(COUNTIF($Q$11:Q675,Q675),5)=0,OFFSET(装备属性!$G$1083,1+INT(COUNTA($Q$11:Q675)/5),0),L675)</f>
        <v>全员抗揍Ⅱ</v>
      </c>
      <c r="M676" s="89" t="str">
        <f ca="1">IF(MOD(COUNTIF($Q$11:Q675,Q675),5)=0,OFFSET(装备属性!$H$1083,1+INT(COUNTA($Q$11:Q675)/5),0),M675)</f>
        <v>dmg_red_rate</v>
      </c>
      <c r="N676" s="76">
        <f ca="1">IF(MOD(COUNTIF($Q$11:Q675,Q675),5)=0,OFFSET(装备属性!$K$1083,1+INT(COUNTA($Q$11:Q675)/5),0),N675)</f>
        <v>0.015</v>
      </c>
      <c r="O676" s="76">
        <f ca="1">IF(MOD(COUNTIF($Q$11:Q675,Q675),5)=0,OFFSET(装备属性!$L$1083,1+INT(COUNTA($Q$11:Q675)/5),0),O675)</f>
        <v>0.019</v>
      </c>
      <c r="Q676" s="89" t="str">
        <f ca="1">IF(MOD(COUNTIF($Q$11:Q675,Q675),5)=0,OFFSET(装备属性!$M$1083,1+INT(COUNTA($Q$11:Q675)/5),0),Q675)</f>
        <v>通用属性</v>
      </c>
      <c r="R676" s="83">
        <f ca="1">IF(MOD(COUNTIF($Q$11:Q675,Q675),5)=0,10000*SUBSTITUTE(SUBSTITUTE(OFFSET(装备属性!$F$1083,1+INT(COUNTA($Q$11:Q675)/5),0),"[",""),"]","")+_xlfn.XLOOKUP(C676,$M$3:$M$7,$N$3:$N$7)*100,R675)</f>
        <v>30500</v>
      </c>
    </row>
    <row r="677" customHeight="1" spans="1:18">
      <c r="A677" s="78">
        <f ca="1" t="shared" si="30"/>
        <v>30501</v>
      </c>
      <c r="B677" s="82">
        <f ca="1">IFERROR(R677+COUNTIFS($R$11:$R677,R677),"")</f>
        <v>30502</v>
      </c>
      <c r="C677" s="83" t="str">
        <f ca="1">IF(MOD(COUNTIF($Q$11:Q676,Q676),5)=0,OFFSET(装备属性!$D$1083,1+INT(COUNTA($Q$11:Q676)/5),0),C676)</f>
        <v>橙</v>
      </c>
      <c r="D677" s="82">
        <f t="shared" si="32"/>
        <v>2500</v>
      </c>
      <c r="F677" s="82">
        <f ca="1" t="shared" si="31"/>
        <v>30500</v>
      </c>
      <c r="G677" s="78" t="str">
        <f ca="1">IF(AND(LEFT("[{"&amp;M677&amp;","&amp;CEILING(N677*10000+(O677-N677)/4*(COUNTIF($F$11:F677,F677)-1)*10000,10)&amp;"}]",7)="[{equip",MID("[{"&amp;M677&amp;","&amp;CEILING(N677*10000+(O677-N677)/4*(COUNTIF($F$11:F677,F677)-1)*10000,10)&amp;"}]",8,1)&lt;&gt;"_"),"[{"&amp;M677&amp;","&amp;1&amp;"}]","[{"&amp;M677&amp;","&amp;CEILING(N677*10000+(O677-N677)/4*(COUNTIF($F$11:F677,F677)-1)*10000,10)&amp;"}]")</f>
        <v>[{dmg_red_rate,160}]</v>
      </c>
      <c r="H677" s="82" t="s">
        <v>563</v>
      </c>
      <c r="J677" s="78">
        <f ca="1">IF(MOD(COUNTIF($Q$11:Q676,Q676),5)=0,OFFSET(装备属性!$P$1083,1+INT(COUNTA($Q$11:Q676)/5),0),J676)</f>
        <v>6</v>
      </c>
      <c r="K677" s="83" t="str">
        <f ca="1">IF(RIGHT(G677,13)="rune_slot,1}]",_xlfn.XLOOKUP(LEFT(SUBSTITUTE(G677,"[{",""),FIND(",",SUBSTITUTE(G677,"[{",""))-1),Sheet2!B:B,Sheet2!C:C)&amp;"+"&amp;1,_xlfn.XLOOKUP(LEFT(SUBSTITUTE(G677,"[{",""),FIND(",",SUBSTITUTE(G677,"[{",""))-1),Sheet2!B:B,Sheet2!C:C)&amp;"+"&amp;SUBSTITUTE(RIGHT(G677,LEN(G677)-FIND(",",G677)),"}]","")/100&amp;"%")</f>
        <v>伤害减免+1.6%</v>
      </c>
      <c r="L677" s="83" t="str">
        <f ca="1">IF(MOD(COUNTIF($Q$11:Q676,Q676),5)=0,OFFSET(装备属性!$G$1083,1+INT(COUNTA($Q$11:Q676)/5),0),L676)</f>
        <v>全员抗揍Ⅱ</v>
      </c>
      <c r="M677" s="89" t="str">
        <f ca="1">IF(MOD(COUNTIF($Q$11:Q676,Q676),5)=0,OFFSET(装备属性!$H$1083,1+INT(COUNTA($Q$11:Q676)/5),0),M676)</f>
        <v>dmg_red_rate</v>
      </c>
      <c r="N677" s="76">
        <f ca="1">IF(MOD(COUNTIF($Q$11:Q676,Q676),5)=0,OFFSET(装备属性!$K$1083,1+INT(COUNTA($Q$11:Q676)/5),0),N676)</f>
        <v>0.015</v>
      </c>
      <c r="O677" s="76">
        <f ca="1">IF(MOD(COUNTIF($Q$11:Q676,Q676),5)=0,OFFSET(装备属性!$L$1083,1+INT(COUNTA($Q$11:Q676)/5),0),O676)</f>
        <v>0.019</v>
      </c>
      <c r="Q677" s="89" t="str">
        <f ca="1">IF(MOD(COUNTIF($Q$11:Q676,Q676),5)=0,OFFSET(装备属性!$M$1083,1+INT(COUNTA($Q$11:Q676)/5),0),Q676)</f>
        <v>通用属性</v>
      </c>
      <c r="R677" s="83">
        <f ca="1">IF(MOD(COUNTIF($Q$11:Q676,Q676),5)=0,10000*SUBSTITUTE(SUBSTITUTE(OFFSET(装备属性!$F$1083,1+INT(COUNTA($Q$11:Q676)/5),0),"[",""),"]","")+_xlfn.XLOOKUP(C677,$M$3:$M$7,$N$3:$N$7)*100,R676)</f>
        <v>30500</v>
      </c>
    </row>
    <row r="678" customHeight="1" spans="1:18">
      <c r="A678" s="78">
        <f ca="1" t="shared" si="30"/>
        <v>30501</v>
      </c>
      <c r="B678" s="82">
        <f ca="1">IFERROR(R678+COUNTIFS($R$11:$R678,R678),"")</f>
        <v>30503</v>
      </c>
      <c r="C678" s="83" t="str">
        <f ca="1">IF(MOD(COUNTIF($Q$11:Q677,Q677),5)=0,OFFSET(装备属性!$D$1083,1+INT(COUNTA($Q$11:Q677)/5),0),C677)</f>
        <v>橙</v>
      </c>
      <c r="D678" s="82">
        <f t="shared" si="32"/>
        <v>2000</v>
      </c>
      <c r="F678" s="82">
        <f ca="1" t="shared" si="31"/>
        <v>30500</v>
      </c>
      <c r="G678" s="78" t="str">
        <f ca="1">IF(AND(LEFT("[{"&amp;M678&amp;","&amp;CEILING(N678*10000+(O678-N678)/4*(COUNTIF($F$11:F678,F678)-1)*10000,10)&amp;"}]",7)="[{equip",MID("[{"&amp;M678&amp;","&amp;CEILING(N678*10000+(O678-N678)/4*(COUNTIF($F$11:F678,F678)-1)*10000,10)&amp;"}]",8,1)&lt;&gt;"_"),"[{"&amp;M678&amp;","&amp;1&amp;"}]","[{"&amp;M678&amp;","&amp;CEILING(N678*10000+(O678-N678)/4*(COUNTIF($F$11:F678,F678)-1)*10000,10)&amp;"}]")</f>
        <v>[{dmg_red_rate,170}]</v>
      </c>
      <c r="H678" s="82" t="s">
        <v>563</v>
      </c>
      <c r="J678" s="78">
        <f ca="1">IF(MOD(COUNTIF($Q$11:Q677,Q677),5)=0,OFFSET(装备属性!$P$1083,1+INT(COUNTA($Q$11:Q677)/5),0),J677)</f>
        <v>6</v>
      </c>
      <c r="K678" s="83" t="str">
        <f ca="1">IF(RIGHT(G678,13)="rune_slot,1}]",_xlfn.XLOOKUP(LEFT(SUBSTITUTE(G678,"[{",""),FIND(",",SUBSTITUTE(G678,"[{",""))-1),Sheet2!B:B,Sheet2!C:C)&amp;"+"&amp;1,_xlfn.XLOOKUP(LEFT(SUBSTITUTE(G678,"[{",""),FIND(",",SUBSTITUTE(G678,"[{",""))-1),Sheet2!B:B,Sheet2!C:C)&amp;"+"&amp;SUBSTITUTE(RIGHT(G678,LEN(G678)-FIND(",",G678)),"}]","")/100&amp;"%")</f>
        <v>伤害减免+1.7%</v>
      </c>
      <c r="L678" s="83" t="str">
        <f ca="1">IF(MOD(COUNTIF($Q$11:Q677,Q677),5)=0,OFFSET(装备属性!$G$1083,1+INT(COUNTA($Q$11:Q677)/5),0),L677)</f>
        <v>全员抗揍Ⅱ</v>
      </c>
      <c r="M678" s="89" t="str">
        <f ca="1">IF(MOD(COUNTIF($Q$11:Q677,Q677),5)=0,OFFSET(装备属性!$H$1083,1+INT(COUNTA($Q$11:Q677)/5),0),M677)</f>
        <v>dmg_red_rate</v>
      </c>
      <c r="N678" s="76">
        <f ca="1">IF(MOD(COUNTIF($Q$11:Q677,Q677),5)=0,OFFSET(装备属性!$K$1083,1+INT(COUNTA($Q$11:Q677)/5),0),N677)</f>
        <v>0.015</v>
      </c>
      <c r="O678" s="76">
        <f ca="1">IF(MOD(COUNTIF($Q$11:Q677,Q677),5)=0,OFFSET(装备属性!$L$1083,1+INT(COUNTA($Q$11:Q677)/5),0),O677)</f>
        <v>0.019</v>
      </c>
      <c r="Q678" s="89" t="str">
        <f ca="1">IF(MOD(COUNTIF($Q$11:Q677,Q677),5)=0,OFFSET(装备属性!$M$1083,1+INT(COUNTA($Q$11:Q677)/5),0),Q677)</f>
        <v>通用属性</v>
      </c>
      <c r="R678" s="83">
        <f ca="1">IF(MOD(COUNTIF($Q$11:Q677,Q677),5)=0,10000*SUBSTITUTE(SUBSTITUTE(OFFSET(装备属性!$F$1083,1+INT(COUNTA($Q$11:Q677)/5),0),"[",""),"]","")+_xlfn.XLOOKUP(C678,$M$3:$M$7,$N$3:$N$7)*100,R677)</f>
        <v>30500</v>
      </c>
    </row>
    <row r="679" customHeight="1" spans="1:18">
      <c r="A679" s="78">
        <f ca="1" t="shared" si="30"/>
        <v>30501</v>
      </c>
      <c r="B679" s="82">
        <f ca="1">IFERROR(R679+COUNTIFS($R$11:$R679,R679),"")</f>
        <v>30504</v>
      </c>
      <c r="C679" s="83" t="str">
        <f ca="1">IF(MOD(COUNTIF($Q$11:Q678,Q678),5)=0,OFFSET(装备属性!$D$1083,1+INT(COUNTA($Q$11:Q678)/5),0),C678)</f>
        <v>橙</v>
      </c>
      <c r="D679" s="82">
        <f t="shared" si="32"/>
        <v>1500</v>
      </c>
      <c r="F679" s="82">
        <f ca="1" t="shared" si="31"/>
        <v>30500</v>
      </c>
      <c r="G679" s="78" t="str">
        <f ca="1">IF(AND(LEFT("[{"&amp;M679&amp;","&amp;CEILING(N679*10000+(O679-N679)/4*(COUNTIF($F$11:F679,F679)-1)*10000,10)&amp;"}]",7)="[{equip",MID("[{"&amp;M679&amp;","&amp;CEILING(N679*10000+(O679-N679)/4*(COUNTIF($F$11:F679,F679)-1)*10000,10)&amp;"}]",8,1)&lt;&gt;"_"),"[{"&amp;M679&amp;","&amp;1&amp;"}]","[{"&amp;M679&amp;","&amp;CEILING(N679*10000+(O679-N679)/4*(COUNTIF($F$11:F679,F679)-1)*10000,10)&amp;"}]")</f>
        <v>[{dmg_red_rate,180}]</v>
      </c>
      <c r="H679" s="82" t="s">
        <v>563</v>
      </c>
      <c r="J679" s="78">
        <f ca="1">IF(MOD(COUNTIF($Q$11:Q678,Q678),5)=0,OFFSET(装备属性!$P$1083,1+INT(COUNTA($Q$11:Q678)/5),0),J678)</f>
        <v>6</v>
      </c>
      <c r="K679" s="83" t="str">
        <f ca="1">IF(RIGHT(G679,13)="rune_slot,1}]",_xlfn.XLOOKUP(LEFT(SUBSTITUTE(G679,"[{",""),FIND(",",SUBSTITUTE(G679,"[{",""))-1),Sheet2!B:B,Sheet2!C:C)&amp;"+"&amp;1,_xlfn.XLOOKUP(LEFT(SUBSTITUTE(G679,"[{",""),FIND(",",SUBSTITUTE(G679,"[{",""))-1),Sheet2!B:B,Sheet2!C:C)&amp;"+"&amp;SUBSTITUTE(RIGHT(G679,LEN(G679)-FIND(",",G679)),"}]","")/100&amp;"%")</f>
        <v>伤害减免+1.8%</v>
      </c>
      <c r="L679" s="83" t="str">
        <f ca="1">IF(MOD(COUNTIF($Q$11:Q678,Q678),5)=0,OFFSET(装备属性!$G$1083,1+INT(COUNTA($Q$11:Q678)/5),0),L678)</f>
        <v>全员抗揍Ⅱ</v>
      </c>
      <c r="M679" s="89" t="str">
        <f ca="1">IF(MOD(COUNTIF($Q$11:Q678,Q678),5)=0,OFFSET(装备属性!$H$1083,1+INT(COUNTA($Q$11:Q678)/5),0),M678)</f>
        <v>dmg_red_rate</v>
      </c>
      <c r="N679" s="76">
        <f ca="1">IF(MOD(COUNTIF($Q$11:Q678,Q678),5)=0,OFFSET(装备属性!$K$1083,1+INT(COUNTA($Q$11:Q678)/5),0),N678)</f>
        <v>0.015</v>
      </c>
      <c r="O679" s="76">
        <f ca="1">IF(MOD(COUNTIF($Q$11:Q678,Q678),5)=0,OFFSET(装备属性!$L$1083,1+INT(COUNTA($Q$11:Q678)/5),0),O678)</f>
        <v>0.019</v>
      </c>
      <c r="Q679" s="89" t="str">
        <f ca="1">IF(MOD(COUNTIF($Q$11:Q678,Q678),5)=0,OFFSET(装备属性!$M$1083,1+INT(COUNTA($Q$11:Q678)/5),0),Q678)</f>
        <v>通用属性</v>
      </c>
      <c r="R679" s="83">
        <f ca="1">IF(MOD(COUNTIF($Q$11:Q678,Q678),5)=0,10000*SUBSTITUTE(SUBSTITUTE(OFFSET(装备属性!$F$1083,1+INT(COUNTA($Q$11:Q678)/5),0),"[",""),"]","")+_xlfn.XLOOKUP(C679,$M$3:$M$7,$N$3:$N$7)*100,R678)</f>
        <v>30500</v>
      </c>
    </row>
    <row r="680" customHeight="1" spans="1:18">
      <c r="A680" s="78">
        <f ca="1" t="shared" si="30"/>
        <v>30501</v>
      </c>
      <c r="B680" s="82">
        <f ca="1">IFERROR(R680+COUNTIFS($R$11:$R680,R680),"")</f>
        <v>30505</v>
      </c>
      <c r="C680" s="83" t="str">
        <f ca="1">IF(MOD(COUNTIF($Q$11:Q679,Q679),5)=0,OFFSET(装备属性!$D$1083,1+INT(COUNTA($Q$11:Q679)/5),0),C679)</f>
        <v>橙</v>
      </c>
      <c r="D680" s="82">
        <f t="shared" si="32"/>
        <v>1000</v>
      </c>
      <c r="F680" s="82">
        <f ca="1" t="shared" si="31"/>
        <v>30500</v>
      </c>
      <c r="G680" s="78" t="str">
        <f ca="1">IF(AND(LEFT("[{"&amp;M680&amp;","&amp;CEILING(N680*10000+(O680-N680)/4*(COUNTIF($F$11:F680,F680)-1)*10000,10)&amp;"}]",7)="[{equip",MID("[{"&amp;M680&amp;","&amp;CEILING(N680*10000+(O680-N680)/4*(COUNTIF($F$11:F680,F680)-1)*10000,10)&amp;"}]",8,1)&lt;&gt;"_"),"[{"&amp;M680&amp;","&amp;1&amp;"}]","[{"&amp;M680&amp;","&amp;CEILING(N680*10000+(O680-N680)/4*(COUNTIF($F$11:F680,F680)-1)*10000,10)&amp;"}]")</f>
        <v>[{dmg_red_rate,190}]</v>
      </c>
      <c r="H680" s="82" t="s">
        <v>563</v>
      </c>
      <c r="J680" s="78">
        <f ca="1">IF(MOD(COUNTIF($Q$11:Q679,Q679),5)=0,OFFSET(装备属性!$P$1083,1+INT(COUNTA($Q$11:Q679)/5),0),J679)</f>
        <v>6</v>
      </c>
      <c r="K680" s="83" t="str">
        <f ca="1">IF(RIGHT(G680,13)="rune_slot,1}]",_xlfn.XLOOKUP(LEFT(SUBSTITUTE(G680,"[{",""),FIND(",",SUBSTITUTE(G680,"[{",""))-1),Sheet2!B:B,Sheet2!C:C)&amp;"+"&amp;1,_xlfn.XLOOKUP(LEFT(SUBSTITUTE(G680,"[{",""),FIND(",",SUBSTITUTE(G680,"[{",""))-1),Sheet2!B:B,Sheet2!C:C)&amp;"+"&amp;SUBSTITUTE(RIGHT(G680,LEN(G680)-FIND(",",G680)),"}]","")/100&amp;"%")</f>
        <v>伤害减免+1.9%</v>
      </c>
      <c r="L680" s="83" t="str">
        <f ca="1">IF(MOD(COUNTIF($Q$11:Q679,Q679),5)=0,OFFSET(装备属性!$G$1083,1+INT(COUNTA($Q$11:Q679)/5),0),L679)</f>
        <v>全员抗揍Ⅱ</v>
      </c>
      <c r="M680" s="89" t="str">
        <f ca="1">IF(MOD(COUNTIF($Q$11:Q679,Q679),5)=0,OFFSET(装备属性!$H$1083,1+INT(COUNTA($Q$11:Q679)/5),0),M679)</f>
        <v>dmg_red_rate</v>
      </c>
      <c r="N680" s="76">
        <f ca="1">IF(MOD(COUNTIF($Q$11:Q679,Q679),5)=0,OFFSET(装备属性!$K$1083,1+INT(COUNTA($Q$11:Q679)/5),0),N679)</f>
        <v>0.015</v>
      </c>
      <c r="O680" s="76">
        <f ca="1">IF(MOD(COUNTIF($Q$11:Q679,Q679),5)=0,OFFSET(装备属性!$L$1083,1+INT(COUNTA($Q$11:Q679)/5),0),O679)</f>
        <v>0.019</v>
      </c>
      <c r="Q680" s="89" t="str">
        <f ca="1">IF(MOD(COUNTIF($Q$11:Q679,Q679),5)=0,OFFSET(装备属性!$M$1083,1+INT(COUNTA($Q$11:Q679)/5),0),Q679)</f>
        <v>通用属性</v>
      </c>
      <c r="R680" s="83">
        <f ca="1">IF(MOD(COUNTIF($Q$11:Q679,Q679),5)=0,10000*SUBSTITUTE(SUBSTITUTE(OFFSET(装备属性!$F$1083,1+INT(COUNTA($Q$11:Q679)/5),0),"[",""),"]","")+_xlfn.XLOOKUP(C680,$M$3:$M$7,$N$3:$N$7)*100,R679)</f>
        <v>30500</v>
      </c>
    </row>
    <row r="681" customHeight="1" spans="1:18">
      <c r="A681" s="78">
        <f ca="1" t="shared" si="30"/>
        <v>30501</v>
      </c>
      <c r="B681" s="82">
        <f ca="1">IFERROR(R681+COUNTIFS($R$11:$R681,R681),"")</f>
        <v>30506</v>
      </c>
      <c r="C681" s="83" t="str">
        <f ca="1">IF(MOD(COUNTIF($Q$11:Q680,Q680),5)=0,OFFSET(装备属性!$D$1083,1+INT(COUNTA($Q$11:Q680)/5),0),C680)</f>
        <v>橙</v>
      </c>
      <c r="D681" s="82">
        <f t="shared" si="32"/>
        <v>3000</v>
      </c>
      <c r="F681" s="82">
        <f ca="1" t="shared" si="31"/>
        <v>30501</v>
      </c>
      <c r="G681" s="78" t="str">
        <f ca="1">IF(AND(LEFT("[{"&amp;M681&amp;","&amp;CEILING(N681*10000+(O681-N681)/4*(COUNTIF($F$11:F681,F681)-1)*10000,10)&amp;"}]",7)="[{equip",MID("[{"&amp;M681&amp;","&amp;CEILING(N681*10000+(O681-N681)/4*(COUNTIF($F$11:F681,F681)-1)*10000,10)&amp;"}]",8,1)&lt;&gt;"_"),"[{"&amp;M681&amp;","&amp;1&amp;"}]","[{"&amp;M681&amp;","&amp;CEILING(N681*10000+(O681-N681)/4*(COUNTIF($F$11:F681,F681)-1)*10000,10)&amp;"}]")</f>
        <v>[{all_class_dmg,440}]</v>
      </c>
      <c r="H681" s="82" t="s">
        <v>563</v>
      </c>
      <c r="J681" s="78">
        <f ca="1">IF(MOD(COUNTIF($Q$11:Q680,Q680),5)=0,OFFSET(装备属性!$P$1083,1+INT(COUNTA($Q$11:Q680)/5),0),J680)</f>
        <v>2</v>
      </c>
      <c r="K681" s="83" t="str">
        <f ca="1">IF(RIGHT(G681,13)="rune_slot,1}]",_xlfn.XLOOKUP(LEFT(SUBSTITUTE(G681,"[{",""),FIND(",",SUBSTITUTE(G681,"[{",""))-1),Sheet2!B:B,Sheet2!C:C)&amp;"+"&amp;1,_xlfn.XLOOKUP(LEFT(SUBSTITUTE(G681,"[{",""),FIND(",",SUBSTITUTE(G681,"[{",""))-1),Sheet2!B:B,Sheet2!C:C)&amp;"+"&amp;SUBSTITUTE(RIGHT(G681,LEN(G681)-FIND(",",G681)),"}]","")/100&amp;"%")</f>
        <v>上阵五个不同职业增伤+4.4%</v>
      </c>
      <c r="L681" s="83" t="str">
        <f ca="1">IF(MOD(COUNTIF($Q$11:Q680,Q680),5)=0,OFFSET(装备属性!$G$1083,1+INT(COUNTA($Q$11:Q680)/5),0),L680)</f>
        <v>全员出力Ⅱ</v>
      </c>
      <c r="M681" s="89" t="str">
        <f ca="1">IF(MOD(COUNTIF($Q$11:Q680,Q680),5)=0,OFFSET(装备属性!$H$1083,1+INT(COUNTA($Q$11:Q680)/5),0),M680)</f>
        <v>all_class_dmg</v>
      </c>
      <c r="N681" s="76">
        <f ca="1">IF(MOD(COUNTIF($Q$11:Q680,Q680),5)=0,OFFSET(装备属性!$K$1083,1+INT(COUNTA($Q$11:Q680)/5),0),N680)</f>
        <v>0.044</v>
      </c>
      <c r="O681" s="76">
        <f ca="1">IF(MOD(COUNTIF($Q$11:Q680,Q680),5)=0,OFFSET(装备属性!$L$1083,1+INT(COUNTA($Q$11:Q680)/5),0),O680)</f>
        <v>0.058</v>
      </c>
      <c r="Q681" s="89" t="str">
        <f ca="1">IF(MOD(COUNTIF($Q$11:Q680,Q680),5)=0,OFFSET(装备属性!$M$1083,1+INT(COUNTA($Q$11:Q680)/5),0),Q680)</f>
        <v>通用属性</v>
      </c>
      <c r="R681" s="83">
        <f ca="1">IF(MOD(COUNTIF($Q$11:Q680,Q680),5)=0,10000*SUBSTITUTE(SUBSTITUTE(OFFSET(装备属性!$F$1083,1+INT(COUNTA($Q$11:Q680)/5),0),"[",""),"]","")+_xlfn.XLOOKUP(C681,$M$3:$M$7,$N$3:$N$7)*100,R680)</f>
        <v>30500</v>
      </c>
    </row>
    <row r="682" customHeight="1" spans="1:18">
      <c r="A682" s="78">
        <f ca="1" t="shared" si="30"/>
        <v>30501</v>
      </c>
      <c r="B682" s="82">
        <f ca="1">IFERROR(R682+COUNTIFS($R$11:$R682,R682),"")</f>
        <v>30507</v>
      </c>
      <c r="C682" s="83" t="str">
        <f ca="1">IF(MOD(COUNTIF($Q$11:Q681,Q681),5)=0,OFFSET(装备属性!$D$1083,1+INT(COUNTA($Q$11:Q681)/5),0),C681)</f>
        <v>橙</v>
      </c>
      <c r="D682" s="82">
        <f t="shared" si="32"/>
        <v>2500</v>
      </c>
      <c r="F682" s="82">
        <f ca="1" t="shared" si="31"/>
        <v>30501</v>
      </c>
      <c r="G682" s="78" t="str">
        <f ca="1">IF(AND(LEFT("[{"&amp;M682&amp;","&amp;CEILING(N682*10000+(O682-N682)/4*(COUNTIF($F$11:F682,F682)-1)*10000,10)&amp;"}]",7)="[{equip",MID("[{"&amp;M682&amp;","&amp;CEILING(N682*10000+(O682-N682)/4*(COUNTIF($F$11:F682,F682)-1)*10000,10)&amp;"}]",8,1)&lt;&gt;"_"),"[{"&amp;M682&amp;","&amp;1&amp;"}]","[{"&amp;M682&amp;","&amp;CEILING(N682*10000+(O682-N682)/4*(COUNTIF($F$11:F682,F682)-1)*10000,10)&amp;"}]")</f>
        <v>[{all_class_dmg,480}]</v>
      </c>
      <c r="H682" s="82" t="s">
        <v>563</v>
      </c>
      <c r="J682" s="78">
        <f ca="1">IF(MOD(COUNTIF($Q$11:Q681,Q681),5)=0,OFFSET(装备属性!$P$1083,1+INT(COUNTA($Q$11:Q681)/5),0),J681)</f>
        <v>2</v>
      </c>
      <c r="K682" s="83" t="str">
        <f ca="1">IF(RIGHT(G682,13)="rune_slot,1}]",_xlfn.XLOOKUP(LEFT(SUBSTITUTE(G682,"[{",""),FIND(",",SUBSTITUTE(G682,"[{",""))-1),Sheet2!B:B,Sheet2!C:C)&amp;"+"&amp;1,_xlfn.XLOOKUP(LEFT(SUBSTITUTE(G682,"[{",""),FIND(",",SUBSTITUTE(G682,"[{",""))-1),Sheet2!B:B,Sheet2!C:C)&amp;"+"&amp;SUBSTITUTE(RIGHT(G682,LEN(G682)-FIND(",",G682)),"}]","")/100&amp;"%")</f>
        <v>上阵五个不同职业增伤+4.8%</v>
      </c>
      <c r="L682" s="83" t="str">
        <f ca="1">IF(MOD(COUNTIF($Q$11:Q681,Q681),5)=0,OFFSET(装备属性!$G$1083,1+INT(COUNTA($Q$11:Q681)/5),0),L681)</f>
        <v>全员出力Ⅱ</v>
      </c>
      <c r="M682" s="89" t="str">
        <f ca="1">IF(MOD(COUNTIF($Q$11:Q681,Q681),5)=0,OFFSET(装备属性!$H$1083,1+INT(COUNTA($Q$11:Q681)/5),0),M681)</f>
        <v>all_class_dmg</v>
      </c>
      <c r="N682" s="76">
        <f ca="1">IF(MOD(COUNTIF($Q$11:Q681,Q681),5)=0,OFFSET(装备属性!$K$1083,1+INT(COUNTA($Q$11:Q681)/5),0),N681)</f>
        <v>0.044</v>
      </c>
      <c r="O682" s="76">
        <f ca="1">IF(MOD(COUNTIF($Q$11:Q681,Q681),5)=0,OFFSET(装备属性!$L$1083,1+INT(COUNTA($Q$11:Q681)/5),0),O681)</f>
        <v>0.058</v>
      </c>
      <c r="Q682" s="89" t="str">
        <f ca="1">IF(MOD(COUNTIF($Q$11:Q681,Q681),5)=0,OFFSET(装备属性!$M$1083,1+INT(COUNTA($Q$11:Q681)/5),0),Q681)</f>
        <v>通用属性</v>
      </c>
      <c r="R682" s="83">
        <f ca="1">IF(MOD(COUNTIF($Q$11:Q681,Q681),5)=0,10000*SUBSTITUTE(SUBSTITUTE(OFFSET(装备属性!$F$1083,1+INT(COUNTA($Q$11:Q681)/5),0),"[",""),"]","")+_xlfn.XLOOKUP(C682,$M$3:$M$7,$N$3:$N$7)*100,R681)</f>
        <v>30500</v>
      </c>
    </row>
    <row r="683" customHeight="1" spans="1:18">
      <c r="A683" s="78">
        <f ca="1" t="shared" si="30"/>
        <v>30501</v>
      </c>
      <c r="B683" s="82">
        <f ca="1">IFERROR(R683+COUNTIFS($R$11:$R683,R683),"")</f>
        <v>30508</v>
      </c>
      <c r="C683" s="83" t="str">
        <f ca="1">IF(MOD(COUNTIF($Q$11:Q682,Q682),5)=0,OFFSET(装备属性!$D$1083,1+INT(COUNTA($Q$11:Q682)/5),0),C682)</f>
        <v>橙</v>
      </c>
      <c r="D683" s="82">
        <f t="shared" si="32"/>
        <v>2000</v>
      </c>
      <c r="F683" s="82">
        <f ca="1" t="shared" si="31"/>
        <v>30501</v>
      </c>
      <c r="G683" s="78" t="str">
        <f ca="1">IF(AND(LEFT("[{"&amp;M683&amp;","&amp;CEILING(N683*10000+(O683-N683)/4*(COUNTIF($F$11:F683,F683)-1)*10000,10)&amp;"}]",7)="[{equip",MID("[{"&amp;M683&amp;","&amp;CEILING(N683*10000+(O683-N683)/4*(COUNTIF($F$11:F683,F683)-1)*10000,10)&amp;"}]",8,1)&lt;&gt;"_"),"[{"&amp;M683&amp;","&amp;1&amp;"}]","[{"&amp;M683&amp;","&amp;CEILING(N683*10000+(O683-N683)/4*(COUNTIF($F$11:F683,F683)-1)*10000,10)&amp;"}]")</f>
        <v>[{all_class_dmg,510}]</v>
      </c>
      <c r="H683" s="82" t="s">
        <v>563</v>
      </c>
      <c r="J683" s="78">
        <f ca="1">IF(MOD(COUNTIF($Q$11:Q682,Q682),5)=0,OFFSET(装备属性!$P$1083,1+INT(COUNTA($Q$11:Q682)/5),0),J682)</f>
        <v>2</v>
      </c>
      <c r="K683" s="83" t="str">
        <f ca="1">IF(RIGHT(G683,13)="rune_slot,1}]",_xlfn.XLOOKUP(LEFT(SUBSTITUTE(G683,"[{",""),FIND(",",SUBSTITUTE(G683,"[{",""))-1),Sheet2!B:B,Sheet2!C:C)&amp;"+"&amp;1,_xlfn.XLOOKUP(LEFT(SUBSTITUTE(G683,"[{",""),FIND(",",SUBSTITUTE(G683,"[{",""))-1),Sheet2!B:B,Sheet2!C:C)&amp;"+"&amp;SUBSTITUTE(RIGHT(G683,LEN(G683)-FIND(",",G683)),"}]","")/100&amp;"%")</f>
        <v>上阵五个不同职业增伤+5.1%</v>
      </c>
      <c r="L683" s="83" t="str">
        <f ca="1">IF(MOD(COUNTIF($Q$11:Q682,Q682),5)=0,OFFSET(装备属性!$G$1083,1+INT(COUNTA($Q$11:Q682)/5),0),L682)</f>
        <v>全员出力Ⅱ</v>
      </c>
      <c r="M683" s="89" t="str">
        <f ca="1">IF(MOD(COUNTIF($Q$11:Q682,Q682),5)=0,OFFSET(装备属性!$H$1083,1+INT(COUNTA($Q$11:Q682)/5),0),M682)</f>
        <v>all_class_dmg</v>
      </c>
      <c r="N683" s="76">
        <f ca="1">IF(MOD(COUNTIF($Q$11:Q682,Q682),5)=0,OFFSET(装备属性!$K$1083,1+INT(COUNTA($Q$11:Q682)/5),0),N682)</f>
        <v>0.044</v>
      </c>
      <c r="O683" s="76">
        <f ca="1">IF(MOD(COUNTIF($Q$11:Q682,Q682),5)=0,OFFSET(装备属性!$L$1083,1+INT(COUNTA($Q$11:Q682)/5),0),O682)</f>
        <v>0.058</v>
      </c>
      <c r="Q683" s="89" t="str">
        <f ca="1">IF(MOD(COUNTIF($Q$11:Q682,Q682),5)=0,OFFSET(装备属性!$M$1083,1+INT(COUNTA($Q$11:Q682)/5),0),Q682)</f>
        <v>通用属性</v>
      </c>
      <c r="R683" s="83">
        <f ca="1">IF(MOD(COUNTIF($Q$11:Q682,Q682),5)=0,10000*SUBSTITUTE(SUBSTITUTE(OFFSET(装备属性!$F$1083,1+INT(COUNTA($Q$11:Q682)/5),0),"[",""),"]","")+_xlfn.XLOOKUP(C683,$M$3:$M$7,$N$3:$N$7)*100,R682)</f>
        <v>30500</v>
      </c>
    </row>
    <row r="684" customHeight="1" spans="1:18">
      <c r="A684" s="78">
        <f ca="1" t="shared" si="30"/>
        <v>30501</v>
      </c>
      <c r="B684" s="82">
        <f ca="1">IFERROR(R684+COUNTIFS($R$11:$R684,R684),"")</f>
        <v>30509</v>
      </c>
      <c r="C684" s="83" t="str">
        <f ca="1">IF(MOD(COUNTIF($Q$11:Q683,Q683),5)=0,OFFSET(装备属性!$D$1083,1+INT(COUNTA($Q$11:Q683)/5),0),C683)</f>
        <v>橙</v>
      </c>
      <c r="D684" s="82">
        <f t="shared" si="32"/>
        <v>1500</v>
      </c>
      <c r="F684" s="82">
        <f ca="1" t="shared" si="31"/>
        <v>30501</v>
      </c>
      <c r="G684" s="78" t="str">
        <f ca="1">IF(AND(LEFT("[{"&amp;M684&amp;","&amp;CEILING(N684*10000+(O684-N684)/4*(COUNTIF($F$11:F684,F684)-1)*10000,10)&amp;"}]",7)="[{equip",MID("[{"&amp;M684&amp;","&amp;CEILING(N684*10000+(O684-N684)/4*(COUNTIF($F$11:F684,F684)-1)*10000,10)&amp;"}]",8,1)&lt;&gt;"_"),"[{"&amp;M684&amp;","&amp;1&amp;"}]","[{"&amp;M684&amp;","&amp;CEILING(N684*10000+(O684-N684)/4*(COUNTIF($F$11:F684,F684)-1)*10000,10)&amp;"}]")</f>
        <v>[{all_class_dmg,550}]</v>
      </c>
      <c r="H684" s="82" t="s">
        <v>563</v>
      </c>
      <c r="J684" s="78">
        <f ca="1">IF(MOD(COUNTIF($Q$11:Q683,Q683),5)=0,OFFSET(装备属性!$P$1083,1+INT(COUNTA($Q$11:Q683)/5),0),J683)</f>
        <v>2</v>
      </c>
      <c r="K684" s="83" t="str">
        <f ca="1">IF(RIGHT(G684,13)="rune_slot,1}]",_xlfn.XLOOKUP(LEFT(SUBSTITUTE(G684,"[{",""),FIND(",",SUBSTITUTE(G684,"[{",""))-1),Sheet2!B:B,Sheet2!C:C)&amp;"+"&amp;1,_xlfn.XLOOKUP(LEFT(SUBSTITUTE(G684,"[{",""),FIND(",",SUBSTITUTE(G684,"[{",""))-1),Sheet2!B:B,Sheet2!C:C)&amp;"+"&amp;SUBSTITUTE(RIGHT(G684,LEN(G684)-FIND(",",G684)),"}]","")/100&amp;"%")</f>
        <v>上阵五个不同职业增伤+5.5%</v>
      </c>
      <c r="L684" s="83" t="str">
        <f ca="1">IF(MOD(COUNTIF($Q$11:Q683,Q683),5)=0,OFFSET(装备属性!$G$1083,1+INT(COUNTA($Q$11:Q683)/5),0),L683)</f>
        <v>全员出力Ⅱ</v>
      </c>
      <c r="M684" s="89" t="str">
        <f ca="1">IF(MOD(COUNTIF($Q$11:Q683,Q683),5)=0,OFFSET(装备属性!$H$1083,1+INT(COUNTA($Q$11:Q683)/5),0),M683)</f>
        <v>all_class_dmg</v>
      </c>
      <c r="N684" s="76">
        <f ca="1">IF(MOD(COUNTIF($Q$11:Q683,Q683),5)=0,OFFSET(装备属性!$K$1083,1+INT(COUNTA($Q$11:Q683)/5),0),N683)</f>
        <v>0.044</v>
      </c>
      <c r="O684" s="76">
        <f ca="1">IF(MOD(COUNTIF($Q$11:Q683,Q683),5)=0,OFFSET(装备属性!$L$1083,1+INT(COUNTA($Q$11:Q683)/5),0),O683)</f>
        <v>0.058</v>
      </c>
      <c r="Q684" s="89" t="str">
        <f ca="1">IF(MOD(COUNTIF($Q$11:Q683,Q683),5)=0,OFFSET(装备属性!$M$1083,1+INT(COUNTA($Q$11:Q683)/5),0),Q683)</f>
        <v>通用属性</v>
      </c>
      <c r="R684" s="83">
        <f ca="1">IF(MOD(COUNTIF($Q$11:Q683,Q683),5)=0,10000*SUBSTITUTE(SUBSTITUTE(OFFSET(装备属性!$F$1083,1+INT(COUNTA($Q$11:Q683)/5),0),"[",""),"]","")+_xlfn.XLOOKUP(C684,$M$3:$M$7,$N$3:$N$7)*100,R683)</f>
        <v>30500</v>
      </c>
    </row>
    <row r="685" customHeight="1" spans="1:18">
      <c r="A685" s="78">
        <f ca="1" t="shared" si="30"/>
        <v>30501</v>
      </c>
      <c r="B685" s="82">
        <f ca="1">IFERROR(R685+COUNTIFS($R$11:$R685,R685),"")</f>
        <v>30510</v>
      </c>
      <c r="C685" s="83" t="str">
        <f ca="1">IF(MOD(COUNTIF($Q$11:Q684,Q684),5)=0,OFFSET(装备属性!$D$1083,1+INT(COUNTA($Q$11:Q684)/5),0),C684)</f>
        <v>橙</v>
      </c>
      <c r="D685" s="82">
        <f t="shared" si="32"/>
        <v>1000</v>
      </c>
      <c r="F685" s="82">
        <f ca="1" t="shared" si="31"/>
        <v>30501</v>
      </c>
      <c r="G685" s="78" t="str">
        <f ca="1">IF(AND(LEFT("[{"&amp;M685&amp;","&amp;CEILING(N685*10000+(O685-N685)/4*(COUNTIF($F$11:F685,F685)-1)*10000,10)&amp;"}]",7)="[{equip",MID("[{"&amp;M685&amp;","&amp;CEILING(N685*10000+(O685-N685)/4*(COUNTIF($F$11:F685,F685)-1)*10000,10)&amp;"}]",8,1)&lt;&gt;"_"),"[{"&amp;M685&amp;","&amp;1&amp;"}]","[{"&amp;M685&amp;","&amp;CEILING(N685*10000+(O685-N685)/4*(COUNTIF($F$11:F685,F685)-1)*10000,10)&amp;"}]")</f>
        <v>[{all_class_dmg,580}]</v>
      </c>
      <c r="H685" s="82" t="s">
        <v>563</v>
      </c>
      <c r="J685" s="78">
        <f ca="1">IF(MOD(COUNTIF($Q$11:Q684,Q684),5)=0,OFFSET(装备属性!$P$1083,1+INT(COUNTA($Q$11:Q684)/5),0),J684)</f>
        <v>2</v>
      </c>
      <c r="K685" s="83" t="str">
        <f ca="1">IF(RIGHT(G685,13)="rune_slot,1}]",_xlfn.XLOOKUP(LEFT(SUBSTITUTE(G685,"[{",""),FIND(",",SUBSTITUTE(G685,"[{",""))-1),Sheet2!B:B,Sheet2!C:C)&amp;"+"&amp;1,_xlfn.XLOOKUP(LEFT(SUBSTITUTE(G685,"[{",""),FIND(",",SUBSTITUTE(G685,"[{",""))-1),Sheet2!B:B,Sheet2!C:C)&amp;"+"&amp;SUBSTITUTE(RIGHT(G685,LEN(G685)-FIND(",",G685)),"}]","")/100&amp;"%")</f>
        <v>上阵五个不同职业增伤+5.8%</v>
      </c>
      <c r="L685" s="83" t="str">
        <f ca="1">IF(MOD(COUNTIF($Q$11:Q684,Q684),5)=0,OFFSET(装备属性!$G$1083,1+INT(COUNTA($Q$11:Q684)/5),0),L684)</f>
        <v>全员出力Ⅱ</v>
      </c>
      <c r="M685" s="89" t="str">
        <f ca="1">IF(MOD(COUNTIF($Q$11:Q684,Q684),5)=0,OFFSET(装备属性!$H$1083,1+INT(COUNTA($Q$11:Q684)/5),0),M684)</f>
        <v>all_class_dmg</v>
      </c>
      <c r="N685" s="76">
        <f ca="1">IF(MOD(COUNTIF($Q$11:Q684,Q684),5)=0,OFFSET(装备属性!$K$1083,1+INT(COUNTA($Q$11:Q684)/5),0),N684)</f>
        <v>0.044</v>
      </c>
      <c r="O685" s="76">
        <f ca="1">IF(MOD(COUNTIF($Q$11:Q684,Q684),5)=0,OFFSET(装备属性!$L$1083,1+INT(COUNTA($Q$11:Q684)/5),0),O684)</f>
        <v>0.058</v>
      </c>
      <c r="Q685" s="89" t="str">
        <f ca="1">IF(MOD(COUNTIF($Q$11:Q684,Q684),5)=0,OFFSET(装备属性!$M$1083,1+INT(COUNTA($Q$11:Q684)/5),0),Q684)</f>
        <v>通用属性</v>
      </c>
      <c r="R685" s="83">
        <f ca="1">IF(MOD(COUNTIF($Q$11:Q684,Q684),5)=0,10000*SUBSTITUTE(SUBSTITUTE(OFFSET(装备属性!$F$1083,1+INT(COUNTA($Q$11:Q684)/5),0),"[",""),"]","")+_xlfn.XLOOKUP(C685,$M$3:$M$7,$N$3:$N$7)*100,R684)</f>
        <v>30500</v>
      </c>
    </row>
    <row r="686" customHeight="1" spans="1:18">
      <c r="A686" s="78" t="str">
        <f ca="1" t="shared" si="30"/>
        <v/>
      </c>
      <c r="B686" s="82" t="str">
        <f ca="1">IFERROR(R686+COUNTIFS($R$11:$R686,R686),"")</f>
        <v/>
      </c>
      <c r="C686" s="83">
        <f ca="1">IF(MOD(COUNTIF($Q$11:Q685,Q685),5)=0,OFFSET(装备属性!$D$1083,1+INT(COUNTA($Q$11:Q685)/5),0),C685)</f>
        <v>0</v>
      </c>
      <c r="D686" s="82">
        <f t="shared" si="32"/>
        <v>3000</v>
      </c>
      <c r="F686" s="82" t="str">
        <f ca="1" t="shared" si="31"/>
        <v/>
      </c>
      <c r="G686" s="78" t="str">
        <f ca="1">IF(AND(LEFT("[{"&amp;M686&amp;","&amp;CEILING(N686*10000+(O686-N686)/4*(COUNTIF($F$11:F686,F686)-1)*10000,10)&amp;"}]",7)="[{equip",MID("[{"&amp;M686&amp;","&amp;CEILING(N686*10000+(O686-N686)/4*(COUNTIF($F$11:F686,F686)-1)*10000,10)&amp;"}]",8,1)&lt;&gt;"_"),"[{"&amp;M686&amp;","&amp;1&amp;"}]","[{"&amp;M686&amp;","&amp;CEILING(N686*10000+(O686-N686)/4*(COUNTIF($F$11:F686,F686)-1)*10000,10)&amp;"}]")</f>
        <v>[{exp_boost,2000}]</v>
      </c>
      <c r="H686" s="82" t="s">
        <v>563</v>
      </c>
      <c r="J686" s="78">
        <f ca="1">IF(MOD(COUNTIF($Q$11:Q685,Q685),5)=0,OFFSET(装备属性!$P$1083,1+INT(COUNTA($Q$11:Q685)/5),0),J685)</f>
        <v>9</v>
      </c>
      <c r="K686" s="83" t="str">
        <f ca="1">IF(RIGHT(G686,13)="rune_slot,1}]",_xlfn.XLOOKUP(LEFT(SUBSTITUTE(G686,"[{",""),FIND(",",SUBSTITUTE(G686,"[{",""))-1),Sheet2!B:B,Sheet2!C:C)&amp;"+"&amp;1,_xlfn.XLOOKUP(LEFT(SUBSTITUTE(G686,"[{",""),FIND(",",SUBSTITUTE(G686,"[{",""))-1),Sheet2!B:B,Sheet2!C:C)&amp;"+"&amp;SUBSTITUTE(RIGHT(G686,LEN(G686)-FIND(",",G686)),"}]","")/100&amp;"%")</f>
        <v>经验加成+20%</v>
      </c>
      <c r="L686" s="83" t="str">
        <f ca="1">IF(MOD(COUNTIF($Q$11:Q685,Q685),5)=0,OFFSET(装备属性!$G$1083,1+INT(COUNTA($Q$11:Q685)/5),0),L685)</f>
        <v>涨见识</v>
      </c>
      <c r="M686" s="89" t="str">
        <f ca="1">IF(MOD(COUNTIF($Q$11:Q685,Q685),5)=0,OFFSET(装备属性!$H$1083,1+INT(COUNTA($Q$11:Q685)/5),0),M685)</f>
        <v>exp_boost</v>
      </c>
      <c r="N686" s="76">
        <f ca="1">IF(MOD(COUNTIF($Q$11:Q685,Q685),5)=0,OFFSET(装备属性!$K$1083,1+INT(COUNTA($Q$11:Q685)/5),0),N685)</f>
        <v>0.2</v>
      </c>
      <c r="O686" s="76">
        <f ca="1">IF(MOD(COUNTIF($Q$11:Q685,Q685),5)=0,OFFSET(装备属性!$L$1083,1+INT(COUNTA($Q$11:Q685)/5),0),O685)</f>
        <v>0.2</v>
      </c>
      <c r="Q686" s="89" t="str">
        <f ca="1">IF(MOD(COUNTIF($Q$11:Q685,Q685),5)=0,OFFSET(装备属性!$M$1083,1+INT(COUNTA($Q$11:Q685)/5),0),Q685)</f>
        <v>稀有词条</v>
      </c>
      <c r="R686" s="83" t="e">
        <f ca="1">IF(MOD(COUNTIF($Q$11:Q685,Q685),5)=0,10000*SUBSTITUTE(SUBSTITUTE(OFFSET(装备属性!$F$1083,1+INT(COUNTA($Q$11:Q685)/5),0),"[",""),"]","")+_xlfn.XLOOKUP(C686,$M$3:$M$7,$N$3:$N$7)*100,R685)</f>
        <v>#N/A</v>
      </c>
    </row>
    <row r="687" customHeight="1" spans="1:18">
      <c r="A687" s="78" t="str">
        <f ca="1" t="shared" si="30"/>
        <v/>
      </c>
      <c r="B687" s="82" t="str">
        <f ca="1">IFERROR(R687+COUNTIFS($R$11:$R687,R687),"")</f>
        <v/>
      </c>
      <c r="C687" s="83">
        <f ca="1">IF(MOD(COUNTIF($Q$11:Q686,Q686),5)=0,OFFSET(装备属性!$D$1083,1+INT(COUNTA($Q$11:Q686)/5),0),C686)</f>
        <v>0</v>
      </c>
      <c r="D687" s="82">
        <f t="shared" si="32"/>
        <v>2500</v>
      </c>
      <c r="F687" s="82" t="str">
        <f ca="1" t="shared" si="31"/>
        <v/>
      </c>
      <c r="G687" s="78" t="str">
        <f ca="1">IF(AND(LEFT("[{"&amp;M687&amp;","&amp;CEILING(N687*10000+(O687-N687)/4*(COUNTIF($F$11:F687,F687)-1)*10000,10)&amp;"}]",7)="[{equip",MID("[{"&amp;M687&amp;","&amp;CEILING(N687*10000+(O687-N687)/4*(COUNTIF($F$11:F687,F687)-1)*10000,10)&amp;"}]",8,1)&lt;&gt;"_"),"[{"&amp;M687&amp;","&amp;1&amp;"}]","[{"&amp;M687&amp;","&amp;CEILING(N687*10000+(O687-N687)/4*(COUNTIF($F$11:F687,F687)-1)*10000,10)&amp;"}]")</f>
        <v>[{exp_boost,2000}]</v>
      </c>
      <c r="H687" s="82" t="s">
        <v>563</v>
      </c>
      <c r="J687" s="78">
        <f ca="1">IF(MOD(COUNTIF($Q$11:Q686,Q686),5)=0,OFFSET(装备属性!$P$1083,1+INT(COUNTA($Q$11:Q686)/5),0),J686)</f>
        <v>9</v>
      </c>
      <c r="K687" s="83" t="str">
        <f ca="1">IF(RIGHT(G687,13)="rune_slot,1}]",_xlfn.XLOOKUP(LEFT(SUBSTITUTE(G687,"[{",""),FIND(",",SUBSTITUTE(G687,"[{",""))-1),Sheet2!B:B,Sheet2!C:C)&amp;"+"&amp;1,_xlfn.XLOOKUP(LEFT(SUBSTITUTE(G687,"[{",""),FIND(",",SUBSTITUTE(G687,"[{",""))-1),Sheet2!B:B,Sheet2!C:C)&amp;"+"&amp;SUBSTITUTE(RIGHT(G687,LEN(G687)-FIND(",",G687)),"}]","")/100&amp;"%")</f>
        <v>经验加成+20%</v>
      </c>
      <c r="L687" s="83" t="str">
        <f ca="1">IF(MOD(COUNTIF($Q$11:Q686,Q686),5)=0,OFFSET(装备属性!$G$1083,1+INT(COUNTA($Q$11:Q686)/5),0),L686)</f>
        <v>涨见识</v>
      </c>
      <c r="M687" s="89" t="str">
        <f ca="1">IF(MOD(COUNTIF($Q$11:Q686,Q686),5)=0,OFFSET(装备属性!$H$1083,1+INT(COUNTA($Q$11:Q686)/5),0),M686)</f>
        <v>exp_boost</v>
      </c>
      <c r="N687" s="76">
        <f ca="1">IF(MOD(COUNTIF($Q$11:Q686,Q686),5)=0,OFFSET(装备属性!$K$1083,1+INT(COUNTA($Q$11:Q686)/5),0),N686)</f>
        <v>0.2</v>
      </c>
      <c r="O687" s="76">
        <f ca="1">IF(MOD(COUNTIF($Q$11:Q686,Q686),5)=0,OFFSET(装备属性!$L$1083,1+INT(COUNTA($Q$11:Q686)/5),0),O686)</f>
        <v>0.2</v>
      </c>
      <c r="Q687" s="89" t="str">
        <f ca="1">IF(MOD(COUNTIF($Q$11:Q686,Q686),5)=0,OFFSET(装备属性!$M$1083,1+INT(COUNTA($Q$11:Q686)/5),0),Q686)</f>
        <v>稀有词条</v>
      </c>
      <c r="R687" s="83" t="e">
        <f ca="1">IF(MOD(COUNTIF($Q$11:Q686,Q686),5)=0,10000*SUBSTITUTE(SUBSTITUTE(OFFSET(装备属性!$F$1083,1+INT(COUNTA($Q$11:Q686)/5),0),"[",""),"]","")+_xlfn.XLOOKUP(C687,$M$3:$M$7,$N$3:$N$7)*100,R686)</f>
        <v>#N/A</v>
      </c>
    </row>
    <row r="688" customHeight="1" spans="1:18">
      <c r="A688" s="78" t="str">
        <f ca="1" t="shared" si="30"/>
        <v/>
      </c>
      <c r="B688" s="82" t="str">
        <f ca="1">IFERROR(R688+COUNTIFS($R$11:$R688,R688),"")</f>
        <v/>
      </c>
      <c r="C688" s="83">
        <f ca="1">IF(MOD(COUNTIF($Q$11:Q687,Q687),5)=0,OFFSET(装备属性!$D$1083,1+INT(COUNTA($Q$11:Q687)/5),0),C687)</f>
        <v>0</v>
      </c>
      <c r="D688" s="82">
        <f t="shared" si="32"/>
        <v>2000</v>
      </c>
      <c r="F688" s="82" t="str">
        <f ca="1" t="shared" si="31"/>
        <v/>
      </c>
      <c r="G688" s="78" t="str">
        <f ca="1">IF(AND(LEFT("[{"&amp;M688&amp;","&amp;CEILING(N688*10000+(O688-N688)/4*(COUNTIF($F$11:F688,F688)-1)*10000,10)&amp;"}]",7)="[{equip",MID("[{"&amp;M688&amp;","&amp;CEILING(N688*10000+(O688-N688)/4*(COUNTIF($F$11:F688,F688)-1)*10000,10)&amp;"}]",8,1)&lt;&gt;"_"),"[{"&amp;M688&amp;","&amp;1&amp;"}]","[{"&amp;M688&amp;","&amp;CEILING(N688*10000+(O688-N688)/4*(COUNTIF($F$11:F688,F688)-1)*10000,10)&amp;"}]")</f>
        <v>[{exp_boost,2000}]</v>
      </c>
      <c r="H688" s="82" t="s">
        <v>563</v>
      </c>
      <c r="J688" s="78">
        <f ca="1">IF(MOD(COUNTIF($Q$11:Q687,Q687),5)=0,OFFSET(装备属性!$P$1083,1+INT(COUNTA($Q$11:Q687)/5),0),J687)</f>
        <v>9</v>
      </c>
      <c r="K688" s="83" t="str">
        <f ca="1">IF(RIGHT(G688,13)="rune_slot,1}]",_xlfn.XLOOKUP(LEFT(SUBSTITUTE(G688,"[{",""),FIND(",",SUBSTITUTE(G688,"[{",""))-1),Sheet2!B:B,Sheet2!C:C)&amp;"+"&amp;1,_xlfn.XLOOKUP(LEFT(SUBSTITUTE(G688,"[{",""),FIND(",",SUBSTITUTE(G688,"[{",""))-1),Sheet2!B:B,Sheet2!C:C)&amp;"+"&amp;SUBSTITUTE(RIGHT(G688,LEN(G688)-FIND(",",G688)),"}]","")/100&amp;"%")</f>
        <v>经验加成+20%</v>
      </c>
      <c r="L688" s="83" t="str">
        <f ca="1">IF(MOD(COUNTIF($Q$11:Q687,Q687),5)=0,OFFSET(装备属性!$G$1083,1+INT(COUNTA($Q$11:Q687)/5),0),L687)</f>
        <v>涨见识</v>
      </c>
      <c r="M688" s="89" t="str">
        <f ca="1">IF(MOD(COUNTIF($Q$11:Q687,Q687),5)=0,OFFSET(装备属性!$H$1083,1+INT(COUNTA($Q$11:Q687)/5),0),M687)</f>
        <v>exp_boost</v>
      </c>
      <c r="N688" s="76">
        <f ca="1">IF(MOD(COUNTIF($Q$11:Q687,Q687),5)=0,OFFSET(装备属性!$K$1083,1+INT(COUNTA($Q$11:Q687)/5),0),N687)</f>
        <v>0.2</v>
      </c>
      <c r="O688" s="76">
        <f ca="1">IF(MOD(COUNTIF($Q$11:Q687,Q687),5)=0,OFFSET(装备属性!$L$1083,1+INT(COUNTA($Q$11:Q687)/5),0),O687)</f>
        <v>0.2</v>
      </c>
      <c r="Q688" s="89" t="str">
        <f ca="1">IF(MOD(COUNTIF($Q$11:Q687,Q687),5)=0,OFFSET(装备属性!$M$1083,1+INT(COUNTA($Q$11:Q687)/5),0),Q687)</f>
        <v>稀有词条</v>
      </c>
      <c r="R688" s="83" t="e">
        <f ca="1">IF(MOD(COUNTIF($Q$11:Q687,Q687),5)=0,10000*SUBSTITUTE(SUBSTITUTE(OFFSET(装备属性!$F$1083,1+INT(COUNTA($Q$11:Q687)/5),0),"[",""),"]","")+_xlfn.XLOOKUP(C688,$M$3:$M$7,$N$3:$N$7)*100,R687)</f>
        <v>#N/A</v>
      </c>
    </row>
    <row r="689" customHeight="1" spans="1:18">
      <c r="A689" s="78" t="str">
        <f ca="1" t="shared" si="30"/>
        <v/>
      </c>
      <c r="B689" s="82" t="str">
        <f ca="1">IFERROR(R689+COUNTIFS($R$11:$R689,R689),"")</f>
        <v/>
      </c>
      <c r="C689" s="83">
        <f ca="1">IF(MOD(COUNTIF($Q$11:Q688,Q688),5)=0,OFFSET(装备属性!$D$1083,1+INT(COUNTA($Q$11:Q688)/5),0),C688)</f>
        <v>0</v>
      </c>
      <c r="D689" s="82">
        <f t="shared" si="32"/>
        <v>1500</v>
      </c>
      <c r="F689" s="82" t="str">
        <f ca="1" t="shared" si="31"/>
        <v/>
      </c>
      <c r="G689" s="78" t="str">
        <f ca="1">IF(AND(LEFT("[{"&amp;M689&amp;","&amp;CEILING(N689*10000+(O689-N689)/4*(COUNTIF($F$11:F689,F689)-1)*10000,10)&amp;"}]",7)="[{equip",MID("[{"&amp;M689&amp;","&amp;CEILING(N689*10000+(O689-N689)/4*(COUNTIF($F$11:F689,F689)-1)*10000,10)&amp;"}]",8,1)&lt;&gt;"_"),"[{"&amp;M689&amp;","&amp;1&amp;"}]","[{"&amp;M689&amp;","&amp;CEILING(N689*10000+(O689-N689)/4*(COUNTIF($F$11:F689,F689)-1)*10000,10)&amp;"}]")</f>
        <v>[{exp_boost,2000}]</v>
      </c>
      <c r="H689" s="82" t="s">
        <v>563</v>
      </c>
      <c r="J689" s="78">
        <f ca="1">IF(MOD(COUNTIF($Q$11:Q688,Q688),5)=0,OFFSET(装备属性!$P$1083,1+INT(COUNTA($Q$11:Q688)/5),0),J688)</f>
        <v>9</v>
      </c>
      <c r="K689" s="83" t="str">
        <f ca="1">IF(RIGHT(G689,13)="rune_slot,1}]",_xlfn.XLOOKUP(LEFT(SUBSTITUTE(G689,"[{",""),FIND(",",SUBSTITUTE(G689,"[{",""))-1),Sheet2!B:B,Sheet2!C:C)&amp;"+"&amp;1,_xlfn.XLOOKUP(LEFT(SUBSTITUTE(G689,"[{",""),FIND(",",SUBSTITUTE(G689,"[{",""))-1),Sheet2!B:B,Sheet2!C:C)&amp;"+"&amp;SUBSTITUTE(RIGHT(G689,LEN(G689)-FIND(",",G689)),"}]","")/100&amp;"%")</f>
        <v>经验加成+20%</v>
      </c>
      <c r="L689" s="83" t="str">
        <f ca="1">IF(MOD(COUNTIF($Q$11:Q688,Q688),5)=0,OFFSET(装备属性!$G$1083,1+INT(COUNTA($Q$11:Q688)/5),0),L688)</f>
        <v>涨见识</v>
      </c>
      <c r="M689" s="89" t="str">
        <f ca="1">IF(MOD(COUNTIF($Q$11:Q688,Q688),5)=0,OFFSET(装备属性!$H$1083,1+INT(COUNTA($Q$11:Q688)/5),0),M688)</f>
        <v>exp_boost</v>
      </c>
      <c r="N689" s="76">
        <f ca="1">IF(MOD(COUNTIF($Q$11:Q688,Q688),5)=0,OFFSET(装备属性!$K$1083,1+INT(COUNTA($Q$11:Q688)/5),0),N688)</f>
        <v>0.2</v>
      </c>
      <c r="O689" s="76">
        <f ca="1">IF(MOD(COUNTIF($Q$11:Q688,Q688),5)=0,OFFSET(装备属性!$L$1083,1+INT(COUNTA($Q$11:Q688)/5),0),O688)</f>
        <v>0.2</v>
      </c>
      <c r="Q689" s="89" t="str">
        <f ca="1">IF(MOD(COUNTIF($Q$11:Q688,Q688),5)=0,OFFSET(装备属性!$M$1083,1+INT(COUNTA($Q$11:Q688)/5),0),Q688)</f>
        <v>稀有词条</v>
      </c>
      <c r="R689" s="83" t="e">
        <f ca="1">IF(MOD(COUNTIF($Q$11:Q688,Q688),5)=0,10000*SUBSTITUTE(SUBSTITUTE(OFFSET(装备属性!$F$1083,1+INT(COUNTA($Q$11:Q688)/5),0),"[",""),"]","")+_xlfn.XLOOKUP(C689,$M$3:$M$7,$N$3:$N$7)*100,R688)</f>
        <v>#N/A</v>
      </c>
    </row>
    <row r="690" customHeight="1" spans="1:18">
      <c r="A690" s="78" t="str">
        <f ca="1" t="shared" si="30"/>
        <v/>
      </c>
      <c r="B690" s="82" t="str">
        <f ca="1">IFERROR(R690+COUNTIFS($R$11:$R690,R690),"")</f>
        <v/>
      </c>
      <c r="C690" s="83">
        <f ca="1">IF(MOD(COUNTIF($Q$11:Q689,Q689),5)=0,OFFSET(装备属性!$D$1083,1+INT(COUNTA($Q$11:Q689)/5),0),C689)</f>
        <v>0</v>
      </c>
      <c r="D690" s="82">
        <f t="shared" si="32"/>
        <v>1000</v>
      </c>
      <c r="F690" s="82" t="str">
        <f ca="1" t="shared" si="31"/>
        <v/>
      </c>
      <c r="G690" s="78" t="str">
        <f ca="1">IF(AND(LEFT("[{"&amp;M690&amp;","&amp;CEILING(N690*10000+(O690-N690)/4*(COUNTIF($F$11:F690,F690)-1)*10000,10)&amp;"}]",7)="[{equip",MID("[{"&amp;M690&amp;","&amp;CEILING(N690*10000+(O690-N690)/4*(COUNTIF($F$11:F690,F690)-1)*10000,10)&amp;"}]",8,1)&lt;&gt;"_"),"[{"&amp;M690&amp;","&amp;1&amp;"}]","[{"&amp;M690&amp;","&amp;CEILING(N690*10000+(O690-N690)/4*(COUNTIF($F$11:F690,F690)-1)*10000,10)&amp;"}]")</f>
        <v>[{exp_boost,2000}]</v>
      </c>
      <c r="H690" s="82" t="s">
        <v>563</v>
      </c>
      <c r="J690" s="78">
        <f ca="1">IF(MOD(COUNTIF($Q$11:Q689,Q689),5)=0,OFFSET(装备属性!$P$1083,1+INT(COUNTA($Q$11:Q689)/5),0),J689)</f>
        <v>9</v>
      </c>
      <c r="K690" s="83" t="str">
        <f ca="1">IF(RIGHT(G690,13)="rune_slot,1}]",_xlfn.XLOOKUP(LEFT(SUBSTITUTE(G690,"[{",""),FIND(",",SUBSTITUTE(G690,"[{",""))-1),Sheet2!B:B,Sheet2!C:C)&amp;"+"&amp;1,_xlfn.XLOOKUP(LEFT(SUBSTITUTE(G690,"[{",""),FIND(",",SUBSTITUTE(G690,"[{",""))-1),Sheet2!B:B,Sheet2!C:C)&amp;"+"&amp;SUBSTITUTE(RIGHT(G690,LEN(G690)-FIND(",",G690)),"}]","")/100&amp;"%")</f>
        <v>经验加成+20%</v>
      </c>
      <c r="L690" s="83" t="str">
        <f ca="1">IF(MOD(COUNTIF($Q$11:Q689,Q689),5)=0,OFFSET(装备属性!$G$1083,1+INT(COUNTA($Q$11:Q689)/5),0),L689)</f>
        <v>涨见识</v>
      </c>
      <c r="M690" s="89" t="str">
        <f ca="1">IF(MOD(COUNTIF($Q$11:Q689,Q689),5)=0,OFFSET(装备属性!$H$1083,1+INT(COUNTA($Q$11:Q689)/5),0),M689)</f>
        <v>exp_boost</v>
      </c>
      <c r="N690" s="76">
        <f ca="1">IF(MOD(COUNTIF($Q$11:Q689,Q689),5)=0,OFFSET(装备属性!$K$1083,1+INT(COUNTA($Q$11:Q689)/5),0),N689)</f>
        <v>0.2</v>
      </c>
      <c r="O690" s="76">
        <f ca="1">IF(MOD(COUNTIF($Q$11:Q689,Q689),5)=0,OFFSET(装备属性!$L$1083,1+INT(COUNTA($Q$11:Q689)/5),0),O689)</f>
        <v>0.2</v>
      </c>
      <c r="Q690" s="89" t="str">
        <f ca="1">IF(MOD(COUNTIF($Q$11:Q689,Q689),5)=0,OFFSET(装备属性!$M$1083,1+INT(COUNTA($Q$11:Q689)/5),0),Q689)</f>
        <v>稀有词条</v>
      </c>
      <c r="R690" s="83" t="e">
        <f ca="1">IF(MOD(COUNTIF($Q$11:Q689,Q689),5)=0,10000*SUBSTITUTE(SUBSTITUTE(OFFSET(装备属性!$F$1083,1+INT(COUNTA($Q$11:Q689)/5),0),"[",""),"]","")+_xlfn.XLOOKUP(C690,$M$3:$M$7,$N$3:$N$7)*100,R689)</f>
        <v>#N/A</v>
      </c>
    </row>
    <row r="691" customHeight="1" spans="1:18">
      <c r="A691" s="78" t="str">
        <f ca="1" t="shared" si="30"/>
        <v/>
      </c>
      <c r="B691" s="82" t="str">
        <f ca="1">IFERROR(R691+COUNTIFS($R$11:$R691,R691),"")</f>
        <v/>
      </c>
      <c r="C691" s="83">
        <f ca="1">IF(MOD(COUNTIF($Q$11:Q690,Q690),5)=0,OFFSET(装备属性!$D$1083,1+INT(COUNTA($Q$11:Q690)/5),0),C690)</f>
        <v>0</v>
      </c>
      <c r="D691" s="82">
        <f t="shared" si="32"/>
        <v>3000</v>
      </c>
      <c r="F691" s="82" t="str">
        <f ca="1" t="shared" si="31"/>
        <v/>
      </c>
      <c r="G691" s="78" t="str">
        <f ca="1">IF(AND(LEFT("[{"&amp;M691&amp;","&amp;CEILING(N691*10000+(O691-N691)/4*(COUNTIF($F$11:F691,F691)-1)*10000,10)&amp;"}]",7)="[{equip",MID("[{"&amp;M691&amp;","&amp;CEILING(N691*10000+(O691-N691)/4*(COUNTIF($F$11:F691,F691)-1)*10000,10)&amp;"}]",8,1)&lt;&gt;"_"),"[{"&amp;M691&amp;","&amp;1&amp;"}]","[{"&amp;M691&amp;","&amp;CEILING(N691*10000+(O691-N691)/4*(COUNTIF($F$11:F691,F691)-1)*10000,10)&amp;"}]")</f>
        <v>[{equip_base_attr,2500}]</v>
      </c>
      <c r="H691" s="82" t="s">
        <v>563</v>
      </c>
      <c r="J691" s="78">
        <f ca="1">IF(MOD(COUNTIF($Q$11:Q690,Q690),5)=0,OFFSET(装备属性!$P$1083,1+INT(COUNTA($Q$11:Q690)/5),0),J690)</f>
        <v>7</v>
      </c>
      <c r="K691" s="83" t="str">
        <f ca="1">IF(RIGHT(G691,13)="rune_slot,1}]",_xlfn.XLOOKUP(LEFT(SUBSTITUTE(G691,"[{",""),FIND(",",SUBSTITUTE(G691,"[{",""))-1),Sheet2!B:B,Sheet2!C:C)&amp;"+"&amp;1,_xlfn.XLOOKUP(LEFT(SUBSTITUTE(G691,"[{",""),FIND(",",SUBSTITUTE(G691,"[{",""))-1),Sheet2!B:B,Sheet2!C:C)&amp;"+"&amp;SUBSTITUTE(RIGHT(G691,LEN(G691)-FIND(",",G691)),"}]","")/100&amp;"%")</f>
        <v>装备基础属性加成+25%</v>
      </c>
      <c r="L691" s="83" t="str">
        <f ca="1">IF(MOD(COUNTIF($Q$11:Q690,Q690),5)=0,OFFSET(装备属性!$G$1083,1+INT(COUNTA($Q$11:Q690)/5),0),L690)</f>
        <v>厚底子</v>
      </c>
      <c r="M691" s="89" t="str">
        <f ca="1">IF(MOD(COUNTIF($Q$11:Q690,Q690),5)=0,OFFSET(装备属性!$H$1083,1+INT(COUNTA($Q$11:Q690)/5),0),M690)</f>
        <v>equip_base_attr</v>
      </c>
      <c r="N691" s="76">
        <f ca="1">IF(MOD(COUNTIF($Q$11:Q690,Q690),5)=0,OFFSET(装备属性!$K$1083,1+INT(COUNTA($Q$11:Q690)/5),0),N690)</f>
        <v>0.25</v>
      </c>
      <c r="O691" s="76">
        <f ca="1">IF(MOD(COUNTIF($Q$11:Q690,Q690),5)=0,OFFSET(装备属性!$L$1083,1+INT(COUNTA($Q$11:Q690)/5),0),O690)</f>
        <v>0.25</v>
      </c>
      <c r="Q691" s="89" t="str">
        <f ca="1">IF(MOD(COUNTIF($Q$11:Q690,Q690),5)=0,OFFSET(装备属性!$M$1083,1+INT(COUNTA($Q$11:Q690)/5),0),Q690)</f>
        <v>稀有词条</v>
      </c>
      <c r="R691" s="83" t="e">
        <f ca="1">IF(MOD(COUNTIF($Q$11:Q690,Q690),5)=0,10000*SUBSTITUTE(SUBSTITUTE(OFFSET(装备属性!$F$1083,1+INT(COUNTA($Q$11:Q690)/5),0),"[",""),"]","")+_xlfn.XLOOKUP(C691,$M$3:$M$7,$N$3:$N$7)*100,R690)</f>
        <v>#N/A</v>
      </c>
    </row>
    <row r="692" customHeight="1" spans="1:18">
      <c r="A692" s="78" t="str">
        <f ca="1" t="shared" si="30"/>
        <v/>
      </c>
      <c r="B692" s="82" t="str">
        <f ca="1">IFERROR(R692+COUNTIFS($R$11:$R692,R692),"")</f>
        <v/>
      </c>
      <c r="C692" s="83">
        <f ca="1">IF(MOD(COUNTIF($Q$11:Q691,Q691),5)=0,OFFSET(装备属性!$D$1083,1+INT(COUNTA($Q$11:Q691)/5),0),C691)</f>
        <v>0</v>
      </c>
      <c r="D692" s="82">
        <f t="shared" si="32"/>
        <v>2500</v>
      </c>
      <c r="F692" s="82" t="str">
        <f ca="1" t="shared" si="31"/>
        <v/>
      </c>
      <c r="G692" s="78" t="str">
        <f ca="1">IF(AND(LEFT("[{"&amp;M692&amp;","&amp;CEILING(N692*10000+(O692-N692)/4*(COUNTIF($F$11:F692,F692)-1)*10000,10)&amp;"}]",7)="[{equip",MID("[{"&amp;M692&amp;","&amp;CEILING(N692*10000+(O692-N692)/4*(COUNTIF($F$11:F692,F692)-1)*10000,10)&amp;"}]",8,1)&lt;&gt;"_"),"[{"&amp;M692&amp;","&amp;1&amp;"}]","[{"&amp;M692&amp;","&amp;CEILING(N692*10000+(O692-N692)/4*(COUNTIF($F$11:F692,F692)-1)*10000,10)&amp;"}]")</f>
        <v>[{equip_base_attr,2500}]</v>
      </c>
      <c r="H692" s="82" t="s">
        <v>563</v>
      </c>
      <c r="J692" s="78">
        <f ca="1">IF(MOD(COUNTIF($Q$11:Q691,Q691),5)=0,OFFSET(装备属性!$P$1083,1+INT(COUNTA($Q$11:Q691)/5),0),J691)</f>
        <v>7</v>
      </c>
      <c r="K692" s="83" t="str">
        <f ca="1">IF(RIGHT(G692,13)="rune_slot,1}]",_xlfn.XLOOKUP(LEFT(SUBSTITUTE(G692,"[{",""),FIND(",",SUBSTITUTE(G692,"[{",""))-1),Sheet2!B:B,Sheet2!C:C)&amp;"+"&amp;1,_xlfn.XLOOKUP(LEFT(SUBSTITUTE(G692,"[{",""),FIND(",",SUBSTITUTE(G692,"[{",""))-1),Sheet2!B:B,Sheet2!C:C)&amp;"+"&amp;SUBSTITUTE(RIGHT(G692,LEN(G692)-FIND(",",G692)),"}]","")/100&amp;"%")</f>
        <v>装备基础属性加成+25%</v>
      </c>
      <c r="L692" s="83" t="str">
        <f ca="1">IF(MOD(COUNTIF($Q$11:Q691,Q691),5)=0,OFFSET(装备属性!$G$1083,1+INT(COUNTA($Q$11:Q691)/5),0),L691)</f>
        <v>厚底子</v>
      </c>
      <c r="M692" s="89" t="str">
        <f ca="1">IF(MOD(COUNTIF($Q$11:Q691,Q691),5)=0,OFFSET(装备属性!$H$1083,1+INT(COUNTA($Q$11:Q691)/5),0),M691)</f>
        <v>equip_base_attr</v>
      </c>
      <c r="N692" s="76">
        <f ca="1">IF(MOD(COUNTIF($Q$11:Q691,Q691),5)=0,OFFSET(装备属性!$K$1083,1+INT(COUNTA($Q$11:Q691)/5),0),N691)</f>
        <v>0.25</v>
      </c>
      <c r="O692" s="76">
        <f ca="1">IF(MOD(COUNTIF($Q$11:Q691,Q691),5)=0,OFFSET(装备属性!$L$1083,1+INT(COUNTA($Q$11:Q691)/5),0),O691)</f>
        <v>0.25</v>
      </c>
      <c r="Q692" s="89" t="str">
        <f ca="1">IF(MOD(COUNTIF($Q$11:Q691,Q691),5)=0,OFFSET(装备属性!$M$1083,1+INT(COUNTA($Q$11:Q691)/5),0),Q691)</f>
        <v>稀有词条</v>
      </c>
      <c r="R692" s="83" t="e">
        <f ca="1">IF(MOD(COUNTIF($Q$11:Q691,Q691),5)=0,10000*SUBSTITUTE(SUBSTITUTE(OFFSET(装备属性!$F$1083,1+INT(COUNTA($Q$11:Q691)/5),0),"[",""),"]","")+_xlfn.XLOOKUP(C692,$M$3:$M$7,$N$3:$N$7)*100,R691)</f>
        <v>#N/A</v>
      </c>
    </row>
    <row r="693" customHeight="1" spans="1:18">
      <c r="A693" s="78" t="str">
        <f ca="1" t="shared" si="30"/>
        <v/>
      </c>
      <c r="B693" s="82" t="str">
        <f ca="1">IFERROR(R693+COUNTIFS($R$11:$R693,R693),"")</f>
        <v/>
      </c>
      <c r="C693" s="83">
        <f ca="1">IF(MOD(COUNTIF($Q$11:Q692,Q692),5)=0,OFFSET(装备属性!$D$1083,1+INT(COUNTA($Q$11:Q692)/5),0),C692)</f>
        <v>0</v>
      </c>
      <c r="D693" s="82">
        <f t="shared" si="32"/>
        <v>2000</v>
      </c>
      <c r="F693" s="82" t="str">
        <f ca="1" t="shared" si="31"/>
        <v/>
      </c>
      <c r="G693" s="78" t="str">
        <f ca="1">IF(AND(LEFT("[{"&amp;M693&amp;","&amp;CEILING(N693*10000+(O693-N693)/4*(COUNTIF($F$11:F693,F693)-1)*10000,10)&amp;"}]",7)="[{equip",MID("[{"&amp;M693&amp;","&amp;CEILING(N693*10000+(O693-N693)/4*(COUNTIF($F$11:F693,F693)-1)*10000,10)&amp;"}]",8,1)&lt;&gt;"_"),"[{"&amp;M693&amp;","&amp;1&amp;"}]","[{"&amp;M693&amp;","&amp;CEILING(N693*10000+(O693-N693)/4*(COUNTIF($F$11:F693,F693)-1)*10000,10)&amp;"}]")</f>
        <v>[{equip_base_attr,2500}]</v>
      </c>
      <c r="H693" s="82" t="s">
        <v>563</v>
      </c>
      <c r="J693" s="78">
        <f ca="1">IF(MOD(COUNTIF($Q$11:Q692,Q692),5)=0,OFFSET(装备属性!$P$1083,1+INT(COUNTA($Q$11:Q692)/5),0),J692)</f>
        <v>7</v>
      </c>
      <c r="K693" s="83" t="str">
        <f ca="1">IF(RIGHT(G693,13)="rune_slot,1}]",_xlfn.XLOOKUP(LEFT(SUBSTITUTE(G693,"[{",""),FIND(",",SUBSTITUTE(G693,"[{",""))-1),Sheet2!B:B,Sheet2!C:C)&amp;"+"&amp;1,_xlfn.XLOOKUP(LEFT(SUBSTITUTE(G693,"[{",""),FIND(",",SUBSTITUTE(G693,"[{",""))-1),Sheet2!B:B,Sheet2!C:C)&amp;"+"&amp;SUBSTITUTE(RIGHT(G693,LEN(G693)-FIND(",",G693)),"}]","")/100&amp;"%")</f>
        <v>装备基础属性加成+25%</v>
      </c>
      <c r="L693" s="83" t="str">
        <f ca="1">IF(MOD(COUNTIF($Q$11:Q692,Q692),5)=0,OFFSET(装备属性!$G$1083,1+INT(COUNTA($Q$11:Q692)/5),0),L692)</f>
        <v>厚底子</v>
      </c>
      <c r="M693" s="89" t="str">
        <f ca="1">IF(MOD(COUNTIF($Q$11:Q692,Q692),5)=0,OFFSET(装备属性!$H$1083,1+INT(COUNTA($Q$11:Q692)/5),0),M692)</f>
        <v>equip_base_attr</v>
      </c>
      <c r="N693" s="76">
        <f ca="1">IF(MOD(COUNTIF($Q$11:Q692,Q692),5)=0,OFFSET(装备属性!$K$1083,1+INT(COUNTA($Q$11:Q692)/5),0),N692)</f>
        <v>0.25</v>
      </c>
      <c r="O693" s="76">
        <f ca="1">IF(MOD(COUNTIF($Q$11:Q692,Q692),5)=0,OFFSET(装备属性!$L$1083,1+INT(COUNTA($Q$11:Q692)/5),0),O692)</f>
        <v>0.25</v>
      </c>
      <c r="Q693" s="89" t="str">
        <f ca="1">IF(MOD(COUNTIF($Q$11:Q692,Q692),5)=0,OFFSET(装备属性!$M$1083,1+INT(COUNTA($Q$11:Q692)/5),0),Q692)</f>
        <v>稀有词条</v>
      </c>
      <c r="R693" s="83" t="e">
        <f ca="1">IF(MOD(COUNTIF($Q$11:Q692,Q692),5)=0,10000*SUBSTITUTE(SUBSTITUTE(OFFSET(装备属性!$F$1083,1+INT(COUNTA($Q$11:Q692)/5),0),"[",""),"]","")+_xlfn.XLOOKUP(C693,$M$3:$M$7,$N$3:$N$7)*100,R692)</f>
        <v>#N/A</v>
      </c>
    </row>
    <row r="694" customHeight="1" spans="1:18">
      <c r="A694" s="78" t="str">
        <f ca="1" t="shared" si="30"/>
        <v/>
      </c>
      <c r="B694" s="82" t="str">
        <f ca="1">IFERROR(R694+COUNTIFS($R$11:$R694,R694),"")</f>
        <v/>
      </c>
      <c r="C694" s="83">
        <f ca="1">IF(MOD(COUNTIF($Q$11:Q693,Q693),5)=0,OFFSET(装备属性!$D$1083,1+INT(COUNTA($Q$11:Q693)/5),0),C693)</f>
        <v>0</v>
      </c>
      <c r="D694" s="82">
        <f t="shared" si="32"/>
        <v>1500</v>
      </c>
      <c r="F694" s="82" t="str">
        <f ca="1" t="shared" si="31"/>
        <v/>
      </c>
      <c r="G694" s="78" t="str">
        <f ca="1">IF(AND(LEFT("[{"&amp;M694&amp;","&amp;CEILING(N694*10000+(O694-N694)/4*(COUNTIF($F$11:F694,F694)-1)*10000,10)&amp;"}]",7)="[{equip",MID("[{"&amp;M694&amp;","&amp;CEILING(N694*10000+(O694-N694)/4*(COUNTIF($F$11:F694,F694)-1)*10000,10)&amp;"}]",8,1)&lt;&gt;"_"),"[{"&amp;M694&amp;","&amp;1&amp;"}]","[{"&amp;M694&amp;","&amp;CEILING(N694*10000+(O694-N694)/4*(COUNTIF($F$11:F694,F694)-1)*10000,10)&amp;"}]")</f>
        <v>[{equip_base_attr,2500}]</v>
      </c>
      <c r="H694" s="82" t="s">
        <v>563</v>
      </c>
      <c r="J694" s="78">
        <f ca="1">IF(MOD(COUNTIF($Q$11:Q693,Q693),5)=0,OFFSET(装备属性!$P$1083,1+INT(COUNTA($Q$11:Q693)/5),0),J693)</f>
        <v>7</v>
      </c>
      <c r="K694" s="83" t="str">
        <f ca="1">IF(RIGHT(G694,13)="rune_slot,1}]",_xlfn.XLOOKUP(LEFT(SUBSTITUTE(G694,"[{",""),FIND(",",SUBSTITUTE(G694,"[{",""))-1),Sheet2!B:B,Sheet2!C:C)&amp;"+"&amp;1,_xlfn.XLOOKUP(LEFT(SUBSTITUTE(G694,"[{",""),FIND(",",SUBSTITUTE(G694,"[{",""))-1),Sheet2!B:B,Sheet2!C:C)&amp;"+"&amp;SUBSTITUTE(RIGHT(G694,LEN(G694)-FIND(",",G694)),"}]","")/100&amp;"%")</f>
        <v>装备基础属性加成+25%</v>
      </c>
      <c r="L694" s="83" t="str">
        <f ca="1">IF(MOD(COUNTIF($Q$11:Q693,Q693),5)=0,OFFSET(装备属性!$G$1083,1+INT(COUNTA($Q$11:Q693)/5),0),L693)</f>
        <v>厚底子</v>
      </c>
      <c r="M694" s="89" t="str">
        <f ca="1">IF(MOD(COUNTIF($Q$11:Q693,Q693),5)=0,OFFSET(装备属性!$H$1083,1+INT(COUNTA($Q$11:Q693)/5),0),M693)</f>
        <v>equip_base_attr</v>
      </c>
      <c r="N694" s="76">
        <f ca="1">IF(MOD(COUNTIF($Q$11:Q693,Q693),5)=0,OFFSET(装备属性!$K$1083,1+INT(COUNTA($Q$11:Q693)/5),0),N693)</f>
        <v>0.25</v>
      </c>
      <c r="O694" s="76">
        <f ca="1">IF(MOD(COUNTIF($Q$11:Q693,Q693),5)=0,OFFSET(装备属性!$L$1083,1+INT(COUNTA($Q$11:Q693)/5),0),O693)</f>
        <v>0.25</v>
      </c>
      <c r="Q694" s="89" t="str">
        <f ca="1">IF(MOD(COUNTIF($Q$11:Q693,Q693),5)=0,OFFSET(装备属性!$M$1083,1+INT(COUNTA($Q$11:Q693)/5),0),Q693)</f>
        <v>稀有词条</v>
      </c>
      <c r="R694" s="83" t="e">
        <f ca="1">IF(MOD(COUNTIF($Q$11:Q693,Q693),5)=0,10000*SUBSTITUTE(SUBSTITUTE(OFFSET(装备属性!$F$1083,1+INT(COUNTA($Q$11:Q693)/5),0),"[",""),"]","")+_xlfn.XLOOKUP(C694,$M$3:$M$7,$N$3:$N$7)*100,R693)</f>
        <v>#N/A</v>
      </c>
    </row>
    <row r="695" customHeight="1" spans="1:18">
      <c r="A695" s="78" t="str">
        <f ca="1" t="shared" si="30"/>
        <v/>
      </c>
      <c r="B695" s="82" t="str">
        <f ca="1">IFERROR(R695+COUNTIFS($R$11:$R695,R695),"")</f>
        <v/>
      </c>
      <c r="C695" s="83">
        <f ca="1">IF(MOD(COUNTIF($Q$11:Q694,Q694),5)=0,OFFSET(装备属性!$D$1083,1+INT(COUNTA($Q$11:Q694)/5),0),C694)</f>
        <v>0</v>
      </c>
      <c r="D695" s="82">
        <f t="shared" si="32"/>
        <v>1000</v>
      </c>
      <c r="F695" s="82" t="str">
        <f ca="1" t="shared" si="31"/>
        <v/>
      </c>
      <c r="G695" s="78" t="str">
        <f ca="1">IF(AND(LEFT("[{"&amp;M695&amp;","&amp;CEILING(N695*10000+(O695-N695)/4*(COUNTIF($F$11:F695,F695)-1)*10000,10)&amp;"}]",7)="[{equip",MID("[{"&amp;M695&amp;","&amp;CEILING(N695*10000+(O695-N695)/4*(COUNTIF($F$11:F695,F695)-1)*10000,10)&amp;"}]",8,1)&lt;&gt;"_"),"[{"&amp;M695&amp;","&amp;1&amp;"}]","[{"&amp;M695&amp;","&amp;CEILING(N695*10000+(O695-N695)/4*(COUNTIF($F$11:F695,F695)-1)*10000,10)&amp;"}]")</f>
        <v>[{equip_base_attr,2500}]</v>
      </c>
      <c r="H695" s="82" t="s">
        <v>563</v>
      </c>
      <c r="J695" s="78">
        <f ca="1">IF(MOD(COUNTIF($Q$11:Q694,Q694),5)=0,OFFSET(装备属性!$P$1083,1+INT(COUNTA($Q$11:Q694)/5),0),J694)</f>
        <v>7</v>
      </c>
      <c r="K695" s="83" t="str">
        <f ca="1">IF(RIGHT(G695,13)="rune_slot,1}]",_xlfn.XLOOKUP(LEFT(SUBSTITUTE(G695,"[{",""),FIND(",",SUBSTITUTE(G695,"[{",""))-1),Sheet2!B:B,Sheet2!C:C)&amp;"+"&amp;1,_xlfn.XLOOKUP(LEFT(SUBSTITUTE(G695,"[{",""),FIND(",",SUBSTITUTE(G695,"[{",""))-1),Sheet2!B:B,Sheet2!C:C)&amp;"+"&amp;SUBSTITUTE(RIGHT(G695,LEN(G695)-FIND(",",G695)),"}]","")/100&amp;"%")</f>
        <v>装备基础属性加成+25%</v>
      </c>
      <c r="L695" s="83" t="str">
        <f ca="1">IF(MOD(COUNTIF($Q$11:Q694,Q694),5)=0,OFFSET(装备属性!$G$1083,1+INT(COUNTA($Q$11:Q694)/5),0),L694)</f>
        <v>厚底子</v>
      </c>
      <c r="M695" s="89" t="str">
        <f ca="1">IF(MOD(COUNTIF($Q$11:Q694,Q694),5)=0,OFFSET(装备属性!$H$1083,1+INT(COUNTA($Q$11:Q694)/5),0),M694)</f>
        <v>equip_base_attr</v>
      </c>
      <c r="N695" s="76">
        <f ca="1">IF(MOD(COUNTIF($Q$11:Q694,Q694),5)=0,OFFSET(装备属性!$K$1083,1+INT(COUNTA($Q$11:Q694)/5),0),N694)</f>
        <v>0.25</v>
      </c>
      <c r="O695" s="76">
        <f ca="1">IF(MOD(COUNTIF($Q$11:Q694,Q694),5)=0,OFFSET(装备属性!$L$1083,1+INT(COUNTA($Q$11:Q694)/5),0),O694)</f>
        <v>0.25</v>
      </c>
      <c r="Q695" s="89" t="str">
        <f ca="1">IF(MOD(COUNTIF($Q$11:Q694,Q694),5)=0,OFFSET(装备属性!$M$1083,1+INT(COUNTA($Q$11:Q694)/5),0),Q694)</f>
        <v>稀有词条</v>
      </c>
      <c r="R695" s="83" t="e">
        <f ca="1">IF(MOD(COUNTIF($Q$11:Q694,Q694),5)=0,10000*SUBSTITUTE(SUBSTITUTE(OFFSET(装备属性!$F$1083,1+INT(COUNTA($Q$11:Q694)/5),0),"[",""),"]","")+_xlfn.XLOOKUP(C695,$M$3:$M$7,$N$3:$N$7)*100,R694)</f>
        <v>#N/A</v>
      </c>
    </row>
    <row r="696" customHeight="1" spans="1:18">
      <c r="A696" s="78" t="str">
        <f ca="1" t="shared" si="30"/>
        <v/>
      </c>
      <c r="B696" s="82" t="str">
        <f ca="1">IFERROR(R696+COUNTIFS($R$11:$R696,R696),"")</f>
        <v/>
      </c>
      <c r="C696" s="83">
        <f ca="1">IF(MOD(COUNTIF($Q$11:Q695,Q695),5)=0,OFFSET(装备属性!$D$1083,1+INT(COUNTA($Q$11:Q695)/5),0),C695)</f>
        <v>0</v>
      </c>
      <c r="D696" s="82">
        <f t="shared" si="32"/>
        <v>3000</v>
      </c>
      <c r="F696" s="82" t="str">
        <f ca="1" t="shared" si="31"/>
        <v/>
      </c>
      <c r="G696" s="78" t="str">
        <f ca="1">IF(AND(LEFT("[{"&amp;M696&amp;","&amp;CEILING(N696*10000+(O696-N696)/4*(COUNTIF($F$11:F696,F696)-1)*10000,10)&amp;"}]",7)="[{equip",MID("[{"&amp;M696&amp;","&amp;CEILING(N696*10000+(O696-N696)/4*(COUNTIF($F$11:F696,F696)-1)*10000,10)&amp;"}]",8,1)&lt;&gt;"_"),"[{"&amp;M696&amp;","&amp;1&amp;"}]","[{"&amp;M696&amp;","&amp;CEILING(N696*10000+(O696-N696)/4*(COUNTIF($F$11:F696,F696)-1)*10000,10)&amp;"}]")</f>
        <v>[{equip_extra_attr,5000}]</v>
      </c>
      <c r="H696" s="82" t="s">
        <v>563</v>
      </c>
      <c r="J696" s="78">
        <f ca="1">IF(MOD(COUNTIF($Q$11:Q695,Q695),5)=0,OFFSET(装备属性!$P$1083,1+INT(COUNTA($Q$11:Q695)/5),0),J695)</f>
        <v>8</v>
      </c>
      <c r="K696" s="83" t="str">
        <f ca="1">IF(RIGHT(G696,13)="rune_slot,1}]",_xlfn.XLOOKUP(LEFT(SUBSTITUTE(G696,"[{",""),FIND(",",SUBSTITUTE(G696,"[{",""))-1),Sheet2!B:B,Sheet2!C:C)&amp;"+"&amp;1,_xlfn.XLOOKUP(LEFT(SUBSTITUTE(G696,"[{",""),FIND(",",SUBSTITUTE(G696,"[{",""))-1),Sheet2!B:B,Sheet2!C:C)&amp;"+"&amp;SUBSTITUTE(RIGHT(G696,LEN(G696)-FIND(",",G696)),"}]","")/100&amp;"%")</f>
        <v>装备附加属性加成+50%</v>
      </c>
      <c r="L696" s="83" t="str">
        <f ca="1">IF(MOD(COUNTIF($Q$11:Q695,Q695),5)=0,OFFSET(装备属性!$G$1083,1+INT(COUNTA($Q$11:Q695)/5),0),L695)</f>
        <v>提成色</v>
      </c>
      <c r="M696" s="89" t="str">
        <f ca="1">IF(MOD(COUNTIF($Q$11:Q695,Q695),5)=0,OFFSET(装备属性!$H$1083,1+INT(COUNTA($Q$11:Q695)/5),0),M695)</f>
        <v>equip_extra_attr</v>
      </c>
      <c r="N696" s="76">
        <f ca="1">IF(MOD(COUNTIF($Q$11:Q695,Q695),5)=0,OFFSET(装备属性!$K$1083,1+INT(COUNTA($Q$11:Q695)/5),0),N695)</f>
        <v>0.5</v>
      </c>
      <c r="O696" s="76">
        <f ca="1">IF(MOD(COUNTIF($Q$11:Q695,Q695),5)=0,OFFSET(装备属性!$L$1083,1+INT(COUNTA($Q$11:Q695)/5),0),O695)</f>
        <v>0.5</v>
      </c>
      <c r="Q696" s="89" t="str">
        <f ca="1">IF(MOD(COUNTIF($Q$11:Q695,Q695),5)=0,OFFSET(装备属性!$M$1083,1+INT(COUNTA($Q$11:Q695)/5),0),Q695)</f>
        <v>稀有词条</v>
      </c>
      <c r="R696" s="83" t="e">
        <f ca="1">IF(MOD(COUNTIF($Q$11:Q695,Q695),5)=0,10000*SUBSTITUTE(SUBSTITUTE(OFFSET(装备属性!$F$1083,1+INT(COUNTA($Q$11:Q695)/5),0),"[",""),"]","")+_xlfn.XLOOKUP(C696,$M$3:$M$7,$N$3:$N$7)*100,R695)</f>
        <v>#N/A</v>
      </c>
    </row>
    <row r="697" customHeight="1" spans="1:18">
      <c r="A697" s="78" t="str">
        <f ca="1" t="shared" si="30"/>
        <v/>
      </c>
      <c r="B697" s="82" t="str">
        <f ca="1">IFERROR(R697+COUNTIFS($R$11:$R697,R697),"")</f>
        <v/>
      </c>
      <c r="C697" s="83">
        <f ca="1">IF(MOD(COUNTIF($Q$11:Q696,Q696),5)=0,OFFSET(装备属性!$D$1083,1+INT(COUNTA($Q$11:Q696)/5),0),C696)</f>
        <v>0</v>
      </c>
      <c r="D697" s="82">
        <f t="shared" si="32"/>
        <v>2500</v>
      </c>
      <c r="F697" s="82" t="str">
        <f ca="1" t="shared" si="31"/>
        <v/>
      </c>
      <c r="G697" s="78" t="str">
        <f ca="1">IF(AND(LEFT("[{"&amp;M697&amp;","&amp;CEILING(N697*10000+(O697-N697)/4*(COUNTIF($F$11:F697,F697)-1)*10000,10)&amp;"}]",7)="[{equip",MID("[{"&amp;M697&amp;","&amp;CEILING(N697*10000+(O697-N697)/4*(COUNTIF($F$11:F697,F697)-1)*10000,10)&amp;"}]",8,1)&lt;&gt;"_"),"[{"&amp;M697&amp;","&amp;1&amp;"}]","[{"&amp;M697&amp;","&amp;CEILING(N697*10000+(O697-N697)/4*(COUNTIF($F$11:F697,F697)-1)*10000,10)&amp;"}]")</f>
        <v>[{equip_extra_attr,5000}]</v>
      </c>
      <c r="H697" s="82" t="s">
        <v>563</v>
      </c>
      <c r="J697" s="78">
        <f ca="1">IF(MOD(COUNTIF($Q$11:Q696,Q696),5)=0,OFFSET(装备属性!$P$1083,1+INT(COUNTA($Q$11:Q696)/5),0),J696)</f>
        <v>8</v>
      </c>
      <c r="K697" s="83" t="str">
        <f ca="1">IF(RIGHT(G697,13)="rune_slot,1}]",_xlfn.XLOOKUP(LEFT(SUBSTITUTE(G697,"[{",""),FIND(",",SUBSTITUTE(G697,"[{",""))-1),Sheet2!B:B,Sheet2!C:C)&amp;"+"&amp;1,_xlfn.XLOOKUP(LEFT(SUBSTITUTE(G697,"[{",""),FIND(",",SUBSTITUTE(G697,"[{",""))-1),Sheet2!B:B,Sheet2!C:C)&amp;"+"&amp;SUBSTITUTE(RIGHT(G697,LEN(G697)-FIND(",",G697)),"}]","")/100&amp;"%")</f>
        <v>装备附加属性加成+50%</v>
      </c>
      <c r="L697" s="83" t="str">
        <f ca="1">IF(MOD(COUNTIF($Q$11:Q696,Q696),5)=0,OFFSET(装备属性!$G$1083,1+INT(COUNTA($Q$11:Q696)/5),0),L696)</f>
        <v>提成色</v>
      </c>
      <c r="M697" s="89" t="str">
        <f ca="1">IF(MOD(COUNTIF($Q$11:Q696,Q696),5)=0,OFFSET(装备属性!$H$1083,1+INT(COUNTA($Q$11:Q696)/5),0),M696)</f>
        <v>equip_extra_attr</v>
      </c>
      <c r="N697" s="76">
        <f ca="1">IF(MOD(COUNTIF($Q$11:Q696,Q696),5)=0,OFFSET(装备属性!$K$1083,1+INT(COUNTA($Q$11:Q696)/5),0),N696)</f>
        <v>0.5</v>
      </c>
      <c r="O697" s="76">
        <f ca="1">IF(MOD(COUNTIF($Q$11:Q696,Q696),5)=0,OFFSET(装备属性!$L$1083,1+INT(COUNTA($Q$11:Q696)/5),0),O696)</f>
        <v>0.5</v>
      </c>
      <c r="Q697" s="89" t="str">
        <f ca="1">IF(MOD(COUNTIF($Q$11:Q696,Q696),5)=0,OFFSET(装备属性!$M$1083,1+INT(COUNTA($Q$11:Q696)/5),0),Q696)</f>
        <v>稀有词条</v>
      </c>
      <c r="R697" s="83" t="e">
        <f ca="1">IF(MOD(COUNTIF($Q$11:Q696,Q696),5)=0,10000*SUBSTITUTE(SUBSTITUTE(OFFSET(装备属性!$F$1083,1+INT(COUNTA($Q$11:Q696)/5),0),"[",""),"]","")+_xlfn.XLOOKUP(C697,$M$3:$M$7,$N$3:$N$7)*100,R696)</f>
        <v>#N/A</v>
      </c>
    </row>
    <row r="698" customHeight="1" spans="1:18">
      <c r="A698" s="78" t="str">
        <f ca="1" t="shared" si="30"/>
        <v/>
      </c>
      <c r="B698" s="82" t="str">
        <f ca="1">IFERROR(R698+COUNTIFS($R$11:$R698,R698),"")</f>
        <v/>
      </c>
      <c r="C698" s="83">
        <f ca="1">IF(MOD(COUNTIF($Q$11:Q697,Q697),5)=0,OFFSET(装备属性!$D$1083,1+INT(COUNTA($Q$11:Q697)/5),0),C697)</f>
        <v>0</v>
      </c>
      <c r="D698" s="82">
        <f t="shared" si="32"/>
        <v>2000</v>
      </c>
      <c r="F698" s="82" t="str">
        <f ca="1" t="shared" si="31"/>
        <v/>
      </c>
      <c r="G698" s="78" t="str">
        <f ca="1">IF(AND(LEFT("[{"&amp;M698&amp;","&amp;CEILING(N698*10000+(O698-N698)/4*(COUNTIF($F$11:F698,F698)-1)*10000,10)&amp;"}]",7)="[{equip",MID("[{"&amp;M698&amp;","&amp;CEILING(N698*10000+(O698-N698)/4*(COUNTIF($F$11:F698,F698)-1)*10000,10)&amp;"}]",8,1)&lt;&gt;"_"),"[{"&amp;M698&amp;","&amp;1&amp;"}]","[{"&amp;M698&amp;","&amp;CEILING(N698*10000+(O698-N698)/4*(COUNTIF($F$11:F698,F698)-1)*10000,10)&amp;"}]")</f>
        <v>[{equip_extra_attr,5000}]</v>
      </c>
      <c r="H698" s="82" t="s">
        <v>563</v>
      </c>
      <c r="J698" s="78">
        <f ca="1">IF(MOD(COUNTIF($Q$11:Q697,Q697),5)=0,OFFSET(装备属性!$P$1083,1+INT(COUNTA($Q$11:Q697)/5),0),J697)</f>
        <v>8</v>
      </c>
      <c r="K698" s="83" t="str">
        <f ca="1">IF(RIGHT(G698,13)="rune_slot,1}]",_xlfn.XLOOKUP(LEFT(SUBSTITUTE(G698,"[{",""),FIND(",",SUBSTITUTE(G698,"[{",""))-1),Sheet2!B:B,Sheet2!C:C)&amp;"+"&amp;1,_xlfn.XLOOKUP(LEFT(SUBSTITUTE(G698,"[{",""),FIND(",",SUBSTITUTE(G698,"[{",""))-1),Sheet2!B:B,Sheet2!C:C)&amp;"+"&amp;SUBSTITUTE(RIGHT(G698,LEN(G698)-FIND(",",G698)),"}]","")/100&amp;"%")</f>
        <v>装备附加属性加成+50%</v>
      </c>
      <c r="L698" s="83" t="str">
        <f ca="1">IF(MOD(COUNTIF($Q$11:Q697,Q697),5)=0,OFFSET(装备属性!$G$1083,1+INT(COUNTA($Q$11:Q697)/5),0),L697)</f>
        <v>提成色</v>
      </c>
      <c r="M698" s="89" t="str">
        <f ca="1">IF(MOD(COUNTIF($Q$11:Q697,Q697),5)=0,OFFSET(装备属性!$H$1083,1+INT(COUNTA($Q$11:Q697)/5),0),M697)</f>
        <v>equip_extra_attr</v>
      </c>
      <c r="N698" s="76">
        <f ca="1">IF(MOD(COUNTIF($Q$11:Q697,Q697),5)=0,OFFSET(装备属性!$K$1083,1+INT(COUNTA($Q$11:Q697)/5),0),N697)</f>
        <v>0.5</v>
      </c>
      <c r="O698" s="76">
        <f ca="1">IF(MOD(COUNTIF($Q$11:Q697,Q697),5)=0,OFFSET(装备属性!$L$1083,1+INT(COUNTA($Q$11:Q697)/5),0),O697)</f>
        <v>0.5</v>
      </c>
      <c r="Q698" s="89" t="str">
        <f ca="1">IF(MOD(COUNTIF($Q$11:Q697,Q697),5)=0,OFFSET(装备属性!$M$1083,1+INT(COUNTA($Q$11:Q697)/5),0),Q697)</f>
        <v>稀有词条</v>
      </c>
      <c r="R698" s="83" t="e">
        <f ca="1">IF(MOD(COUNTIF($Q$11:Q697,Q697),5)=0,10000*SUBSTITUTE(SUBSTITUTE(OFFSET(装备属性!$F$1083,1+INT(COUNTA($Q$11:Q697)/5),0),"[",""),"]","")+_xlfn.XLOOKUP(C698,$M$3:$M$7,$N$3:$N$7)*100,R697)</f>
        <v>#N/A</v>
      </c>
    </row>
    <row r="699" customHeight="1" spans="1:18">
      <c r="A699" s="78" t="str">
        <f ca="1" t="shared" si="30"/>
        <v/>
      </c>
      <c r="B699" s="82" t="str">
        <f ca="1">IFERROR(R699+COUNTIFS($R$11:$R699,R699),"")</f>
        <v/>
      </c>
      <c r="C699" s="83">
        <f ca="1">IF(MOD(COUNTIF($Q$11:Q698,Q698),5)=0,OFFSET(装备属性!$D$1083,1+INT(COUNTA($Q$11:Q698)/5),0),C698)</f>
        <v>0</v>
      </c>
      <c r="D699" s="82">
        <f t="shared" si="32"/>
        <v>1500</v>
      </c>
      <c r="F699" s="82" t="str">
        <f ca="1" t="shared" si="31"/>
        <v/>
      </c>
      <c r="G699" s="78" t="str">
        <f ca="1">IF(AND(LEFT("[{"&amp;M699&amp;","&amp;CEILING(N699*10000+(O699-N699)/4*(COUNTIF($F$11:F699,F699)-1)*10000,10)&amp;"}]",7)="[{equip",MID("[{"&amp;M699&amp;","&amp;CEILING(N699*10000+(O699-N699)/4*(COUNTIF($F$11:F699,F699)-1)*10000,10)&amp;"}]",8,1)&lt;&gt;"_"),"[{"&amp;M699&amp;","&amp;1&amp;"}]","[{"&amp;M699&amp;","&amp;CEILING(N699*10000+(O699-N699)/4*(COUNTIF($F$11:F699,F699)-1)*10000,10)&amp;"}]")</f>
        <v>[{equip_extra_attr,5000}]</v>
      </c>
      <c r="H699" s="82" t="s">
        <v>563</v>
      </c>
      <c r="J699" s="78">
        <f ca="1">IF(MOD(COUNTIF($Q$11:Q698,Q698),5)=0,OFFSET(装备属性!$P$1083,1+INT(COUNTA($Q$11:Q698)/5),0),J698)</f>
        <v>8</v>
      </c>
      <c r="K699" s="83" t="str">
        <f ca="1">IF(RIGHT(G699,13)="rune_slot,1}]",_xlfn.XLOOKUP(LEFT(SUBSTITUTE(G699,"[{",""),FIND(",",SUBSTITUTE(G699,"[{",""))-1),Sheet2!B:B,Sheet2!C:C)&amp;"+"&amp;1,_xlfn.XLOOKUP(LEFT(SUBSTITUTE(G699,"[{",""),FIND(",",SUBSTITUTE(G699,"[{",""))-1),Sheet2!B:B,Sheet2!C:C)&amp;"+"&amp;SUBSTITUTE(RIGHT(G699,LEN(G699)-FIND(",",G699)),"}]","")/100&amp;"%")</f>
        <v>装备附加属性加成+50%</v>
      </c>
      <c r="L699" s="83" t="str">
        <f ca="1">IF(MOD(COUNTIF($Q$11:Q698,Q698),5)=0,OFFSET(装备属性!$G$1083,1+INT(COUNTA($Q$11:Q698)/5),0),L698)</f>
        <v>提成色</v>
      </c>
      <c r="M699" s="89" t="str">
        <f ca="1">IF(MOD(COUNTIF($Q$11:Q698,Q698),5)=0,OFFSET(装备属性!$H$1083,1+INT(COUNTA($Q$11:Q698)/5),0),M698)</f>
        <v>equip_extra_attr</v>
      </c>
      <c r="N699" s="76">
        <f ca="1">IF(MOD(COUNTIF($Q$11:Q698,Q698),5)=0,OFFSET(装备属性!$K$1083,1+INT(COUNTA($Q$11:Q698)/5),0),N698)</f>
        <v>0.5</v>
      </c>
      <c r="O699" s="76">
        <f ca="1">IF(MOD(COUNTIF($Q$11:Q698,Q698),5)=0,OFFSET(装备属性!$L$1083,1+INT(COUNTA($Q$11:Q698)/5),0),O698)</f>
        <v>0.5</v>
      </c>
      <c r="Q699" s="89" t="str">
        <f ca="1">IF(MOD(COUNTIF($Q$11:Q698,Q698),5)=0,OFFSET(装备属性!$M$1083,1+INT(COUNTA($Q$11:Q698)/5),0),Q698)</f>
        <v>稀有词条</v>
      </c>
      <c r="R699" s="83" t="e">
        <f ca="1">IF(MOD(COUNTIF($Q$11:Q698,Q698),5)=0,10000*SUBSTITUTE(SUBSTITUTE(OFFSET(装备属性!$F$1083,1+INT(COUNTA($Q$11:Q698)/5),0),"[",""),"]","")+_xlfn.XLOOKUP(C699,$M$3:$M$7,$N$3:$N$7)*100,R698)</f>
        <v>#N/A</v>
      </c>
    </row>
    <row r="700" customHeight="1" spans="1:18">
      <c r="A700" s="78" t="str">
        <f ca="1" t="shared" si="30"/>
        <v/>
      </c>
      <c r="B700" s="82" t="str">
        <f ca="1">IFERROR(R700+COUNTIFS($R$11:$R700,R700),"")</f>
        <v/>
      </c>
      <c r="C700" s="83">
        <f ca="1">IF(MOD(COUNTIF($Q$11:Q699,Q699),5)=0,OFFSET(装备属性!$D$1083,1+INT(COUNTA($Q$11:Q699)/5),0),C699)</f>
        <v>0</v>
      </c>
      <c r="D700" s="82">
        <f t="shared" si="32"/>
        <v>1000</v>
      </c>
      <c r="F700" s="82" t="str">
        <f ca="1" t="shared" si="31"/>
        <v/>
      </c>
      <c r="G700" s="78" t="str">
        <f ca="1">IF(AND(LEFT("[{"&amp;M700&amp;","&amp;CEILING(N700*10000+(O700-N700)/4*(COUNTIF($F$11:F700,F700)-1)*10000,10)&amp;"}]",7)="[{equip",MID("[{"&amp;M700&amp;","&amp;CEILING(N700*10000+(O700-N700)/4*(COUNTIF($F$11:F700,F700)-1)*10000,10)&amp;"}]",8,1)&lt;&gt;"_"),"[{"&amp;M700&amp;","&amp;1&amp;"}]","[{"&amp;M700&amp;","&amp;CEILING(N700*10000+(O700-N700)/4*(COUNTIF($F$11:F700,F700)-1)*10000,10)&amp;"}]")</f>
        <v>[{equip_extra_attr,5000}]</v>
      </c>
      <c r="H700" s="82" t="s">
        <v>563</v>
      </c>
      <c r="J700" s="78">
        <f ca="1">IF(MOD(COUNTIF($Q$11:Q699,Q699),5)=0,OFFSET(装备属性!$P$1083,1+INT(COUNTA($Q$11:Q699)/5),0),J699)</f>
        <v>8</v>
      </c>
      <c r="K700" s="83" t="str">
        <f ca="1">IF(RIGHT(G700,13)="rune_slot,1}]",_xlfn.XLOOKUP(LEFT(SUBSTITUTE(G700,"[{",""),FIND(",",SUBSTITUTE(G700,"[{",""))-1),Sheet2!B:B,Sheet2!C:C)&amp;"+"&amp;1,_xlfn.XLOOKUP(LEFT(SUBSTITUTE(G700,"[{",""),FIND(",",SUBSTITUTE(G700,"[{",""))-1),Sheet2!B:B,Sheet2!C:C)&amp;"+"&amp;SUBSTITUTE(RIGHT(G700,LEN(G700)-FIND(",",G700)),"}]","")/100&amp;"%")</f>
        <v>装备附加属性加成+50%</v>
      </c>
      <c r="L700" s="83" t="str">
        <f ca="1">IF(MOD(COUNTIF($Q$11:Q699,Q699),5)=0,OFFSET(装备属性!$G$1083,1+INT(COUNTA($Q$11:Q699)/5),0),L699)</f>
        <v>提成色</v>
      </c>
      <c r="M700" s="89" t="str">
        <f ca="1">IF(MOD(COUNTIF($Q$11:Q699,Q699),5)=0,OFFSET(装备属性!$H$1083,1+INT(COUNTA($Q$11:Q699)/5),0),M699)</f>
        <v>equip_extra_attr</v>
      </c>
      <c r="N700" s="76">
        <f ca="1">IF(MOD(COUNTIF($Q$11:Q699,Q699),5)=0,OFFSET(装备属性!$K$1083,1+INT(COUNTA($Q$11:Q699)/5),0),N699)</f>
        <v>0.5</v>
      </c>
      <c r="O700" s="76">
        <f ca="1">IF(MOD(COUNTIF($Q$11:Q699,Q699),5)=0,OFFSET(装备属性!$L$1083,1+INT(COUNTA($Q$11:Q699)/5),0),O699)</f>
        <v>0.5</v>
      </c>
      <c r="Q700" s="89" t="str">
        <f ca="1">IF(MOD(COUNTIF($Q$11:Q699,Q699),5)=0,OFFSET(装备属性!$M$1083,1+INT(COUNTA($Q$11:Q699)/5),0),Q699)</f>
        <v>稀有词条</v>
      </c>
      <c r="R700" s="83" t="e">
        <f ca="1">IF(MOD(COUNTIF($Q$11:Q699,Q699),5)=0,10000*SUBSTITUTE(SUBSTITUTE(OFFSET(装备属性!$F$1083,1+INT(COUNTA($Q$11:Q699)/5),0),"[",""),"]","")+_xlfn.XLOOKUP(C700,$M$3:$M$7,$N$3:$N$7)*100,R699)</f>
        <v>#N/A</v>
      </c>
    </row>
    <row r="701" customHeight="1" spans="1:18">
      <c r="A701" s="78" t="str">
        <f ca="1" t="shared" si="30"/>
        <v/>
      </c>
      <c r="B701" s="82" t="str">
        <f ca="1">IFERROR(R701+COUNTIFS($R$11:$R701,R701),"")</f>
        <v/>
      </c>
      <c r="C701" s="83">
        <f ca="1">IF(MOD(COUNTIF($Q$11:Q700,Q700),5)=0,OFFSET(装备属性!$D$1083,1+INT(COUNTA($Q$11:Q700)/5),0),C700)</f>
        <v>0</v>
      </c>
      <c r="D701" s="82">
        <f t="shared" si="32"/>
        <v>3000</v>
      </c>
      <c r="F701" s="82" t="str">
        <f ca="1" t="shared" si="31"/>
        <v/>
      </c>
      <c r="G701" s="78" t="str">
        <f ca="1">IF(AND(LEFT("[{"&amp;M701&amp;","&amp;CEILING(N701*10000+(O701-N701)/4*(COUNTIF($F$11:F701,F701)-1)*10000,10)&amp;"}]",7)="[{equip",MID("[{"&amp;M701&amp;","&amp;CEILING(N701*10000+(O701-N701)/4*(COUNTIF($F$11:F701,F701)-1)*10000,10)&amp;"}]",8,1)&lt;&gt;"_"),"[{"&amp;M701&amp;","&amp;1&amp;"}]","[{"&amp;M701&amp;","&amp;CEILING(N701*10000+(O701-N701)/4*(COUNTIF($F$11:F701,F701)-1)*10000,10)&amp;"}]")</f>
        <v>[{arena_pve_hit_rare,10730}]</v>
      </c>
      <c r="H701" s="82" t="s">
        <v>563</v>
      </c>
      <c r="J701" s="78">
        <f ca="1">IF(MOD(COUNTIF($Q$11:Q700,Q700),5)=0,OFFSET(装备属性!$P$1083,1+INT(COUNTA($Q$11:Q700)/5),0),J700)</f>
        <v>1</v>
      </c>
      <c r="K701" s="83" t="str">
        <f ca="1">IF(RIGHT(G701,13)="rune_slot,1}]",_xlfn.XLOOKUP(LEFT(SUBSTITUTE(G701,"[{",""),FIND(",",SUBSTITUTE(G701,"[{",""))-1),Sheet2!B:B,Sheet2!C:C)&amp;"+"&amp;1,_xlfn.XLOOKUP(LEFT(SUBSTITUTE(G701,"[{",""),FIND(",",SUBSTITUTE(G701,"[{",""))-1),Sheet2!B:B,Sheet2!C:C)&amp;"+"&amp;SUBSTITUTE(RIGHT(G701,LEN(G701)-FIND(",",G701)),"}]","")/100&amp;"%")</f>
        <v>荧幕争锋增伤+107.3%</v>
      </c>
      <c r="L701" s="83" t="str">
        <f ca="1">IF(MOD(COUNTIF($Q$11:Q700,Q700),5)=0,OFFSET(装备属性!$G$1083,1+INT(COUNTA($Q$11:Q700)/5),0),L700)</f>
        <v>关键开团Ⅱ</v>
      </c>
      <c r="M701" s="89" t="str">
        <f ca="1">IF(MOD(COUNTIF($Q$11:Q700,Q700),5)=0,OFFSET(装备属性!$H$1083,1+INT(COUNTA($Q$11:Q700)/5),0),M700)</f>
        <v>arena_pve_hit_rare</v>
      </c>
      <c r="N701" s="76">
        <f ca="1">IF(MOD(COUNTIF($Q$11:Q700,Q700),5)=0,OFFSET(装备属性!$K$1083,1+INT(COUNTA($Q$11:Q700)/5),0),N700)</f>
        <v>0.058</v>
      </c>
      <c r="O701" s="76">
        <f ca="1">IF(MOD(COUNTIF($Q$11:Q700,Q700),5)=0,OFFSET(装备属性!$L$1083,1+INT(COUNTA($Q$11:Q700)/5),0),O700)</f>
        <v>0.072</v>
      </c>
      <c r="Q701" s="89" t="str">
        <f ca="1">IF(MOD(COUNTIF($Q$11:Q700,Q700),5)=0,OFFSET(装备属性!$M$1083,1+INT(COUNTA($Q$11:Q700)/5),0),Q700)</f>
        <v>玩法类</v>
      </c>
      <c r="R701" s="83" t="e">
        <f ca="1">IF(MOD(COUNTIF($Q$11:Q700,Q700),5)=0,10000*SUBSTITUTE(SUBSTITUTE(OFFSET(装备属性!$F$1083,1+INT(COUNTA($Q$11:Q700)/5),0),"[",""),"]","")+_xlfn.XLOOKUP(C701,$M$3:$M$7,$N$3:$N$7)*100,R700)</f>
        <v>#N/A</v>
      </c>
    </row>
    <row r="702" customHeight="1" spans="1:18">
      <c r="A702" s="78" t="str">
        <f ca="1" t="shared" si="30"/>
        <v/>
      </c>
      <c r="B702" s="82" t="str">
        <f ca="1">IFERROR(R702+COUNTIFS($R$11:$R702,R702),"")</f>
        <v/>
      </c>
      <c r="C702" s="83">
        <f ca="1">IF(MOD(COUNTIF($Q$11:Q701,Q701),5)=0,OFFSET(装备属性!$D$1083,1+INT(COUNTA($Q$11:Q701)/5),0),C701)</f>
        <v>0</v>
      </c>
      <c r="D702" s="82">
        <f t="shared" si="32"/>
        <v>2500</v>
      </c>
      <c r="F702" s="82" t="str">
        <f ca="1" t="shared" si="31"/>
        <v/>
      </c>
      <c r="G702" s="78" t="str">
        <f ca="1">IF(AND(LEFT("[{"&amp;M702&amp;","&amp;CEILING(N702*10000+(O702-N702)/4*(COUNTIF($F$11:F702,F702)-1)*10000,10)&amp;"}]",7)="[{equip",MID("[{"&amp;M702&amp;","&amp;CEILING(N702*10000+(O702-N702)/4*(COUNTIF($F$11:F702,F702)-1)*10000,10)&amp;"}]",8,1)&lt;&gt;"_"),"[{"&amp;M702&amp;","&amp;1&amp;"}]","[{"&amp;M702&amp;","&amp;CEILING(N702*10000+(O702-N702)/4*(COUNTIF($F$11:F702,F702)-1)*10000,10)&amp;"}]")</f>
        <v>[{arena_pve_hit_rare,10770}]</v>
      </c>
      <c r="H702" s="82" t="s">
        <v>563</v>
      </c>
      <c r="J702" s="78">
        <f ca="1">IF(MOD(COUNTIF($Q$11:Q701,Q701),5)=0,OFFSET(装备属性!$P$1083,1+INT(COUNTA($Q$11:Q701)/5),0),J701)</f>
        <v>1</v>
      </c>
      <c r="K702" s="83" t="str">
        <f ca="1">IF(RIGHT(G702,13)="rune_slot,1}]",_xlfn.XLOOKUP(LEFT(SUBSTITUTE(G702,"[{",""),FIND(",",SUBSTITUTE(G702,"[{",""))-1),Sheet2!B:B,Sheet2!C:C)&amp;"+"&amp;1,_xlfn.XLOOKUP(LEFT(SUBSTITUTE(G702,"[{",""),FIND(",",SUBSTITUTE(G702,"[{",""))-1),Sheet2!B:B,Sheet2!C:C)&amp;"+"&amp;SUBSTITUTE(RIGHT(G702,LEN(G702)-FIND(",",G702)),"}]","")/100&amp;"%")</f>
        <v>荧幕争锋增伤+107.7%</v>
      </c>
      <c r="L702" s="83" t="str">
        <f ca="1">IF(MOD(COUNTIF($Q$11:Q701,Q701),5)=0,OFFSET(装备属性!$G$1083,1+INT(COUNTA($Q$11:Q701)/5),0),L701)</f>
        <v>关键开团Ⅱ</v>
      </c>
      <c r="M702" s="89" t="str">
        <f ca="1">IF(MOD(COUNTIF($Q$11:Q701,Q701),5)=0,OFFSET(装备属性!$H$1083,1+INT(COUNTA($Q$11:Q701)/5),0),M701)</f>
        <v>arena_pve_hit_rare</v>
      </c>
      <c r="N702" s="76">
        <f ca="1">IF(MOD(COUNTIF($Q$11:Q701,Q701),5)=0,OFFSET(装备属性!$K$1083,1+INT(COUNTA($Q$11:Q701)/5),0),N701)</f>
        <v>0.058</v>
      </c>
      <c r="O702" s="76">
        <f ca="1">IF(MOD(COUNTIF($Q$11:Q701,Q701),5)=0,OFFSET(装备属性!$L$1083,1+INT(COUNTA($Q$11:Q701)/5),0),O701)</f>
        <v>0.072</v>
      </c>
      <c r="Q702" s="89" t="str">
        <f ca="1">IF(MOD(COUNTIF($Q$11:Q701,Q701),5)=0,OFFSET(装备属性!$M$1083,1+INT(COUNTA($Q$11:Q701)/5),0),Q701)</f>
        <v>玩法类</v>
      </c>
      <c r="R702" s="83" t="e">
        <f ca="1">IF(MOD(COUNTIF($Q$11:Q701,Q701),5)=0,10000*SUBSTITUTE(SUBSTITUTE(OFFSET(装备属性!$F$1083,1+INT(COUNTA($Q$11:Q701)/5),0),"[",""),"]","")+_xlfn.XLOOKUP(C702,$M$3:$M$7,$N$3:$N$7)*100,R701)</f>
        <v>#N/A</v>
      </c>
    </row>
    <row r="703" customHeight="1" spans="1:18">
      <c r="A703" s="78" t="str">
        <f ca="1" t="shared" si="30"/>
        <v/>
      </c>
      <c r="B703" s="82" t="str">
        <f ca="1">IFERROR(R703+COUNTIFS($R$11:$R703,R703),"")</f>
        <v/>
      </c>
      <c r="C703" s="83">
        <f ca="1">IF(MOD(COUNTIF($Q$11:Q702,Q702),5)=0,OFFSET(装备属性!$D$1083,1+INT(COUNTA($Q$11:Q702)/5),0),C702)</f>
        <v>0</v>
      </c>
      <c r="D703" s="82">
        <f t="shared" si="32"/>
        <v>2000</v>
      </c>
      <c r="F703" s="82" t="str">
        <f ca="1" t="shared" si="31"/>
        <v/>
      </c>
      <c r="G703" s="78" t="str">
        <f ca="1">IF(AND(LEFT("[{"&amp;M703&amp;","&amp;CEILING(N703*10000+(O703-N703)/4*(COUNTIF($F$11:F703,F703)-1)*10000,10)&amp;"}]",7)="[{equip",MID("[{"&amp;M703&amp;","&amp;CEILING(N703*10000+(O703-N703)/4*(COUNTIF($F$11:F703,F703)-1)*10000,10)&amp;"}]",8,1)&lt;&gt;"_"),"[{"&amp;M703&amp;","&amp;1&amp;"}]","[{"&amp;M703&amp;","&amp;CEILING(N703*10000+(O703-N703)/4*(COUNTIF($F$11:F703,F703)-1)*10000,10)&amp;"}]")</f>
        <v>[{arena_pve_hit_rare,10800}]</v>
      </c>
      <c r="H703" s="82" t="s">
        <v>563</v>
      </c>
      <c r="J703" s="78">
        <f ca="1">IF(MOD(COUNTIF($Q$11:Q702,Q702),5)=0,OFFSET(装备属性!$P$1083,1+INT(COUNTA($Q$11:Q702)/5),0),J702)</f>
        <v>1</v>
      </c>
      <c r="K703" s="83" t="str">
        <f ca="1">IF(RIGHT(G703,13)="rune_slot,1}]",_xlfn.XLOOKUP(LEFT(SUBSTITUTE(G703,"[{",""),FIND(",",SUBSTITUTE(G703,"[{",""))-1),Sheet2!B:B,Sheet2!C:C)&amp;"+"&amp;1,_xlfn.XLOOKUP(LEFT(SUBSTITUTE(G703,"[{",""),FIND(",",SUBSTITUTE(G703,"[{",""))-1),Sheet2!B:B,Sheet2!C:C)&amp;"+"&amp;SUBSTITUTE(RIGHT(G703,LEN(G703)-FIND(",",G703)),"}]","")/100&amp;"%")</f>
        <v>荧幕争锋增伤+108%</v>
      </c>
      <c r="L703" s="83" t="str">
        <f ca="1">IF(MOD(COUNTIF($Q$11:Q702,Q702),5)=0,OFFSET(装备属性!$G$1083,1+INT(COUNTA($Q$11:Q702)/5),0),L702)</f>
        <v>关键开团Ⅱ</v>
      </c>
      <c r="M703" s="89" t="str">
        <f ca="1">IF(MOD(COUNTIF($Q$11:Q702,Q702),5)=0,OFFSET(装备属性!$H$1083,1+INT(COUNTA($Q$11:Q702)/5),0),M702)</f>
        <v>arena_pve_hit_rare</v>
      </c>
      <c r="N703" s="76">
        <f ca="1">IF(MOD(COUNTIF($Q$11:Q702,Q702),5)=0,OFFSET(装备属性!$K$1083,1+INT(COUNTA($Q$11:Q702)/5),0),N702)</f>
        <v>0.058</v>
      </c>
      <c r="O703" s="76">
        <f ca="1">IF(MOD(COUNTIF($Q$11:Q702,Q702),5)=0,OFFSET(装备属性!$L$1083,1+INT(COUNTA($Q$11:Q702)/5),0),O702)</f>
        <v>0.072</v>
      </c>
      <c r="Q703" s="89" t="str">
        <f ca="1">IF(MOD(COUNTIF($Q$11:Q702,Q702),5)=0,OFFSET(装备属性!$M$1083,1+INT(COUNTA($Q$11:Q702)/5),0),Q702)</f>
        <v>玩法类</v>
      </c>
      <c r="R703" s="83" t="e">
        <f ca="1">IF(MOD(COUNTIF($Q$11:Q702,Q702),5)=0,10000*SUBSTITUTE(SUBSTITUTE(OFFSET(装备属性!$F$1083,1+INT(COUNTA($Q$11:Q702)/5),0),"[",""),"]","")+_xlfn.XLOOKUP(C703,$M$3:$M$7,$N$3:$N$7)*100,R702)</f>
        <v>#N/A</v>
      </c>
    </row>
    <row r="704" customHeight="1" spans="1:18">
      <c r="A704" s="78" t="str">
        <f ca="1" t="shared" si="30"/>
        <v/>
      </c>
      <c r="B704" s="82" t="str">
        <f ca="1">IFERROR(R704+COUNTIFS($R$11:$R704,R704),"")</f>
        <v/>
      </c>
      <c r="C704" s="83">
        <f ca="1">IF(MOD(COUNTIF($Q$11:Q703,Q703),5)=0,OFFSET(装备属性!$D$1083,1+INT(COUNTA($Q$11:Q703)/5),0),C703)</f>
        <v>0</v>
      </c>
      <c r="D704" s="82">
        <f t="shared" si="32"/>
        <v>1500</v>
      </c>
      <c r="F704" s="82" t="str">
        <f ca="1" t="shared" si="31"/>
        <v/>
      </c>
      <c r="G704" s="78" t="str">
        <f ca="1">IF(AND(LEFT("[{"&amp;M704&amp;","&amp;CEILING(N704*10000+(O704-N704)/4*(COUNTIF($F$11:F704,F704)-1)*10000,10)&amp;"}]",7)="[{equip",MID("[{"&amp;M704&amp;","&amp;CEILING(N704*10000+(O704-N704)/4*(COUNTIF($F$11:F704,F704)-1)*10000,10)&amp;"}]",8,1)&lt;&gt;"_"),"[{"&amp;M704&amp;","&amp;1&amp;"}]","[{"&amp;M704&amp;","&amp;CEILING(N704*10000+(O704-N704)/4*(COUNTIF($F$11:F704,F704)-1)*10000,10)&amp;"}]")</f>
        <v>[{arena_pve_hit_rare,10840}]</v>
      </c>
      <c r="H704" s="82" t="s">
        <v>563</v>
      </c>
      <c r="J704" s="78">
        <f ca="1">IF(MOD(COUNTIF($Q$11:Q703,Q703),5)=0,OFFSET(装备属性!$P$1083,1+INT(COUNTA($Q$11:Q703)/5),0),J703)</f>
        <v>1</v>
      </c>
      <c r="K704" s="83" t="str">
        <f ca="1">IF(RIGHT(G704,13)="rune_slot,1}]",_xlfn.XLOOKUP(LEFT(SUBSTITUTE(G704,"[{",""),FIND(",",SUBSTITUTE(G704,"[{",""))-1),Sheet2!B:B,Sheet2!C:C)&amp;"+"&amp;1,_xlfn.XLOOKUP(LEFT(SUBSTITUTE(G704,"[{",""),FIND(",",SUBSTITUTE(G704,"[{",""))-1),Sheet2!B:B,Sheet2!C:C)&amp;"+"&amp;SUBSTITUTE(RIGHT(G704,LEN(G704)-FIND(",",G704)),"}]","")/100&amp;"%")</f>
        <v>荧幕争锋增伤+108.4%</v>
      </c>
      <c r="L704" s="83" t="str">
        <f ca="1">IF(MOD(COUNTIF($Q$11:Q703,Q703),5)=0,OFFSET(装备属性!$G$1083,1+INT(COUNTA($Q$11:Q703)/5),0),L703)</f>
        <v>关键开团Ⅱ</v>
      </c>
      <c r="M704" s="89" t="str">
        <f ca="1">IF(MOD(COUNTIF($Q$11:Q703,Q703),5)=0,OFFSET(装备属性!$H$1083,1+INT(COUNTA($Q$11:Q703)/5),0),M703)</f>
        <v>arena_pve_hit_rare</v>
      </c>
      <c r="N704" s="76">
        <f ca="1">IF(MOD(COUNTIF($Q$11:Q703,Q703),5)=0,OFFSET(装备属性!$K$1083,1+INT(COUNTA($Q$11:Q703)/5),0),N703)</f>
        <v>0.058</v>
      </c>
      <c r="O704" s="76">
        <f ca="1">IF(MOD(COUNTIF($Q$11:Q703,Q703),5)=0,OFFSET(装备属性!$L$1083,1+INT(COUNTA($Q$11:Q703)/5),0),O703)</f>
        <v>0.072</v>
      </c>
      <c r="Q704" s="89" t="str">
        <f ca="1">IF(MOD(COUNTIF($Q$11:Q703,Q703),5)=0,OFFSET(装备属性!$M$1083,1+INT(COUNTA($Q$11:Q703)/5),0),Q703)</f>
        <v>玩法类</v>
      </c>
      <c r="R704" s="83" t="e">
        <f ca="1">IF(MOD(COUNTIF($Q$11:Q703,Q703),5)=0,10000*SUBSTITUTE(SUBSTITUTE(OFFSET(装备属性!$F$1083,1+INT(COUNTA($Q$11:Q703)/5),0),"[",""),"]","")+_xlfn.XLOOKUP(C704,$M$3:$M$7,$N$3:$N$7)*100,R703)</f>
        <v>#N/A</v>
      </c>
    </row>
    <row r="705" customHeight="1" spans="1:18">
      <c r="A705" s="78" t="str">
        <f ca="1" t="shared" si="30"/>
        <v/>
      </c>
      <c r="B705" s="82" t="str">
        <f ca="1">IFERROR(R705+COUNTIFS($R$11:$R705,R705),"")</f>
        <v/>
      </c>
      <c r="C705" s="83">
        <f ca="1">IF(MOD(COUNTIF($Q$11:Q704,Q704),5)=0,OFFSET(装备属性!$D$1083,1+INT(COUNTA($Q$11:Q704)/5),0),C704)</f>
        <v>0</v>
      </c>
      <c r="D705" s="82">
        <f t="shared" si="32"/>
        <v>1000</v>
      </c>
      <c r="F705" s="82" t="str">
        <f ca="1" t="shared" si="31"/>
        <v/>
      </c>
      <c r="G705" s="78" t="str">
        <f ca="1">IF(AND(LEFT("[{"&amp;M705&amp;","&amp;CEILING(N705*10000+(O705-N705)/4*(COUNTIF($F$11:F705,F705)-1)*10000,10)&amp;"}]",7)="[{equip",MID("[{"&amp;M705&amp;","&amp;CEILING(N705*10000+(O705-N705)/4*(COUNTIF($F$11:F705,F705)-1)*10000,10)&amp;"}]",8,1)&lt;&gt;"_"),"[{"&amp;M705&amp;","&amp;1&amp;"}]","[{"&amp;M705&amp;","&amp;CEILING(N705*10000+(O705-N705)/4*(COUNTIF($F$11:F705,F705)-1)*10000,10)&amp;"}]")</f>
        <v>[{arena_pve_hit_rare,10870}]</v>
      </c>
      <c r="H705" s="82" t="s">
        <v>563</v>
      </c>
      <c r="J705" s="78">
        <f ca="1">IF(MOD(COUNTIF($Q$11:Q704,Q704),5)=0,OFFSET(装备属性!$P$1083,1+INT(COUNTA($Q$11:Q704)/5),0),J704)</f>
        <v>1</v>
      </c>
      <c r="K705" s="83" t="str">
        <f ca="1">IF(RIGHT(G705,13)="rune_slot,1}]",_xlfn.XLOOKUP(LEFT(SUBSTITUTE(G705,"[{",""),FIND(",",SUBSTITUTE(G705,"[{",""))-1),Sheet2!B:B,Sheet2!C:C)&amp;"+"&amp;1,_xlfn.XLOOKUP(LEFT(SUBSTITUTE(G705,"[{",""),FIND(",",SUBSTITUTE(G705,"[{",""))-1),Sheet2!B:B,Sheet2!C:C)&amp;"+"&amp;SUBSTITUTE(RIGHT(G705,LEN(G705)-FIND(",",G705)),"}]","")/100&amp;"%")</f>
        <v>荧幕争锋增伤+108.7%</v>
      </c>
      <c r="L705" s="83" t="str">
        <f ca="1">IF(MOD(COUNTIF($Q$11:Q704,Q704),5)=0,OFFSET(装备属性!$G$1083,1+INT(COUNTA($Q$11:Q704)/5),0),L704)</f>
        <v>关键开团Ⅱ</v>
      </c>
      <c r="M705" s="89" t="str">
        <f ca="1">IF(MOD(COUNTIF($Q$11:Q704,Q704),5)=0,OFFSET(装备属性!$H$1083,1+INT(COUNTA($Q$11:Q704)/5),0),M704)</f>
        <v>arena_pve_hit_rare</v>
      </c>
      <c r="N705" s="76">
        <f ca="1">IF(MOD(COUNTIF($Q$11:Q704,Q704),5)=0,OFFSET(装备属性!$K$1083,1+INT(COUNTA($Q$11:Q704)/5),0),N704)</f>
        <v>0.058</v>
      </c>
      <c r="O705" s="76">
        <f ca="1">IF(MOD(COUNTIF($Q$11:Q704,Q704),5)=0,OFFSET(装备属性!$L$1083,1+INT(COUNTA($Q$11:Q704)/5),0),O704)</f>
        <v>0.072</v>
      </c>
      <c r="Q705" s="89" t="str">
        <f ca="1">IF(MOD(COUNTIF($Q$11:Q704,Q704),5)=0,OFFSET(装备属性!$M$1083,1+INT(COUNTA($Q$11:Q704)/5),0),Q704)</f>
        <v>玩法类</v>
      </c>
      <c r="R705" s="83" t="e">
        <f ca="1">IF(MOD(COUNTIF($Q$11:Q704,Q704),5)=0,10000*SUBSTITUTE(SUBSTITUTE(OFFSET(装备属性!$F$1083,1+INT(COUNTA($Q$11:Q704)/5),0),"[",""),"]","")+_xlfn.XLOOKUP(C705,$M$3:$M$7,$N$3:$N$7)*100,R704)</f>
        <v>#N/A</v>
      </c>
    </row>
    <row r="706" customHeight="1" spans="1:18">
      <c r="A706" s="78" t="str">
        <f ca="1" t="shared" si="30"/>
        <v/>
      </c>
      <c r="B706" s="82" t="str">
        <f ca="1">IFERROR(R706+COUNTIFS($R$11:$R706,R706),"")</f>
        <v/>
      </c>
      <c r="C706" s="83">
        <f ca="1">IF(MOD(COUNTIF($Q$11:Q705,Q705),5)=0,OFFSET(装备属性!$D$1083,1+INT(COUNTA($Q$11:Q705)/5),0),C705)</f>
        <v>0</v>
      </c>
      <c r="D706" s="82">
        <f t="shared" si="32"/>
        <v>3000</v>
      </c>
      <c r="F706" s="82" t="str">
        <f ca="1" t="shared" si="31"/>
        <v/>
      </c>
      <c r="G706" s="78" t="str">
        <f ca="1">IF(AND(LEFT("[{"&amp;M706&amp;","&amp;CEILING(N706*10000+(O706-N706)/4*(COUNTIF($F$11:F706,F706)-1)*10000,10)&amp;"}]",7)="[{equip",MID("[{"&amp;M706&amp;","&amp;CEILING(N706*10000+(O706-N706)/4*(COUNTIF($F$11:F706,F706)-1)*10000,10)&amp;"}]",8,1)&lt;&gt;"_"),"[{"&amp;M706&amp;","&amp;1&amp;"}]","[{"&amp;M706&amp;","&amp;CEILING(N706*10000+(O706-N706)/4*(COUNTIF($F$11:F706,F706)-1)*10000,10)&amp;"}]")</f>
        <v>[{equip3_rune_slot,1}]</v>
      </c>
      <c r="H706" s="82" t="s">
        <v>563</v>
      </c>
      <c r="J706" s="78">
        <f ca="1">IF(MOD(COUNTIF($Q$11:Q705,Q705),5)=0,OFFSET(装备属性!$P$1083,1+INT(COUNTA($Q$11:Q705)/5),0),J705)</f>
        <v>6</v>
      </c>
      <c r="K706" s="83" t="str">
        <f ca="1">IF(RIGHT(G706,13)="rune_slot,1}]",_xlfn.XLOOKUP(LEFT(SUBSTITUTE(G706,"[{",""),FIND(",",SUBSTITUTE(G706,"[{",""))-1),Sheet2!B:B,Sheet2!C:C)&amp;"+"&amp;1,_xlfn.XLOOKUP(LEFT(SUBSTITUTE(G706,"[{",""),FIND(",",SUBSTITUTE(G706,"[{",""))-1),Sheet2!B:B,Sheet2!C:C)&amp;"+"&amp;SUBSTITUTE(RIGHT(G706,LEN(G706)-FIND(",",G706)),"}]","")/100&amp;"%")</f>
        <v>饰品符文孔位+1</v>
      </c>
      <c r="L706" s="83" t="str">
        <f ca="1">IF(MOD(COUNTIF($Q$11:Q705,Q705),5)=0,OFFSET(装备属性!$G$1083,1+INT(COUNTA($Q$11:Q705)/5),0),L705)</f>
        <v>扩符槽</v>
      </c>
      <c r="M706" s="89" t="str">
        <f ca="1">IF(MOD(COUNTIF($Q$11:Q705,Q705),5)=0,OFFSET(装备属性!$H$1083,1+INT(COUNTA($Q$11:Q705)/5),0),M705)</f>
        <v>equip3_rune_slot</v>
      </c>
      <c r="N706" s="76">
        <f ca="1">IF(MOD(COUNTIF($Q$11:Q705,Q705),5)=0,OFFSET(装备属性!$K$1083,1+INT(COUNTA($Q$11:Q705)/5),0),N705)</f>
        <v>1</v>
      </c>
      <c r="O706" s="76">
        <f ca="1">IF(MOD(COUNTIF($Q$11:Q705,Q705),5)=0,OFFSET(装备属性!$L$1083,1+INT(COUNTA($Q$11:Q705)/5),0),O705)</f>
        <v>1</v>
      </c>
      <c r="Q706" s="89" t="str">
        <f ca="1">IF(MOD(COUNTIF($Q$11:Q705,Q705),5)=0,OFFSET(装备属性!$M$1083,1+INT(COUNTA($Q$11:Q705)/5),0),Q705)</f>
        <v>稀有词条</v>
      </c>
      <c r="R706" s="83" t="e">
        <f ca="1">IF(MOD(COUNTIF($Q$11:Q705,Q705),5)=0,10000*SUBSTITUTE(SUBSTITUTE(OFFSET(装备属性!$F$1083,1+INT(COUNTA($Q$11:Q705)/5),0),"[",""),"]","")+_xlfn.XLOOKUP(C706,$M$3:$M$7,$N$3:$N$7)*100,R705)</f>
        <v>#N/A</v>
      </c>
    </row>
    <row r="707" customHeight="1" spans="1:18">
      <c r="A707" s="78" t="str">
        <f ca="1" t="shared" si="30"/>
        <v/>
      </c>
      <c r="B707" s="82" t="str">
        <f ca="1">IFERROR(R707+COUNTIFS($R$11:$R707,R707),"")</f>
        <v/>
      </c>
      <c r="C707" s="83">
        <f ca="1">IF(MOD(COUNTIF($Q$11:Q706,Q706),5)=0,OFFSET(装备属性!$D$1083,1+INT(COUNTA($Q$11:Q706)/5),0),C706)</f>
        <v>0</v>
      </c>
      <c r="D707" s="82">
        <f t="shared" si="32"/>
        <v>2500</v>
      </c>
      <c r="F707" s="82" t="str">
        <f ca="1" t="shared" si="31"/>
        <v/>
      </c>
      <c r="G707" s="78" t="str">
        <f ca="1">IF(AND(LEFT("[{"&amp;M707&amp;","&amp;CEILING(N707*10000+(O707-N707)/4*(COUNTIF($F$11:F707,F707)-1)*10000,10)&amp;"}]",7)="[{equip",MID("[{"&amp;M707&amp;","&amp;CEILING(N707*10000+(O707-N707)/4*(COUNTIF($F$11:F707,F707)-1)*10000,10)&amp;"}]",8,1)&lt;&gt;"_"),"[{"&amp;M707&amp;","&amp;1&amp;"}]","[{"&amp;M707&amp;","&amp;CEILING(N707*10000+(O707-N707)/4*(COUNTIF($F$11:F707,F707)-1)*10000,10)&amp;"}]")</f>
        <v>[{equip3_rune_slot,1}]</v>
      </c>
      <c r="H707" s="82" t="s">
        <v>563</v>
      </c>
      <c r="J707" s="78">
        <f ca="1">IF(MOD(COUNTIF($Q$11:Q706,Q706),5)=0,OFFSET(装备属性!$P$1083,1+INT(COUNTA($Q$11:Q706)/5),0),J706)</f>
        <v>6</v>
      </c>
      <c r="K707" s="83" t="str">
        <f ca="1">IF(RIGHT(G707,13)="rune_slot,1}]",_xlfn.XLOOKUP(LEFT(SUBSTITUTE(G707,"[{",""),FIND(",",SUBSTITUTE(G707,"[{",""))-1),Sheet2!B:B,Sheet2!C:C)&amp;"+"&amp;1,_xlfn.XLOOKUP(LEFT(SUBSTITUTE(G707,"[{",""),FIND(",",SUBSTITUTE(G707,"[{",""))-1),Sheet2!B:B,Sheet2!C:C)&amp;"+"&amp;SUBSTITUTE(RIGHT(G707,LEN(G707)-FIND(",",G707)),"}]","")/100&amp;"%")</f>
        <v>饰品符文孔位+1</v>
      </c>
      <c r="L707" s="83" t="str">
        <f ca="1">IF(MOD(COUNTIF($Q$11:Q706,Q706),5)=0,OFFSET(装备属性!$G$1083,1+INT(COUNTA($Q$11:Q706)/5),0),L706)</f>
        <v>扩符槽</v>
      </c>
      <c r="M707" s="89" t="str">
        <f ca="1">IF(MOD(COUNTIF($Q$11:Q706,Q706),5)=0,OFFSET(装备属性!$H$1083,1+INT(COUNTA($Q$11:Q706)/5),0),M706)</f>
        <v>equip3_rune_slot</v>
      </c>
      <c r="N707" s="76">
        <f ca="1">IF(MOD(COUNTIF($Q$11:Q706,Q706),5)=0,OFFSET(装备属性!$K$1083,1+INT(COUNTA($Q$11:Q706)/5),0),N706)</f>
        <v>1</v>
      </c>
      <c r="O707" s="76">
        <f ca="1">IF(MOD(COUNTIF($Q$11:Q706,Q706),5)=0,OFFSET(装备属性!$L$1083,1+INT(COUNTA($Q$11:Q706)/5),0),O706)</f>
        <v>1</v>
      </c>
      <c r="Q707" s="89" t="str">
        <f ca="1">IF(MOD(COUNTIF($Q$11:Q706,Q706),5)=0,OFFSET(装备属性!$M$1083,1+INT(COUNTA($Q$11:Q706)/5),0),Q706)</f>
        <v>稀有词条</v>
      </c>
      <c r="R707" s="83" t="e">
        <f ca="1">IF(MOD(COUNTIF($Q$11:Q706,Q706),5)=0,10000*SUBSTITUTE(SUBSTITUTE(OFFSET(装备属性!$F$1083,1+INT(COUNTA($Q$11:Q706)/5),0),"[",""),"]","")+_xlfn.XLOOKUP(C707,$M$3:$M$7,$N$3:$N$7)*100,R706)</f>
        <v>#N/A</v>
      </c>
    </row>
    <row r="708" customHeight="1" spans="1:18">
      <c r="A708" s="78" t="str">
        <f ca="1" t="shared" si="30"/>
        <v/>
      </c>
      <c r="B708" s="82" t="str">
        <f ca="1">IFERROR(R708+COUNTIFS($R$11:$R708,R708),"")</f>
        <v/>
      </c>
      <c r="C708" s="83">
        <f ca="1">IF(MOD(COUNTIF($Q$11:Q707,Q707),5)=0,OFFSET(装备属性!$D$1083,1+INT(COUNTA($Q$11:Q707)/5),0),C707)</f>
        <v>0</v>
      </c>
      <c r="D708" s="82">
        <f t="shared" si="32"/>
        <v>2000</v>
      </c>
      <c r="F708" s="82" t="str">
        <f ca="1" t="shared" si="31"/>
        <v/>
      </c>
      <c r="G708" s="78" t="str">
        <f ca="1">IF(AND(LEFT("[{"&amp;M708&amp;","&amp;CEILING(N708*10000+(O708-N708)/4*(COUNTIF($F$11:F708,F708)-1)*10000,10)&amp;"}]",7)="[{equip",MID("[{"&amp;M708&amp;","&amp;CEILING(N708*10000+(O708-N708)/4*(COUNTIF($F$11:F708,F708)-1)*10000,10)&amp;"}]",8,1)&lt;&gt;"_"),"[{"&amp;M708&amp;","&amp;1&amp;"}]","[{"&amp;M708&amp;","&amp;CEILING(N708*10000+(O708-N708)/4*(COUNTIF($F$11:F708,F708)-1)*10000,10)&amp;"}]")</f>
        <v>[{equip3_rune_slot,1}]</v>
      </c>
      <c r="H708" s="82" t="s">
        <v>563</v>
      </c>
      <c r="J708" s="78">
        <f ca="1">IF(MOD(COUNTIF($Q$11:Q707,Q707),5)=0,OFFSET(装备属性!$P$1083,1+INT(COUNTA($Q$11:Q707)/5),0),J707)</f>
        <v>6</v>
      </c>
      <c r="K708" s="83" t="str">
        <f ca="1">IF(RIGHT(G708,13)="rune_slot,1}]",_xlfn.XLOOKUP(LEFT(SUBSTITUTE(G708,"[{",""),FIND(",",SUBSTITUTE(G708,"[{",""))-1),Sheet2!B:B,Sheet2!C:C)&amp;"+"&amp;1,_xlfn.XLOOKUP(LEFT(SUBSTITUTE(G708,"[{",""),FIND(",",SUBSTITUTE(G708,"[{",""))-1),Sheet2!B:B,Sheet2!C:C)&amp;"+"&amp;SUBSTITUTE(RIGHT(G708,LEN(G708)-FIND(",",G708)),"}]","")/100&amp;"%")</f>
        <v>饰品符文孔位+1</v>
      </c>
      <c r="L708" s="83" t="str">
        <f ca="1">IF(MOD(COUNTIF($Q$11:Q707,Q707),5)=0,OFFSET(装备属性!$G$1083,1+INT(COUNTA($Q$11:Q707)/5),0),L707)</f>
        <v>扩符槽</v>
      </c>
      <c r="M708" s="89" t="str">
        <f ca="1">IF(MOD(COUNTIF($Q$11:Q707,Q707),5)=0,OFFSET(装备属性!$H$1083,1+INT(COUNTA($Q$11:Q707)/5),0),M707)</f>
        <v>equip3_rune_slot</v>
      </c>
      <c r="N708" s="76">
        <f ca="1">IF(MOD(COUNTIF($Q$11:Q707,Q707),5)=0,OFFSET(装备属性!$K$1083,1+INT(COUNTA($Q$11:Q707)/5),0),N707)</f>
        <v>1</v>
      </c>
      <c r="O708" s="76">
        <f ca="1">IF(MOD(COUNTIF($Q$11:Q707,Q707),5)=0,OFFSET(装备属性!$L$1083,1+INT(COUNTA($Q$11:Q707)/5),0),O707)</f>
        <v>1</v>
      </c>
      <c r="Q708" s="89" t="str">
        <f ca="1">IF(MOD(COUNTIF($Q$11:Q707,Q707),5)=0,OFFSET(装备属性!$M$1083,1+INT(COUNTA($Q$11:Q707)/5),0),Q707)</f>
        <v>稀有词条</v>
      </c>
      <c r="R708" s="83" t="e">
        <f ca="1">IF(MOD(COUNTIF($Q$11:Q707,Q707),5)=0,10000*SUBSTITUTE(SUBSTITUTE(OFFSET(装备属性!$F$1083,1+INT(COUNTA($Q$11:Q707)/5),0),"[",""),"]","")+_xlfn.XLOOKUP(C708,$M$3:$M$7,$N$3:$N$7)*100,R707)</f>
        <v>#N/A</v>
      </c>
    </row>
    <row r="709" customHeight="1" spans="1:18">
      <c r="A709" s="78" t="str">
        <f ca="1" t="shared" si="30"/>
        <v/>
      </c>
      <c r="B709" s="82" t="str">
        <f ca="1">IFERROR(R709+COUNTIFS($R$11:$R709,R709),"")</f>
        <v/>
      </c>
      <c r="C709" s="83">
        <f ca="1">IF(MOD(COUNTIF($Q$11:Q708,Q708),5)=0,OFFSET(装备属性!$D$1083,1+INT(COUNTA($Q$11:Q708)/5),0),C708)</f>
        <v>0</v>
      </c>
      <c r="D709" s="82">
        <f t="shared" si="32"/>
        <v>1500</v>
      </c>
      <c r="F709" s="82" t="str">
        <f ca="1" t="shared" si="31"/>
        <v/>
      </c>
      <c r="G709" s="78" t="str">
        <f ca="1">IF(AND(LEFT("[{"&amp;M709&amp;","&amp;CEILING(N709*10000+(O709-N709)/4*(COUNTIF($F$11:F709,F709)-1)*10000,10)&amp;"}]",7)="[{equip",MID("[{"&amp;M709&amp;","&amp;CEILING(N709*10000+(O709-N709)/4*(COUNTIF($F$11:F709,F709)-1)*10000,10)&amp;"}]",8,1)&lt;&gt;"_"),"[{"&amp;M709&amp;","&amp;1&amp;"}]","[{"&amp;M709&amp;","&amp;CEILING(N709*10000+(O709-N709)/4*(COUNTIF($F$11:F709,F709)-1)*10000,10)&amp;"}]")</f>
        <v>[{equip3_rune_slot,1}]</v>
      </c>
      <c r="H709" s="82" t="s">
        <v>563</v>
      </c>
      <c r="J709" s="78">
        <f ca="1">IF(MOD(COUNTIF($Q$11:Q708,Q708),5)=0,OFFSET(装备属性!$P$1083,1+INT(COUNTA($Q$11:Q708)/5),0),J708)</f>
        <v>6</v>
      </c>
      <c r="K709" s="83" t="str">
        <f ca="1">IF(RIGHT(G709,13)="rune_slot,1}]",_xlfn.XLOOKUP(LEFT(SUBSTITUTE(G709,"[{",""),FIND(",",SUBSTITUTE(G709,"[{",""))-1),Sheet2!B:B,Sheet2!C:C)&amp;"+"&amp;1,_xlfn.XLOOKUP(LEFT(SUBSTITUTE(G709,"[{",""),FIND(",",SUBSTITUTE(G709,"[{",""))-1),Sheet2!B:B,Sheet2!C:C)&amp;"+"&amp;SUBSTITUTE(RIGHT(G709,LEN(G709)-FIND(",",G709)),"}]","")/100&amp;"%")</f>
        <v>饰品符文孔位+1</v>
      </c>
      <c r="L709" s="83" t="str">
        <f ca="1">IF(MOD(COUNTIF($Q$11:Q708,Q708),5)=0,OFFSET(装备属性!$G$1083,1+INT(COUNTA($Q$11:Q708)/5),0),L708)</f>
        <v>扩符槽</v>
      </c>
      <c r="M709" s="89" t="str">
        <f ca="1">IF(MOD(COUNTIF($Q$11:Q708,Q708),5)=0,OFFSET(装备属性!$H$1083,1+INT(COUNTA($Q$11:Q708)/5),0),M708)</f>
        <v>equip3_rune_slot</v>
      </c>
      <c r="N709" s="76">
        <f ca="1">IF(MOD(COUNTIF($Q$11:Q708,Q708),5)=0,OFFSET(装备属性!$K$1083,1+INT(COUNTA($Q$11:Q708)/5),0),N708)</f>
        <v>1</v>
      </c>
      <c r="O709" s="76">
        <f ca="1">IF(MOD(COUNTIF($Q$11:Q708,Q708),5)=0,OFFSET(装备属性!$L$1083,1+INT(COUNTA($Q$11:Q708)/5),0),O708)</f>
        <v>1</v>
      </c>
      <c r="Q709" s="89" t="str">
        <f ca="1">IF(MOD(COUNTIF($Q$11:Q708,Q708),5)=0,OFFSET(装备属性!$M$1083,1+INT(COUNTA($Q$11:Q708)/5),0),Q708)</f>
        <v>稀有词条</v>
      </c>
      <c r="R709" s="83" t="e">
        <f ca="1">IF(MOD(COUNTIF($Q$11:Q708,Q708),5)=0,10000*SUBSTITUTE(SUBSTITUTE(OFFSET(装备属性!$F$1083,1+INT(COUNTA($Q$11:Q708)/5),0),"[",""),"]","")+_xlfn.XLOOKUP(C709,$M$3:$M$7,$N$3:$N$7)*100,R708)</f>
        <v>#N/A</v>
      </c>
    </row>
    <row r="710" customHeight="1" spans="1:18">
      <c r="A710" s="78" t="str">
        <f ca="1" t="shared" si="30"/>
        <v/>
      </c>
      <c r="B710" s="82" t="str">
        <f ca="1">IFERROR(R710+COUNTIFS($R$11:$R710,R710),"")</f>
        <v/>
      </c>
      <c r="C710" s="83">
        <f ca="1">IF(MOD(COUNTIF($Q$11:Q709,Q709),5)=0,OFFSET(装备属性!$D$1083,1+INT(COUNTA($Q$11:Q709)/5),0),C709)</f>
        <v>0</v>
      </c>
      <c r="D710" s="82">
        <f t="shared" si="32"/>
        <v>1000</v>
      </c>
      <c r="F710" s="82" t="str">
        <f ca="1" t="shared" si="31"/>
        <v/>
      </c>
      <c r="G710" s="78" t="str">
        <f ca="1">IF(AND(LEFT("[{"&amp;M710&amp;","&amp;CEILING(N710*10000+(O710-N710)/4*(COUNTIF($F$11:F710,F710)-1)*10000,10)&amp;"}]",7)="[{equip",MID("[{"&amp;M710&amp;","&amp;CEILING(N710*10000+(O710-N710)/4*(COUNTIF($F$11:F710,F710)-1)*10000,10)&amp;"}]",8,1)&lt;&gt;"_"),"[{"&amp;M710&amp;","&amp;1&amp;"}]","[{"&amp;M710&amp;","&amp;CEILING(N710*10000+(O710-N710)/4*(COUNTIF($F$11:F710,F710)-1)*10000,10)&amp;"}]")</f>
        <v>[{equip3_rune_slot,1}]</v>
      </c>
      <c r="H710" s="82" t="s">
        <v>563</v>
      </c>
      <c r="J710" s="78">
        <f ca="1">IF(MOD(COUNTIF($Q$11:Q709,Q709),5)=0,OFFSET(装备属性!$P$1083,1+INT(COUNTA($Q$11:Q709)/5),0),J709)</f>
        <v>6</v>
      </c>
      <c r="K710" s="83" t="str">
        <f ca="1">IF(RIGHT(G710,13)="rune_slot,1}]",_xlfn.XLOOKUP(LEFT(SUBSTITUTE(G710,"[{",""),FIND(",",SUBSTITUTE(G710,"[{",""))-1),Sheet2!B:B,Sheet2!C:C)&amp;"+"&amp;1,_xlfn.XLOOKUP(LEFT(SUBSTITUTE(G710,"[{",""),FIND(",",SUBSTITUTE(G710,"[{",""))-1),Sheet2!B:B,Sheet2!C:C)&amp;"+"&amp;SUBSTITUTE(RIGHT(G710,LEN(G710)-FIND(",",G710)),"}]","")/100&amp;"%")</f>
        <v>饰品符文孔位+1</v>
      </c>
      <c r="L710" s="83" t="str">
        <f ca="1">IF(MOD(COUNTIF($Q$11:Q709,Q709),5)=0,OFFSET(装备属性!$G$1083,1+INT(COUNTA($Q$11:Q709)/5),0),L709)</f>
        <v>扩符槽</v>
      </c>
      <c r="M710" s="89" t="str">
        <f ca="1">IF(MOD(COUNTIF($Q$11:Q709,Q709),5)=0,OFFSET(装备属性!$H$1083,1+INT(COUNTA($Q$11:Q709)/5),0),M709)</f>
        <v>equip3_rune_slot</v>
      </c>
      <c r="N710" s="76">
        <f ca="1">IF(MOD(COUNTIF($Q$11:Q709,Q709),5)=0,OFFSET(装备属性!$K$1083,1+INT(COUNTA($Q$11:Q709)/5),0),N709)</f>
        <v>1</v>
      </c>
      <c r="O710" s="76">
        <f ca="1">IF(MOD(COUNTIF($Q$11:Q709,Q709),5)=0,OFFSET(装备属性!$L$1083,1+INT(COUNTA($Q$11:Q709)/5),0),O709)</f>
        <v>1</v>
      </c>
      <c r="Q710" s="89" t="str">
        <f ca="1">IF(MOD(COUNTIF($Q$11:Q709,Q709),5)=0,OFFSET(装备属性!$M$1083,1+INT(COUNTA($Q$11:Q709)/5),0),Q709)</f>
        <v>稀有词条</v>
      </c>
      <c r="R710" s="83" t="e">
        <f ca="1">IF(MOD(COUNTIF($Q$11:Q709,Q709),5)=0,10000*SUBSTITUTE(SUBSTITUTE(OFFSET(装备属性!$F$1083,1+INT(COUNTA($Q$11:Q709)/5),0),"[",""),"]","")+_xlfn.XLOOKUP(C710,$M$3:$M$7,$N$3:$N$7)*100,R709)</f>
        <v>#N/A</v>
      </c>
    </row>
    <row r="711" customHeight="1" spans="1:18">
      <c r="A711" s="78">
        <f ca="1" t="shared" si="30"/>
        <v>30501</v>
      </c>
      <c r="B711" s="82">
        <f ca="1">IFERROR(R711+COUNTIFS($R$11:$R711,R711),"")</f>
        <v>30511</v>
      </c>
      <c r="C711" s="83" t="str">
        <f ca="1">IF(MOD(COUNTIF($Q$11:Q710,Q710),5)=0,OFFSET(装备属性!$D$1083,1+INT(COUNTA($Q$11:Q710)/5),0),C710)</f>
        <v>橙</v>
      </c>
      <c r="D711" s="82">
        <f t="shared" si="32"/>
        <v>3000</v>
      </c>
      <c r="F711" s="82">
        <f ca="1" t="shared" si="31"/>
        <v>30502</v>
      </c>
      <c r="G711" s="78" t="str">
        <f ca="1">IF(AND(LEFT("[{"&amp;M711&amp;","&amp;CEILING(N711*10000+(O711-N711)/4*(COUNTIF($F$11:F711,F711)-1)*10000,10)&amp;"}]",7)="[{equip",MID("[{"&amp;M711&amp;","&amp;CEILING(N711*10000+(O711-N711)/4*(COUNTIF($F$11:F711,F711)-1)*10000,10)&amp;"}]",8,1)&lt;&gt;"_"),"[{"&amp;M711&amp;","&amp;1&amp;"}]","[{"&amp;M711&amp;","&amp;CEILING(N711*10000+(O711-N711)/4*(COUNTIF($F$11:F711,F711)-1)*10000,10)&amp;"}]")</f>
        <v>[{hunter_dmg_red_rate,200}]</v>
      </c>
      <c r="H711" s="82" t="s">
        <v>563</v>
      </c>
      <c r="J711" s="78">
        <f ca="1">IF(MOD(COUNTIF($Q$11:Q710,Q710),5)=0,OFFSET(装备属性!$P$1083,1+INT(COUNTA($Q$11:Q710)/5),0),J710)</f>
        <v>5</v>
      </c>
      <c r="K711" s="83" t="str">
        <f ca="1">IF(RIGHT(G711,13)="rune_slot,1}]",_xlfn.XLOOKUP(LEFT(SUBSTITUTE(G711,"[{",""),FIND(",",SUBSTITUTE(G711,"[{",""))-1),Sheet2!B:B,Sheet2!C:C)&amp;"+"&amp;1,_xlfn.XLOOKUP(LEFT(SUBSTITUTE(G711,"[{",""),FIND(",",SUBSTITUTE(G711,"[{",""))-1),Sheet2!B:B,Sheet2!C:C)&amp;"+"&amp;SUBSTITUTE(RIGHT(G711,LEN(G711)-FIND(",",G711)),"}]","")/100&amp;"%")</f>
        <v>射手伤害减免+2%</v>
      </c>
      <c r="L711" s="83" t="str">
        <f ca="1">IF(MOD(COUNTIF($Q$11:Q710,Q710),5)=0,OFFSET(装备属性!$G$1083,1+INT(COUNTA($Q$11:Q710)/5),0),L710)</f>
        <v>远程躲伤Ⅱ</v>
      </c>
      <c r="M711" s="89" t="str">
        <f ca="1">IF(MOD(COUNTIF($Q$11:Q710,Q710),5)=0,OFFSET(装备属性!$H$1083,1+INT(COUNTA($Q$11:Q710)/5),0),M710)</f>
        <v>hunter_dmg_red_rate</v>
      </c>
      <c r="N711" s="76">
        <f ca="1">IF(MOD(COUNTIF($Q$11:Q710,Q710),5)=0,OFFSET(装备属性!$K$1083,1+INT(COUNTA($Q$11:Q710)/5),0),N710)</f>
        <v>0.02</v>
      </c>
      <c r="O711" s="76">
        <f ca="1">IF(MOD(COUNTIF($Q$11:Q710,Q710),5)=0,OFFSET(装备属性!$L$1083,1+INT(COUNTA($Q$11:Q710)/5),0),O710)</f>
        <v>0.024</v>
      </c>
      <c r="Q711" s="89" t="str">
        <f ca="1">IF(MOD(COUNTIF($Q$11:Q710,Q710),5)=0,OFFSET(装备属性!$M$1083,1+INT(COUNTA($Q$11:Q710)/5),0),Q710)</f>
        <v>通用属性</v>
      </c>
      <c r="R711" s="83">
        <f ca="1">IF(MOD(COUNTIF($Q$11:Q710,Q710),5)=0,10000*SUBSTITUTE(SUBSTITUTE(OFFSET(装备属性!$F$1083,1+INT(COUNTA($Q$11:Q710)/5),0),"[",""),"]","")+_xlfn.XLOOKUP(C711,$M$3:$M$7,$N$3:$N$7)*100,R710)</f>
        <v>30500</v>
      </c>
    </row>
    <row r="712" customHeight="1" spans="1:18">
      <c r="A712" s="78">
        <f ca="1" t="shared" si="30"/>
        <v>30501</v>
      </c>
      <c r="B712" s="82">
        <f ca="1">IFERROR(R712+COUNTIFS($R$11:$R712,R712),"")</f>
        <v>30512</v>
      </c>
      <c r="C712" s="83" t="str">
        <f ca="1">IF(MOD(COUNTIF($Q$11:Q711,Q711),5)=0,OFFSET(装备属性!$D$1083,1+INT(COUNTA($Q$11:Q711)/5),0),C711)</f>
        <v>橙</v>
      </c>
      <c r="D712" s="82">
        <f t="shared" si="32"/>
        <v>2500</v>
      </c>
      <c r="F712" s="82">
        <f ca="1" t="shared" si="31"/>
        <v>30502</v>
      </c>
      <c r="G712" s="78" t="str">
        <f ca="1">IF(AND(LEFT("[{"&amp;M712&amp;","&amp;CEILING(N712*10000+(O712-N712)/4*(COUNTIF($F$11:F712,F712)-1)*10000,10)&amp;"}]",7)="[{equip",MID("[{"&amp;M712&amp;","&amp;CEILING(N712*10000+(O712-N712)/4*(COUNTIF($F$11:F712,F712)-1)*10000,10)&amp;"}]",8,1)&lt;&gt;"_"),"[{"&amp;M712&amp;","&amp;1&amp;"}]","[{"&amp;M712&amp;","&amp;CEILING(N712*10000+(O712-N712)/4*(COUNTIF($F$11:F712,F712)-1)*10000,10)&amp;"}]")</f>
        <v>[{hunter_dmg_red_rate,210}]</v>
      </c>
      <c r="H712" s="82" t="s">
        <v>563</v>
      </c>
      <c r="J712" s="78">
        <f ca="1">IF(MOD(COUNTIF($Q$11:Q711,Q711),5)=0,OFFSET(装备属性!$P$1083,1+INT(COUNTA($Q$11:Q711)/5),0),J711)</f>
        <v>5</v>
      </c>
      <c r="K712" s="83" t="str">
        <f ca="1">IF(RIGHT(G712,13)="rune_slot,1}]",_xlfn.XLOOKUP(LEFT(SUBSTITUTE(G712,"[{",""),FIND(",",SUBSTITUTE(G712,"[{",""))-1),Sheet2!B:B,Sheet2!C:C)&amp;"+"&amp;1,_xlfn.XLOOKUP(LEFT(SUBSTITUTE(G712,"[{",""),FIND(",",SUBSTITUTE(G712,"[{",""))-1),Sheet2!B:B,Sheet2!C:C)&amp;"+"&amp;SUBSTITUTE(RIGHT(G712,LEN(G712)-FIND(",",G712)),"}]","")/100&amp;"%")</f>
        <v>射手伤害减免+2.1%</v>
      </c>
      <c r="L712" s="83" t="str">
        <f ca="1">IF(MOD(COUNTIF($Q$11:Q711,Q711),5)=0,OFFSET(装备属性!$G$1083,1+INT(COUNTA($Q$11:Q711)/5),0),L711)</f>
        <v>远程躲伤Ⅱ</v>
      </c>
      <c r="M712" s="89" t="str">
        <f ca="1">IF(MOD(COUNTIF($Q$11:Q711,Q711),5)=0,OFFSET(装备属性!$H$1083,1+INT(COUNTA($Q$11:Q711)/5),0),M711)</f>
        <v>hunter_dmg_red_rate</v>
      </c>
      <c r="N712" s="76">
        <f ca="1">IF(MOD(COUNTIF($Q$11:Q711,Q711),5)=0,OFFSET(装备属性!$K$1083,1+INT(COUNTA($Q$11:Q711)/5),0),N711)</f>
        <v>0.02</v>
      </c>
      <c r="O712" s="76">
        <f ca="1">IF(MOD(COUNTIF($Q$11:Q711,Q711),5)=0,OFFSET(装备属性!$L$1083,1+INT(COUNTA($Q$11:Q711)/5),0),O711)</f>
        <v>0.024</v>
      </c>
      <c r="Q712" s="89" t="str">
        <f ca="1">IF(MOD(COUNTIF($Q$11:Q711,Q711),5)=0,OFFSET(装备属性!$M$1083,1+INT(COUNTA($Q$11:Q711)/5),0),Q711)</f>
        <v>通用属性</v>
      </c>
      <c r="R712" s="83">
        <f ca="1">IF(MOD(COUNTIF($Q$11:Q711,Q711),5)=0,10000*SUBSTITUTE(SUBSTITUTE(OFFSET(装备属性!$F$1083,1+INT(COUNTA($Q$11:Q711)/5),0),"[",""),"]","")+_xlfn.XLOOKUP(C712,$M$3:$M$7,$N$3:$N$7)*100,R711)</f>
        <v>30500</v>
      </c>
    </row>
    <row r="713" customHeight="1" spans="1:18">
      <c r="A713" s="78">
        <f ca="1" t="shared" si="30"/>
        <v>30501</v>
      </c>
      <c r="B713" s="82">
        <f ca="1">IFERROR(R713+COUNTIFS($R$11:$R713,R713),"")</f>
        <v>30513</v>
      </c>
      <c r="C713" s="83" t="str">
        <f ca="1">IF(MOD(COUNTIF($Q$11:Q712,Q712),5)=0,OFFSET(装备属性!$D$1083,1+INT(COUNTA($Q$11:Q712)/5),0),C712)</f>
        <v>橙</v>
      </c>
      <c r="D713" s="82">
        <f t="shared" si="32"/>
        <v>2000</v>
      </c>
      <c r="F713" s="82">
        <f ca="1" t="shared" si="31"/>
        <v>30502</v>
      </c>
      <c r="G713" s="78" t="str">
        <f ca="1">IF(AND(LEFT("[{"&amp;M713&amp;","&amp;CEILING(N713*10000+(O713-N713)/4*(COUNTIF($F$11:F713,F713)-1)*10000,10)&amp;"}]",7)="[{equip",MID("[{"&amp;M713&amp;","&amp;CEILING(N713*10000+(O713-N713)/4*(COUNTIF($F$11:F713,F713)-1)*10000,10)&amp;"}]",8,1)&lt;&gt;"_"),"[{"&amp;M713&amp;","&amp;1&amp;"}]","[{"&amp;M713&amp;","&amp;CEILING(N713*10000+(O713-N713)/4*(COUNTIF($F$11:F713,F713)-1)*10000,10)&amp;"}]")</f>
        <v>[{hunter_dmg_red_rate,220}]</v>
      </c>
      <c r="H713" s="82" t="s">
        <v>563</v>
      </c>
      <c r="J713" s="78">
        <f ca="1">IF(MOD(COUNTIF($Q$11:Q712,Q712),5)=0,OFFSET(装备属性!$P$1083,1+INT(COUNTA($Q$11:Q712)/5),0),J712)</f>
        <v>5</v>
      </c>
      <c r="K713" s="83" t="str">
        <f ca="1">IF(RIGHT(G713,13)="rune_slot,1}]",_xlfn.XLOOKUP(LEFT(SUBSTITUTE(G713,"[{",""),FIND(",",SUBSTITUTE(G713,"[{",""))-1),Sheet2!B:B,Sheet2!C:C)&amp;"+"&amp;1,_xlfn.XLOOKUP(LEFT(SUBSTITUTE(G713,"[{",""),FIND(",",SUBSTITUTE(G713,"[{",""))-1),Sheet2!B:B,Sheet2!C:C)&amp;"+"&amp;SUBSTITUTE(RIGHT(G713,LEN(G713)-FIND(",",G713)),"}]","")/100&amp;"%")</f>
        <v>射手伤害减免+2.2%</v>
      </c>
      <c r="L713" s="83" t="str">
        <f ca="1">IF(MOD(COUNTIF($Q$11:Q712,Q712),5)=0,OFFSET(装备属性!$G$1083,1+INT(COUNTA($Q$11:Q712)/5),0),L712)</f>
        <v>远程躲伤Ⅱ</v>
      </c>
      <c r="M713" s="89" t="str">
        <f ca="1">IF(MOD(COUNTIF($Q$11:Q712,Q712),5)=0,OFFSET(装备属性!$H$1083,1+INT(COUNTA($Q$11:Q712)/5),0),M712)</f>
        <v>hunter_dmg_red_rate</v>
      </c>
      <c r="N713" s="76">
        <f ca="1">IF(MOD(COUNTIF($Q$11:Q712,Q712),5)=0,OFFSET(装备属性!$K$1083,1+INT(COUNTA($Q$11:Q712)/5),0),N712)</f>
        <v>0.02</v>
      </c>
      <c r="O713" s="76">
        <f ca="1">IF(MOD(COUNTIF($Q$11:Q712,Q712),5)=0,OFFSET(装备属性!$L$1083,1+INT(COUNTA($Q$11:Q712)/5),0),O712)</f>
        <v>0.024</v>
      </c>
      <c r="Q713" s="89" t="str">
        <f ca="1">IF(MOD(COUNTIF($Q$11:Q712,Q712),5)=0,OFFSET(装备属性!$M$1083,1+INT(COUNTA($Q$11:Q712)/5),0),Q712)</f>
        <v>通用属性</v>
      </c>
      <c r="R713" s="83">
        <f ca="1">IF(MOD(COUNTIF($Q$11:Q712,Q712),5)=0,10000*SUBSTITUTE(SUBSTITUTE(OFFSET(装备属性!$F$1083,1+INT(COUNTA($Q$11:Q712)/5),0),"[",""),"]","")+_xlfn.XLOOKUP(C713,$M$3:$M$7,$N$3:$N$7)*100,R712)</f>
        <v>30500</v>
      </c>
    </row>
    <row r="714" customHeight="1" spans="1:18">
      <c r="A714" s="78">
        <f ca="1" t="shared" si="30"/>
        <v>30501</v>
      </c>
      <c r="B714" s="82">
        <f ca="1">IFERROR(R714+COUNTIFS($R$11:$R714,R714),"")</f>
        <v>30514</v>
      </c>
      <c r="C714" s="83" t="str">
        <f ca="1">IF(MOD(COUNTIF($Q$11:Q713,Q713),5)=0,OFFSET(装备属性!$D$1083,1+INT(COUNTA($Q$11:Q713)/5),0),C713)</f>
        <v>橙</v>
      </c>
      <c r="D714" s="82">
        <f t="shared" si="32"/>
        <v>1500</v>
      </c>
      <c r="F714" s="82">
        <f ca="1" t="shared" si="31"/>
        <v>30502</v>
      </c>
      <c r="G714" s="78" t="str">
        <f ca="1">IF(AND(LEFT("[{"&amp;M714&amp;","&amp;CEILING(N714*10000+(O714-N714)/4*(COUNTIF($F$11:F714,F714)-1)*10000,10)&amp;"}]",7)="[{equip",MID("[{"&amp;M714&amp;","&amp;CEILING(N714*10000+(O714-N714)/4*(COUNTIF($F$11:F714,F714)-1)*10000,10)&amp;"}]",8,1)&lt;&gt;"_"),"[{"&amp;M714&amp;","&amp;1&amp;"}]","[{"&amp;M714&amp;","&amp;CEILING(N714*10000+(O714-N714)/4*(COUNTIF($F$11:F714,F714)-1)*10000,10)&amp;"}]")</f>
        <v>[{hunter_dmg_red_rate,230}]</v>
      </c>
      <c r="H714" s="82" t="s">
        <v>563</v>
      </c>
      <c r="J714" s="78">
        <f ca="1">IF(MOD(COUNTIF($Q$11:Q713,Q713),5)=0,OFFSET(装备属性!$P$1083,1+INT(COUNTA($Q$11:Q713)/5),0),J713)</f>
        <v>5</v>
      </c>
      <c r="K714" s="83" t="str">
        <f ca="1">IF(RIGHT(G714,13)="rune_slot,1}]",_xlfn.XLOOKUP(LEFT(SUBSTITUTE(G714,"[{",""),FIND(",",SUBSTITUTE(G714,"[{",""))-1),Sheet2!B:B,Sheet2!C:C)&amp;"+"&amp;1,_xlfn.XLOOKUP(LEFT(SUBSTITUTE(G714,"[{",""),FIND(",",SUBSTITUTE(G714,"[{",""))-1),Sheet2!B:B,Sheet2!C:C)&amp;"+"&amp;SUBSTITUTE(RIGHT(G714,LEN(G714)-FIND(",",G714)),"}]","")/100&amp;"%")</f>
        <v>射手伤害减免+2.3%</v>
      </c>
      <c r="L714" s="83" t="str">
        <f ca="1">IF(MOD(COUNTIF($Q$11:Q713,Q713),5)=0,OFFSET(装备属性!$G$1083,1+INT(COUNTA($Q$11:Q713)/5),0),L713)</f>
        <v>远程躲伤Ⅱ</v>
      </c>
      <c r="M714" s="89" t="str">
        <f ca="1">IF(MOD(COUNTIF($Q$11:Q713,Q713),5)=0,OFFSET(装备属性!$H$1083,1+INT(COUNTA($Q$11:Q713)/5),0),M713)</f>
        <v>hunter_dmg_red_rate</v>
      </c>
      <c r="N714" s="76">
        <f ca="1">IF(MOD(COUNTIF($Q$11:Q713,Q713),5)=0,OFFSET(装备属性!$K$1083,1+INT(COUNTA($Q$11:Q713)/5),0),N713)</f>
        <v>0.02</v>
      </c>
      <c r="O714" s="76">
        <f ca="1">IF(MOD(COUNTIF($Q$11:Q713,Q713),5)=0,OFFSET(装备属性!$L$1083,1+INT(COUNTA($Q$11:Q713)/5),0),O713)</f>
        <v>0.024</v>
      </c>
      <c r="Q714" s="89" t="str">
        <f ca="1">IF(MOD(COUNTIF($Q$11:Q713,Q713),5)=0,OFFSET(装备属性!$M$1083,1+INT(COUNTA($Q$11:Q713)/5),0),Q713)</f>
        <v>通用属性</v>
      </c>
      <c r="R714" s="83">
        <f ca="1">IF(MOD(COUNTIF($Q$11:Q713,Q713),5)=0,10000*SUBSTITUTE(SUBSTITUTE(OFFSET(装备属性!$F$1083,1+INT(COUNTA($Q$11:Q713)/5),0),"[",""),"]","")+_xlfn.XLOOKUP(C714,$M$3:$M$7,$N$3:$N$7)*100,R713)</f>
        <v>30500</v>
      </c>
    </row>
    <row r="715" customHeight="1" spans="1:18">
      <c r="A715" s="78">
        <f ca="1" t="shared" si="30"/>
        <v>30501</v>
      </c>
      <c r="B715" s="82">
        <f ca="1">IFERROR(R715+COUNTIFS($R$11:$R715,R715),"")</f>
        <v>30515</v>
      </c>
      <c r="C715" s="83" t="str">
        <f ca="1">IF(MOD(COUNTIF($Q$11:Q714,Q714),5)=0,OFFSET(装备属性!$D$1083,1+INT(COUNTA($Q$11:Q714)/5),0),C714)</f>
        <v>橙</v>
      </c>
      <c r="D715" s="82">
        <f t="shared" si="32"/>
        <v>1000</v>
      </c>
      <c r="F715" s="82">
        <f ca="1" t="shared" si="31"/>
        <v>30502</v>
      </c>
      <c r="G715" s="78" t="str">
        <f ca="1">IF(AND(LEFT("[{"&amp;M715&amp;","&amp;CEILING(N715*10000+(O715-N715)/4*(COUNTIF($F$11:F715,F715)-1)*10000,10)&amp;"}]",7)="[{equip",MID("[{"&amp;M715&amp;","&amp;CEILING(N715*10000+(O715-N715)/4*(COUNTIF($F$11:F715,F715)-1)*10000,10)&amp;"}]",8,1)&lt;&gt;"_"),"[{"&amp;M715&amp;","&amp;1&amp;"}]","[{"&amp;M715&amp;","&amp;CEILING(N715*10000+(O715-N715)/4*(COUNTIF($F$11:F715,F715)-1)*10000,10)&amp;"}]")</f>
        <v>[{hunter_dmg_red_rate,240}]</v>
      </c>
      <c r="H715" s="82" t="s">
        <v>563</v>
      </c>
      <c r="J715" s="78">
        <f ca="1">IF(MOD(COUNTIF($Q$11:Q714,Q714),5)=0,OFFSET(装备属性!$P$1083,1+INT(COUNTA($Q$11:Q714)/5),0),J714)</f>
        <v>5</v>
      </c>
      <c r="K715" s="83" t="str">
        <f ca="1">IF(RIGHT(G715,13)="rune_slot,1}]",_xlfn.XLOOKUP(LEFT(SUBSTITUTE(G715,"[{",""),FIND(",",SUBSTITUTE(G715,"[{",""))-1),Sheet2!B:B,Sheet2!C:C)&amp;"+"&amp;1,_xlfn.XLOOKUP(LEFT(SUBSTITUTE(G715,"[{",""),FIND(",",SUBSTITUTE(G715,"[{",""))-1),Sheet2!B:B,Sheet2!C:C)&amp;"+"&amp;SUBSTITUTE(RIGHT(G715,LEN(G715)-FIND(",",G715)),"}]","")/100&amp;"%")</f>
        <v>射手伤害减免+2.4%</v>
      </c>
      <c r="L715" s="83" t="str">
        <f ca="1">IF(MOD(COUNTIF($Q$11:Q714,Q714),5)=0,OFFSET(装备属性!$G$1083,1+INT(COUNTA($Q$11:Q714)/5),0),L714)</f>
        <v>远程躲伤Ⅱ</v>
      </c>
      <c r="M715" s="89" t="str">
        <f ca="1">IF(MOD(COUNTIF($Q$11:Q714,Q714),5)=0,OFFSET(装备属性!$H$1083,1+INT(COUNTA($Q$11:Q714)/5),0),M714)</f>
        <v>hunter_dmg_red_rate</v>
      </c>
      <c r="N715" s="76">
        <f ca="1">IF(MOD(COUNTIF($Q$11:Q714,Q714),5)=0,OFFSET(装备属性!$K$1083,1+INT(COUNTA($Q$11:Q714)/5),0),N714)</f>
        <v>0.02</v>
      </c>
      <c r="O715" s="76">
        <f ca="1">IF(MOD(COUNTIF($Q$11:Q714,Q714),5)=0,OFFSET(装备属性!$L$1083,1+INT(COUNTA($Q$11:Q714)/5),0),O714)</f>
        <v>0.024</v>
      </c>
      <c r="Q715" s="89" t="str">
        <f ca="1">IF(MOD(COUNTIF($Q$11:Q714,Q714),5)=0,OFFSET(装备属性!$M$1083,1+INT(COUNTA($Q$11:Q714)/5),0),Q714)</f>
        <v>通用属性</v>
      </c>
      <c r="R715" s="83">
        <f ca="1">IF(MOD(COUNTIF($Q$11:Q714,Q714),5)=0,10000*SUBSTITUTE(SUBSTITUTE(OFFSET(装备属性!$F$1083,1+INT(COUNTA($Q$11:Q714)/5),0),"[",""),"]","")+_xlfn.XLOOKUP(C715,$M$3:$M$7,$N$3:$N$7)*100,R714)</f>
        <v>30500</v>
      </c>
    </row>
    <row r="716" customHeight="1" spans="1:18">
      <c r="A716" s="78">
        <f ca="1" t="shared" ref="A716:A779" si="33">IFERROR(R716+IF(Q716="通用属性",1,IF(Q716="玩法类",2,IF(Q716="稀有词条",3,0))),"")</f>
        <v>30501</v>
      </c>
      <c r="B716" s="82">
        <f ca="1">IFERROR(R716+COUNTIFS($R$11:$R716,R716),"")</f>
        <v>30516</v>
      </c>
      <c r="C716" s="83" t="str">
        <f ca="1">IF(MOD(COUNTIF($Q$11:Q715,Q715),5)=0,OFFSET(装备属性!$D$1083,1+INT(COUNTA($Q$11:Q715)/5),0),C715)</f>
        <v>橙</v>
      </c>
      <c r="D716" s="82">
        <f t="shared" si="32"/>
        <v>3000</v>
      </c>
      <c r="F716" s="82">
        <f ca="1" t="shared" ref="F716:F779" si="34">IFERROR(R716+INT((B716-R716-1)/5),"")</f>
        <v>30503</v>
      </c>
      <c r="G716" s="78" t="str">
        <f ca="1">IF(AND(LEFT("[{"&amp;M716&amp;","&amp;CEILING(N716*10000+(O716-N716)/4*(COUNTIF($F$11:F716,F716)-1)*10000,10)&amp;"}]",7)="[{equip",MID("[{"&amp;M716&amp;","&amp;CEILING(N716*10000+(O716-N716)/4*(COUNTIF($F$11:F716,F716)-1)*10000,10)&amp;"}]",8,1)&lt;&gt;"_"),"[{"&amp;M716&amp;","&amp;1&amp;"}]","[{"&amp;M716&amp;","&amp;CEILING(N716*10000+(O716-N716)/4*(COUNTIF($F$11:F716,F716)-1)*10000,10)&amp;"}]")</f>
        <v>[{hunter_dmg_rate,580}]</v>
      </c>
      <c r="H716" s="82" t="s">
        <v>563</v>
      </c>
      <c r="J716" s="78">
        <f ca="1">IF(MOD(COUNTIF($Q$11:Q715,Q715),5)=0,OFFSET(装备属性!$P$1083,1+INT(COUNTA($Q$11:Q715)/5),0),J715)</f>
        <v>3</v>
      </c>
      <c r="K716" s="83" t="str">
        <f ca="1">IF(RIGHT(G716,13)="rune_slot,1}]",_xlfn.XLOOKUP(LEFT(SUBSTITUTE(G716,"[{",""),FIND(",",SUBSTITUTE(G716,"[{",""))-1),Sheet2!B:B,Sheet2!C:C)&amp;"+"&amp;1,_xlfn.XLOOKUP(LEFT(SUBSTITUTE(G716,"[{",""),FIND(",",SUBSTITUTE(G716,"[{",""))-1),Sheet2!B:B,Sheet2!C:C)&amp;"+"&amp;SUBSTITUTE(RIGHT(G716,LEN(G716)-FIND(",",G716)),"}]","")/100&amp;"%")</f>
        <v>射手伤害+5.8%</v>
      </c>
      <c r="L716" s="83" t="str">
        <f ca="1">IF(MOD(COUNTIF($Q$11:Q715,Q715),5)=0,OFFSET(装备属性!$G$1083,1+INT(COUNTA($Q$11:Q715)/5),0),L715)</f>
        <v>远程喂饭Ⅱ</v>
      </c>
      <c r="M716" s="89" t="str">
        <f ca="1">IF(MOD(COUNTIF($Q$11:Q715,Q715),5)=0,OFFSET(装备属性!$H$1083,1+INT(COUNTA($Q$11:Q715)/5),0),M715)</f>
        <v>hunter_dmg_rate</v>
      </c>
      <c r="N716" s="76">
        <f ca="1">IF(MOD(COUNTIF($Q$11:Q715,Q715),5)=0,OFFSET(装备属性!$K$1083,1+INT(COUNTA($Q$11:Q715)/5),0),N715)</f>
        <v>0.058</v>
      </c>
      <c r="O716" s="76">
        <f ca="1">IF(MOD(COUNTIF($Q$11:Q715,Q715),5)=0,OFFSET(装备属性!$L$1083,1+INT(COUNTA($Q$11:Q715)/5),0),O715)</f>
        <v>0.072</v>
      </c>
      <c r="Q716" s="89" t="str">
        <f ca="1">IF(MOD(COUNTIF($Q$11:Q715,Q715),5)=0,OFFSET(装备属性!$M$1083,1+INT(COUNTA($Q$11:Q715)/5),0),Q715)</f>
        <v>通用属性</v>
      </c>
      <c r="R716" s="83">
        <f ca="1">IF(MOD(COUNTIF($Q$11:Q715,Q715),5)=0,10000*SUBSTITUTE(SUBSTITUTE(OFFSET(装备属性!$F$1083,1+INT(COUNTA($Q$11:Q715)/5),0),"[",""),"]","")+_xlfn.XLOOKUP(C716,$M$3:$M$7,$N$3:$N$7)*100,R715)</f>
        <v>30500</v>
      </c>
    </row>
    <row r="717" customHeight="1" spans="1:18">
      <c r="A717" s="78">
        <f ca="1" t="shared" si="33"/>
        <v>30501</v>
      </c>
      <c r="B717" s="82">
        <f ca="1">IFERROR(R717+COUNTIFS($R$11:$R717,R717),"")</f>
        <v>30517</v>
      </c>
      <c r="C717" s="83" t="str">
        <f ca="1">IF(MOD(COUNTIF($Q$11:Q716,Q716),5)=0,OFFSET(装备属性!$D$1083,1+INT(COUNTA($Q$11:Q716)/5),0),C716)</f>
        <v>橙</v>
      </c>
      <c r="D717" s="82">
        <f t="shared" si="32"/>
        <v>2500</v>
      </c>
      <c r="F717" s="82">
        <f ca="1" t="shared" si="34"/>
        <v>30503</v>
      </c>
      <c r="G717" s="78" t="str">
        <f ca="1">IF(AND(LEFT("[{"&amp;M717&amp;","&amp;CEILING(N717*10000+(O717-N717)/4*(COUNTIF($F$11:F717,F717)-1)*10000,10)&amp;"}]",7)="[{equip",MID("[{"&amp;M717&amp;","&amp;CEILING(N717*10000+(O717-N717)/4*(COUNTIF($F$11:F717,F717)-1)*10000,10)&amp;"}]",8,1)&lt;&gt;"_"),"[{"&amp;M717&amp;","&amp;1&amp;"}]","[{"&amp;M717&amp;","&amp;CEILING(N717*10000+(O717-N717)/4*(COUNTIF($F$11:F717,F717)-1)*10000,10)&amp;"}]")</f>
        <v>[{hunter_dmg_rate,620}]</v>
      </c>
      <c r="H717" s="82" t="s">
        <v>563</v>
      </c>
      <c r="J717" s="78">
        <f ca="1">IF(MOD(COUNTIF($Q$11:Q716,Q716),5)=0,OFFSET(装备属性!$P$1083,1+INT(COUNTA($Q$11:Q716)/5),0),J716)</f>
        <v>3</v>
      </c>
      <c r="K717" s="83" t="str">
        <f ca="1">IF(RIGHT(G717,13)="rune_slot,1}]",_xlfn.XLOOKUP(LEFT(SUBSTITUTE(G717,"[{",""),FIND(",",SUBSTITUTE(G717,"[{",""))-1),Sheet2!B:B,Sheet2!C:C)&amp;"+"&amp;1,_xlfn.XLOOKUP(LEFT(SUBSTITUTE(G717,"[{",""),FIND(",",SUBSTITUTE(G717,"[{",""))-1),Sheet2!B:B,Sheet2!C:C)&amp;"+"&amp;SUBSTITUTE(RIGHT(G717,LEN(G717)-FIND(",",G717)),"}]","")/100&amp;"%")</f>
        <v>射手伤害+6.2%</v>
      </c>
      <c r="L717" s="83" t="str">
        <f ca="1">IF(MOD(COUNTIF($Q$11:Q716,Q716),5)=0,OFFSET(装备属性!$G$1083,1+INT(COUNTA($Q$11:Q716)/5),0),L716)</f>
        <v>远程喂饭Ⅱ</v>
      </c>
      <c r="M717" s="89" t="str">
        <f ca="1">IF(MOD(COUNTIF($Q$11:Q716,Q716),5)=0,OFFSET(装备属性!$H$1083,1+INT(COUNTA($Q$11:Q716)/5),0),M716)</f>
        <v>hunter_dmg_rate</v>
      </c>
      <c r="N717" s="76">
        <f ca="1">IF(MOD(COUNTIF($Q$11:Q716,Q716),5)=0,OFFSET(装备属性!$K$1083,1+INT(COUNTA($Q$11:Q716)/5),0),N716)</f>
        <v>0.058</v>
      </c>
      <c r="O717" s="76">
        <f ca="1">IF(MOD(COUNTIF($Q$11:Q716,Q716),5)=0,OFFSET(装备属性!$L$1083,1+INT(COUNTA($Q$11:Q716)/5),0),O716)</f>
        <v>0.072</v>
      </c>
      <c r="Q717" s="89" t="str">
        <f ca="1">IF(MOD(COUNTIF($Q$11:Q716,Q716),5)=0,OFFSET(装备属性!$M$1083,1+INT(COUNTA($Q$11:Q716)/5),0),Q716)</f>
        <v>通用属性</v>
      </c>
      <c r="R717" s="83">
        <f ca="1">IF(MOD(COUNTIF($Q$11:Q716,Q716),5)=0,10000*SUBSTITUTE(SUBSTITUTE(OFFSET(装备属性!$F$1083,1+INT(COUNTA($Q$11:Q716)/5),0),"[",""),"]","")+_xlfn.XLOOKUP(C717,$M$3:$M$7,$N$3:$N$7)*100,R716)</f>
        <v>30500</v>
      </c>
    </row>
    <row r="718" customHeight="1" spans="1:18">
      <c r="A718" s="78">
        <f ca="1" t="shared" si="33"/>
        <v>30501</v>
      </c>
      <c r="B718" s="82">
        <f ca="1">IFERROR(R718+COUNTIFS($R$11:$R718,R718),"")</f>
        <v>30518</v>
      </c>
      <c r="C718" s="83" t="str">
        <f ca="1">IF(MOD(COUNTIF($Q$11:Q717,Q717),5)=0,OFFSET(装备属性!$D$1083,1+INT(COUNTA($Q$11:Q717)/5),0),C717)</f>
        <v>橙</v>
      </c>
      <c r="D718" s="82">
        <f t="shared" si="32"/>
        <v>2000</v>
      </c>
      <c r="F718" s="82">
        <f ca="1" t="shared" si="34"/>
        <v>30503</v>
      </c>
      <c r="G718" s="78" t="str">
        <f ca="1">IF(AND(LEFT("[{"&amp;M718&amp;","&amp;CEILING(N718*10000+(O718-N718)/4*(COUNTIF($F$11:F718,F718)-1)*10000,10)&amp;"}]",7)="[{equip",MID("[{"&amp;M718&amp;","&amp;CEILING(N718*10000+(O718-N718)/4*(COUNTIF($F$11:F718,F718)-1)*10000,10)&amp;"}]",8,1)&lt;&gt;"_"),"[{"&amp;M718&amp;","&amp;1&amp;"}]","[{"&amp;M718&amp;","&amp;CEILING(N718*10000+(O718-N718)/4*(COUNTIF($F$11:F718,F718)-1)*10000,10)&amp;"}]")</f>
        <v>[{hunter_dmg_rate,650}]</v>
      </c>
      <c r="H718" s="82" t="s">
        <v>563</v>
      </c>
      <c r="J718" s="78">
        <f ca="1">IF(MOD(COUNTIF($Q$11:Q717,Q717),5)=0,OFFSET(装备属性!$P$1083,1+INT(COUNTA($Q$11:Q717)/5),0),J717)</f>
        <v>3</v>
      </c>
      <c r="K718" s="83" t="str">
        <f ca="1">IF(RIGHT(G718,13)="rune_slot,1}]",_xlfn.XLOOKUP(LEFT(SUBSTITUTE(G718,"[{",""),FIND(",",SUBSTITUTE(G718,"[{",""))-1),Sheet2!B:B,Sheet2!C:C)&amp;"+"&amp;1,_xlfn.XLOOKUP(LEFT(SUBSTITUTE(G718,"[{",""),FIND(",",SUBSTITUTE(G718,"[{",""))-1),Sheet2!B:B,Sheet2!C:C)&amp;"+"&amp;SUBSTITUTE(RIGHT(G718,LEN(G718)-FIND(",",G718)),"}]","")/100&amp;"%")</f>
        <v>射手伤害+6.5%</v>
      </c>
      <c r="L718" s="83" t="str">
        <f ca="1">IF(MOD(COUNTIF($Q$11:Q717,Q717),5)=0,OFFSET(装备属性!$G$1083,1+INT(COUNTA($Q$11:Q717)/5),0),L717)</f>
        <v>远程喂饭Ⅱ</v>
      </c>
      <c r="M718" s="89" t="str">
        <f ca="1">IF(MOD(COUNTIF($Q$11:Q717,Q717),5)=0,OFFSET(装备属性!$H$1083,1+INT(COUNTA($Q$11:Q717)/5),0),M717)</f>
        <v>hunter_dmg_rate</v>
      </c>
      <c r="N718" s="76">
        <f ca="1">IF(MOD(COUNTIF($Q$11:Q717,Q717),5)=0,OFFSET(装备属性!$K$1083,1+INT(COUNTA($Q$11:Q717)/5),0),N717)</f>
        <v>0.058</v>
      </c>
      <c r="O718" s="76">
        <f ca="1">IF(MOD(COUNTIF($Q$11:Q717,Q717),5)=0,OFFSET(装备属性!$L$1083,1+INT(COUNTA($Q$11:Q717)/5),0),O717)</f>
        <v>0.072</v>
      </c>
      <c r="Q718" s="89" t="str">
        <f ca="1">IF(MOD(COUNTIF($Q$11:Q717,Q717),5)=0,OFFSET(装备属性!$M$1083,1+INT(COUNTA($Q$11:Q717)/5),0),Q717)</f>
        <v>通用属性</v>
      </c>
      <c r="R718" s="83">
        <f ca="1">IF(MOD(COUNTIF($Q$11:Q717,Q717),5)=0,10000*SUBSTITUTE(SUBSTITUTE(OFFSET(装备属性!$F$1083,1+INT(COUNTA($Q$11:Q717)/5),0),"[",""),"]","")+_xlfn.XLOOKUP(C718,$M$3:$M$7,$N$3:$N$7)*100,R717)</f>
        <v>30500</v>
      </c>
    </row>
    <row r="719" customHeight="1" spans="1:18">
      <c r="A719" s="78">
        <f ca="1" t="shared" si="33"/>
        <v>30501</v>
      </c>
      <c r="B719" s="82">
        <f ca="1">IFERROR(R719+COUNTIFS($R$11:$R719,R719),"")</f>
        <v>30519</v>
      </c>
      <c r="C719" s="83" t="str">
        <f ca="1">IF(MOD(COUNTIF($Q$11:Q718,Q718),5)=0,OFFSET(装备属性!$D$1083,1+INT(COUNTA($Q$11:Q718)/5),0),C718)</f>
        <v>橙</v>
      </c>
      <c r="D719" s="82">
        <f t="shared" si="32"/>
        <v>1500</v>
      </c>
      <c r="F719" s="82">
        <f ca="1" t="shared" si="34"/>
        <v>30503</v>
      </c>
      <c r="G719" s="78" t="str">
        <f ca="1">IF(AND(LEFT("[{"&amp;M719&amp;","&amp;CEILING(N719*10000+(O719-N719)/4*(COUNTIF($F$11:F719,F719)-1)*10000,10)&amp;"}]",7)="[{equip",MID("[{"&amp;M719&amp;","&amp;CEILING(N719*10000+(O719-N719)/4*(COUNTIF($F$11:F719,F719)-1)*10000,10)&amp;"}]",8,1)&lt;&gt;"_"),"[{"&amp;M719&amp;","&amp;1&amp;"}]","[{"&amp;M719&amp;","&amp;CEILING(N719*10000+(O719-N719)/4*(COUNTIF($F$11:F719,F719)-1)*10000,10)&amp;"}]")</f>
        <v>[{hunter_dmg_rate,690}]</v>
      </c>
      <c r="H719" s="82" t="s">
        <v>563</v>
      </c>
      <c r="J719" s="78">
        <f ca="1">IF(MOD(COUNTIF($Q$11:Q718,Q718),5)=0,OFFSET(装备属性!$P$1083,1+INT(COUNTA($Q$11:Q718)/5),0),J718)</f>
        <v>3</v>
      </c>
      <c r="K719" s="83" t="str">
        <f ca="1">IF(RIGHT(G719,13)="rune_slot,1}]",_xlfn.XLOOKUP(LEFT(SUBSTITUTE(G719,"[{",""),FIND(",",SUBSTITUTE(G719,"[{",""))-1),Sheet2!B:B,Sheet2!C:C)&amp;"+"&amp;1,_xlfn.XLOOKUP(LEFT(SUBSTITUTE(G719,"[{",""),FIND(",",SUBSTITUTE(G719,"[{",""))-1),Sheet2!B:B,Sheet2!C:C)&amp;"+"&amp;SUBSTITUTE(RIGHT(G719,LEN(G719)-FIND(",",G719)),"}]","")/100&amp;"%")</f>
        <v>射手伤害+6.9%</v>
      </c>
      <c r="L719" s="83" t="str">
        <f ca="1">IF(MOD(COUNTIF($Q$11:Q718,Q718),5)=0,OFFSET(装备属性!$G$1083,1+INT(COUNTA($Q$11:Q718)/5),0),L718)</f>
        <v>远程喂饭Ⅱ</v>
      </c>
      <c r="M719" s="89" t="str">
        <f ca="1">IF(MOD(COUNTIF($Q$11:Q718,Q718),5)=0,OFFSET(装备属性!$H$1083,1+INT(COUNTA($Q$11:Q718)/5),0),M718)</f>
        <v>hunter_dmg_rate</v>
      </c>
      <c r="N719" s="76">
        <f ca="1">IF(MOD(COUNTIF($Q$11:Q718,Q718),5)=0,OFFSET(装备属性!$K$1083,1+INT(COUNTA($Q$11:Q718)/5),0),N718)</f>
        <v>0.058</v>
      </c>
      <c r="O719" s="76">
        <f ca="1">IF(MOD(COUNTIF($Q$11:Q718,Q718),5)=0,OFFSET(装备属性!$L$1083,1+INT(COUNTA($Q$11:Q718)/5),0),O718)</f>
        <v>0.072</v>
      </c>
      <c r="Q719" s="89" t="str">
        <f ca="1">IF(MOD(COUNTIF($Q$11:Q718,Q718),5)=0,OFFSET(装备属性!$M$1083,1+INT(COUNTA($Q$11:Q718)/5),0),Q718)</f>
        <v>通用属性</v>
      </c>
      <c r="R719" s="83">
        <f ca="1">IF(MOD(COUNTIF($Q$11:Q718,Q718),5)=0,10000*SUBSTITUTE(SUBSTITUTE(OFFSET(装备属性!$F$1083,1+INT(COUNTA($Q$11:Q718)/5),0),"[",""),"]","")+_xlfn.XLOOKUP(C719,$M$3:$M$7,$N$3:$N$7)*100,R718)</f>
        <v>30500</v>
      </c>
    </row>
    <row r="720" customHeight="1" spans="1:18">
      <c r="A720" s="78">
        <f ca="1" t="shared" si="33"/>
        <v>30501</v>
      </c>
      <c r="B720" s="82">
        <f ca="1">IFERROR(R720+COUNTIFS($R$11:$R720,R720),"")</f>
        <v>30520</v>
      </c>
      <c r="C720" s="83" t="str">
        <f ca="1">IF(MOD(COUNTIF($Q$11:Q719,Q719),5)=0,OFFSET(装备属性!$D$1083,1+INT(COUNTA($Q$11:Q719)/5),0),C719)</f>
        <v>橙</v>
      </c>
      <c r="D720" s="82">
        <f t="shared" si="32"/>
        <v>1000</v>
      </c>
      <c r="F720" s="82">
        <f ca="1" t="shared" si="34"/>
        <v>30503</v>
      </c>
      <c r="G720" s="78" t="str">
        <f ca="1">IF(AND(LEFT("[{"&amp;M720&amp;","&amp;CEILING(N720*10000+(O720-N720)/4*(COUNTIF($F$11:F720,F720)-1)*10000,10)&amp;"}]",7)="[{equip",MID("[{"&amp;M720&amp;","&amp;CEILING(N720*10000+(O720-N720)/4*(COUNTIF($F$11:F720,F720)-1)*10000,10)&amp;"}]",8,1)&lt;&gt;"_"),"[{"&amp;M720&amp;","&amp;1&amp;"}]","[{"&amp;M720&amp;","&amp;CEILING(N720*10000+(O720-N720)/4*(COUNTIF($F$11:F720,F720)-1)*10000,10)&amp;"}]")</f>
        <v>[{hunter_dmg_rate,720}]</v>
      </c>
      <c r="H720" s="82" t="s">
        <v>563</v>
      </c>
      <c r="J720" s="78">
        <f ca="1">IF(MOD(COUNTIF($Q$11:Q719,Q719),5)=0,OFFSET(装备属性!$P$1083,1+INT(COUNTA($Q$11:Q719)/5),0),J719)</f>
        <v>3</v>
      </c>
      <c r="K720" s="83" t="str">
        <f ca="1">IF(RIGHT(G720,13)="rune_slot,1}]",_xlfn.XLOOKUP(LEFT(SUBSTITUTE(G720,"[{",""),FIND(",",SUBSTITUTE(G720,"[{",""))-1),Sheet2!B:B,Sheet2!C:C)&amp;"+"&amp;1,_xlfn.XLOOKUP(LEFT(SUBSTITUTE(G720,"[{",""),FIND(",",SUBSTITUTE(G720,"[{",""))-1),Sheet2!B:B,Sheet2!C:C)&amp;"+"&amp;SUBSTITUTE(RIGHT(G720,LEN(G720)-FIND(",",G720)),"}]","")/100&amp;"%")</f>
        <v>射手伤害+7.2%</v>
      </c>
      <c r="L720" s="83" t="str">
        <f ca="1">IF(MOD(COUNTIF($Q$11:Q719,Q719),5)=0,OFFSET(装备属性!$G$1083,1+INT(COUNTA($Q$11:Q719)/5),0),L719)</f>
        <v>远程喂饭Ⅱ</v>
      </c>
      <c r="M720" s="89" t="str">
        <f ca="1">IF(MOD(COUNTIF($Q$11:Q719,Q719),5)=0,OFFSET(装备属性!$H$1083,1+INT(COUNTA($Q$11:Q719)/5),0),M719)</f>
        <v>hunter_dmg_rate</v>
      </c>
      <c r="N720" s="76">
        <f ca="1">IF(MOD(COUNTIF($Q$11:Q719,Q719),5)=0,OFFSET(装备属性!$K$1083,1+INT(COUNTA($Q$11:Q719)/5),0),N719)</f>
        <v>0.058</v>
      </c>
      <c r="O720" s="76">
        <f ca="1">IF(MOD(COUNTIF($Q$11:Q719,Q719),5)=0,OFFSET(装备属性!$L$1083,1+INT(COUNTA($Q$11:Q719)/5),0),O719)</f>
        <v>0.072</v>
      </c>
      <c r="Q720" s="89" t="str">
        <f ca="1">IF(MOD(COUNTIF($Q$11:Q719,Q719),5)=0,OFFSET(装备属性!$M$1083,1+INT(COUNTA($Q$11:Q719)/5),0),Q719)</f>
        <v>通用属性</v>
      </c>
      <c r="R720" s="83">
        <f ca="1">IF(MOD(COUNTIF($Q$11:Q719,Q719),5)=0,10000*SUBSTITUTE(SUBSTITUTE(OFFSET(装备属性!$F$1083,1+INT(COUNTA($Q$11:Q719)/5),0),"[",""),"]","")+_xlfn.XLOOKUP(C720,$M$3:$M$7,$N$3:$N$7)*100,R719)</f>
        <v>30500</v>
      </c>
    </row>
    <row r="721" customHeight="1" spans="1:18">
      <c r="A721" s="78" t="str">
        <f ca="1" t="shared" si="33"/>
        <v/>
      </c>
      <c r="B721" s="82" t="str">
        <f ca="1">IFERROR(R721+COUNTIFS($R$11:$R721,R721),"")</f>
        <v/>
      </c>
      <c r="C721" s="83">
        <f ca="1">IF(MOD(COUNTIF($Q$11:Q720,Q720),5)=0,OFFSET(装备属性!$D$1083,1+INT(COUNTA($Q$11:Q720)/5),0),C720)</f>
        <v>0</v>
      </c>
      <c r="D721" s="82">
        <f t="shared" ref="D721:D784" si="35">D716</f>
        <v>3000</v>
      </c>
      <c r="F721" s="82" t="str">
        <f ca="1" t="shared" si="34"/>
        <v/>
      </c>
      <c r="G721" s="78" t="str">
        <f ca="1">IF(AND(LEFT("[{"&amp;M721&amp;","&amp;CEILING(N721*10000+(O721-N721)/4*(COUNTIF($F$11:F721,F721)-1)*10000,10)&amp;"}]",7)="[{equip",MID("[{"&amp;M721&amp;","&amp;CEILING(N721*10000+(O721-N721)/4*(COUNTIF($F$11:F721,F721)-1)*10000,10)&amp;"}]",8,1)&lt;&gt;"_"),"[{"&amp;M721&amp;","&amp;1&amp;"}]","[{"&amp;M721&amp;","&amp;CEILING(N721*10000+(O721-N721)/4*(COUNTIF($F$11:F721,F721)-1)*10000,10)&amp;"}]")</f>
        <v>[{hunter_class_dmg_rate,12000}]</v>
      </c>
      <c r="H721" s="82" t="s">
        <v>563</v>
      </c>
      <c r="J721" s="78">
        <f ca="1">IF(MOD(COUNTIF($Q$11:Q720,Q720),5)=0,OFFSET(装备属性!$P$1083,1+INT(COUNTA($Q$11:Q720)/5),0),J720)</f>
        <v>4</v>
      </c>
      <c r="K721" s="83" t="str">
        <f ca="1">IF(RIGHT(G721,13)="rune_slot,1}]",_xlfn.XLOOKUP(LEFT(SUBSTITUTE(G721,"[{",""),FIND(",",SUBSTITUTE(G721,"[{",""))-1),Sheet2!B:B,Sheet2!C:C)&amp;"+"&amp;1,_xlfn.XLOOKUP(LEFT(SUBSTITUTE(G721,"[{",""),FIND(",",SUBSTITUTE(G721,"[{",""))-1),Sheet2!B:B,Sheet2!C:C)&amp;"+"&amp;SUBSTITUTE(RIGHT(G721,LEN(G721)-FIND(",",G721)),"}]","")/100&amp;"%")</f>
        <v>上阵两个射手职业增伤+120%</v>
      </c>
      <c r="L721" s="83" t="str">
        <f ca="1">IF(MOD(COUNTIF($Q$11:Q720,Q720),5)=0,OFFSET(装备属性!$G$1083,1+INT(COUNTA($Q$11:Q720)/5),0),L720)</f>
        <v>远程小队Ⅱ</v>
      </c>
      <c r="M721" s="89" t="str">
        <f ca="1">IF(MOD(COUNTIF($Q$11:Q720,Q720),5)=0,OFFSET(装备属性!$H$1083,1+INT(COUNTA($Q$11:Q720)/5),0),M720)</f>
        <v>hunter_class_dmg_rate</v>
      </c>
      <c r="N721" s="76">
        <f ca="1">IF(MOD(COUNTIF($Q$11:Q720,Q720),5)=0,OFFSET(装备属性!$K$1083,1+INT(COUNTA($Q$11:Q720)/5),0),N720)</f>
        <v>0.075</v>
      </c>
      <c r="O721" s="76">
        <f ca="1">IF(MOD(COUNTIF($Q$11:Q720,Q720),5)=0,OFFSET(装备属性!$L$1083,1+INT(COUNTA($Q$11:Q720)/5),0),O720)</f>
        <v>0.09</v>
      </c>
      <c r="Q721" s="89" t="str">
        <f ca="1">IF(MOD(COUNTIF($Q$11:Q720,Q720),5)=0,OFFSET(装备属性!$M$1083,1+INT(COUNTA($Q$11:Q720)/5),0),Q720)</f>
        <v>通用属性</v>
      </c>
      <c r="R721" s="83" t="e">
        <f ca="1">IF(MOD(COUNTIF($Q$11:Q720,Q720),5)=0,10000*SUBSTITUTE(SUBSTITUTE(OFFSET(装备属性!$F$1083,1+INT(COUNTA($Q$11:Q720)/5),0),"[",""),"]","")+_xlfn.XLOOKUP(C721,$M$3:$M$7,$N$3:$N$7)*100,R720)</f>
        <v>#N/A</v>
      </c>
    </row>
    <row r="722" customHeight="1" spans="1:18">
      <c r="A722" s="78" t="str">
        <f ca="1" t="shared" si="33"/>
        <v/>
      </c>
      <c r="B722" s="82" t="str">
        <f ca="1">IFERROR(R722+COUNTIFS($R$11:$R722,R722),"")</f>
        <v/>
      </c>
      <c r="C722" s="83">
        <f ca="1">IF(MOD(COUNTIF($Q$11:Q721,Q721),5)=0,OFFSET(装备属性!$D$1083,1+INT(COUNTA($Q$11:Q721)/5),0),C721)</f>
        <v>0</v>
      </c>
      <c r="D722" s="82">
        <f t="shared" si="35"/>
        <v>2500</v>
      </c>
      <c r="F722" s="82" t="str">
        <f ca="1" t="shared" si="34"/>
        <v/>
      </c>
      <c r="G722" s="78" t="str">
        <f ca="1">IF(AND(LEFT("[{"&amp;M722&amp;","&amp;CEILING(N722*10000+(O722-N722)/4*(COUNTIF($F$11:F722,F722)-1)*10000,10)&amp;"}]",7)="[{equip",MID("[{"&amp;M722&amp;","&amp;CEILING(N722*10000+(O722-N722)/4*(COUNTIF($F$11:F722,F722)-1)*10000,10)&amp;"}]",8,1)&lt;&gt;"_"),"[{"&amp;M722&amp;","&amp;1&amp;"}]","[{"&amp;M722&amp;","&amp;CEILING(N722*10000+(O722-N722)/4*(COUNTIF($F$11:F722,F722)-1)*10000,10)&amp;"}]")</f>
        <v>[{hunter_class_dmg_rate,12040}]</v>
      </c>
      <c r="H722" s="82" t="s">
        <v>563</v>
      </c>
      <c r="J722" s="78">
        <f ca="1">IF(MOD(COUNTIF($Q$11:Q721,Q721),5)=0,OFFSET(装备属性!$P$1083,1+INT(COUNTA($Q$11:Q721)/5),0),J721)</f>
        <v>4</v>
      </c>
      <c r="K722" s="83" t="str">
        <f ca="1">IF(RIGHT(G722,13)="rune_slot,1}]",_xlfn.XLOOKUP(LEFT(SUBSTITUTE(G722,"[{",""),FIND(",",SUBSTITUTE(G722,"[{",""))-1),Sheet2!B:B,Sheet2!C:C)&amp;"+"&amp;1,_xlfn.XLOOKUP(LEFT(SUBSTITUTE(G722,"[{",""),FIND(",",SUBSTITUTE(G722,"[{",""))-1),Sheet2!B:B,Sheet2!C:C)&amp;"+"&amp;SUBSTITUTE(RIGHT(G722,LEN(G722)-FIND(",",G722)),"}]","")/100&amp;"%")</f>
        <v>上阵两个射手职业增伤+120.4%</v>
      </c>
      <c r="L722" s="83" t="str">
        <f ca="1">IF(MOD(COUNTIF($Q$11:Q721,Q721),5)=0,OFFSET(装备属性!$G$1083,1+INT(COUNTA($Q$11:Q721)/5),0),L721)</f>
        <v>远程小队Ⅱ</v>
      </c>
      <c r="M722" s="89" t="str">
        <f ca="1">IF(MOD(COUNTIF($Q$11:Q721,Q721),5)=0,OFFSET(装备属性!$H$1083,1+INT(COUNTA($Q$11:Q721)/5),0),M721)</f>
        <v>hunter_class_dmg_rate</v>
      </c>
      <c r="N722" s="76">
        <f ca="1">IF(MOD(COUNTIF($Q$11:Q721,Q721),5)=0,OFFSET(装备属性!$K$1083,1+INT(COUNTA($Q$11:Q721)/5),0),N721)</f>
        <v>0.075</v>
      </c>
      <c r="O722" s="76">
        <f ca="1">IF(MOD(COUNTIF($Q$11:Q721,Q721),5)=0,OFFSET(装备属性!$L$1083,1+INT(COUNTA($Q$11:Q721)/5),0),O721)</f>
        <v>0.09</v>
      </c>
      <c r="Q722" s="89" t="str">
        <f ca="1">IF(MOD(COUNTIF($Q$11:Q721,Q721),5)=0,OFFSET(装备属性!$M$1083,1+INT(COUNTA($Q$11:Q721)/5),0),Q721)</f>
        <v>通用属性</v>
      </c>
      <c r="R722" s="83" t="e">
        <f ca="1">IF(MOD(COUNTIF($Q$11:Q721,Q721),5)=0,10000*SUBSTITUTE(SUBSTITUTE(OFFSET(装备属性!$F$1083,1+INT(COUNTA($Q$11:Q721)/5),0),"[",""),"]","")+_xlfn.XLOOKUP(C722,$M$3:$M$7,$N$3:$N$7)*100,R721)</f>
        <v>#N/A</v>
      </c>
    </row>
    <row r="723" customHeight="1" spans="1:18">
      <c r="A723" s="78" t="str">
        <f ca="1" t="shared" si="33"/>
        <v/>
      </c>
      <c r="B723" s="82" t="str">
        <f ca="1">IFERROR(R723+COUNTIFS($R$11:$R723,R723),"")</f>
        <v/>
      </c>
      <c r="C723" s="83">
        <f ca="1">IF(MOD(COUNTIF($Q$11:Q722,Q722),5)=0,OFFSET(装备属性!$D$1083,1+INT(COUNTA($Q$11:Q722)/5),0),C722)</f>
        <v>0</v>
      </c>
      <c r="D723" s="82">
        <f t="shared" si="35"/>
        <v>2000</v>
      </c>
      <c r="F723" s="82" t="str">
        <f ca="1" t="shared" si="34"/>
        <v/>
      </c>
      <c r="G723" s="78" t="str">
        <f ca="1">IF(AND(LEFT("[{"&amp;M723&amp;","&amp;CEILING(N723*10000+(O723-N723)/4*(COUNTIF($F$11:F723,F723)-1)*10000,10)&amp;"}]",7)="[{equip",MID("[{"&amp;M723&amp;","&amp;CEILING(N723*10000+(O723-N723)/4*(COUNTIF($F$11:F723,F723)-1)*10000,10)&amp;"}]",8,1)&lt;&gt;"_"),"[{"&amp;M723&amp;","&amp;1&amp;"}]","[{"&amp;M723&amp;","&amp;CEILING(N723*10000+(O723-N723)/4*(COUNTIF($F$11:F723,F723)-1)*10000,10)&amp;"}]")</f>
        <v>[{hunter_class_dmg_rate,12080}]</v>
      </c>
      <c r="H723" s="82" t="s">
        <v>563</v>
      </c>
      <c r="J723" s="78">
        <f ca="1">IF(MOD(COUNTIF($Q$11:Q722,Q722),5)=0,OFFSET(装备属性!$P$1083,1+INT(COUNTA($Q$11:Q722)/5),0),J722)</f>
        <v>4</v>
      </c>
      <c r="K723" s="83" t="str">
        <f ca="1">IF(RIGHT(G723,13)="rune_slot,1}]",_xlfn.XLOOKUP(LEFT(SUBSTITUTE(G723,"[{",""),FIND(",",SUBSTITUTE(G723,"[{",""))-1),Sheet2!B:B,Sheet2!C:C)&amp;"+"&amp;1,_xlfn.XLOOKUP(LEFT(SUBSTITUTE(G723,"[{",""),FIND(",",SUBSTITUTE(G723,"[{",""))-1),Sheet2!B:B,Sheet2!C:C)&amp;"+"&amp;SUBSTITUTE(RIGHT(G723,LEN(G723)-FIND(",",G723)),"}]","")/100&amp;"%")</f>
        <v>上阵两个射手职业增伤+120.8%</v>
      </c>
      <c r="L723" s="83" t="str">
        <f ca="1">IF(MOD(COUNTIF($Q$11:Q722,Q722),5)=0,OFFSET(装备属性!$G$1083,1+INT(COUNTA($Q$11:Q722)/5),0),L722)</f>
        <v>远程小队Ⅱ</v>
      </c>
      <c r="M723" s="89" t="str">
        <f ca="1">IF(MOD(COUNTIF($Q$11:Q722,Q722),5)=0,OFFSET(装备属性!$H$1083,1+INT(COUNTA($Q$11:Q722)/5),0),M722)</f>
        <v>hunter_class_dmg_rate</v>
      </c>
      <c r="N723" s="76">
        <f ca="1">IF(MOD(COUNTIF($Q$11:Q722,Q722),5)=0,OFFSET(装备属性!$K$1083,1+INT(COUNTA($Q$11:Q722)/5),0),N722)</f>
        <v>0.075</v>
      </c>
      <c r="O723" s="76">
        <f ca="1">IF(MOD(COUNTIF($Q$11:Q722,Q722),5)=0,OFFSET(装备属性!$L$1083,1+INT(COUNTA($Q$11:Q722)/5),0),O722)</f>
        <v>0.09</v>
      </c>
      <c r="Q723" s="89" t="str">
        <f ca="1">IF(MOD(COUNTIF($Q$11:Q722,Q722),5)=0,OFFSET(装备属性!$M$1083,1+INT(COUNTA($Q$11:Q722)/5),0),Q722)</f>
        <v>通用属性</v>
      </c>
      <c r="R723" s="83" t="e">
        <f ca="1">IF(MOD(COUNTIF($Q$11:Q722,Q722),5)=0,10000*SUBSTITUTE(SUBSTITUTE(OFFSET(装备属性!$F$1083,1+INT(COUNTA($Q$11:Q722)/5),0),"[",""),"]","")+_xlfn.XLOOKUP(C723,$M$3:$M$7,$N$3:$N$7)*100,R722)</f>
        <v>#N/A</v>
      </c>
    </row>
    <row r="724" customHeight="1" spans="1:18">
      <c r="A724" s="78" t="str">
        <f ca="1" t="shared" si="33"/>
        <v/>
      </c>
      <c r="B724" s="82" t="str">
        <f ca="1">IFERROR(R724+COUNTIFS($R$11:$R724,R724),"")</f>
        <v/>
      </c>
      <c r="C724" s="83">
        <f ca="1">IF(MOD(COUNTIF($Q$11:Q723,Q723),5)=0,OFFSET(装备属性!$D$1083,1+INT(COUNTA($Q$11:Q723)/5),0),C723)</f>
        <v>0</v>
      </c>
      <c r="D724" s="82">
        <f t="shared" si="35"/>
        <v>1500</v>
      </c>
      <c r="F724" s="82" t="str">
        <f ca="1" t="shared" si="34"/>
        <v/>
      </c>
      <c r="G724" s="78" t="str">
        <f ca="1">IF(AND(LEFT("[{"&amp;M724&amp;","&amp;CEILING(N724*10000+(O724-N724)/4*(COUNTIF($F$11:F724,F724)-1)*10000,10)&amp;"}]",7)="[{equip",MID("[{"&amp;M724&amp;","&amp;CEILING(N724*10000+(O724-N724)/4*(COUNTIF($F$11:F724,F724)-1)*10000,10)&amp;"}]",8,1)&lt;&gt;"_"),"[{"&amp;M724&amp;","&amp;1&amp;"}]","[{"&amp;M724&amp;","&amp;CEILING(N724*10000+(O724-N724)/4*(COUNTIF($F$11:F724,F724)-1)*10000,10)&amp;"}]")</f>
        <v>[{hunter_class_dmg_rate,12120}]</v>
      </c>
      <c r="H724" s="82" t="s">
        <v>563</v>
      </c>
      <c r="J724" s="78">
        <f ca="1">IF(MOD(COUNTIF($Q$11:Q723,Q723),5)=0,OFFSET(装备属性!$P$1083,1+INT(COUNTA($Q$11:Q723)/5),0),J723)</f>
        <v>4</v>
      </c>
      <c r="K724" s="83" t="str">
        <f ca="1">IF(RIGHT(G724,13)="rune_slot,1}]",_xlfn.XLOOKUP(LEFT(SUBSTITUTE(G724,"[{",""),FIND(",",SUBSTITUTE(G724,"[{",""))-1),Sheet2!B:B,Sheet2!C:C)&amp;"+"&amp;1,_xlfn.XLOOKUP(LEFT(SUBSTITUTE(G724,"[{",""),FIND(",",SUBSTITUTE(G724,"[{",""))-1),Sheet2!B:B,Sheet2!C:C)&amp;"+"&amp;SUBSTITUTE(RIGHT(G724,LEN(G724)-FIND(",",G724)),"}]","")/100&amp;"%")</f>
        <v>上阵两个射手职业增伤+121.2%</v>
      </c>
      <c r="L724" s="83" t="str">
        <f ca="1">IF(MOD(COUNTIF($Q$11:Q723,Q723),5)=0,OFFSET(装备属性!$G$1083,1+INT(COUNTA($Q$11:Q723)/5),0),L723)</f>
        <v>远程小队Ⅱ</v>
      </c>
      <c r="M724" s="89" t="str">
        <f ca="1">IF(MOD(COUNTIF($Q$11:Q723,Q723),5)=0,OFFSET(装备属性!$H$1083,1+INT(COUNTA($Q$11:Q723)/5),0),M723)</f>
        <v>hunter_class_dmg_rate</v>
      </c>
      <c r="N724" s="76">
        <f ca="1">IF(MOD(COUNTIF($Q$11:Q723,Q723),5)=0,OFFSET(装备属性!$K$1083,1+INT(COUNTA($Q$11:Q723)/5),0),N723)</f>
        <v>0.075</v>
      </c>
      <c r="O724" s="76">
        <f ca="1">IF(MOD(COUNTIF($Q$11:Q723,Q723),5)=0,OFFSET(装备属性!$L$1083,1+INT(COUNTA($Q$11:Q723)/5),0),O723)</f>
        <v>0.09</v>
      </c>
      <c r="Q724" s="89" t="str">
        <f ca="1">IF(MOD(COUNTIF($Q$11:Q723,Q723),5)=0,OFFSET(装备属性!$M$1083,1+INT(COUNTA($Q$11:Q723)/5),0),Q723)</f>
        <v>通用属性</v>
      </c>
      <c r="R724" s="83" t="e">
        <f ca="1">IF(MOD(COUNTIF($Q$11:Q723,Q723),5)=0,10000*SUBSTITUTE(SUBSTITUTE(OFFSET(装备属性!$F$1083,1+INT(COUNTA($Q$11:Q723)/5),0),"[",""),"]","")+_xlfn.XLOOKUP(C724,$M$3:$M$7,$N$3:$N$7)*100,R723)</f>
        <v>#N/A</v>
      </c>
    </row>
    <row r="725" customHeight="1" spans="1:18">
      <c r="A725" s="78" t="str">
        <f ca="1" t="shared" si="33"/>
        <v/>
      </c>
      <c r="B725" s="82" t="str">
        <f ca="1">IFERROR(R725+COUNTIFS($R$11:$R725,R725),"")</f>
        <v/>
      </c>
      <c r="C725" s="83">
        <f ca="1">IF(MOD(COUNTIF($Q$11:Q724,Q724),5)=0,OFFSET(装备属性!$D$1083,1+INT(COUNTA($Q$11:Q724)/5),0),C724)</f>
        <v>0</v>
      </c>
      <c r="D725" s="82">
        <f t="shared" si="35"/>
        <v>1000</v>
      </c>
      <c r="F725" s="82" t="str">
        <f ca="1" t="shared" si="34"/>
        <v/>
      </c>
      <c r="G725" s="78" t="str">
        <f ca="1">IF(AND(LEFT("[{"&amp;M725&amp;","&amp;CEILING(N725*10000+(O725-N725)/4*(COUNTIF($F$11:F725,F725)-1)*10000,10)&amp;"}]",7)="[{equip",MID("[{"&amp;M725&amp;","&amp;CEILING(N725*10000+(O725-N725)/4*(COUNTIF($F$11:F725,F725)-1)*10000,10)&amp;"}]",8,1)&lt;&gt;"_"),"[{"&amp;M725&amp;","&amp;1&amp;"}]","[{"&amp;M725&amp;","&amp;CEILING(N725*10000+(O725-N725)/4*(COUNTIF($F$11:F725,F725)-1)*10000,10)&amp;"}]")</f>
        <v>[{hunter_class_dmg_rate,12150}]</v>
      </c>
      <c r="H725" s="82" t="s">
        <v>563</v>
      </c>
      <c r="J725" s="78">
        <f ca="1">IF(MOD(COUNTIF($Q$11:Q724,Q724),5)=0,OFFSET(装备属性!$P$1083,1+INT(COUNTA($Q$11:Q724)/5),0),J724)</f>
        <v>4</v>
      </c>
      <c r="K725" s="83" t="str">
        <f ca="1">IF(RIGHT(G725,13)="rune_slot,1}]",_xlfn.XLOOKUP(LEFT(SUBSTITUTE(G725,"[{",""),FIND(",",SUBSTITUTE(G725,"[{",""))-1),Sheet2!B:B,Sheet2!C:C)&amp;"+"&amp;1,_xlfn.XLOOKUP(LEFT(SUBSTITUTE(G725,"[{",""),FIND(",",SUBSTITUTE(G725,"[{",""))-1),Sheet2!B:B,Sheet2!C:C)&amp;"+"&amp;SUBSTITUTE(RIGHT(G725,LEN(G725)-FIND(",",G725)),"}]","")/100&amp;"%")</f>
        <v>上阵两个射手职业增伤+121.5%</v>
      </c>
      <c r="L725" s="83" t="str">
        <f ca="1">IF(MOD(COUNTIF($Q$11:Q724,Q724),5)=0,OFFSET(装备属性!$G$1083,1+INT(COUNTA($Q$11:Q724)/5),0),L724)</f>
        <v>远程小队Ⅱ</v>
      </c>
      <c r="M725" s="89" t="str">
        <f ca="1">IF(MOD(COUNTIF($Q$11:Q724,Q724),5)=0,OFFSET(装备属性!$H$1083,1+INT(COUNTA($Q$11:Q724)/5),0),M724)</f>
        <v>hunter_class_dmg_rate</v>
      </c>
      <c r="N725" s="76">
        <f ca="1">IF(MOD(COUNTIF($Q$11:Q724,Q724),5)=0,OFFSET(装备属性!$K$1083,1+INT(COUNTA($Q$11:Q724)/5),0),N724)</f>
        <v>0.075</v>
      </c>
      <c r="O725" s="76">
        <f ca="1">IF(MOD(COUNTIF($Q$11:Q724,Q724),5)=0,OFFSET(装备属性!$L$1083,1+INT(COUNTA($Q$11:Q724)/5),0),O724)</f>
        <v>0.09</v>
      </c>
      <c r="Q725" s="89" t="str">
        <f ca="1">IF(MOD(COUNTIF($Q$11:Q724,Q724),5)=0,OFFSET(装备属性!$M$1083,1+INT(COUNTA($Q$11:Q724)/5),0),Q724)</f>
        <v>通用属性</v>
      </c>
      <c r="R725" s="83" t="e">
        <f ca="1">IF(MOD(COUNTIF($Q$11:Q724,Q724),5)=0,10000*SUBSTITUTE(SUBSTITUTE(OFFSET(装备属性!$F$1083,1+INT(COUNTA($Q$11:Q724)/5),0),"[",""),"]","")+_xlfn.XLOOKUP(C725,$M$3:$M$7,$N$3:$N$7)*100,R724)</f>
        <v>#N/A</v>
      </c>
    </row>
    <row r="726" customHeight="1" spans="1:18">
      <c r="A726" s="78">
        <f ca="1" t="shared" si="33"/>
        <v>30501</v>
      </c>
      <c r="B726" s="82">
        <f ca="1">IFERROR(R726+COUNTIFS($R$11:$R726,R726),"")</f>
        <v>30521</v>
      </c>
      <c r="C726" s="83" t="str">
        <f ca="1">IF(MOD(COUNTIF($Q$11:Q725,Q725),5)=0,OFFSET(装备属性!$D$1083,1+INT(COUNTA($Q$11:Q725)/5),0),C725)</f>
        <v>橙</v>
      </c>
      <c r="D726" s="82">
        <f t="shared" si="35"/>
        <v>3000</v>
      </c>
      <c r="F726" s="82">
        <f ca="1" t="shared" si="34"/>
        <v>30504</v>
      </c>
      <c r="G726" s="78" t="str">
        <f ca="1">IF(AND(LEFT("[{"&amp;M726&amp;","&amp;CEILING(N726*10000+(O726-N726)/4*(COUNTIF($F$11:F726,F726)-1)*10000,10)&amp;"}]",7)="[{equip",MID("[{"&amp;M726&amp;","&amp;CEILING(N726*10000+(O726-N726)/4*(COUNTIF($F$11:F726,F726)-1)*10000,10)&amp;"}]",8,1)&lt;&gt;"_"),"[{"&amp;M726&amp;","&amp;1&amp;"}]","[{"&amp;M726&amp;","&amp;CEILING(N726*10000+(O726-N726)/4*(COUNTIF($F$11:F726,F726)-1)*10000,10)&amp;"}]")</f>
        <v>[{hunter_crit_dmg,2400}]</v>
      </c>
      <c r="H726" s="82" t="s">
        <v>563</v>
      </c>
      <c r="J726" s="78">
        <f ca="1">IF(MOD(COUNTIF($Q$11:Q725,Q725),5)=0,OFFSET(装备属性!$P$1083,1+INT(COUNTA($Q$11:Q725)/5),0),J725)</f>
        <v>10</v>
      </c>
      <c r="K726" s="83" t="str">
        <f ca="1">IF(RIGHT(G726,13)="rune_slot,1}]",_xlfn.XLOOKUP(LEFT(SUBSTITUTE(G726,"[{",""),FIND(",",SUBSTITUTE(G726,"[{",""))-1),Sheet2!B:B,Sheet2!C:C)&amp;"+"&amp;1,_xlfn.XLOOKUP(LEFT(SUBSTITUTE(G726,"[{",""),FIND(",",SUBSTITUTE(G726,"[{",""))-1),Sheet2!B:B,Sheet2!C:C)&amp;"+"&amp;SUBSTITUTE(RIGHT(G726,LEN(G726)-FIND(",",G726)),"}]","")/100&amp;"%")</f>
        <v>射手暴击伤害+24%</v>
      </c>
      <c r="L726" s="83" t="str">
        <f ca="1">IF(MOD(COUNTIF($Q$11:Q725,Q725),5)=0,OFFSET(装备属性!$G$1083,1+INT(COUNTA($Q$11:Q725)/5),0),L725)</f>
        <v>暴走远程Ⅱ</v>
      </c>
      <c r="M726" s="89" t="str">
        <f ca="1">IF(MOD(COUNTIF($Q$11:Q725,Q725),5)=0,OFFSET(装备属性!$H$1083,1+INT(COUNTA($Q$11:Q725)/5),0),M725)</f>
        <v>hunter_crit_dmg</v>
      </c>
      <c r="N726" s="76">
        <f ca="1">IF(MOD(COUNTIF($Q$11:Q725,Q725),5)=0,OFFSET(装备属性!$K$1083,1+INT(COUNTA($Q$11:Q725)/5),0),N725)</f>
        <v>0.24</v>
      </c>
      <c r="O726" s="76">
        <f ca="1">IF(MOD(COUNTIF($Q$11:Q725,Q725),5)=0,OFFSET(装备属性!$L$1083,1+INT(COUNTA($Q$11:Q725)/5),0),O725)</f>
        <v>0.27</v>
      </c>
      <c r="Q726" s="89" t="str">
        <f ca="1">IF(MOD(COUNTIF($Q$11:Q725,Q725),5)=0,OFFSET(装备属性!$M$1083,1+INT(COUNTA($Q$11:Q725)/5),0),Q725)</f>
        <v>通用属性</v>
      </c>
      <c r="R726" s="83">
        <f ca="1">IF(MOD(COUNTIF($Q$11:Q725,Q725),5)=0,10000*SUBSTITUTE(SUBSTITUTE(OFFSET(装备属性!$F$1083,1+INT(COUNTA($Q$11:Q725)/5),0),"[",""),"]","")+_xlfn.XLOOKUP(C726,$M$3:$M$7,$N$3:$N$7)*100,R725)</f>
        <v>30500</v>
      </c>
    </row>
    <row r="727" customHeight="1" spans="1:18">
      <c r="A727" s="78">
        <f ca="1" t="shared" si="33"/>
        <v>30501</v>
      </c>
      <c r="B727" s="82">
        <f ca="1">IFERROR(R727+COUNTIFS($R$11:$R727,R727),"")</f>
        <v>30522</v>
      </c>
      <c r="C727" s="83" t="str">
        <f ca="1">IF(MOD(COUNTIF($Q$11:Q726,Q726),5)=0,OFFSET(装备属性!$D$1083,1+INT(COUNTA($Q$11:Q726)/5),0),C726)</f>
        <v>橙</v>
      </c>
      <c r="D727" s="82">
        <f t="shared" si="35"/>
        <v>2500</v>
      </c>
      <c r="F727" s="82">
        <f ca="1" t="shared" si="34"/>
        <v>30504</v>
      </c>
      <c r="G727" s="78" t="str">
        <f ca="1">IF(AND(LEFT("[{"&amp;M727&amp;","&amp;CEILING(N727*10000+(O727-N727)/4*(COUNTIF($F$11:F727,F727)-1)*10000,10)&amp;"}]",7)="[{equip",MID("[{"&amp;M727&amp;","&amp;CEILING(N727*10000+(O727-N727)/4*(COUNTIF($F$11:F727,F727)-1)*10000,10)&amp;"}]",8,1)&lt;&gt;"_"),"[{"&amp;M727&amp;","&amp;1&amp;"}]","[{"&amp;M727&amp;","&amp;CEILING(N727*10000+(O727-N727)/4*(COUNTIF($F$11:F727,F727)-1)*10000,10)&amp;"}]")</f>
        <v>[{hunter_crit_dmg,2480}]</v>
      </c>
      <c r="H727" s="82" t="s">
        <v>563</v>
      </c>
      <c r="J727" s="78">
        <f ca="1">IF(MOD(COUNTIF($Q$11:Q726,Q726),5)=0,OFFSET(装备属性!$P$1083,1+INT(COUNTA($Q$11:Q726)/5),0),J726)</f>
        <v>10</v>
      </c>
      <c r="K727" s="83" t="str">
        <f ca="1">IF(RIGHT(G727,13)="rune_slot,1}]",_xlfn.XLOOKUP(LEFT(SUBSTITUTE(G727,"[{",""),FIND(",",SUBSTITUTE(G727,"[{",""))-1),Sheet2!B:B,Sheet2!C:C)&amp;"+"&amp;1,_xlfn.XLOOKUP(LEFT(SUBSTITUTE(G727,"[{",""),FIND(",",SUBSTITUTE(G727,"[{",""))-1),Sheet2!B:B,Sheet2!C:C)&amp;"+"&amp;SUBSTITUTE(RIGHT(G727,LEN(G727)-FIND(",",G727)),"}]","")/100&amp;"%")</f>
        <v>射手暴击伤害+24.8%</v>
      </c>
      <c r="L727" s="83" t="str">
        <f ca="1">IF(MOD(COUNTIF($Q$11:Q726,Q726),5)=0,OFFSET(装备属性!$G$1083,1+INT(COUNTA($Q$11:Q726)/5),0),L726)</f>
        <v>暴走远程Ⅱ</v>
      </c>
      <c r="M727" s="89" t="str">
        <f ca="1">IF(MOD(COUNTIF($Q$11:Q726,Q726),5)=0,OFFSET(装备属性!$H$1083,1+INT(COUNTA($Q$11:Q726)/5),0),M726)</f>
        <v>hunter_crit_dmg</v>
      </c>
      <c r="N727" s="76">
        <f ca="1">IF(MOD(COUNTIF($Q$11:Q726,Q726),5)=0,OFFSET(装备属性!$K$1083,1+INT(COUNTA($Q$11:Q726)/5),0),N726)</f>
        <v>0.24</v>
      </c>
      <c r="O727" s="76">
        <f ca="1">IF(MOD(COUNTIF($Q$11:Q726,Q726),5)=0,OFFSET(装备属性!$L$1083,1+INT(COUNTA($Q$11:Q726)/5),0),O726)</f>
        <v>0.27</v>
      </c>
      <c r="Q727" s="89" t="str">
        <f ca="1">IF(MOD(COUNTIF($Q$11:Q726,Q726),5)=0,OFFSET(装备属性!$M$1083,1+INT(COUNTA($Q$11:Q726)/5),0),Q726)</f>
        <v>通用属性</v>
      </c>
      <c r="R727" s="83">
        <f ca="1">IF(MOD(COUNTIF($Q$11:Q726,Q726),5)=0,10000*SUBSTITUTE(SUBSTITUTE(OFFSET(装备属性!$F$1083,1+INT(COUNTA($Q$11:Q726)/5),0),"[",""),"]","")+_xlfn.XLOOKUP(C727,$M$3:$M$7,$N$3:$N$7)*100,R726)</f>
        <v>30500</v>
      </c>
    </row>
    <row r="728" customHeight="1" spans="1:18">
      <c r="A728" s="78">
        <f ca="1" t="shared" si="33"/>
        <v>30501</v>
      </c>
      <c r="B728" s="82">
        <f ca="1">IFERROR(R728+COUNTIFS($R$11:$R728,R728),"")</f>
        <v>30523</v>
      </c>
      <c r="C728" s="83" t="str">
        <f ca="1">IF(MOD(COUNTIF($Q$11:Q727,Q727),5)=0,OFFSET(装备属性!$D$1083,1+INT(COUNTA($Q$11:Q727)/5),0),C727)</f>
        <v>橙</v>
      </c>
      <c r="D728" s="82">
        <f t="shared" si="35"/>
        <v>2000</v>
      </c>
      <c r="F728" s="82">
        <f ca="1" t="shared" si="34"/>
        <v>30504</v>
      </c>
      <c r="G728" s="78" t="str">
        <f ca="1">IF(AND(LEFT("[{"&amp;M728&amp;","&amp;CEILING(N728*10000+(O728-N728)/4*(COUNTIF($F$11:F728,F728)-1)*10000,10)&amp;"}]",7)="[{equip",MID("[{"&amp;M728&amp;","&amp;CEILING(N728*10000+(O728-N728)/4*(COUNTIF($F$11:F728,F728)-1)*10000,10)&amp;"}]",8,1)&lt;&gt;"_"),"[{"&amp;M728&amp;","&amp;1&amp;"}]","[{"&amp;M728&amp;","&amp;CEILING(N728*10000+(O728-N728)/4*(COUNTIF($F$11:F728,F728)-1)*10000,10)&amp;"}]")</f>
        <v>[{hunter_crit_dmg,2550}]</v>
      </c>
      <c r="H728" s="82" t="s">
        <v>563</v>
      </c>
      <c r="J728" s="78">
        <f ca="1">IF(MOD(COUNTIF($Q$11:Q727,Q727),5)=0,OFFSET(装备属性!$P$1083,1+INT(COUNTA($Q$11:Q727)/5),0),J727)</f>
        <v>10</v>
      </c>
      <c r="K728" s="83" t="str">
        <f ca="1">IF(RIGHT(G728,13)="rune_slot,1}]",_xlfn.XLOOKUP(LEFT(SUBSTITUTE(G728,"[{",""),FIND(",",SUBSTITUTE(G728,"[{",""))-1),Sheet2!B:B,Sheet2!C:C)&amp;"+"&amp;1,_xlfn.XLOOKUP(LEFT(SUBSTITUTE(G728,"[{",""),FIND(",",SUBSTITUTE(G728,"[{",""))-1),Sheet2!B:B,Sheet2!C:C)&amp;"+"&amp;SUBSTITUTE(RIGHT(G728,LEN(G728)-FIND(",",G728)),"}]","")/100&amp;"%")</f>
        <v>射手暴击伤害+25.5%</v>
      </c>
      <c r="L728" s="83" t="str">
        <f ca="1">IF(MOD(COUNTIF($Q$11:Q727,Q727),5)=0,OFFSET(装备属性!$G$1083,1+INT(COUNTA($Q$11:Q727)/5),0),L727)</f>
        <v>暴走远程Ⅱ</v>
      </c>
      <c r="M728" s="89" t="str">
        <f ca="1">IF(MOD(COUNTIF($Q$11:Q727,Q727),5)=0,OFFSET(装备属性!$H$1083,1+INT(COUNTA($Q$11:Q727)/5),0),M727)</f>
        <v>hunter_crit_dmg</v>
      </c>
      <c r="N728" s="76">
        <f ca="1">IF(MOD(COUNTIF($Q$11:Q727,Q727),5)=0,OFFSET(装备属性!$K$1083,1+INT(COUNTA($Q$11:Q727)/5),0),N727)</f>
        <v>0.24</v>
      </c>
      <c r="O728" s="76">
        <f ca="1">IF(MOD(COUNTIF($Q$11:Q727,Q727),5)=0,OFFSET(装备属性!$L$1083,1+INT(COUNTA($Q$11:Q727)/5),0),O727)</f>
        <v>0.27</v>
      </c>
      <c r="Q728" s="89" t="str">
        <f ca="1">IF(MOD(COUNTIF($Q$11:Q727,Q727),5)=0,OFFSET(装备属性!$M$1083,1+INT(COUNTA($Q$11:Q727)/5),0),Q727)</f>
        <v>通用属性</v>
      </c>
      <c r="R728" s="83">
        <f ca="1">IF(MOD(COUNTIF($Q$11:Q727,Q727),5)=0,10000*SUBSTITUTE(SUBSTITUTE(OFFSET(装备属性!$F$1083,1+INT(COUNTA($Q$11:Q727)/5),0),"[",""),"]","")+_xlfn.XLOOKUP(C728,$M$3:$M$7,$N$3:$N$7)*100,R727)</f>
        <v>30500</v>
      </c>
    </row>
    <row r="729" customHeight="1" spans="1:18">
      <c r="A729" s="78">
        <f ca="1" t="shared" si="33"/>
        <v>30501</v>
      </c>
      <c r="B729" s="82">
        <f ca="1">IFERROR(R729+COUNTIFS($R$11:$R729,R729),"")</f>
        <v>30524</v>
      </c>
      <c r="C729" s="83" t="str">
        <f ca="1">IF(MOD(COUNTIF($Q$11:Q728,Q728),5)=0,OFFSET(装备属性!$D$1083,1+INT(COUNTA($Q$11:Q728)/5),0),C728)</f>
        <v>橙</v>
      </c>
      <c r="D729" s="82">
        <f t="shared" si="35"/>
        <v>1500</v>
      </c>
      <c r="F729" s="82">
        <f ca="1" t="shared" si="34"/>
        <v>30504</v>
      </c>
      <c r="G729" s="78" t="str">
        <f ca="1">IF(AND(LEFT("[{"&amp;M729&amp;","&amp;CEILING(N729*10000+(O729-N729)/4*(COUNTIF($F$11:F729,F729)-1)*10000,10)&amp;"}]",7)="[{equip",MID("[{"&amp;M729&amp;","&amp;CEILING(N729*10000+(O729-N729)/4*(COUNTIF($F$11:F729,F729)-1)*10000,10)&amp;"}]",8,1)&lt;&gt;"_"),"[{"&amp;M729&amp;","&amp;1&amp;"}]","[{"&amp;M729&amp;","&amp;CEILING(N729*10000+(O729-N729)/4*(COUNTIF($F$11:F729,F729)-1)*10000,10)&amp;"}]")</f>
        <v>[{hunter_crit_dmg,2630}]</v>
      </c>
      <c r="H729" s="82" t="s">
        <v>563</v>
      </c>
      <c r="J729" s="78">
        <f ca="1">IF(MOD(COUNTIF($Q$11:Q728,Q728),5)=0,OFFSET(装备属性!$P$1083,1+INT(COUNTA($Q$11:Q728)/5),0),J728)</f>
        <v>10</v>
      </c>
      <c r="K729" s="83" t="str">
        <f ca="1">IF(RIGHT(G729,13)="rune_slot,1}]",_xlfn.XLOOKUP(LEFT(SUBSTITUTE(G729,"[{",""),FIND(",",SUBSTITUTE(G729,"[{",""))-1),Sheet2!B:B,Sheet2!C:C)&amp;"+"&amp;1,_xlfn.XLOOKUP(LEFT(SUBSTITUTE(G729,"[{",""),FIND(",",SUBSTITUTE(G729,"[{",""))-1),Sheet2!B:B,Sheet2!C:C)&amp;"+"&amp;SUBSTITUTE(RIGHT(G729,LEN(G729)-FIND(",",G729)),"}]","")/100&amp;"%")</f>
        <v>射手暴击伤害+26.3%</v>
      </c>
      <c r="L729" s="83" t="str">
        <f ca="1">IF(MOD(COUNTIF($Q$11:Q728,Q728),5)=0,OFFSET(装备属性!$G$1083,1+INT(COUNTA($Q$11:Q728)/5),0),L728)</f>
        <v>暴走远程Ⅱ</v>
      </c>
      <c r="M729" s="89" t="str">
        <f ca="1">IF(MOD(COUNTIF($Q$11:Q728,Q728),5)=0,OFFSET(装备属性!$H$1083,1+INT(COUNTA($Q$11:Q728)/5),0),M728)</f>
        <v>hunter_crit_dmg</v>
      </c>
      <c r="N729" s="76">
        <f ca="1">IF(MOD(COUNTIF($Q$11:Q728,Q728),5)=0,OFFSET(装备属性!$K$1083,1+INT(COUNTA($Q$11:Q728)/5),0),N728)</f>
        <v>0.24</v>
      </c>
      <c r="O729" s="76">
        <f ca="1">IF(MOD(COUNTIF($Q$11:Q728,Q728),5)=0,OFFSET(装备属性!$L$1083,1+INT(COUNTA($Q$11:Q728)/5),0),O728)</f>
        <v>0.27</v>
      </c>
      <c r="Q729" s="89" t="str">
        <f ca="1">IF(MOD(COUNTIF($Q$11:Q728,Q728),5)=0,OFFSET(装备属性!$M$1083,1+INT(COUNTA($Q$11:Q728)/5),0),Q728)</f>
        <v>通用属性</v>
      </c>
      <c r="R729" s="83">
        <f ca="1">IF(MOD(COUNTIF($Q$11:Q728,Q728),5)=0,10000*SUBSTITUTE(SUBSTITUTE(OFFSET(装备属性!$F$1083,1+INT(COUNTA($Q$11:Q728)/5),0),"[",""),"]","")+_xlfn.XLOOKUP(C729,$M$3:$M$7,$N$3:$N$7)*100,R728)</f>
        <v>30500</v>
      </c>
    </row>
    <row r="730" customHeight="1" spans="1:18">
      <c r="A730" s="78">
        <f ca="1" t="shared" si="33"/>
        <v>30501</v>
      </c>
      <c r="B730" s="82">
        <f ca="1">IFERROR(R730+COUNTIFS($R$11:$R730,R730),"")</f>
        <v>30525</v>
      </c>
      <c r="C730" s="83" t="str">
        <f ca="1">IF(MOD(COUNTIF($Q$11:Q729,Q729),5)=0,OFFSET(装备属性!$D$1083,1+INT(COUNTA($Q$11:Q729)/5),0),C729)</f>
        <v>橙</v>
      </c>
      <c r="D730" s="82">
        <f t="shared" si="35"/>
        <v>1000</v>
      </c>
      <c r="F730" s="82">
        <f ca="1" t="shared" si="34"/>
        <v>30504</v>
      </c>
      <c r="G730" s="78" t="str">
        <f ca="1">IF(AND(LEFT("[{"&amp;M730&amp;","&amp;CEILING(N730*10000+(O730-N730)/4*(COUNTIF($F$11:F730,F730)-1)*10000,10)&amp;"}]",7)="[{equip",MID("[{"&amp;M730&amp;","&amp;CEILING(N730*10000+(O730-N730)/4*(COUNTIF($F$11:F730,F730)-1)*10000,10)&amp;"}]",8,1)&lt;&gt;"_"),"[{"&amp;M730&amp;","&amp;1&amp;"}]","[{"&amp;M730&amp;","&amp;CEILING(N730*10000+(O730-N730)/4*(COUNTIF($F$11:F730,F730)-1)*10000,10)&amp;"}]")</f>
        <v>[{hunter_crit_dmg,2700}]</v>
      </c>
      <c r="H730" s="82" t="s">
        <v>563</v>
      </c>
      <c r="J730" s="78">
        <f ca="1">IF(MOD(COUNTIF($Q$11:Q729,Q729),5)=0,OFFSET(装备属性!$P$1083,1+INT(COUNTA($Q$11:Q729)/5),0),J729)</f>
        <v>10</v>
      </c>
      <c r="K730" s="83" t="str">
        <f ca="1">IF(RIGHT(G730,13)="rune_slot,1}]",_xlfn.XLOOKUP(LEFT(SUBSTITUTE(G730,"[{",""),FIND(",",SUBSTITUTE(G730,"[{",""))-1),Sheet2!B:B,Sheet2!C:C)&amp;"+"&amp;1,_xlfn.XLOOKUP(LEFT(SUBSTITUTE(G730,"[{",""),FIND(",",SUBSTITUTE(G730,"[{",""))-1),Sheet2!B:B,Sheet2!C:C)&amp;"+"&amp;SUBSTITUTE(RIGHT(G730,LEN(G730)-FIND(",",G730)),"}]","")/100&amp;"%")</f>
        <v>射手暴击伤害+27%</v>
      </c>
      <c r="L730" s="83" t="str">
        <f ca="1">IF(MOD(COUNTIF($Q$11:Q729,Q729),5)=0,OFFSET(装备属性!$G$1083,1+INT(COUNTA($Q$11:Q729)/5),0),L729)</f>
        <v>暴走远程Ⅱ</v>
      </c>
      <c r="M730" s="89" t="str">
        <f ca="1">IF(MOD(COUNTIF($Q$11:Q729,Q729),5)=0,OFFSET(装备属性!$H$1083,1+INT(COUNTA($Q$11:Q729)/5),0),M729)</f>
        <v>hunter_crit_dmg</v>
      </c>
      <c r="N730" s="76">
        <f ca="1">IF(MOD(COUNTIF($Q$11:Q729,Q729),5)=0,OFFSET(装备属性!$K$1083,1+INT(COUNTA($Q$11:Q729)/5),0),N729)</f>
        <v>0.24</v>
      </c>
      <c r="O730" s="76">
        <f ca="1">IF(MOD(COUNTIF($Q$11:Q729,Q729),5)=0,OFFSET(装备属性!$L$1083,1+INT(COUNTA($Q$11:Q729)/5),0),O729)</f>
        <v>0.27</v>
      </c>
      <c r="Q730" s="89" t="str">
        <f ca="1">IF(MOD(COUNTIF($Q$11:Q729,Q729),5)=0,OFFSET(装备属性!$M$1083,1+INT(COUNTA($Q$11:Q729)/5),0),Q729)</f>
        <v>通用属性</v>
      </c>
      <c r="R730" s="83">
        <f ca="1">IF(MOD(COUNTIF($Q$11:Q729,Q729),5)=0,10000*SUBSTITUTE(SUBSTITUTE(OFFSET(装备属性!$F$1083,1+INT(COUNTA($Q$11:Q729)/5),0),"[",""),"]","")+_xlfn.XLOOKUP(C730,$M$3:$M$7,$N$3:$N$7)*100,R729)</f>
        <v>30500</v>
      </c>
    </row>
    <row r="731" customHeight="1" spans="1:18">
      <c r="A731" s="78" t="str">
        <f ca="1" t="shared" si="33"/>
        <v/>
      </c>
      <c r="B731" s="82" t="str">
        <f ca="1">IFERROR(R731+COUNTIFS($R$11:$R731,R731),"")</f>
        <v/>
      </c>
      <c r="C731" s="83">
        <f ca="1">IF(MOD(COUNTIF($Q$11:Q730,Q730),5)=0,OFFSET(装备属性!$D$1083,1+INT(COUNTA($Q$11:Q730)/5),0),C730)</f>
        <v>0</v>
      </c>
      <c r="D731" s="82">
        <f t="shared" si="35"/>
        <v>3000</v>
      </c>
      <c r="F731" s="82" t="str">
        <f ca="1" t="shared" si="34"/>
        <v/>
      </c>
      <c r="G731" s="78" t="str">
        <f ca="1">IF(AND(LEFT("[{"&amp;M731&amp;","&amp;CEILING(N731*10000+(O731-N731)/4*(COUNTIF($F$11:F731,F731)-1)*10000,10)&amp;"}]",7)="[{equip",MID("[{"&amp;M731&amp;","&amp;CEILING(N731*10000+(O731-N731)/4*(COUNTIF($F$11:F731,F731)-1)*10000,10)&amp;"}]",8,1)&lt;&gt;"_"),"[{"&amp;M731&amp;","&amp;1&amp;"}]","[{"&amp;M731&amp;","&amp;CEILING(N731*10000+(O731-N731)/4*(COUNTIF($F$11:F731,F731)-1)*10000,10)&amp;"}]")</f>
        <v>[{global_dmg_rate,5100}]</v>
      </c>
      <c r="H731" s="82" t="s">
        <v>563</v>
      </c>
      <c r="J731" s="78">
        <f ca="1">IF(MOD(COUNTIF($Q$11:Q730,Q730),5)=0,OFFSET(装备属性!$P$1083,1+INT(COUNTA($Q$11:Q730)/5),0),J730)</f>
        <v>2</v>
      </c>
      <c r="K731" s="83" t="str">
        <f ca="1">IF(RIGHT(G731,13)="rune_slot,1}]",_xlfn.XLOOKUP(LEFT(SUBSTITUTE(G731,"[{",""),FIND(",",SUBSTITUTE(G731,"[{",""))-1),Sheet2!B:B,Sheet2!C:C)&amp;"+"&amp;1,_xlfn.XLOOKUP(LEFT(SUBSTITUTE(G731,"[{",""),FIND(",",SUBSTITUTE(G731,"[{",""))-1),Sheet2!B:B,Sheet2!C:C)&amp;"+"&amp;SUBSTITUTE(RIGHT(G731,LEN(G731)-FIND(",",G731)),"}]","")/100&amp;"%")</f>
        <v>伤害加成+51%</v>
      </c>
      <c r="L731" s="83" t="str">
        <f ca="1">IF(MOD(COUNTIF($Q$11:Q730,Q730),5)=0,OFFSET(装备属性!$G$1083,1+INT(COUNTA($Q$11:Q730)/5),0),L730)</f>
        <v>全职小队Ⅲ</v>
      </c>
      <c r="M731" s="89" t="str">
        <f ca="1">IF(MOD(COUNTIF($Q$11:Q730,Q730),5)=0,OFFSET(装备属性!$H$1083,1+INT(COUNTA($Q$11:Q730)/5),0),M730)</f>
        <v>global_dmg_rate</v>
      </c>
      <c r="N731" s="76">
        <f ca="1">IF(MOD(COUNTIF($Q$11:Q730,Q730),5)=0,OFFSET(装备属性!$K$1083,1+INT(COUNTA($Q$11:Q730)/5),0),N730)</f>
        <v>0.052</v>
      </c>
      <c r="O731" s="76">
        <f ca="1">IF(MOD(COUNTIF($Q$11:Q730,Q730),5)=0,OFFSET(装备属性!$L$1083,1+INT(COUNTA($Q$11:Q730)/5),0),O730)</f>
        <v>0.058</v>
      </c>
      <c r="Q731" s="89" t="str">
        <f ca="1">IF(MOD(COUNTIF($Q$11:Q730,Q730),5)=0,OFFSET(装备属性!$M$1083,1+INT(COUNTA($Q$11:Q730)/5),0),Q730)</f>
        <v>通用属性</v>
      </c>
      <c r="R731" s="83" t="e">
        <f ca="1">IF(MOD(COUNTIF($Q$11:Q730,Q730),5)=0,10000*SUBSTITUTE(SUBSTITUTE(OFFSET(装备属性!$F$1083,1+INT(COUNTA($Q$11:Q730)/5),0),"[",""),"]","")+_xlfn.XLOOKUP(C731,$M$3:$M$7,$N$3:$N$7)*100,R730)</f>
        <v>#N/A</v>
      </c>
    </row>
    <row r="732" customHeight="1" spans="1:18">
      <c r="A732" s="78" t="str">
        <f ca="1" t="shared" si="33"/>
        <v/>
      </c>
      <c r="B732" s="82" t="str">
        <f ca="1">IFERROR(R732+COUNTIFS($R$11:$R732,R732),"")</f>
        <v/>
      </c>
      <c r="C732" s="83">
        <f ca="1">IF(MOD(COUNTIF($Q$11:Q731,Q731),5)=0,OFFSET(装备属性!$D$1083,1+INT(COUNTA($Q$11:Q731)/5),0),C731)</f>
        <v>0</v>
      </c>
      <c r="D732" s="82">
        <f t="shared" si="35"/>
        <v>2500</v>
      </c>
      <c r="F732" s="82" t="str">
        <f ca="1" t="shared" si="34"/>
        <v/>
      </c>
      <c r="G732" s="78" t="str">
        <f ca="1">IF(AND(LEFT("[{"&amp;M732&amp;","&amp;CEILING(N732*10000+(O732-N732)/4*(COUNTIF($F$11:F732,F732)-1)*10000,10)&amp;"}]",7)="[{equip",MID("[{"&amp;M732&amp;","&amp;CEILING(N732*10000+(O732-N732)/4*(COUNTIF($F$11:F732,F732)-1)*10000,10)&amp;"}]",8,1)&lt;&gt;"_"),"[{"&amp;M732&amp;","&amp;1&amp;"}]","[{"&amp;M732&amp;","&amp;CEILING(N732*10000+(O732-N732)/4*(COUNTIF($F$11:F732,F732)-1)*10000,10)&amp;"}]")</f>
        <v>[{global_dmg_rate,5110}]</v>
      </c>
      <c r="H732" s="82" t="s">
        <v>563</v>
      </c>
      <c r="J732" s="78">
        <f ca="1">IF(MOD(COUNTIF($Q$11:Q731,Q731),5)=0,OFFSET(装备属性!$P$1083,1+INT(COUNTA($Q$11:Q731)/5),0),J731)</f>
        <v>2</v>
      </c>
      <c r="K732" s="83" t="str">
        <f ca="1">IF(RIGHT(G732,13)="rune_slot,1}]",_xlfn.XLOOKUP(LEFT(SUBSTITUTE(G732,"[{",""),FIND(",",SUBSTITUTE(G732,"[{",""))-1),Sheet2!B:B,Sheet2!C:C)&amp;"+"&amp;1,_xlfn.XLOOKUP(LEFT(SUBSTITUTE(G732,"[{",""),FIND(",",SUBSTITUTE(G732,"[{",""))-1),Sheet2!B:B,Sheet2!C:C)&amp;"+"&amp;SUBSTITUTE(RIGHT(G732,LEN(G732)-FIND(",",G732)),"}]","")/100&amp;"%")</f>
        <v>伤害加成+51.1%</v>
      </c>
      <c r="L732" s="83" t="str">
        <f ca="1">IF(MOD(COUNTIF($Q$11:Q731,Q731),5)=0,OFFSET(装备属性!$G$1083,1+INT(COUNTA($Q$11:Q731)/5),0),L731)</f>
        <v>全职小队Ⅲ</v>
      </c>
      <c r="M732" s="89" t="str">
        <f ca="1">IF(MOD(COUNTIF($Q$11:Q731,Q731),5)=0,OFFSET(装备属性!$H$1083,1+INT(COUNTA($Q$11:Q731)/5),0),M731)</f>
        <v>global_dmg_rate</v>
      </c>
      <c r="N732" s="76">
        <f ca="1">IF(MOD(COUNTIF($Q$11:Q731,Q731),5)=0,OFFSET(装备属性!$K$1083,1+INT(COUNTA($Q$11:Q731)/5),0),N731)</f>
        <v>0.052</v>
      </c>
      <c r="O732" s="76">
        <f ca="1">IF(MOD(COUNTIF($Q$11:Q731,Q731),5)=0,OFFSET(装备属性!$L$1083,1+INT(COUNTA($Q$11:Q731)/5),0),O731)</f>
        <v>0.058</v>
      </c>
      <c r="Q732" s="89" t="str">
        <f ca="1">IF(MOD(COUNTIF($Q$11:Q731,Q731),5)=0,OFFSET(装备属性!$M$1083,1+INT(COUNTA($Q$11:Q731)/5),0),Q731)</f>
        <v>通用属性</v>
      </c>
      <c r="R732" s="83" t="e">
        <f ca="1">IF(MOD(COUNTIF($Q$11:Q731,Q731),5)=0,10000*SUBSTITUTE(SUBSTITUTE(OFFSET(装备属性!$F$1083,1+INT(COUNTA($Q$11:Q731)/5),0),"[",""),"]","")+_xlfn.XLOOKUP(C732,$M$3:$M$7,$N$3:$N$7)*100,R731)</f>
        <v>#N/A</v>
      </c>
    </row>
    <row r="733" customHeight="1" spans="1:18">
      <c r="A733" s="78" t="str">
        <f ca="1" t="shared" si="33"/>
        <v/>
      </c>
      <c r="B733" s="82" t="str">
        <f ca="1">IFERROR(R733+COUNTIFS($R$11:$R733,R733),"")</f>
        <v/>
      </c>
      <c r="C733" s="83">
        <f ca="1">IF(MOD(COUNTIF($Q$11:Q732,Q732),5)=0,OFFSET(装备属性!$D$1083,1+INT(COUNTA($Q$11:Q732)/5),0),C732)</f>
        <v>0</v>
      </c>
      <c r="D733" s="82">
        <f t="shared" si="35"/>
        <v>2000</v>
      </c>
      <c r="F733" s="82" t="str">
        <f ca="1" t="shared" si="34"/>
        <v/>
      </c>
      <c r="G733" s="78" t="str">
        <f ca="1">IF(AND(LEFT("[{"&amp;M733&amp;","&amp;CEILING(N733*10000+(O733-N733)/4*(COUNTIF($F$11:F733,F733)-1)*10000,10)&amp;"}]",7)="[{equip",MID("[{"&amp;M733&amp;","&amp;CEILING(N733*10000+(O733-N733)/4*(COUNTIF($F$11:F733,F733)-1)*10000,10)&amp;"}]",8,1)&lt;&gt;"_"),"[{"&amp;M733&amp;","&amp;1&amp;"}]","[{"&amp;M733&amp;","&amp;CEILING(N733*10000+(O733-N733)/4*(COUNTIF($F$11:F733,F733)-1)*10000,10)&amp;"}]")</f>
        <v>[{global_dmg_rate,5130}]</v>
      </c>
      <c r="H733" s="82" t="s">
        <v>563</v>
      </c>
      <c r="J733" s="78">
        <f ca="1">IF(MOD(COUNTIF($Q$11:Q732,Q732),5)=0,OFFSET(装备属性!$P$1083,1+INT(COUNTA($Q$11:Q732)/5),0),J732)</f>
        <v>2</v>
      </c>
      <c r="K733" s="83" t="str">
        <f ca="1">IF(RIGHT(G733,13)="rune_slot,1}]",_xlfn.XLOOKUP(LEFT(SUBSTITUTE(G733,"[{",""),FIND(",",SUBSTITUTE(G733,"[{",""))-1),Sheet2!B:B,Sheet2!C:C)&amp;"+"&amp;1,_xlfn.XLOOKUP(LEFT(SUBSTITUTE(G733,"[{",""),FIND(",",SUBSTITUTE(G733,"[{",""))-1),Sheet2!B:B,Sheet2!C:C)&amp;"+"&amp;SUBSTITUTE(RIGHT(G733,LEN(G733)-FIND(",",G733)),"}]","")/100&amp;"%")</f>
        <v>伤害加成+51.3%</v>
      </c>
      <c r="L733" s="83" t="str">
        <f ca="1">IF(MOD(COUNTIF($Q$11:Q732,Q732),5)=0,OFFSET(装备属性!$G$1083,1+INT(COUNTA($Q$11:Q732)/5),0),L732)</f>
        <v>全职小队Ⅲ</v>
      </c>
      <c r="M733" s="89" t="str">
        <f ca="1">IF(MOD(COUNTIF($Q$11:Q732,Q732),5)=0,OFFSET(装备属性!$H$1083,1+INT(COUNTA($Q$11:Q732)/5),0),M732)</f>
        <v>global_dmg_rate</v>
      </c>
      <c r="N733" s="76">
        <f ca="1">IF(MOD(COUNTIF($Q$11:Q732,Q732),5)=0,OFFSET(装备属性!$K$1083,1+INT(COUNTA($Q$11:Q732)/5),0),N732)</f>
        <v>0.052</v>
      </c>
      <c r="O733" s="76">
        <f ca="1">IF(MOD(COUNTIF($Q$11:Q732,Q732),5)=0,OFFSET(装备属性!$L$1083,1+INT(COUNTA($Q$11:Q732)/5),0),O732)</f>
        <v>0.058</v>
      </c>
      <c r="Q733" s="89" t="str">
        <f ca="1">IF(MOD(COUNTIF($Q$11:Q732,Q732),5)=0,OFFSET(装备属性!$M$1083,1+INT(COUNTA($Q$11:Q732)/5),0),Q732)</f>
        <v>通用属性</v>
      </c>
      <c r="R733" s="83" t="e">
        <f ca="1">IF(MOD(COUNTIF($Q$11:Q732,Q732),5)=0,10000*SUBSTITUTE(SUBSTITUTE(OFFSET(装备属性!$F$1083,1+INT(COUNTA($Q$11:Q732)/5),0),"[",""),"]","")+_xlfn.XLOOKUP(C733,$M$3:$M$7,$N$3:$N$7)*100,R732)</f>
        <v>#N/A</v>
      </c>
    </row>
    <row r="734" customHeight="1" spans="1:18">
      <c r="A734" s="78" t="str">
        <f ca="1" t="shared" si="33"/>
        <v/>
      </c>
      <c r="B734" s="82" t="str">
        <f ca="1">IFERROR(R734+COUNTIFS($R$11:$R734,R734),"")</f>
        <v/>
      </c>
      <c r="C734" s="83">
        <f ca="1">IF(MOD(COUNTIF($Q$11:Q733,Q733),5)=0,OFFSET(装备属性!$D$1083,1+INT(COUNTA($Q$11:Q733)/5),0),C733)</f>
        <v>0</v>
      </c>
      <c r="D734" s="82">
        <f t="shared" si="35"/>
        <v>1500</v>
      </c>
      <c r="F734" s="82" t="str">
        <f ca="1" t="shared" si="34"/>
        <v/>
      </c>
      <c r="G734" s="78" t="str">
        <f ca="1">IF(AND(LEFT("[{"&amp;M734&amp;","&amp;CEILING(N734*10000+(O734-N734)/4*(COUNTIF($F$11:F734,F734)-1)*10000,10)&amp;"}]",7)="[{equip",MID("[{"&amp;M734&amp;","&amp;CEILING(N734*10000+(O734-N734)/4*(COUNTIF($F$11:F734,F734)-1)*10000,10)&amp;"}]",8,1)&lt;&gt;"_"),"[{"&amp;M734&amp;","&amp;1&amp;"}]","[{"&amp;M734&amp;","&amp;CEILING(N734*10000+(O734-N734)/4*(COUNTIF($F$11:F734,F734)-1)*10000,10)&amp;"}]")</f>
        <v>[{global_dmg_rate,5150}]</v>
      </c>
      <c r="H734" s="82" t="s">
        <v>563</v>
      </c>
      <c r="J734" s="78">
        <f ca="1">IF(MOD(COUNTIF($Q$11:Q733,Q733),5)=0,OFFSET(装备属性!$P$1083,1+INT(COUNTA($Q$11:Q733)/5),0),J733)</f>
        <v>2</v>
      </c>
      <c r="K734" s="83" t="str">
        <f ca="1">IF(RIGHT(G734,13)="rune_slot,1}]",_xlfn.XLOOKUP(LEFT(SUBSTITUTE(G734,"[{",""),FIND(",",SUBSTITUTE(G734,"[{",""))-1),Sheet2!B:B,Sheet2!C:C)&amp;"+"&amp;1,_xlfn.XLOOKUP(LEFT(SUBSTITUTE(G734,"[{",""),FIND(",",SUBSTITUTE(G734,"[{",""))-1),Sheet2!B:B,Sheet2!C:C)&amp;"+"&amp;SUBSTITUTE(RIGHT(G734,LEN(G734)-FIND(",",G734)),"}]","")/100&amp;"%")</f>
        <v>伤害加成+51.5%</v>
      </c>
      <c r="L734" s="83" t="str">
        <f ca="1">IF(MOD(COUNTIF($Q$11:Q733,Q733),5)=0,OFFSET(装备属性!$G$1083,1+INT(COUNTA($Q$11:Q733)/5),0),L733)</f>
        <v>全职小队Ⅲ</v>
      </c>
      <c r="M734" s="89" t="str">
        <f ca="1">IF(MOD(COUNTIF($Q$11:Q733,Q733),5)=0,OFFSET(装备属性!$H$1083,1+INT(COUNTA($Q$11:Q733)/5),0),M733)</f>
        <v>global_dmg_rate</v>
      </c>
      <c r="N734" s="76">
        <f ca="1">IF(MOD(COUNTIF($Q$11:Q733,Q733),5)=0,OFFSET(装备属性!$K$1083,1+INT(COUNTA($Q$11:Q733)/5),0),N733)</f>
        <v>0.052</v>
      </c>
      <c r="O734" s="76">
        <f ca="1">IF(MOD(COUNTIF($Q$11:Q733,Q733),5)=0,OFFSET(装备属性!$L$1083,1+INT(COUNTA($Q$11:Q733)/5),0),O733)</f>
        <v>0.058</v>
      </c>
      <c r="Q734" s="89" t="str">
        <f ca="1">IF(MOD(COUNTIF($Q$11:Q733,Q733),5)=0,OFFSET(装备属性!$M$1083,1+INT(COUNTA($Q$11:Q733)/5),0),Q733)</f>
        <v>通用属性</v>
      </c>
      <c r="R734" s="83" t="e">
        <f ca="1">IF(MOD(COUNTIF($Q$11:Q733,Q733),5)=0,10000*SUBSTITUTE(SUBSTITUTE(OFFSET(装备属性!$F$1083,1+INT(COUNTA($Q$11:Q733)/5),0),"[",""),"]","")+_xlfn.XLOOKUP(C734,$M$3:$M$7,$N$3:$N$7)*100,R733)</f>
        <v>#N/A</v>
      </c>
    </row>
    <row r="735" customHeight="1" spans="1:18">
      <c r="A735" s="78" t="str">
        <f ca="1" t="shared" si="33"/>
        <v/>
      </c>
      <c r="B735" s="82" t="str">
        <f ca="1">IFERROR(R735+COUNTIFS($R$11:$R735,R735),"")</f>
        <v/>
      </c>
      <c r="C735" s="83">
        <f ca="1">IF(MOD(COUNTIF($Q$11:Q734,Q734),5)=0,OFFSET(装备属性!$D$1083,1+INT(COUNTA($Q$11:Q734)/5),0),C734)</f>
        <v>0</v>
      </c>
      <c r="D735" s="82">
        <f t="shared" si="35"/>
        <v>1000</v>
      </c>
      <c r="F735" s="82" t="str">
        <f ca="1" t="shared" si="34"/>
        <v/>
      </c>
      <c r="G735" s="78" t="str">
        <f ca="1">IF(AND(LEFT("[{"&amp;M735&amp;","&amp;CEILING(N735*10000+(O735-N735)/4*(COUNTIF($F$11:F735,F735)-1)*10000,10)&amp;"}]",7)="[{equip",MID("[{"&amp;M735&amp;","&amp;CEILING(N735*10000+(O735-N735)/4*(COUNTIF($F$11:F735,F735)-1)*10000,10)&amp;"}]",8,1)&lt;&gt;"_"),"[{"&amp;M735&amp;","&amp;1&amp;"}]","[{"&amp;M735&amp;","&amp;CEILING(N735*10000+(O735-N735)/4*(COUNTIF($F$11:F735,F735)-1)*10000,10)&amp;"}]")</f>
        <v>[{global_dmg_rate,5160}]</v>
      </c>
      <c r="H735" s="82" t="s">
        <v>563</v>
      </c>
      <c r="J735" s="78">
        <f ca="1">IF(MOD(COUNTIF($Q$11:Q734,Q734),5)=0,OFFSET(装备属性!$P$1083,1+INT(COUNTA($Q$11:Q734)/5),0),J734)</f>
        <v>2</v>
      </c>
      <c r="K735" s="83" t="str">
        <f ca="1">IF(RIGHT(G735,13)="rune_slot,1}]",_xlfn.XLOOKUP(LEFT(SUBSTITUTE(G735,"[{",""),FIND(",",SUBSTITUTE(G735,"[{",""))-1),Sheet2!B:B,Sheet2!C:C)&amp;"+"&amp;1,_xlfn.XLOOKUP(LEFT(SUBSTITUTE(G735,"[{",""),FIND(",",SUBSTITUTE(G735,"[{",""))-1),Sheet2!B:B,Sheet2!C:C)&amp;"+"&amp;SUBSTITUTE(RIGHT(G735,LEN(G735)-FIND(",",G735)),"}]","")/100&amp;"%")</f>
        <v>伤害加成+51.6%</v>
      </c>
      <c r="L735" s="83" t="str">
        <f ca="1">IF(MOD(COUNTIF($Q$11:Q734,Q734),5)=0,OFFSET(装备属性!$G$1083,1+INT(COUNTA($Q$11:Q734)/5),0),L734)</f>
        <v>全职小队Ⅲ</v>
      </c>
      <c r="M735" s="89" t="str">
        <f ca="1">IF(MOD(COUNTIF($Q$11:Q734,Q734),5)=0,OFFSET(装备属性!$H$1083,1+INT(COUNTA($Q$11:Q734)/5),0),M734)</f>
        <v>global_dmg_rate</v>
      </c>
      <c r="N735" s="76">
        <f ca="1">IF(MOD(COUNTIF($Q$11:Q734,Q734),5)=0,OFFSET(装备属性!$K$1083,1+INT(COUNTA($Q$11:Q734)/5),0),N734)</f>
        <v>0.052</v>
      </c>
      <c r="O735" s="76">
        <f ca="1">IF(MOD(COUNTIF($Q$11:Q734,Q734),5)=0,OFFSET(装备属性!$L$1083,1+INT(COUNTA($Q$11:Q734)/5),0),O734)</f>
        <v>0.058</v>
      </c>
      <c r="Q735" s="89" t="str">
        <f ca="1">IF(MOD(COUNTIF($Q$11:Q734,Q734),5)=0,OFFSET(装备属性!$M$1083,1+INT(COUNTA($Q$11:Q734)/5),0),Q734)</f>
        <v>通用属性</v>
      </c>
      <c r="R735" s="83" t="e">
        <f ca="1">IF(MOD(COUNTIF($Q$11:Q734,Q734),5)=0,10000*SUBSTITUTE(SUBSTITUTE(OFFSET(装备属性!$F$1083,1+INT(COUNTA($Q$11:Q734)/5),0),"[",""),"]","")+_xlfn.XLOOKUP(C735,$M$3:$M$7,$N$3:$N$7)*100,R734)</f>
        <v>#N/A</v>
      </c>
    </row>
    <row r="736" customHeight="1" spans="1:18">
      <c r="A736" s="78">
        <f ca="1" t="shared" si="33"/>
        <v>30601</v>
      </c>
      <c r="B736" s="82">
        <f ca="1">IFERROR(R736+COUNTIFS($R$11:$R736,R736),"")</f>
        <v>30601</v>
      </c>
      <c r="C736" s="83" t="str">
        <f ca="1">IF(MOD(COUNTIF($Q$11:Q735,Q735),5)=0,OFFSET(装备属性!$D$1083,1+INT(COUNTA($Q$11:Q735)/5),0),C735)</f>
        <v>红</v>
      </c>
      <c r="D736" s="82">
        <f t="shared" si="35"/>
        <v>3000</v>
      </c>
      <c r="F736" s="82">
        <f ca="1" t="shared" si="34"/>
        <v>30600</v>
      </c>
      <c r="G736" s="78" t="str">
        <f ca="1">IF(AND(LEFT("[{"&amp;M736&amp;","&amp;CEILING(N736*10000+(O736-N736)/4*(COUNTIF($F$11:F736,F736)-1)*10000,10)&amp;"}]",7)="[{equip",MID("[{"&amp;M736&amp;","&amp;CEILING(N736*10000+(O736-N736)/4*(COUNTIF($F$11:F736,F736)-1)*10000,10)&amp;"}]",8,1)&lt;&gt;"_"),"[{"&amp;M736&amp;","&amp;1&amp;"}]","[{"&amp;M736&amp;","&amp;CEILING(N736*10000+(O736-N736)/4*(COUNTIF($F$11:F736,F736)-1)*10000,10)&amp;"}]")</f>
        <v>[{dmg_red_rate,200}]</v>
      </c>
      <c r="H736" s="82" t="s">
        <v>563</v>
      </c>
      <c r="J736" s="78">
        <f ca="1">IF(MOD(COUNTIF($Q$11:Q735,Q735),5)=0,OFFSET(装备属性!$P$1083,1+INT(COUNTA($Q$11:Q735)/5),0),J735)</f>
        <v>6</v>
      </c>
      <c r="K736" s="83" t="str">
        <f ca="1">IF(RIGHT(G736,13)="rune_slot,1}]",_xlfn.XLOOKUP(LEFT(SUBSTITUTE(G736,"[{",""),FIND(",",SUBSTITUTE(G736,"[{",""))-1),Sheet2!B:B,Sheet2!C:C)&amp;"+"&amp;1,_xlfn.XLOOKUP(LEFT(SUBSTITUTE(G736,"[{",""),FIND(",",SUBSTITUTE(G736,"[{",""))-1),Sheet2!B:B,Sheet2!C:C)&amp;"+"&amp;SUBSTITUTE(RIGHT(G736,LEN(G736)-FIND(",",G736)),"}]","")/100&amp;"%")</f>
        <v>伤害减免+2%</v>
      </c>
      <c r="L736" s="83" t="str">
        <f ca="1">IF(MOD(COUNTIF($Q$11:Q735,Q735),5)=0,OFFSET(装备属性!$G$1083,1+INT(COUNTA($Q$11:Q735)/5),0),L735)</f>
        <v>全员抗揍Ⅲ</v>
      </c>
      <c r="M736" s="89" t="str">
        <f ca="1">IF(MOD(COUNTIF($Q$11:Q735,Q735),5)=0,OFFSET(装备属性!$H$1083,1+INT(COUNTA($Q$11:Q735)/5),0),M735)</f>
        <v>dmg_red_rate</v>
      </c>
      <c r="N736" s="76">
        <f ca="1">IF(MOD(COUNTIF($Q$11:Q735,Q735),5)=0,OFFSET(装备属性!$K$1083,1+INT(COUNTA($Q$11:Q735)/5),0),N735)</f>
        <v>0.02</v>
      </c>
      <c r="O736" s="76">
        <f ca="1">IF(MOD(COUNTIF($Q$11:Q735,Q735),5)=0,OFFSET(装备属性!$L$1083,1+INT(COUNTA($Q$11:Q735)/5),0),O735)</f>
        <v>0.024</v>
      </c>
      <c r="Q736" s="89" t="str">
        <f ca="1">IF(MOD(COUNTIF($Q$11:Q735,Q735),5)=0,OFFSET(装备属性!$M$1083,1+INT(COUNTA($Q$11:Q735)/5),0),Q735)</f>
        <v>通用属性</v>
      </c>
      <c r="R736" s="83">
        <f ca="1">IF(MOD(COUNTIF($Q$11:Q735,Q735),5)=0,10000*SUBSTITUTE(SUBSTITUTE(OFFSET(装备属性!$F$1083,1+INT(COUNTA($Q$11:Q735)/5),0),"[",""),"]","")+_xlfn.XLOOKUP(C736,$M$3:$M$7,$N$3:$N$7)*100,R735)</f>
        <v>30600</v>
      </c>
    </row>
    <row r="737" customHeight="1" spans="1:18">
      <c r="A737" s="78">
        <f ca="1" t="shared" si="33"/>
        <v>30601</v>
      </c>
      <c r="B737" s="82">
        <f ca="1">IFERROR(R737+COUNTIFS($R$11:$R737,R737),"")</f>
        <v>30602</v>
      </c>
      <c r="C737" s="83" t="str">
        <f ca="1">IF(MOD(COUNTIF($Q$11:Q736,Q736),5)=0,OFFSET(装备属性!$D$1083,1+INT(COUNTA($Q$11:Q736)/5),0),C736)</f>
        <v>红</v>
      </c>
      <c r="D737" s="82">
        <f t="shared" si="35"/>
        <v>2500</v>
      </c>
      <c r="F737" s="82">
        <f ca="1" t="shared" si="34"/>
        <v>30600</v>
      </c>
      <c r="G737" s="78" t="str">
        <f ca="1">IF(AND(LEFT("[{"&amp;M737&amp;","&amp;CEILING(N737*10000+(O737-N737)/4*(COUNTIF($F$11:F737,F737)-1)*10000,10)&amp;"}]",7)="[{equip",MID("[{"&amp;M737&amp;","&amp;CEILING(N737*10000+(O737-N737)/4*(COUNTIF($F$11:F737,F737)-1)*10000,10)&amp;"}]",8,1)&lt;&gt;"_"),"[{"&amp;M737&amp;","&amp;1&amp;"}]","[{"&amp;M737&amp;","&amp;CEILING(N737*10000+(O737-N737)/4*(COUNTIF($F$11:F737,F737)-1)*10000,10)&amp;"}]")</f>
        <v>[{dmg_red_rate,210}]</v>
      </c>
      <c r="H737" s="82" t="s">
        <v>563</v>
      </c>
      <c r="J737" s="78">
        <f ca="1">IF(MOD(COUNTIF($Q$11:Q736,Q736),5)=0,OFFSET(装备属性!$P$1083,1+INT(COUNTA($Q$11:Q736)/5),0),J736)</f>
        <v>6</v>
      </c>
      <c r="K737" s="83" t="str">
        <f ca="1">IF(RIGHT(G737,13)="rune_slot,1}]",_xlfn.XLOOKUP(LEFT(SUBSTITUTE(G737,"[{",""),FIND(",",SUBSTITUTE(G737,"[{",""))-1),Sheet2!B:B,Sheet2!C:C)&amp;"+"&amp;1,_xlfn.XLOOKUP(LEFT(SUBSTITUTE(G737,"[{",""),FIND(",",SUBSTITUTE(G737,"[{",""))-1),Sheet2!B:B,Sheet2!C:C)&amp;"+"&amp;SUBSTITUTE(RIGHT(G737,LEN(G737)-FIND(",",G737)),"}]","")/100&amp;"%")</f>
        <v>伤害减免+2.1%</v>
      </c>
      <c r="L737" s="83" t="str">
        <f ca="1">IF(MOD(COUNTIF($Q$11:Q736,Q736),5)=0,OFFSET(装备属性!$G$1083,1+INT(COUNTA($Q$11:Q736)/5),0),L736)</f>
        <v>全员抗揍Ⅲ</v>
      </c>
      <c r="M737" s="89" t="str">
        <f ca="1">IF(MOD(COUNTIF($Q$11:Q736,Q736),5)=0,OFFSET(装备属性!$H$1083,1+INT(COUNTA($Q$11:Q736)/5),0),M736)</f>
        <v>dmg_red_rate</v>
      </c>
      <c r="N737" s="76">
        <f ca="1">IF(MOD(COUNTIF($Q$11:Q736,Q736),5)=0,OFFSET(装备属性!$K$1083,1+INT(COUNTA($Q$11:Q736)/5),0),N736)</f>
        <v>0.02</v>
      </c>
      <c r="O737" s="76">
        <f ca="1">IF(MOD(COUNTIF($Q$11:Q736,Q736),5)=0,OFFSET(装备属性!$L$1083,1+INT(COUNTA($Q$11:Q736)/5),0),O736)</f>
        <v>0.024</v>
      </c>
      <c r="Q737" s="89" t="str">
        <f ca="1">IF(MOD(COUNTIF($Q$11:Q736,Q736),5)=0,OFFSET(装备属性!$M$1083,1+INT(COUNTA($Q$11:Q736)/5),0),Q736)</f>
        <v>通用属性</v>
      </c>
      <c r="R737" s="83">
        <f ca="1">IF(MOD(COUNTIF($Q$11:Q736,Q736),5)=0,10000*SUBSTITUTE(SUBSTITUTE(OFFSET(装备属性!$F$1083,1+INT(COUNTA($Q$11:Q736)/5),0),"[",""),"]","")+_xlfn.XLOOKUP(C737,$M$3:$M$7,$N$3:$N$7)*100,R736)</f>
        <v>30600</v>
      </c>
    </row>
    <row r="738" customHeight="1" spans="1:18">
      <c r="A738" s="78">
        <f ca="1" t="shared" si="33"/>
        <v>30601</v>
      </c>
      <c r="B738" s="82">
        <f ca="1">IFERROR(R738+COUNTIFS($R$11:$R738,R738),"")</f>
        <v>30603</v>
      </c>
      <c r="C738" s="83" t="str">
        <f ca="1">IF(MOD(COUNTIF($Q$11:Q737,Q737),5)=0,OFFSET(装备属性!$D$1083,1+INT(COUNTA($Q$11:Q737)/5),0),C737)</f>
        <v>红</v>
      </c>
      <c r="D738" s="82">
        <f t="shared" si="35"/>
        <v>2000</v>
      </c>
      <c r="F738" s="82">
        <f ca="1" t="shared" si="34"/>
        <v>30600</v>
      </c>
      <c r="G738" s="78" t="str">
        <f ca="1">IF(AND(LEFT("[{"&amp;M738&amp;","&amp;CEILING(N738*10000+(O738-N738)/4*(COUNTIF($F$11:F738,F738)-1)*10000,10)&amp;"}]",7)="[{equip",MID("[{"&amp;M738&amp;","&amp;CEILING(N738*10000+(O738-N738)/4*(COUNTIF($F$11:F738,F738)-1)*10000,10)&amp;"}]",8,1)&lt;&gt;"_"),"[{"&amp;M738&amp;","&amp;1&amp;"}]","[{"&amp;M738&amp;","&amp;CEILING(N738*10000+(O738-N738)/4*(COUNTIF($F$11:F738,F738)-1)*10000,10)&amp;"}]")</f>
        <v>[{dmg_red_rate,220}]</v>
      </c>
      <c r="H738" s="82" t="s">
        <v>563</v>
      </c>
      <c r="J738" s="78">
        <f ca="1">IF(MOD(COUNTIF($Q$11:Q737,Q737),5)=0,OFFSET(装备属性!$P$1083,1+INT(COUNTA($Q$11:Q737)/5),0),J737)</f>
        <v>6</v>
      </c>
      <c r="K738" s="83" t="str">
        <f ca="1">IF(RIGHT(G738,13)="rune_slot,1}]",_xlfn.XLOOKUP(LEFT(SUBSTITUTE(G738,"[{",""),FIND(",",SUBSTITUTE(G738,"[{",""))-1),Sheet2!B:B,Sheet2!C:C)&amp;"+"&amp;1,_xlfn.XLOOKUP(LEFT(SUBSTITUTE(G738,"[{",""),FIND(",",SUBSTITUTE(G738,"[{",""))-1),Sheet2!B:B,Sheet2!C:C)&amp;"+"&amp;SUBSTITUTE(RIGHT(G738,LEN(G738)-FIND(",",G738)),"}]","")/100&amp;"%")</f>
        <v>伤害减免+2.2%</v>
      </c>
      <c r="L738" s="83" t="str">
        <f ca="1">IF(MOD(COUNTIF($Q$11:Q737,Q737),5)=0,OFFSET(装备属性!$G$1083,1+INT(COUNTA($Q$11:Q737)/5),0),L737)</f>
        <v>全员抗揍Ⅲ</v>
      </c>
      <c r="M738" s="89" t="str">
        <f ca="1">IF(MOD(COUNTIF($Q$11:Q737,Q737),5)=0,OFFSET(装备属性!$H$1083,1+INT(COUNTA($Q$11:Q737)/5),0),M737)</f>
        <v>dmg_red_rate</v>
      </c>
      <c r="N738" s="76">
        <f ca="1">IF(MOD(COUNTIF($Q$11:Q737,Q737),5)=0,OFFSET(装备属性!$K$1083,1+INT(COUNTA($Q$11:Q737)/5),0),N737)</f>
        <v>0.02</v>
      </c>
      <c r="O738" s="76">
        <f ca="1">IF(MOD(COUNTIF($Q$11:Q737,Q737),5)=0,OFFSET(装备属性!$L$1083,1+INT(COUNTA($Q$11:Q737)/5),0),O737)</f>
        <v>0.024</v>
      </c>
      <c r="Q738" s="89" t="str">
        <f ca="1">IF(MOD(COUNTIF($Q$11:Q737,Q737),5)=0,OFFSET(装备属性!$M$1083,1+INT(COUNTA($Q$11:Q737)/5),0),Q737)</f>
        <v>通用属性</v>
      </c>
      <c r="R738" s="83">
        <f ca="1">IF(MOD(COUNTIF($Q$11:Q737,Q737),5)=0,10000*SUBSTITUTE(SUBSTITUTE(OFFSET(装备属性!$F$1083,1+INT(COUNTA($Q$11:Q737)/5),0),"[",""),"]","")+_xlfn.XLOOKUP(C738,$M$3:$M$7,$N$3:$N$7)*100,R737)</f>
        <v>30600</v>
      </c>
    </row>
    <row r="739" customHeight="1" spans="1:18">
      <c r="A739" s="78">
        <f ca="1" t="shared" si="33"/>
        <v>30601</v>
      </c>
      <c r="B739" s="82">
        <f ca="1">IFERROR(R739+COUNTIFS($R$11:$R739,R739),"")</f>
        <v>30604</v>
      </c>
      <c r="C739" s="83" t="str">
        <f ca="1">IF(MOD(COUNTIF($Q$11:Q738,Q738),5)=0,OFFSET(装备属性!$D$1083,1+INT(COUNTA($Q$11:Q738)/5),0),C738)</f>
        <v>红</v>
      </c>
      <c r="D739" s="82">
        <f t="shared" si="35"/>
        <v>1500</v>
      </c>
      <c r="F739" s="82">
        <f ca="1" t="shared" si="34"/>
        <v>30600</v>
      </c>
      <c r="G739" s="78" t="str">
        <f ca="1">IF(AND(LEFT("[{"&amp;M739&amp;","&amp;CEILING(N739*10000+(O739-N739)/4*(COUNTIF($F$11:F739,F739)-1)*10000,10)&amp;"}]",7)="[{equip",MID("[{"&amp;M739&amp;","&amp;CEILING(N739*10000+(O739-N739)/4*(COUNTIF($F$11:F739,F739)-1)*10000,10)&amp;"}]",8,1)&lt;&gt;"_"),"[{"&amp;M739&amp;","&amp;1&amp;"}]","[{"&amp;M739&amp;","&amp;CEILING(N739*10000+(O739-N739)/4*(COUNTIF($F$11:F739,F739)-1)*10000,10)&amp;"}]")</f>
        <v>[{dmg_red_rate,230}]</v>
      </c>
      <c r="H739" s="82" t="s">
        <v>563</v>
      </c>
      <c r="J739" s="78">
        <f ca="1">IF(MOD(COUNTIF($Q$11:Q738,Q738),5)=0,OFFSET(装备属性!$P$1083,1+INT(COUNTA($Q$11:Q738)/5),0),J738)</f>
        <v>6</v>
      </c>
      <c r="K739" s="83" t="str">
        <f ca="1">IF(RIGHT(G739,13)="rune_slot,1}]",_xlfn.XLOOKUP(LEFT(SUBSTITUTE(G739,"[{",""),FIND(",",SUBSTITUTE(G739,"[{",""))-1),Sheet2!B:B,Sheet2!C:C)&amp;"+"&amp;1,_xlfn.XLOOKUP(LEFT(SUBSTITUTE(G739,"[{",""),FIND(",",SUBSTITUTE(G739,"[{",""))-1),Sheet2!B:B,Sheet2!C:C)&amp;"+"&amp;SUBSTITUTE(RIGHT(G739,LEN(G739)-FIND(",",G739)),"}]","")/100&amp;"%")</f>
        <v>伤害减免+2.3%</v>
      </c>
      <c r="L739" s="83" t="str">
        <f ca="1">IF(MOD(COUNTIF($Q$11:Q738,Q738),5)=0,OFFSET(装备属性!$G$1083,1+INT(COUNTA($Q$11:Q738)/5),0),L738)</f>
        <v>全员抗揍Ⅲ</v>
      </c>
      <c r="M739" s="89" t="str">
        <f ca="1">IF(MOD(COUNTIF($Q$11:Q738,Q738),5)=0,OFFSET(装备属性!$H$1083,1+INT(COUNTA($Q$11:Q738)/5),0),M738)</f>
        <v>dmg_red_rate</v>
      </c>
      <c r="N739" s="76">
        <f ca="1">IF(MOD(COUNTIF($Q$11:Q738,Q738),5)=0,OFFSET(装备属性!$K$1083,1+INT(COUNTA($Q$11:Q738)/5),0),N738)</f>
        <v>0.02</v>
      </c>
      <c r="O739" s="76">
        <f ca="1">IF(MOD(COUNTIF($Q$11:Q738,Q738),5)=0,OFFSET(装备属性!$L$1083,1+INT(COUNTA($Q$11:Q738)/5),0),O738)</f>
        <v>0.024</v>
      </c>
      <c r="Q739" s="89" t="str">
        <f ca="1">IF(MOD(COUNTIF($Q$11:Q738,Q738),5)=0,OFFSET(装备属性!$M$1083,1+INT(COUNTA($Q$11:Q738)/5),0),Q738)</f>
        <v>通用属性</v>
      </c>
      <c r="R739" s="83">
        <f ca="1">IF(MOD(COUNTIF($Q$11:Q738,Q738),5)=0,10000*SUBSTITUTE(SUBSTITUTE(OFFSET(装备属性!$F$1083,1+INT(COUNTA($Q$11:Q738)/5),0),"[",""),"]","")+_xlfn.XLOOKUP(C739,$M$3:$M$7,$N$3:$N$7)*100,R738)</f>
        <v>30600</v>
      </c>
    </row>
    <row r="740" customHeight="1" spans="1:18">
      <c r="A740" s="78">
        <f ca="1" t="shared" si="33"/>
        <v>30601</v>
      </c>
      <c r="B740" s="82">
        <f ca="1">IFERROR(R740+COUNTIFS($R$11:$R740,R740),"")</f>
        <v>30605</v>
      </c>
      <c r="C740" s="83" t="str">
        <f ca="1">IF(MOD(COUNTIF($Q$11:Q739,Q739),5)=0,OFFSET(装备属性!$D$1083,1+INT(COUNTA($Q$11:Q739)/5),0),C739)</f>
        <v>红</v>
      </c>
      <c r="D740" s="82">
        <f t="shared" si="35"/>
        <v>1000</v>
      </c>
      <c r="F740" s="82">
        <f ca="1" t="shared" si="34"/>
        <v>30600</v>
      </c>
      <c r="G740" s="78" t="str">
        <f ca="1">IF(AND(LEFT("[{"&amp;M740&amp;","&amp;CEILING(N740*10000+(O740-N740)/4*(COUNTIF($F$11:F740,F740)-1)*10000,10)&amp;"}]",7)="[{equip",MID("[{"&amp;M740&amp;","&amp;CEILING(N740*10000+(O740-N740)/4*(COUNTIF($F$11:F740,F740)-1)*10000,10)&amp;"}]",8,1)&lt;&gt;"_"),"[{"&amp;M740&amp;","&amp;1&amp;"}]","[{"&amp;M740&amp;","&amp;CEILING(N740*10000+(O740-N740)/4*(COUNTIF($F$11:F740,F740)-1)*10000,10)&amp;"}]")</f>
        <v>[{dmg_red_rate,240}]</v>
      </c>
      <c r="H740" s="82" t="s">
        <v>563</v>
      </c>
      <c r="J740" s="78">
        <f ca="1">IF(MOD(COUNTIF($Q$11:Q739,Q739),5)=0,OFFSET(装备属性!$P$1083,1+INT(COUNTA($Q$11:Q739)/5),0),J739)</f>
        <v>6</v>
      </c>
      <c r="K740" s="83" t="str">
        <f ca="1">IF(RIGHT(G740,13)="rune_slot,1}]",_xlfn.XLOOKUP(LEFT(SUBSTITUTE(G740,"[{",""),FIND(",",SUBSTITUTE(G740,"[{",""))-1),Sheet2!B:B,Sheet2!C:C)&amp;"+"&amp;1,_xlfn.XLOOKUP(LEFT(SUBSTITUTE(G740,"[{",""),FIND(",",SUBSTITUTE(G740,"[{",""))-1),Sheet2!B:B,Sheet2!C:C)&amp;"+"&amp;SUBSTITUTE(RIGHT(G740,LEN(G740)-FIND(",",G740)),"}]","")/100&amp;"%")</f>
        <v>伤害减免+2.4%</v>
      </c>
      <c r="L740" s="83" t="str">
        <f ca="1">IF(MOD(COUNTIF($Q$11:Q739,Q739),5)=0,OFFSET(装备属性!$G$1083,1+INT(COUNTA($Q$11:Q739)/5),0),L739)</f>
        <v>全员抗揍Ⅲ</v>
      </c>
      <c r="M740" s="89" t="str">
        <f ca="1">IF(MOD(COUNTIF($Q$11:Q739,Q739),5)=0,OFFSET(装备属性!$H$1083,1+INT(COUNTA($Q$11:Q739)/5),0),M739)</f>
        <v>dmg_red_rate</v>
      </c>
      <c r="N740" s="76">
        <f ca="1">IF(MOD(COUNTIF($Q$11:Q739,Q739),5)=0,OFFSET(装备属性!$K$1083,1+INT(COUNTA($Q$11:Q739)/5),0),N739)</f>
        <v>0.02</v>
      </c>
      <c r="O740" s="76">
        <f ca="1">IF(MOD(COUNTIF($Q$11:Q739,Q739),5)=0,OFFSET(装备属性!$L$1083,1+INT(COUNTA($Q$11:Q739)/5),0),O739)</f>
        <v>0.024</v>
      </c>
      <c r="Q740" s="89" t="str">
        <f ca="1">IF(MOD(COUNTIF($Q$11:Q739,Q739),5)=0,OFFSET(装备属性!$M$1083,1+INT(COUNTA($Q$11:Q739)/5),0),Q739)</f>
        <v>通用属性</v>
      </c>
      <c r="R740" s="83">
        <f ca="1">IF(MOD(COUNTIF($Q$11:Q739,Q739),5)=0,10000*SUBSTITUTE(SUBSTITUTE(OFFSET(装备属性!$F$1083,1+INT(COUNTA($Q$11:Q739)/5),0),"[",""),"]","")+_xlfn.XLOOKUP(C740,$M$3:$M$7,$N$3:$N$7)*100,R739)</f>
        <v>30600</v>
      </c>
    </row>
    <row r="741" customHeight="1" spans="1:18">
      <c r="A741" s="78">
        <f ca="1" t="shared" si="33"/>
        <v>30601</v>
      </c>
      <c r="B741" s="82">
        <f ca="1">IFERROR(R741+COUNTIFS($R$11:$R741,R741),"")</f>
        <v>30606</v>
      </c>
      <c r="C741" s="83" t="str">
        <f ca="1">IF(MOD(COUNTIF($Q$11:Q740,Q740),5)=0,OFFSET(装备属性!$D$1083,1+INT(COUNTA($Q$11:Q740)/5),0),C740)</f>
        <v>红</v>
      </c>
      <c r="D741" s="82">
        <f t="shared" si="35"/>
        <v>3000</v>
      </c>
      <c r="F741" s="82">
        <f ca="1" t="shared" si="34"/>
        <v>30601</v>
      </c>
      <c r="G741" s="78" t="str">
        <f ca="1">IF(AND(LEFT("[{"&amp;M741&amp;","&amp;CEILING(N741*10000+(O741-N741)/4*(COUNTIF($F$11:F741,F741)-1)*10000,10)&amp;"}]",7)="[{equip",MID("[{"&amp;M741&amp;","&amp;CEILING(N741*10000+(O741-N741)/4*(COUNTIF($F$11:F741,F741)-1)*10000,10)&amp;"}]",8,1)&lt;&gt;"_"),"[{"&amp;M741&amp;","&amp;1&amp;"}]","[{"&amp;M741&amp;","&amp;CEILING(N741*10000+(O741-N741)/4*(COUNTIF($F$11:F741,F741)-1)*10000,10)&amp;"}]")</f>
        <v>[{all_class_dmg,520}]</v>
      </c>
      <c r="H741" s="82" t="s">
        <v>563</v>
      </c>
      <c r="J741" s="78">
        <f ca="1">IF(MOD(COUNTIF($Q$11:Q740,Q740),5)=0,OFFSET(装备属性!$P$1083,1+INT(COUNTA($Q$11:Q740)/5),0),J740)</f>
        <v>2</v>
      </c>
      <c r="K741" s="83" t="str">
        <f ca="1">IF(RIGHT(G741,13)="rune_slot,1}]",_xlfn.XLOOKUP(LEFT(SUBSTITUTE(G741,"[{",""),FIND(",",SUBSTITUTE(G741,"[{",""))-1),Sheet2!B:B,Sheet2!C:C)&amp;"+"&amp;1,_xlfn.XLOOKUP(LEFT(SUBSTITUTE(G741,"[{",""),FIND(",",SUBSTITUTE(G741,"[{",""))-1),Sheet2!B:B,Sheet2!C:C)&amp;"+"&amp;SUBSTITUTE(RIGHT(G741,LEN(G741)-FIND(",",G741)),"}]","")/100&amp;"%")</f>
        <v>上阵五个不同职业增伤+5.2%</v>
      </c>
      <c r="L741" s="83" t="str">
        <f ca="1">IF(MOD(COUNTIF($Q$11:Q740,Q740),5)=0,OFFSET(装备属性!$G$1083,1+INT(COUNTA($Q$11:Q740)/5),0),L740)</f>
        <v>全员出力Ⅲ</v>
      </c>
      <c r="M741" s="89" t="str">
        <f ca="1">IF(MOD(COUNTIF($Q$11:Q740,Q740),5)=0,OFFSET(装备属性!$H$1083,1+INT(COUNTA($Q$11:Q740)/5),0),M740)</f>
        <v>all_class_dmg</v>
      </c>
      <c r="N741" s="76">
        <f ca="1">IF(MOD(COUNTIF($Q$11:Q740,Q740),5)=0,OFFSET(装备属性!$K$1083,1+INT(COUNTA($Q$11:Q740)/5),0),N740)</f>
        <v>0.052</v>
      </c>
      <c r="O741" s="76">
        <f ca="1">IF(MOD(COUNTIF($Q$11:Q740,Q740),5)=0,OFFSET(装备属性!$L$1083,1+INT(COUNTA($Q$11:Q740)/5),0),O740)</f>
        <v>0.058</v>
      </c>
      <c r="Q741" s="89" t="str">
        <f ca="1">IF(MOD(COUNTIF($Q$11:Q740,Q740),5)=0,OFFSET(装备属性!$M$1083,1+INT(COUNTA($Q$11:Q740)/5),0),Q740)</f>
        <v>通用属性</v>
      </c>
      <c r="R741" s="83">
        <f ca="1">IF(MOD(COUNTIF($Q$11:Q740,Q740),5)=0,10000*SUBSTITUTE(SUBSTITUTE(OFFSET(装备属性!$F$1083,1+INT(COUNTA($Q$11:Q740)/5),0),"[",""),"]","")+_xlfn.XLOOKUP(C741,$M$3:$M$7,$N$3:$N$7)*100,R740)</f>
        <v>30600</v>
      </c>
    </row>
    <row r="742" customHeight="1" spans="1:18">
      <c r="A742" s="78">
        <f ca="1" t="shared" si="33"/>
        <v>30601</v>
      </c>
      <c r="B742" s="82">
        <f ca="1">IFERROR(R742+COUNTIFS($R$11:$R742,R742),"")</f>
        <v>30607</v>
      </c>
      <c r="C742" s="83" t="str">
        <f ca="1">IF(MOD(COUNTIF($Q$11:Q741,Q741),5)=0,OFFSET(装备属性!$D$1083,1+INT(COUNTA($Q$11:Q741)/5),0),C741)</f>
        <v>红</v>
      </c>
      <c r="D742" s="82">
        <f t="shared" si="35"/>
        <v>2500</v>
      </c>
      <c r="F742" s="82">
        <f ca="1" t="shared" si="34"/>
        <v>30601</v>
      </c>
      <c r="G742" s="78" t="str">
        <f ca="1">IF(AND(LEFT("[{"&amp;M742&amp;","&amp;CEILING(N742*10000+(O742-N742)/4*(COUNTIF($F$11:F742,F742)-1)*10000,10)&amp;"}]",7)="[{equip",MID("[{"&amp;M742&amp;","&amp;CEILING(N742*10000+(O742-N742)/4*(COUNTIF($F$11:F742,F742)-1)*10000,10)&amp;"}]",8,1)&lt;&gt;"_"),"[{"&amp;M742&amp;","&amp;1&amp;"}]","[{"&amp;M742&amp;","&amp;CEILING(N742*10000+(O742-N742)/4*(COUNTIF($F$11:F742,F742)-1)*10000,10)&amp;"}]")</f>
        <v>[{all_class_dmg,540}]</v>
      </c>
      <c r="H742" s="82" t="s">
        <v>563</v>
      </c>
      <c r="J742" s="78">
        <f ca="1">IF(MOD(COUNTIF($Q$11:Q741,Q741),5)=0,OFFSET(装备属性!$P$1083,1+INT(COUNTA($Q$11:Q741)/5),0),J741)</f>
        <v>2</v>
      </c>
      <c r="K742" s="83" t="str">
        <f ca="1">IF(RIGHT(G742,13)="rune_slot,1}]",_xlfn.XLOOKUP(LEFT(SUBSTITUTE(G742,"[{",""),FIND(",",SUBSTITUTE(G742,"[{",""))-1),Sheet2!B:B,Sheet2!C:C)&amp;"+"&amp;1,_xlfn.XLOOKUP(LEFT(SUBSTITUTE(G742,"[{",""),FIND(",",SUBSTITUTE(G742,"[{",""))-1),Sheet2!B:B,Sheet2!C:C)&amp;"+"&amp;SUBSTITUTE(RIGHT(G742,LEN(G742)-FIND(",",G742)),"}]","")/100&amp;"%")</f>
        <v>上阵五个不同职业增伤+5.4%</v>
      </c>
      <c r="L742" s="83" t="str">
        <f ca="1">IF(MOD(COUNTIF($Q$11:Q741,Q741),5)=0,OFFSET(装备属性!$G$1083,1+INT(COUNTA($Q$11:Q741)/5),0),L741)</f>
        <v>全员出力Ⅲ</v>
      </c>
      <c r="M742" s="89" t="str">
        <f ca="1">IF(MOD(COUNTIF($Q$11:Q741,Q741),5)=0,OFFSET(装备属性!$H$1083,1+INT(COUNTA($Q$11:Q741)/5),0),M741)</f>
        <v>all_class_dmg</v>
      </c>
      <c r="N742" s="76">
        <f ca="1">IF(MOD(COUNTIF($Q$11:Q741,Q741),5)=0,OFFSET(装备属性!$K$1083,1+INT(COUNTA($Q$11:Q741)/5),0),N741)</f>
        <v>0.052</v>
      </c>
      <c r="O742" s="76">
        <f ca="1">IF(MOD(COUNTIF($Q$11:Q741,Q741),5)=0,OFFSET(装备属性!$L$1083,1+INT(COUNTA($Q$11:Q741)/5),0),O741)</f>
        <v>0.058</v>
      </c>
      <c r="Q742" s="89" t="str">
        <f ca="1">IF(MOD(COUNTIF($Q$11:Q741,Q741),5)=0,OFFSET(装备属性!$M$1083,1+INT(COUNTA($Q$11:Q741)/5),0),Q741)</f>
        <v>通用属性</v>
      </c>
      <c r="R742" s="83">
        <f ca="1">IF(MOD(COUNTIF($Q$11:Q741,Q741),5)=0,10000*SUBSTITUTE(SUBSTITUTE(OFFSET(装备属性!$F$1083,1+INT(COUNTA($Q$11:Q741)/5),0),"[",""),"]","")+_xlfn.XLOOKUP(C742,$M$3:$M$7,$N$3:$N$7)*100,R741)</f>
        <v>30600</v>
      </c>
    </row>
    <row r="743" customHeight="1" spans="1:18">
      <c r="A743" s="78">
        <f ca="1" t="shared" si="33"/>
        <v>30601</v>
      </c>
      <c r="B743" s="82">
        <f ca="1">IFERROR(R743+COUNTIFS($R$11:$R743,R743),"")</f>
        <v>30608</v>
      </c>
      <c r="C743" s="83" t="str">
        <f ca="1">IF(MOD(COUNTIF($Q$11:Q742,Q742),5)=0,OFFSET(装备属性!$D$1083,1+INT(COUNTA($Q$11:Q742)/5),0),C742)</f>
        <v>红</v>
      </c>
      <c r="D743" s="82">
        <f t="shared" si="35"/>
        <v>2000</v>
      </c>
      <c r="F743" s="82">
        <f ca="1" t="shared" si="34"/>
        <v>30601</v>
      </c>
      <c r="G743" s="78" t="str">
        <f ca="1">IF(AND(LEFT("[{"&amp;M743&amp;","&amp;CEILING(N743*10000+(O743-N743)/4*(COUNTIF($F$11:F743,F743)-1)*10000,10)&amp;"}]",7)="[{equip",MID("[{"&amp;M743&amp;","&amp;CEILING(N743*10000+(O743-N743)/4*(COUNTIF($F$11:F743,F743)-1)*10000,10)&amp;"}]",8,1)&lt;&gt;"_"),"[{"&amp;M743&amp;","&amp;1&amp;"}]","[{"&amp;M743&amp;","&amp;CEILING(N743*10000+(O743-N743)/4*(COUNTIF($F$11:F743,F743)-1)*10000,10)&amp;"}]")</f>
        <v>[{all_class_dmg,550}]</v>
      </c>
      <c r="H743" s="82" t="s">
        <v>563</v>
      </c>
      <c r="J743" s="78">
        <f ca="1">IF(MOD(COUNTIF($Q$11:Q742,Q742),5)=0,OFFSET(装备属性!$P$1083,1+INT(COUNTA($Q$11:Q742)/5),0),J742)</f>
        <v>2</v>
      </c>
      <c r="K743" s="83" t="str">
        <f ca="1">IF(RIGHT(G743,13)="rune_slot,1}]",_xlfn.XLOOKUP(LEFT(SUBSTITUTE(G743,"[{",""),FIND(",",SUBSTITUTE(G743,"[{",""))-1),Sheet2!B:B,Sheet2!C:C)&amp;"+"&amp;1,_xlfn.XLOOKUP(LEFT(SUBSTITUTE(G743,"[{",""),FIND(",",SUBSTITUTE(G743,"[{",""))-1),Sheet2!B:B,Sheet2!C:C)&amp;"+"&amp;SUBSTITUTE(RIGHT(G743,LEN(G743)-FIND(",",G743)),"}]","")/100&amp;"%")</f>
        <v>上阵五个不同职业增伤+5.5%</v>
      </c>
      <c r="L743" s="83" t="str">
        <f ca="1">IF(MOD(COUNTIF($Q$11:Q742,Q742),5)=0,OFFSET(装备属性!$G$1083,1+INT(COUNTA($Q$11:Q742)/5),0),L742)</f>
        <v>全员出力Ⅲ</v>
      </c>
      <c r="M743" s="89" t="str">
        <f ca="1">IF(MOD(COUNTIF($Q$11:Q742,Q742),5)=0,OFFSET(装备属性!$H$1083,1+INT(COUNTA($Q$11:Q742)/5),0),M742)</f>
        <v>all_class_dmg</v>
      </c>
      <c r="N743" s="76">
        <f ca="1">IF(MOD(COUNTIF($Q$11:Q742,Q742),5)=0,OFFSET(装备属性!$K$1083,1+INT(COUNTA($Q$11:Q742)/5),0),N742)</f>
        <v>0.052</v>
      </c>
      <c r="O743" s="76">
        <f ca="1">IF(MOD(COUNTIF($Q$11:Q742,Q742),5)=0,OFFSET(装备属性!$L$1083,1+INT(COUNTA($Q$11:Q742)/5),0),O742)</f>
        <v>0.058</v>
      </c>
      <c r="Q743" s="89" t="str">
        <f ca="1">IF(MOD(COUNTIF($Q$11:Q742,Q742),5)=0,OFFSET(装备属性!$M$1083,1+INT(COUNTA($Q$11:Q742)/5),0),Q742)</f>
        <v>通用属性</v>
      </c>
      <c r="R743" s="83">
        <f ca="1">IF(MOD(COUNTIF($Q$11:Q742,Q742),5)=0,10000*SUBSTITUTE(SUBSTITUTE(OFFSET(装备属性!$F$1083,1+INT(COUNTA($Q$11:Q742)/5),0),"[",""),"]","")+_xlfn.XLOOKUP(C743,$M$3:$M$7,$N$3:$N$7)*100,R742)</f>
        <v>30600</v>
      </c>
    </row>
    <row r="744" customHeight="1" spans="1:18">
      <c r="A744" s="78">
        <f ca="1" t="shared" si="33"/>
        <v>30601</v>
      </c>
      <c r="B744" s="82">
        <f ca="1">IFERROR(R744+COUNTIFS($R$11:$R744,R744),"")</f>
        <v>30609</v>
      </c>
      <c r="C744" s="83" t="str">
        <f ca="1">IF(MOD(COUNTIF($Q$11:Q743,Q743),5)=0,OFFSET(装备属性!$D$1083,1+INT(COUNTA($Q$11:Q743)/5),0),C743)</f>
        <v>红</v>
      </c>
      <c r="D744" s="82">
        <f t="shared" si="35"/>
        <v>1500</v>
      </c>
      <c r="F744" s="82">
        <f ca="1" t="shared" si="34"/>
        <v>30601</v>
      </c>
      <c r="G744" s="78" t="str">
        <f ca="1">IF(AND(LEFT("[{"&amp;M744&amp;","&amp;CEILING(N744*10000+(O744-N744)/4*(COUNTIF($F$11:F744,F744)-1)*10000,10)&amp;"}]",7)="[{equip",MID("[{"&amp;M744&amp;","&amp;CEILING(N744*10000+(O744-N744)/4*(COUNTIF($F$11:F744,F744)-1)*10000,10)&amp;"}]",8,1)&lt;&gt;"_"),"[{"&amp;M744&amp;","&amp;1&amp;"}]","[{"&amp;M744&amp;","&amp;CEILING(N744*10000+(O744-N744)/4*(COUNTIF($F$11:F744,F744)-1)*10000,10)&amp;"}]")</f>
        <v>[{all_class_dmg,570}]</v>
      </c>
      <c r="H744" s="82" t="s">
        <v>563</v>
      </c>
      <c r="J744" s="78">
        <f ca="1">IF(MOD(COUNTIF($Q$11:Q743,Q743),5)=0,OFFSET(装备属性!$P$1083,1+INT(COUNTA($Q$11:Q743)/5),0),J743)</f>
        <v>2</v>
      </c>
      <c r="K744" s="83" t="str">
        <f ca="1">IF(RIGHT(G744,13)="rune_slot,1}]",_xlfn.XLOOKUP(LEFT(SUBSTITUTE(G744,"[{",""),FIND(",",SUBSTITUTE(G744,"[{",""))-1),Sheet2!B:B,Sheet2!C:C)&amp;"+"&amp;1,_xlfn.XLOOKUP(LEFT(SUBSTITUTE(G744,"[{",""),FIND(",",SUBSTITUTE(G744,"[{",""))-1),Sheet2!B:B,Sheet2!C:C)&amp;"+"&amp;SUBSTITUTE(RIGHT(G744,LEN(G744)-FIND(",",G744)),"}]","")/100&amp;"%")</f>
        <v>上阵五个不同职业增伤+5.7%</v>
      </c>
      <c r="L744" s="83" t="str">
        <f ca="1">IF(MOD(COUNTIF($Q$11:Q743,Q743),5)=0,OFFSET(装备属性!$G$1083,1+INT(COUNTA($Q$11:Q743)/5),0),L743)</f>
        <v>全员出力Ⅲ</v>
      </c>
      <c r="M744" s="89" t="str">
        <f ca="1">IF(MOD(COUNTIF($Q$11:Q743,Q743),5)=0,OFFSET(装备属性!$H$1083,1+INT(COUNTA($Q$11:Q743)/5),0),M743)</f>
        <v>all_class_dmg</v>
      </c>
      <c r="N744" s="76">
        <f ca="1">IF(MOD(COUNTIF($Q$11:Q743,Q743),5)=0,OFFSET(装备属性!$K$1083,1+INT(COUNTA($Q$11:Q743)/5),0),N743)</f>
        <v>0.052</v>
      </c>
      <c r="O744" s="76">
        <f ca="1">IF(MOD(COUNTIF($Q$11:Q743,Q743),5)=0,OFFSET(装备属性!$L$1083,1+INT(COUNTA($Q$11:Q743)/5),0),O743)</f>
        <v>0.058</v>
      </c>
      <c r="Q744" s="89" t="str">
        <f ca="1">IF(MOD(COUNTIF($Q$11:Q743,Q743),5)=0,OFFSET(装备属性!$M$1083,1+INT(COUNTA($Q$11:Q743)/5),0),Q743)</f>
        <v>通用属性</v>
      </c>
      <c r="R744" s="83">
        <f ca="1">IF(MOD(COUNTIF($Q$11:Q743,Q743),5)=0,10000*SUBSTITUTE(SUBSTITUTE(OFFSET(装备属性!$F$1083,1+INT(COUNTA($Q$11:Q743)/5),0),"[",""),"]","")+_xlfn.XLOOKUP(C744,$M$3:$M$7,$N$3:$N$7)*100,R743)</f>
        <v>30600</v>
      </c>
    </row>
    <row r="745" customHeight="1" spans="1:18">
      <c r="A745" s="78">
        <f ca="1" t="shared" si="33"/>
        <v>30601</v>
      </c>
      <c r="B745" s="82">
        <f ca="1">IFERROR(R745+COUNTIFS($R$11:$R745,R745),"")</f>
        <v>30610</v>
      </c>
      <c r="C745" s="83" t="str">
        <f ca="1">IF(MOD(COUNTIF($Q$11:Q744,Q744),5)=0,OFFSET(装备属性!$D$1083,1+INT(COUNTA($Q$11:Q744)/5),0),C744)</f>
        <v>红</v>
      </c>
      <c r="D745" s="82">
        <f t="shared" si="35"/>
        <v>1000</v>
      </c>
      <c r="F745" s="82">
        <f ca="1" t="shared" si="34"/>
        <v>30601</v>
      </c>
      <c r="G745" s="78" t="str">
        <f ca="1">IF(AND(LEFT("[{"&amp;M745&amp;","&amp;CEILING(N745*10000+(O745-N745)/4*(COUNTIF($F$11:F745,F745)-1)*10000,10)&amp;"}]",7)="[{equip",MID("[{"&amp;M745&amp;","&amp;CEILING(N745*10000+(O745-N745)/4*(COUNTIF($F$11:F745,F745)-1)*10000,10)&amp;"}]",8,1)&lt;&gt;"_"),"[{"&amp;M745&amp;","&amp;1&amp;"}]","[{"&amp;M745&amp;","&amp;CEILING(N745*10000+(O745-N745)/4*(COUNTIF($F$11:F745,F745)-1)*10000,10)&amp;"}]")</f>
        <v>[{all_class_dmg,580}]</v>
      </c>
      <c r="H745" s="82" t="s">
        <v>563</v>
      </c>
      <c r="J745" s="78">
        <f ca="1">IF(MOD(COUNTIF($Q$11:Q744,Q744),5)=0,OFFSET(装备属性!$P$1083,1+INT(COUNTA($Q$11:Q744)/5),0),J744)</f>
        <v>2</v>
      </c>
      <c r="K745" s="83" t="str">
        <f ca="1">IF(RIGHT(G745,13)="rune_slot,1}]",_xlfn.XLOOKUP(LEFT(SUBSTITUTE(G745,"[{",""),FIND(",",SUBSTITUTE(G745,"[{",""))-1),Sheet2!B:B,Sheet2!C:C)&amp;"+"&amp;1,_xlfn.XLOOKUP(LEFT(SUBSTITUTE(G745,"[{",""),FIND(",",SUBSTITUTE(G745,"[{",""))-1),Sheet2!B:B,Sheet2!C:C)&amp;"+"&amp;SUBSTITUTE(RIGHT(G745,LEN(G745)-FIND(",",G745)),"}]","")/100&amp;"%")</f>
        <v>上阵五个不同职业增伤+5.8%</v>
      </c>
      <c r="L745" s="83" t="str">
        <f ca="1">IF(MOD(COUNTIF($Q$11:Q744,Q744),5)=0,OFFSET(装备属性!$G$1083,1+INT(COUNTA($Q$11:Q744)/5),0),L744)</f>
        <v>全员出力Ⅲ</v>
      </c>
      <c r="M745" s="89" t="str">
        <f ca="1">IF(MOD(COUNTIF($Q$11:Q744,Q744),5)=0,OFFSET(装备属性!$H$1083,1+INT(COUNTA($Q$11:Q744)/5),0),M744)</f>
        <v>all_class_dmg</v>
      </c>
      <c r="N745" s="76">
        <f ca="1">IF(MOD(COUNTIF($Q$11:Q744,Q744),5)=0,OFFSET(装备属性!$K$1083,1+INT(COUNTA($Q$11:Q744)/5),0),N744)</f>
        <v>0.052</v>
      </c>
      <c r="O745" s="76">
        <f ca="1">IF(MOD(COUNTIF($Q$11:Q744,Q744),5)=0,OFFSET(装备属性!$L$1083,1+INT(COUNTA($Q$11:Q744)/5),0),O744)</f>
        <v>0.058</v>
      </c>
      <c r="Q745" s="89" t="str">
        <f ca="1">IF(MOD(COUNTIF($Q$11:Q744,Q744),5)=0,OFFSET(装备属性!$M$1083,1+INT(COUNTA($Q$11:Q744)/5),0),Q744)</f>
        <v>通用属性</v>
      </c>
      <c r="R745" s="83">
        <f ca="1">IF(MOD(COUNTIF($Q$11:Q744,Q744),5)=0,10000*SUBSTITUTE(SUBSTITUTE(OFFSET(装备属性!$F$1083,1+INT(COUNTA($Q$11:Q744)/5),0),"[",""),"]","")+_xlfn.XLOOKUP(C745,$M$3:$M$7,$N$3:$N$7)*100,R744)</f>
        <v>30600</v>
      </c>
    </row>
    <row r="746" customHeight="1" spans="1:18">
      <c r="A746" s="78" t="str">
        <f ca="1" t="shared" si="33"/>
        <v/>
      </c>
      <c r="B746" s="82" t="str">
        <f ca="1">IFERROR(R746+COUNTIFS($R$11:$R746,R746),"")</f>
        <v/>
      </c>
      <c r="C746" s="83">
        <f ca="1">IF(MOD(COUNTIF($Q$11:Q745,Q745),5)=0,OFFSET(装备属性!$D$1083,1+INT(COUNTA($Q$11:Q745)/5),0),C745)</f>
        <v>0</v>
      </c>
      <c r="D746" s="82">
        <f t="shared" si="35"/>
        <v>3000</v>
      </c>
      <c r="F746" s="82" t="str">
        <f ca="1" t="shared" si="34"/>
        <v/>
      </c>
      <c r="G746" s="78" t="str">
        <f ca="1">IF(AND(LEFT("[{"&amp;M746&amp;","&amp;CEILING(N746*10000+(O746-N746)/4*(COUNTIF($F$11:F746,F746)-1)*10000,10)&amp;"}]",7)="[{equip",MID("[{"&amp;M746&amp;","&amp;CEILING(N746*10000+(O746-N746)/4*(COUNTIF($F$11:F746,F746)-1)*10000,10)&amp;"}]",8,1)&lt;&gt;"_"),"[{"&amp;M746&amp;","&amp;1&amp;"}]","[{"&amp;M746&amp;","&amp;CEILING(N746*10000+(O746-N746)/4*(COUNTIF($F$11:F746,F746)-1)*10000,10)&amp;"}]")</f>
        <v>[{exp_boost,2000}]</v>
      </c>
      <c r="H746" s="82" t="s">
        <v>563</v>
      </c>
      <c r="J746" s="78">
        <f ca="1">IF(MOD(COUNTIF($Q$11:Q745,Q745),5)=0,OFFSET(装备属性!$P$1083,1+INT(COUNTA($Q$11:Q745)/5),0),J745)</f>
        <v>9</v>
      </c>
      <c r="K746" s="83" t="str">
        <f ca="1">IF(RIGHT(G746,13)="rune_slot,1}]",_xlfn.XLOOKUP(LEFT(SUBSTITUTE(G746,"[{",""),FIND(",",SUBSTITUTE(G746,"[{",""))-1),Sheet2!B:B,Sheet2!C:C)&amp;"+"&amp;1,_xlfn.XLOOKUP(LEFT(SUBSTITUTE(G746,"[{",""),FIND(",",SUBSTITUTE(G746,"[{",""))-1),Sheet2!B:B,Sheet2!C:C)&amp;"+"&amp;SUBSTITUTE(RIGHT(G746,LEN(G746)-FIND(",",G746)),"}]","")/100&amp;"%")</f>
        <v>经验加成+20%</v>
      </c>
      <c r="L746" s="83" t="str">
        <f ca="1">IF(MOD(COUNTIF($Q$11:Q745,Q745),5)=0,OFFSET(装备属性!$G$1083,1+INT(COUNTA($Q$11:Q745)/5),0),L745)</f>
        <v>涨见识</v>
      </c>
      <c r="M746" s="89" t="str">
        <f ca="1">IF(MOD(COUNTIF($Q$11:Q745,Q745),5)=0,OFFSET(装备属性!$H$1083,1+INT(COUNTA($Q$11:Q745)/5),0),M745)</f>
        <v>exp_boost</v>
      </c>
      <c r="N746" s="76">
        <f ca="1">IF(MOD(COUNTIF($Q$11:Q745,Q745),5)=0,OFFSET(装备属性!$K$1083,1+INT(COUNTA($Q$11:Q745)/5),0),N745)</f>
        <v>0.2</v>
      </c>
      <c r="O746" s="76">
        <f ca="1">IF(MOD(COUNTIF($Q$11:Q745,Q745),5)=0,OFFSET(装备属性!$L$1083,1+INT(COUNTA($Q$11:Q745)/5),0),O745)</f>
        <v>0.2</v>
      </c>
      <c r="Q746" s="89" t="str">
        <f ca="1">IF(MOD(COUNTIF($Q$11:Q745,Q745),5)=0,OFFSET(装备属性!$M$1083,1+INT(COUNTA($Q$11:Q745)/5),0),Q745)</f>
        <v>稀有词条</v>
      </c>
      <c r="R746" s="83" t="e">
        <f ca="1">IF(MOD(COUNTIF($Q$11:Q745,Q745),5)=0,10000*SUBSTITUTE(SUBSTITUTE(OFFSET(装备属性!$F$1083,1+INT(COUNTA($Q$11:Q745)/5),0),"[",""),"]","")+_xlfn.XLOOKUP(C746,$M$3:$M$7,$N$3:$N$7)*100,R745)</f>
        <v>#N/A</v>
      </c>
    </row>
    <row r="747" customHeight="1" spans="1:18">
      <c r="A747" s="78" t="str">
        <f ca="1" t="shared" si="33"/>
        <v/>
      </c>
      <c r="B747" s="82" t="str">
        <f ca="1">IFERROR(R747+COUNTIFS($R$11:$R747,R747),"")</f>
        <v/>
      </c>
      <c r="C747" s="83">
        <f ca="1">IF(MOD(COUNTIF($Q$11:Q746,Q746),5)=0,OFFSET(装备属性!$D$1083,1+INT(COUNTA($Q$11:Q746)/5),0),C746)</f>
        <v>0</v>
      </c>
      <c r="D747" s="82">
        <f t="shared" si="35"/>
        <v>2500</v>
      </c>
      <c r="F747" s="82" t="str">
        <f ca="1" t="shared" si="34"/>
        <v/>
      </c>
      <c r="G747" s="78" t="str">
        <f ca="1">IF(AND(LEFT("[{"&amp;M747&amp;","&amp;CEILING(N747*10000+(O747-N747)/4*(COUNTIF($F$11:F747,F747)-1)*10000,10)&amp;"}]",7)="[{equip",MID("[{"&amp;M747&amp;","&amp;CEILING(N747*10000+(O747-N747)/4*(COUNTIF($F$11:F747,F747)-1)*10000,10)&amp;"}]",8,1)&lt;&gt;"_"),"[{"&amp;M747&amp;","&amp;1&amp;"}]","[{"&amp;M747&amp;","&amp;CEILING(N747*10000+(O747-N747)/4*(COUNTIF($F$11:F747,F747)-1)*10000,10)&amp;"}]")</f>
        <v>[{exp_boost,2000}]</v>
      </c>
      <c r="H747" s="82" t="s">
        <v>563</v>
      </c>
      <c r="J747" s="78">
        <f ca="1">IF(MOD(COUNTIF($Q$11:Q746,Q746),5)=0,OFFSET(装备属性!$P$1083,1+INT(COUNTA($Q$11:Q746)/5),0),J746)</f>
        <v>9</v>
      </c>
      <c r="K747" s="83" t="str">
        <f ca="1">IF(RIGHT(G747,13)="rune_slot,1}]",_xlfn.XLOOKUP(LEFT(SUBSTITUTE(G747,"[{",""),FIND(",",SUBSTITUTE(G747,"[{",""))-1),Sheet2!B:B,Sheet2!C:C)&amp;"+"&amp;1,_xlfn.XLOOKUP(LEFT(SUBSTITUTE(G747,"[{",""),FIND(",",SUBSTITUTE(G747,"[{",""))-1),Sheet2!B:B,Sheet2!C:C)&amp;"+"&amp;SUBSTITUTE(RIGHT(G747,LEN(G747)-FIND(",",G747)),"}]","")/100&amp;"%")</f>
        <v>经验加成+20%</v>
      </c>
      <c r="L747" s="83" t="str">
        <f ca="1">IF(MOD(COUNTIF($Q$11:Q746,Q746),5)=0,OFFSET(装备属性!$G$1083,1+INT(COUNTA($Q$11:Q746)/5),0),L746)</f>
        <v>涨见识</v>
      </c>
      <c r="M747" s="89" t="str">
        <f ca="1">IF(MOD(COUNTIF($Q$11:Q746,Q746),5)=0,OFFSET(装备属性!$H$1083,1+INT(COUNTA($Q$11:Q746)/5),0),M746)</f>
        <v>exp_boost</v>
      </c>
      <c r="N747" s="76">
        <f ca="1">IF(MOD(COUNTIF($Q$11:Q746,Q746),5)=0,OFFSET(装备属性!$K$1083,1+INT(COUNTA($Q$11:Q746)/5),0),N746)</f>
        <v>0.2</v>
      </c>
      <c r="O747" s="76">
        <f ca="1">IF(MOD(COUNTIF($Q$11:Q746,Q746),5)=0,OFFSET(装备属性!$L$1083,1+INT(COUNTA($Q$11:Q746)/5),0),O746)</f>
        <v>0.2</v>
      </c>
      <c r="Q747" s="89" t="str">
        <f ca="1">IF(MOD(COUNTIF($Q$11:Q746,Q746),5)=0,OFFSET(装备属性!$M$1083,1+INT(COUNTA($Q$11:Q746)/5),0),Q746)</f>
        <v>稀有词条</v>
      </c>
      <c r="R747" s="83" t="e">
        <f ca="1">IF(MOD(COUNTIF($Q$11:Q746,Q746),5)=0,10000*SUBSTITUTE(SUBSTITUTE(OFFSET(装备属性!$F$1083,1+INT(COUNTA($Q$11:Q746)/5),0),"[",""),"]","")+_xlfn.XLOOKUP(C747,$M$3:$M$7,$N$3:$N$7)*100,R746)</f>
        <v>#N/A</v>
      </c>
    </row>
    <row r="748" customHeight="1" spans="1:18">
      <c r="A748" s="78" t="str">
        <f ca="1" t="shared" si="33"/>
        <v/>
      </c>
      <c r="B748" s="82" t="str">
        <f ca="1">IFERROR(R748+COUNTIFS($R$11:$R748,R748),"")</f>
        <v/>
      </c>
      <c r="C748" s="83">
        <f ca="1">IF(MOD(COUNTIF($Q$11:Q747,Q747),5)=0,OFFSET(装备属性!$D$1083,1+INT(COUNTA($Q$11:Q747)/5),0),C747)</f>
        <v>0</v>
      </c>
      <c r="D748" s="82">
        <f t="shared" si="35"/>
        <v>2000</v>
      </c>
      <c r="F748" s="82" t="str">
        <f ca="1" t="shared" si="34"/>
        <v/>
      </c>
      <c r="G748" s="78" t="str">
        <f ca="1">IF(AND(LEFT("[{"&amp;M748&amp;","&amp;CEILING(N748*10000+(O748-N748)/4*(COUNTIF($F$11:F748,F748)-1)*10000,10)&amp;"}]",7)="[{equip",MID("[{"&amp;M748&amp;","&amp;CEILING(N748*10000+(O748-N748)/4*(COUNTIF($F$11:F748,F748)-1)*10000,10)&amp;"}]",8,1)&lt;&gt;"_"),"[{"&amp;M748&amp;","&amp;1&amp;"}]","[{"&amp;M748&amp;","&amp;CEILING(N748*10000+(O748-N748)/4*(COUNTIF($F$11:F748,F748)-1)*10000,10)&amp;"}]")</f>
        <v>[{exp_boost,2000}]</v>
      </c>
      <c r="H748" s="82" t="s">
        <v>563</v>
      </c>
      <c r="J748" s="78">
        <f ca="1">IF(MOD(COUNTIF($Q$11:Q747,Q747),5)=0,OFFSET(装备属性!$P$1083,1+INT(COUNTA($Q$11:Q747)/5),0),J747)</f>
        <v>9</v>
      </c>
      <c r="K748" s="83" t="str">
        <f ca="1">IF(RIGHT(G748,13)="rune_slot,1}]",_xlfn.XLOOKUP(LEFT(SUBSTITUTE(G748,"[{",""),FIND(",",SUBSTITUTE(G748,"[{",""))-1),Sheet2!B:B,Sheet2!C:C)&amp;"+"&amp;1,_xlfn.XLOOKUP(LEFT(SUBSTITUTE(G748,"[{",""),FIND(",",SUBSTITUTE(G748,"[{",""))-1),Sheet2!B:B,Sheet2!C:C)&amp;"+"&amp;SUBSTITUTE(RIGHT(G748,LEN(G748)-FIND(",",G748)),"}]","")/100&amp;"%")</f>
        <v>经验加成+20%</v>
      </c>
      <c r="L748" s="83" t="str">
        <f ca="1">IF(MOD(COUNTIF($Q$11:Q747,Q747),5)=0,OFFSET(装备属性!$G$1083,1+INT(COUNTA($Q$11:Q747)/5),0),L747)</f>
        <v>涨见识</v>
      </c>
      <c r="M748" s="89" t="str">
        <f ca="1">IF(MOD(COUNTIF($Q$11:Q747,Q747),5)=0,OFFSET(装备属性!$H$1083,1+INT(COUNTA($Q$11:Q747)/5),0),M747)</f>
        <v>exp_boost</v>
      </c>
      <c r="N748" s="76">
        <f ca="1">IF(MOD(COUNTIF($Q$11:Q747,Q747),5)=0,OFFSET(装备属性!$K$1083,1+INT(COUNTA($Q$11:Q747)/5),0),N747)</f>
        <v>0.2</v>
      </c>
      <c r="O748" s="76">
        <f ca="1">IF(MOD(COUNTIF($Q$11:Q747,Q747),5)=0,OFFSET(装备属性!$L$1083,1+INT(COUNTA($Q$11:Q747)/5),0),O747)</f>
        <v>0.2</v>
      </c>
      <c r="Q748" s="89" t="str">
        <f ca="1">IF(MOD(COUNTIF($Q$11:Q747,Q747),5)=0,OFFSET(装备属性!$M$1083,1+INT(COUNTA($Q$11:Q747)/5),0),Q747)</f>
        <v>稀有词条</v>
      </c>
      <c r="R748" s="83" t="e">
        <f ca="1">IF(MOD(COUNTIF($Q$11:Q747,Q747),5)=0,10000*SUBSTITUTE(SUBSTITUTE(OFFSET(装备属性!$F$1083,1+INT(COUNTA($Q$11:Q747)/5),0),"[",""),"]","")+_xlfn.XLOOKUP(C748,$M$3:$M$7,$N$3:$N$7)*100,R747)</f>
        <v>#N/A</v>
      </c>
    </row>
    <row r="749" customHeight="1" spans="1:18">
      <c r="A749" s="78" t="str">
        <f ca="1" t="shared" si="33"/>
        <v/>
      </c>
      <c r="B749" s="82" t="str">
        <f ca="1">IFERROR(R749+COUNTIFS($R$11:$R749,R749),"")</f>
        <v/>
      </c>
      <c r="C749" s="83">
        <f ca="1">IF(MOD(COUNTIF($Q$11:Q748,Q748),5)=0,OFFSET(装备属性!$D$1083,1+INT(COUNTA($Q$11:Q748)/5),0),C748)</f>
        <v>0</v>
      </c>
      <c r="D749" s="82">
        <f t="shared" si="35"/>
        <v>1500</v>
      </c>
      <c r="F749" s="82" t="str">
        <f ca="1" t="shared" si="34"/>
        <v/>
      </c>
      <c r="G749" s="78" t="str">
        <f ca="1">IF(AND(LEFT("[{"&amp;M749&amp;","&amp;CEILING(N749*10000+(O749-N749)/4*(COUNTIF($F$11:F749,F749)-1)*10000,10)&amp;"}]",7)="[{equip",MID("[{"&amp;M749&amp;","&amp;CEILING(N749*10000+(O749-N749)/4*(COUNTIF($F$11:F749,F749)-1)*10000,10)&amp;"}]",8,1)&lt;&gt;"_"),"[{"&amp;M749&amp;","&amp;1&amp;"}]","[{"&amp;M749&amp;","&amp;CEILING(N749*10000+(O749-N749)/4*(COUNTIF($F$11:F749,F749)-1)*10000,10)&amp;"}]")</f>
        <v>[{exp_boost,2000}]</v>
      </c>
      <c r="H749" s="82" t="s">
        <v>563</v>
      </c>
      <c r="J749" s="78">
        <f ca="1">IF(MOD(COUNTIF($Q$11:Q748,Q748),5)=0,OFFSET(装备属性!$P$1083,1+INT(COUNTA($Q$11:Q748)/5),0),J748)</f>
        <v>9</v>
      </c>
      <c r="K749" s="83" t="str">
        <f ca="1">IF(RIGHT(G749,13)="rune_slot,1}]",_xlfn.XLOOKUP(LEFT(SUBSTITUTE(G749,"[{",""),FIND(",",SUBSTITUTE(G749,"[{",""))-1),Sheet2!B:B,Sheet2!C:C)&amp;"+"&amp;1,_xlfn.XLOOKUP(LEFT(SUBSTITUTE(G749,"[{",""),FIND(",",SUBSTITUTE(G749,"[{",""))-1),Sheet2!B:B,Sheet2!C:C)&amp;"+"&amp;SUBSTITUTE(RIGHT(G749,LEN(G749)-FIND(",",G749)),"}]","")/100&amp;"%")</f>
        <v>经验加成+20%</v>
      </c>
      <c r="L749" s="83" t="str">
        <f ca="1">IF(MOD(COUNTIF($Q$11:Q748,Q748),5)=0,OFFSET(装备属性!$G$1083,1+INT(COUNTA($Q$11:Q748)/5),0),L748)</f>
        <v>涨见识</v>
      </c>
      <c r="M749" s="89" t="str">
        <f ca="1">IF(MOD(COUNTIF($Q$11:Q748,Q748),5)=0,OFFSET(装备属性!$H$1083,1+INT(COUNTA($Q$11:Q748)/5),0),M748)</f>
        <v>exp_boost</v>
      </c>
      <c r="N749" s="76">
        <f ca="1">IF(MOD(COUNTIF($Q$11:Q748,Q748),5)=0,OFFSET(装备属性!$K$1083,1+INT(COUNTA($Q$11:Q748)/5),0),N748)</f>
        <v>0.2</v>
      </c>
      <c r="O749" s="76">
        <f ca="1">IF(MOD(COUNTIF($Q$11:Q748,Q748),5)=0,OFFSET(装备属性!$L$1083,1+INT(COUNTA($Q$11:Q748)/5),0),O748)</f>
        <v>0.2</v>
      </c>
      <c r="Q749" s="89" t="str">
        <f ca="1">IF(MOD(COUNTIF($Q$11:Q748,Q748),5)=0,OFFSET(装备属性!$M$1083,1+INT(COUNTA($Q$11:Q748)/5),0),Q748)</f>
        <v>稀有词条</v>
      </c>
      <c r="R749" s="83" t="e">
        <f ca="1">IF(MOD(COUNTIF($Q$11:Q748,Q748),5)=0,10000*SUBSTITUTE(SUBSTITUTE(OFFSET(装备属性!$F$1083,1+INT(COUNTA($Q$11:Q748)/5),0),"[",""),"]","")+_xlfn.XLOOKUP(C749,$M$3:$M$7,$N$3:$N$7)*100,R748)</f>
        <v>#N/A</v>
      </c>
    </row>
    <row r="750" customHeight="1" spans="1:18">
      <c r="A750" s="78" t="str">
        <f ca="1" t="shared" si="33"/>
        <v/>
      </c>
      <c r="B750" s="82" t="str">
        <f ca="1">IFERROR(R750+COUNTIFS($R$11:$R750,R750),"")</f>
        <v/>
      </c>
      <c r="C750" s="83">
        <f ca="1">IF(MOD(COUNTIF($Q$11:Q749,Q749),5)=0,OFFSET(装备属性!$D$1083,1+INT(COUNTA($Q$11:Q749)/5),0),C749)</f>
        <v>0</v>
      </c>
      <c r="D750" s="82">
        <f t="shared" si="35"/>
        <v>1000</v>
      </c>
      <c r="F750" s="82" t="str">
        <f ca="1" t="shared" si="34"/>
        <v/>
      </c>
      <c r="G750" s="78" t="str">
        <f ca="1">IF(AND(LEFT("[{"&amp;M750&amp;","&amp;CEILING(N750*10000+(O750-N750)/4*(COUNTIF($F$11:F750,F750)-1)*10000,10)&amp;"}]",7)="[{equip",MID("[{"&amp;M750&amp;","&amp;CEILING(N750*10000+(O750-N750)/4*(COUNTIF($F$11:F750,F750)-1)*10000,10)&amp;"}]",8,1)&lt;&gt;"_"),"[{"&amp;M750&amp;","&amp;1&amp;"}]","[{"&amp;M750&amp;","&amp;CEILING(N750*10000+(O750-N750)/4*(COUNTIF($F$11:F750,F750)-1)*10000,10)&amp;"}]")</f>
        <v>[{exp_boost,2000}]</v>
      </c>
      <c r="H750" s="82" t="s">
        <v>563</v>
      </c>
      <c r="J750" s="78">
        <f ca="1">IF(MOD(COUNTIF($Q$11:Q749,Q749),5)=0,OFFSET(装备属性!$P$1083,1+INT(COUNTA($Q$11:Q749)/5),0),J749)</f>
        <v>9</v>
      </c>
      <c r="K750" s="83" t="str">
        <f ca="1">IF(RIGHT(G750,13)="rune_slot,1}]",_xlfn.XLOOKUP(LEFT(SUBSTITUTE(G750,"[{",""),FIND(",",SUBSTITUTE(G750,"[{",""))-1),Sheet2!B:B,Sheet2!C:C)&amp;"+"&amp;1,_xlfn.XLOOKUP(LEFT(SUBSTITUTE(G750,"[{",""),FIND(",",SUBSTITUTE(G750,"[{",""))-1),Sheet2!B:B,Sheet2!C:C)&amp;"+"&amp;SUBSTITUTE(RIGHT(G750,LEN(G750)-FIND(",",G750)),"}]","")/100&amp;"%")</f>
        <v>经验加成+20%</v>
      </c>
      <c r="L750" s="83" t="str">
        <f ca="1">IF(MOD(COUNTIF($Q$11:Q749,Q749),5)=0,OFFSET(装备属性!$G$1083,1+INT(COUNTA($Q$11:Q749)/5),0),L749)</f>
        <v>涨见识</v>
      </c>
      <c r="M750" s="89" t="str">
        <f ca="1">IF(MOD(COUNTIF($Q$11:Q749,Q749),5)=0,OFFSET(装备属性!$H$1083,1+INT(COUNTA($Q$11:Q749)/5),0),M749)</f>
        <v>exp_boost</v>
      </c>
      <c r="N750" s="76">
        <f ca="1">IF(MOD(COUNTIF($Q$11:Q749,Q749),5)=0,OFFSET(装备属性!$K$1083,1+INT(COUNTA($Q$11:Q749)/5),0),N749)</f>
        <v>0.2</v>
      </c>
      <c r="O750" s="76">
        <f ca="1">IF(MOD(COUNTIF($Q$11:Q749,Q749),5)=0,OFFSET(装备属性!$L$1083,1+INT(COUNTA($Q$11:Q749)/5),0),O749)</f>
        <v>0.2</v>
      </c>
      <c r="Q750" s="89" t="str">
        <f ca="1">IF(MOD(COUNTIF($Q$11:Q749,Q749),5)=0,OFFSET(装备属性!$M$1083,1+INT(COUNTA($Q$11:Q749)/5),0),Q749)</f>
        <v>稀有词条</v>
      </c>
      <c r="R750" s="83" t="e">
        <f ca="1">IF(MOD(COUNTIF($Q$11:Q749,Q749),5)=0,10000*SUBSTITUTE(SUBSTITUTE(OFFSET(装备属性!$F$1083,1+INT(COUNTA($Q$11:Q749)/5),0),"[",""),"]","")+_xlfn.XLOOKUP(C750,$M$3:$M$7,$N$3:$N$7)*100,R749)</f>
        <v>#N/A</v>
      </c>
    </row>
    <row r="751" customHeight="1" spans="1:18">
      <c r="A751" s="78" t="str">
        <f ca="1" t="shared" si="33"/>
        <v/>
      </c>
      <c r="B751" s="82" t="str">
        <f ca="1">IFERROR(R751+COUNTIFS($R$11:$R751,R751),"")</f>
        <v/>
      </c>
      <c r="C751" s="83">
        <f ca="1">IF(MOD(COUNTIF($Q$11:Q750,Q750),5)=0,OFFSET(装备属性!$D$1083,1+INT(COUNTA($Q$11:Q750)/5),0),C750)</f>
        <v>0</v>
      </c>
      <c r="D751" s="82">
        <f t="shared" si="35"/>
        <v>3000</v>
      </c>
      <c r="F751" s="82" t="str">
        <f ca="1" t="shared" si="34"/>
        <v/>
      </c>
      <c r="G751" s="78" t="str">
        <f ca="1">IF(AND(LEFT("[{"&amp;M751&amp;","&amp;CEILING(N751*10000+(O751-N751)/4*(COUNTIF($F$11:F751,F751)-1)*10000,10)&amp;"}]",7)="[{equip",MID("[{"&amp;M751&amp;","&amp;CEILING(N751*10000+(O751-N751)/4*(COUNTIF($F$11:F751,F751)-1)*10000,10)&amp;"}]",8,1)&lt;&gt;"_"),"[{"&amp;M751&amp;","&amp;1&amp;"}]","[{"&amp;M751&amp;","&amp;CEILING(N751*10000+(O751-N751)/4*(COUNTIF($F$11:F751,F751)-1)*10000,10)&amp;"}]")</f>
        <v>[{equip_base_attr,2500}]</v>
      </c>
      <c r="H751" s="82" t="s">
        <v>563</v>
      </c>
      <c r="J751" s="78">
        <f ca="1">IF(MOD(COUNTIF($Q$11:Q750,Q750),5)=0,OFFSET(装备属性!$P$1083,1+INT(COUNTA($Q$11:Q750)/5),0),J750)</f>
        <v>7</v>
      </c>
      <c r="K751" s="83" t="str">
        <f ca="1">IF(RIGHT(G751,13)="rune_slot,1}]",_xlfn.XLOOKUP(LEFT(SUBSTITUTE(G751,"[{",""),FIND(",",SUBSTITUTE(G751,"[{",""))-1),Sheet2!B:B,Sheet2!C:C)&amp;"+"&amp;1,_xlfn.XLOOKUP(LEFT(SUBSTITUTE(G751,"[{",""),FIND(",",SUBSTITUTE(G751,"[{",""))-1),Sheet2!B:B,Sheet2!C:C)&amp;"+"&amp;SUBSTITUTE(RIGHT(G751,LEN(G751)-FIND(",",G751)),"}]","")/100&amp;"%")</f>
        <v>装备基础属性加成+25%</v>
      </c>
      <c r="L751" s="83" t="str">
        <f ca="1">IF(MOD(COUNTIF($Q$11:Q750,Q750),5)=0,OFFSET(装备属性!$G$1083,1+INT(COUNTA($Q$11:Q750)/5),0),L750)</f>
        <v>厚底子</v>
      </c>
      <c r="M751" s="89" t="str">
        <f ca="1">IF(MOD(COUNTIF($Q$11:Q750,Q750),5)=0,OFFSET(装备属性!$H$1083,1+INT(COUNTA($Q$11:Q750)/5),0),M750)</f>
        <v>equip_base_attr</v>
      </c>
      <c r="N751" s="76">
        <f ca="1">IF(MOD(COUNTIF($Q$11:Q750,Q750),5)=0,OFFSET(装备属性!$K$1083,1+INT(COUNTA($Q$11:Q750)/5),0),N750)</f>
        <v>0.25</v>
      </c>
      <c r="O751" s="76">
        <f ca="1">IF(MOD(COUNTIF($Q$11:Q750,Q750),5)=0,OFFSET(装备属性!$L$1083,1+INT(COUNTA($Q$11:Q750)/5),0),O750)</f>
        <v>0.25</v>
      </c>
      <c r="Q751" s="89" t="str">
        <f ca="1">IF(MOD(COUNTIF($Q$11:Q750,Q750),5)=0,OFFSET(装备属性!$M$1083,1+INT(COUNTA($Q$11:Q750)/5),0),Q750)</f>
        <v>稀有词条</v>
      </c>
      <c r="R751" s="83" t="e">
        <f ca="1">IF(MOD(COUNTIF($Q$11:Q750,Q750),5)=0,10000*SUBSTITUTE(SUBSTITUTE(OFFSET(装备属性!$F$1083,1+INT(COUNTA($Q$11:Q750)/5),0),"[",""),"]","")+_xlfn.XLOOKUP(C751,$M$3:$M$7,$N$3:$N$7)*100,R750)</f>
        <v>#N/A</v>
      </c>
    </row>
    <row r="752" customHeight="1" spans="1:18">
      <c r="A752" s="78" t="str">
        <f ca="1" t="shared" si="33"/>
        <v/>
      </c>
      <c r="B752" s="82" t="str">
        <f ca="1">IFERROR(R752+COUNTIFS($R$11:$R752,R752),"")</f>
        <v/>
      </c>
      <c r="C752" s="83">
        <f ca="1">IF(MOD(COUNTIF($Q$11:Q751,Q751),5)=0,OFFSET(装备属性!$D$1083,1+INT(COUNTA($Q$11:Q751)/5),0),C751)</f>
        <v>0</v>
      </c>
      <c r="D752" s="82">
        <f t="shared" si="35"/>
        <v>2500</v>
      </c>
      <c r="F752" s="82" t="str">
        <f ca="1" t="shared" si="34"/>
        <v/>
      </c>
      <c r="G752" s="78" t="str">
        <f ca="1">IF(AND(LEFT("[{"&amp;M752&amp;","&amp;CEILING(N752*10000+(O752-N752)/4*(COUNTIF($F$11:F752,F752)-1)*10000,10)&amp;"}]",7)="[{equip",MID("[{"&amp;M752&amp;","&amp;CEILING(N752*10000+(O752-N752)/4*(COUNTIF($F$11:F752,F752)-1)*10000,10)&amp;"}]",8,1)&lt;&gt;"_"),"[{"&amp;M752&amp;","&amp;1&amp;"}]","[{"&amp;M752&amp;","&amp;CEILING(N752*10000+(O752-N752)/4*(COUNTIF($F$11:F752,F752)-1)*10000,10)&amp;"}]")</f>
        <v>[{equip_base_attr,2500}]</v>
      </c>
      <c r="H752" s="82" t="s">
        <v>563</v>
      </c>
      <c r="J752" s="78">
        <f ca="1">IF(MOD(COUNTIF($Q$11:Q751,Q751),5)=0,OFFSET(装备属性!$P$1083,1+INT(COUNTA($Q$11:Q751)/5),0),J751)</f>
        <v>7</v>
      </c>
      <c r="K752" s="83" t="str">
        <f ca="1">IF(RIGHT(G752,13)="rune_slot,1}]",_xlfn.XLOOKUP(LEFT(SUBSTITUTE(G752,"[{",""),FIND(",",SUBSTITUTE(G752,"[{",""))-1),Sheet2!B:B,Sheet2!C:C)&amp;"+"&amp;1,_xlfn.XLOOKUP(LEFT(SUBSTITUTE(G752,"[{",""),FIND(",",SUBSTITUTE(G752,"[{",""))-1),Sheet2!B:B,Sheet2!C:C)&amp;"+"&amp;SUBSTITUTE(RIGHT(G752,LEN(G752)-FIND(",",G752)),"}]","")/100&amp;"%")</f>
        <v>装备基础属性加成+25%</v>
      </c>
      <c r="L752" s="83" t="str">
        <f ca="1">IF(MOD(COUNTIF($Q$11:Q751,Q751),5)=0,OFFSET(装备属性!$G$1083,1+INT(COUNTA($Q$11:Q751)/5),0),L751)</f>
        <v>厚底子</v>
      </c>
      <c r="M752" s="89" t="str">
        <f ca="1">IF(MOD(COUNTIF($Q$11:Q751,Q751),5)=0,OFFSET(装备属性!$H$1083,1+INT(COUNTA($Q$11:Q751)/5),0),M751)</f>
        <v>equip_base_attr</v>
      </c>
      <c r="N752" s="76">
        <f ca="1">IF(MOD(COUNTIF($Q$11:Q751,Q751),5)=0,OFFSET(装备属性!$K$1083,1+INT(COUNTA($Q$11:Q751)/5),0),N751)</f>
        <v>0.25</v>
      </c>
      <c r="O752" s="76">
        <f ca="1">IF(MOD(COUNTIF($Q$11:Q751,Q751),5)=0,OFFSET(装备属性!$L$1083,1+INT(COUNTA($Q$11:Q751)/5),0),O751)</f>
        <v>0.25</v>
      </c>
      <c r="Q752" s="89" t="str">
        <f ca="1">IF(MOD(COUNTIF($Q$11:Q751,Q751),5)=0,OFFSET(装备属性!$M$1083,1+INT(COUNTA($Q$11:Q751)/5),0),Q751)</f>
        <v>稀有词条</v>
      </c>
      <c r="R752" s="83" t="e">
        <f ca="1">IF(MOD(COUNTIF($Q$11:Q751,Q751),5)=0,10000*SUBSTITUTE(SUBSTITUTE(OFFSET(装备属性!$F$1083,1+INT(COUNTA($Q$11:Q751)/5),0),"[",""),"]","")+_xlfn.XLOOKUP(C752,$M$3:$M$7,$N$3:$N$7)*100,R751)</f>
        <v>#N/A</v>
      </c>
    </row>
    <row r="753" customHeight="1" spans="1:18">
      <c r="A753" s="78" t="str">
        <f ca="1" t="shared" si="33"/>
        <v/>
      </c>
      <c r="B753" s="82" t="str">
        <f ca="1">IFERROR(R753+COUNTIFS($R$11:$R753,R753),"")</f>
        <v/>
      </c>
      <c r="C753" s="83">
        <f ca="1">IF(MOD(COUNTIF($Q$11:Q752,Q752),5)=0,OFFSET(装备属性!$D$1083,1+INT(COUNTA($Q$11:Q752)/5),0),C752)</f>
        <v>0</v>
      </c>
      <c r="D753" s="82">
        <f t="shared" si="35"/>
        <v>2000</v>
      </c>
      <c r="F753" s="82" t="str">
        <f ca="1" t="shared" si="34"/>
        <v/>
      </c>
      <c r="G753" s="78" t="str">
        <f ca="1">IF(AND(LEFT("[{"&amp;M753&amp;","&amp;CEILING(N753*10000+(O753-N753)/4*(COUNTIF($F$11:F753,F753)-1)*10000,10)&amp;"}]",7)="[{equip",MID("[{"&amp;M753&amp;","&amp;CEILING(N753*10000+(O753-N753)/4*(COUNTIF($F$11:F753,F753)-1)*10000,10)&amp;"}]",8,1)&lt;&gt;"_"),"[{"&amp;M753&amp;","&amp;1&amp;"}]","[{"&amp;M753&amp;","&amp;CEILING(N753*10000+(O753-N753)/4*(COUNTIF($F$11:F753,F753)-1)*10000,10)&amp;"}]")</f>
        <v>[{equip_base_attr,2500}]</v>
      </c>
      <c r="H753" s="82" t="s">
        <v>563</v>
      </c>
      <c r="J753" s="78">
        <f ca="1">IF(MOD(COUNTIF($Q$11:Q752,Q752),5)=0,OFFSET(装备属性!$P$1083,1+INT(COUNTA($Q$11:Q752)/5),0),J752)</f>
        <v>7</v>
      </c>
      <c r="K753" s="83" t="str">
        <f ca="1">IF(RIGHT(G753,13)="rune_slot,1}]",_xlfn.XLOOKUP(LEFT(SUBSTITUTE(G753,"[{",""),FIND(",",SUBSTITUTE(G753,"[{",""))-1),Sheet2!B:B,Sheet2!C:C)&amp;"+"&amp;1,_xlfn.XLOOKUP(LEFT(SUBSTITUTE(G753,"[{",""),FIND(",",SUBSTITUTE(G753,"[{",""))-1),Sheet2!B:B,Sheet2!C:C)&amp;"+"&amp;SUBSTITUTE(RIGHT(G753,LEN(G753)-FIND(",",G753)),"}]","")/100&amp;"%")</f>
        <v>装备基础属性加成+25%</v>
      </c>
      <c r="L753" s="83" t="str">
        <f ca="1">IF(MOD(COUNTIF($Q$11:Q752,Q752),5)=0,OFFSET(装备属性!$G$1083,1+INT(COUNTA($Q$11:Q752)/5),0),L752)</f>
        <v>厚底子</v>
      </c>
      <c r="M753" s="89" t="str">
        <f ca="1">IF(MOD(COUNTIF($Q$11:Q752,Q752),5)=0,OFFSET(装备属性!$H$1083,1+INT(COUNTA($Q$11:Q752)/5),0),M752)</f>
        <v>equip_base_attr</v>
      </c>
      <c r="N753" s="76">
        <f ca="1">IF(MOD(COUNTIF($Q$11:Q752,Q752),5)=0,OFFSET(装备属性!$K$1083,1+INT(COUNTA($Q$11:Q752)/5),0),N752)</f>
        <v>0.25</v>
      </c>
      <c r="O753" s="76">
        <f ca="1">IF(MOD(COUNTIF($Q$11:Q752,Q752),5)=0,OFFSET(装备属性!$L$1083,1+INT(COUNTA($Q$11:Q752)/5),0),O752)</f>
        <v>0.25</v>
      </c>
      <c r="Q753" s="89" t="str">
        <f ca="1">IF(MOD(COUNTIF($Q$11:Q752,Q752),5)=0,OFFSET(装备属性!$M$1083,1+INT(COUNTA($Q$11:Q752)/5),0),Q752)</f>
        <v>稀有词条</v>
      </c>
      <c r="R753" s="83" t="e">
        <f ca="1">IF(MOD(COUNTIF($Q$11:Q752,Q752),5)=0,10000*SUBSTITUTE(SUBSTITUTE(OFFSET(装备属性!$F$1083,1+INT(COUNTA($Q$11:Q752)/5),0),"[",""),"]","")+_xlfn.XLOOKUP(C753,$M$3:$M$7,$N$3:$N$7)*100,R752)</f>
        <v>#N/A</v>
      </c>
    </row>
    <row r="754" customHeight="1" spans="1:18">
      <c r="A754" s="78" t="str">
        <f ca="1" t="shared" si="33"/>
        <v/>
      </c>
      <c r="B754" s="82" t="str">
        <f ca="1">IFERROR(R754+COUNTIFS($R$11:$R754,R754),"")</f>
        <v/>
      </c>
      <c r="C754" s="83">
        <f ca="1">IF(MOD(COUNTIF($Q$11:Q753,Q753),5)=0,OFFSET(装备属性!$D$1083,1+INT(COUNTA($Q$11:Q753)/5),0),C753)</f>
        <v>0</v>
      </c>
      <c r="D754" s="82">
        <f t="shared" si="35"/>
        <v>1500</v>
      </c>
      <c r="F754" s="82" t="str">
        <f ca="1" t="shared" si="34"/>
        <v/>
      </c>
      <c r="G754" s="78" t="str">
        <f ca="1">IF(AND(LEFT("[{"&amp;M754&amp;","&amp;CEILING(N754*10000+(O754-N754)/4*(COUNTIF($F$11:F754,F754)-1)*10000,10)&amp;"}]",7)="[{equip",MID("[{"&amp;M754&amp;","&amp;CEILING(N754*10000+(O754-N754)/4*(COUNTIF($F$11:F754,F754)-1)*10000,10)&amp;"}]",8,1)&lt;&gt;"_"),"[{"&amp;M754&amp;","&amp;1&amp;"}]","[{"&amp;M754&amp;","&amp;CEILING(N754*10000+(O754-N754)/4*(COUNTIF($F$11:F754,F754)-1)*10000,10)&amp;"}]")</f>
        <v>[{equip_base_attr,2500}]</v>
      </c>
      <c r="H754" s="82" t="s">
        <v>563</v>
      </c>
      <c r="J754" s="78">
        <f ca="1">IF(MOD(COUNTIF($Q$11:Q753,Q753),5)=0,OFFSET(装备属性!$P$1083,1+INT(COUNTA($Q$11:Q753)/5),0),J753)</f>
        <v>7</v>
      </c>
      <c r="K754" s="83" t="str">
        <f ca="1">IF(RIGHT(G754,13)="rune_slot,1}]",_xlfn.XLOOKUP(LEFT(SUBSTITUTE(G754,"[{",""),FIND(",",SUBSTITUTE(G754,"[{",""))-1),Sheet2!B:B,Sheet2!C:C)&amp;"+"&amp;1,_xlfn.XLOOKUP(LEFT(SUBSTITUTE(G754,"[{",""),FIND(",",SUBSTITUTE(G754,"[{",""))-1),Sheet2!B:B,Sheet2!C:C)&amp;"+"&amp;SUBSTITUTE(RIGHT(G754,LEN(G754)-FIND(",",G754)),"}]","")/100&amp;"%")</f>
        <v>装备基础属性加成+25%</v>
      </c>
      <c r="L754" s="83" t="str">
        <f ca="1">IF(MOD(COUNTIF($Q$11:Q753,Q753),5)=0,OFFSET(装备属性!$G$1083,1+INT(COUNTA($Q$11:Q753)/5),0),L753)</f>
        <v>厚底子</v>
      </c>
      <c r="M754" s="89" t="str">
        <f ca="1">IF(MOD(COUNTIF($Q$11:Q753,Q753),5)=0,OFFSET(装备属性!$H$1083,1+INT(COUNTA($Q$11:Q753)/5),0),M753)</f>
        <v>equip_base_attr</v>
      </c>
      <c r="N754" s="76">
        <f ca="1">IF(MOD(COUNTIF($Q$11:Q753,Q753),5)=0,OFFSET(装备属性!$K$1083,1+INT(COUNTA($Q$11:Q753)/5),0),N753)</f>
        <v>0.25</v>
      </c>
      <c r="O754" s="76">
        <f ca="1">IF(MOD(COUNTIF($Q$11:Q753,Q753),5)=0,OFFSET(装备属性!$L$1083,1+INT(COUNTA($Q$11:Q753)/5),0),O753)</f>
        <v>0.25</v>
      </c>
      <c r="Q754" s="89" t="str">
        <f ca="1">IF(MOD(COUNTIF($Q$11:Q753,Q753),5)=0,OFFSET(装备属性!$M$1083,1+INT(COUNTA($Q$11:Q753)/5),0),Q753)</f>
        <v>稀有词条</v>
      </c>
      <c r="R754" s="83" t="e">
        <f ca="1">IF(MOD(COUNTIF($Q$11:Q753,Q753),5)=0,10000*SUBSTITUTE(SUBSTITUTE(OFFSET(装备属性!$F$1083,1+INT(COUNTA($Q$11:Q753)/5),0),"[",""),"]","")+_xlfn.XLOOKUP(C754,$M$3:$M$7,$N$3:$N$7)*100,R753)</f>
        <v>#N/A</v>
      </c>
    </row>
    <row r="755" customHeight="1" spans="1:18">
      <c r="A755" s="78" t="str">
        <f ca="1" t="shared" si="33"/>
        <v/>
      </c>
      <c r="B755" s="82" t="str">
        <f ca="1">IFERROR(R755+COUNTIFS($R$11:$R755,R755),"")</f>
        <v/>
      </c>
      <c r="C755" s="83">
        <f ca="1">IF(MOD(COUNTIF($Q$11:Q754,Q754),5)=0,OFFSET(装备属性!$D$1083,1+INT(COUNTA($Q$11:Q754)/5),0),C754)</f>
        <v>0</v>
      </c>
      <c r="D755" s="82">
        <f t="shared" si="35"/>
        <v>1000</v>
      </c>
      <c r="F755" s="82" t="str">
        <f ca="1" t="shared" si="34"/>
        <v/>
      </c>
      <c r="G755" s="78" t="str">
        <f ca="1">IF(AND(LEFT("[{"&amp;M755&amp;","&amp;CEILING(N755*10000+(O755-N755)/4*(COUNTIF($F$11:F755,F755)-1)*10000,10)&amp;"}]",7)="[{equip",MID("[{"&amp;M755&amp;","&amp;CEILING(N755*10000+(O755-N755)/4*(COUNTIF($F$11:F755,F755)-1)*10000,10)&amp;"}]",8,1)&lt;&gt;"_"),"[{"&amp;M755&amp;","&amp;1&amp;"}]","[{"&amp;M755&amp;","&amp;CEILING(N755*10000+(O755-N755)/4*(COUNTIF($F$11:F755,F755)-1)*10000,10)&amp;"}]")</f>
        <v>[{equip_base_attr,2500}]</v>
      </c>
      <c r="H755" s="82" t="s">
        <v>563</v>
      </c>
      <c r="J755" s="78">
        <f ca="1">IF(MOD(COUNTIF($Q$11:Q754,Q754),5)=0,OFFSET(装备属性!$P$1083,1+INT(COUNTA($Q$11:Q754)/5),0),J754)</f>
        <v>7</v>
      </c>
      <c r="K755" s="83" t="str">
        <f ca="1">IF(RIGHT(G755,13)="rune_slot,1}]",_xlfn.XLOOKUP(LEFT(SUBSTITUTE(G755,"[{",""),FIND(",",SUBSTITUTE(G755,"[{",""))-1),Sheet2!B:B,Sheet2!C:C)&amp;"+"&amp;1,_xlfn.XLOOKUP(LEFT(SUBSTITUTE(G755,"[{",""),FIND(",",SUBSTITUTE(G755,"[{",""))-1),Sheet2!B:B,Sheet2!C:C)&amp;"+"&amp;SUBSTITUTE(RIGHT(G755,LEN(G755)-FIND(",",G755)),"}]","")/100&amp;"%")</f>
        <v>装备基础属性加成+25%</v>
      </c>
      <c r="L755" s="83" t="str">
        <f ca="1">IF(MOD(COUNTIF($Q$11:Q754,Q754),5)=0,OFFSET(装备属性!$G$1083,1+INT(COUNTA($Q$11:Q754)/5),0),L754)</f>
        <v>厚底子</v>
      </c>
      <c r="M755" s="89" t="str">
        <f ca="1">IF(MOD(COUNTIF($Q$11:Q754,Q754),5)=0,OFFSET(装备属性!$H$1083,1+INT(COUNTA($Q$11:Q754)/5),0),M754)</f>
        <v>equip_base_attr</v>
      </c>
      <c r="N755" s="76">
        <f ca="1">IF(MOD(COUNTIF($Q$11:Q754,Q754),5)=0,OFFSET(装备属性!$K$1083,1+INT(COUNTA($Q$11:Q754)/5),0),N754)</f>
        <v>0.25</v>
      </c>
      <c r="O755" s="76">
        <f ca="1">IF(MOD(COUNTIF($Q$11:Q754,Q754),5)=0,OFFSET(装备属性!$L$1083,1+INT(COUNTA($Q$11:Q754)/5),0),O754)</f>
        <v>0.25</v>
      </c>
      <c r="Q755" s="89" t="str">
        <f ca="1">IF(MOD(COUNTIF($Q$11:Q754,Q754),5)=0,OFFSET(装备属性!$M$1083,1+INT(COUNTA($Q$11:Q754)/5),0),Q754)</f>
        <v>稀有词条</v>
      </c>
      <c r="R755" s="83" t="e">
        <f ca="1">IF(MOD(COUNTIF($Q$11:Q754,Q754),5)=0,10000*SUBSTITUTE(SUBSTITUTE(OFFSET(装备属性!$F$1083,1+INT(COUNTA($Q$11:Q754)/5),0),"[",""),"]","")+_xlfn.XLOOKUP(C755,$M$3:$M$7,$N$3:$N$7)*100,R754)</f>
        <v>#N/A</v>
      </c>
    </row>
    <row r="756" customHeight="1" spans="1:18">
      <c r="A756" s="78" t="str">
        <f ca="1" t="shared" si="33"/>
        <v/>
      </c>
      <c r="B756" s="82" t="str">
        <f ca="1">IFERROR(R756+COUNTIFS($R$11:$R756,R756),"")</f>
        <v/>
      </c>
      <c r="C756" s="83">
        <f ca="1">IF(MOD(COUNTIF($Q$11:Q755,Q755),5)=0,OFFSET(装备属性!$D$1083,1+INT(COUNTA($Q$11:Q755)/5),0),C755)</f>
        <v>0</v>
      </c>
      <c r="D756" s="82">
        <f t="shared" si="35"/>
        <v>3000</v>
      </c>
      <c r="F756" s="82" t="str">
        <f ca="1" t="shared" si="34"/>
        <v/>
      </c>
      <c r="G756" s="78" t="str">
        <f ca="1">IF(AND(LEFT("[{"&amp;M756&amp;","&amp;CEILING(N756*10000+(O756-N756)/4*(COUNTIF($F$11:F756,F756)-1)*10000,10)&amp;"}]",7)="[{equip",MID("[{"&amp;M756&amp;","&amp;CEILING(N756*10000+(O756-N756)/4*(COUNTIF($F$11:F756,F756)-1)*10000,10)&amp;"}]",8,1)&lt;&gt;"_"),"[{"&amp;M756&amp;","&amp;1&amp;"}]","[{"&amp;M756&amp;","&amp;CEILING(N756*10000+(O756-N756)/4*(COUNTIF($F$11:F756,F756)-1)*10000,10)&amp;"}]")</f>
        <v>[{equip_extra_attr,5000}]</v>
      </c>
      <c r="H756" s="82" t="s">
        <v>563</v>
      </c>
      <c r="J756" s="78">
        <f ca="1">IF(MOD(COUNTIF($Q$11:Q755,Q755),5)=0,OFFSET(装备属性!$P$1083,1+INT(COUNTA($Q$11:Q755)/5),0),J755)</f>
        <v>8</v>
      </c>
      <c r="K756" s="83" t="str">
        <f ca="1">IF(RIGHT(G756,13)="rune_slot,1}]",_xlfn.XLOOKUP(LEFT(SUBSTITUTE(G756,"[{",""),FIND(",",SUBSTITUTE(G756,"[{",""))-1),Sheet2!B:B,Sheet2!C:C)&amp;"+"&amp;1,_xlfn.XLOOKUP(LEFT(SUBSTITUTE(G756,"[{",""),FIND(",",SUBSTITUTE(G756,"[{",""))-1),Sheet2!B:B,Sheet2!C:C)&amp;"+"&amp;SUBSTITUTE(RIGHT(G756,LEN(G756)-FIND(",",G756)),"}]","")/100&amp;"%")</f>
        <v>装备附加属性加成+50%</v>
      </c>
      <c r="L756" s="83" t="str">
        <f ca="1">IF(MOD(COUNTIF($Q$11:Q755,Q755),5)=0,OFFSET(装备属性!$G$1083,1+INT(COUNTA($Q$11:Q755)/5),0),L755)</f>
        <v>提成色</v>
      </c>
      <c r="M756" s="89" t="str">
        <f ca="1">IF(MOD(COUNTIF($Q$11:Q755,Q755),5)=0,OFFSET(装备属性!$H$1083,1+INT(COUNTA($Q$11:Q755)/5),0),M755)</f>
        <v>equip_extra_attr</v>
      </c>
      <c r="N756" s="76">
        <f ca="1">IF(MOD(COUNTIF($Q$11:Q755,Q755),5)=0,OFFSET(装备属性!$K$1083,1+INT(COUNTA($Q$11:Q755)/5),0),N755)</f>
        <v>0.5</v>
      </c>
      <c r="O756" s="76">
        <f ca="1">IF(MOD(COUNTIF($Q$11:Q755,Q755),5)=0,OFFSET(装备属性!$L$1083,1+INT(COUNTA($Q$11:Q755)/5),0),O755)</f>
        <v>0.5</v>
      </c>
      <c r="Q756" s="89" t="str">
        <f ca="1">IF(MOD(COUNTIF($Q$11:Q755,Q755),5)=0,OFFSET(装备属性!$M$1083,1+INT(COUNTA($Q$11:Q755)/5),0),Q755)</f>
        <v>稀有词条</v>
      </c>
      <c r="R756" s="83" t="e">
        <f ca="1">IF(MOD(COUNTIF($Q$11:Q755,Q755),5)=0,10000*SUBSTITUTE(SUBSTITUTE(OFFSET(装备属性!$F$1083,1+INT(COUNTA($Q$11:Q755)/5),0),"[",""),"]","")+_xlfn.XLOOKUP(C756,$M$3:$M$7,$N$3:$N$7)*100,R755)</f>
        <v>#N/A</v>
      </c>
    </row>
    <row r="757" customHeight="1" spans="1:18">
      <c r="A757" s="78" t="str">
        <f ca="1" t="shared" si="33"/>
        <v/>
      </c>
      <c r="B757" s="82" t="str">
        <f ca="1">IFERROR(R757+COUNTIFS($R$11:$R757,R757),"")</f>
        <v/>
      </c>
      <c r="C757" s="83">
        <f ca="1">IF(MOD(COUNTIF($Q$11:Q756,Q756),5)=0,OFFSET(装备属性!$D$1083,1+INT(COUNTA($Q$11:Q756)/5),0),C756)</f>
        <v>0</v>
      </c>
      <c r="D757" s="82">
        <f t="shared" si="35"/>
        <v>2500</v>
      </c>
      <c r="F757" s="82" t="str">
        <f ca="1" t="shared" si="34"/>
        <v/>
      </c>
      <c r="G757" s="78" t="str">
        <f ca="1">IF(AND(LEFT("[{"&amp;M757&amp;","&amp;CEILING(N757*10000+(O757-N757)/4*(COUNTIF($F$11:F757,F757)-1)*10000,10)&amp;"}]",7)="[{equip",MID("[{"&amp;M757&amp;","&amp;CEILING(N757*10000+(O757-N757)/4*(COUNTIF($F$11:F757,F757)-1)*10000,10)&amp;"}]",8,1)&lt;&gt;"_"),"[{"&amp;M757&amp;","&amp;1&amp;"}]","[{"&amp;M757&amp;","&amp;CEILING(N757*10000+(O757-N757)/4*(COUNTIF($F$11:F757,F757)-1)*10000,10)&amp;"}]")</f>
        <v>[{equip_extra_attr,5000}]</v>
      </c>
      <c r="H757" s="82" t="s">
        <v>563</v>
      </c>
      <c r="J757" s="78">
        <f ca="1">IF(MOD(COUNTIF($Q$11:Q756,Q756),5)=0,OFFSET(装备属性!$P$1083,1+INT(COUNTA($Q$11:Q756)/5),0),J756)</f>
        <v>8</v>
      </c>
      <c r="K757" s="83" t="str">
        <f ca="1">IF(RIGHT(G757,13)="rune_slot,1}]",_xlfn.XLOOKUP(LEFT(SUBSTITUTE(G757,"[{",""),FIND(",",SUBSTITUTE(G757,"[{",""))-1),Sheet2!B:B,Sheet2!C:C)&amp;"+"&amp;1,_xlfn.XLOOKUP(LEFT(SUBSTITUTE(G757,"[{",""),FIND(",",SUBSTITUTE(G757,"[{",""))-1),Sheet2!B:B,Sheet2!C:C)&amp;"+"&amp;SUBSTITUTE(RIGHT(G757,LEN(G757)-FIND(",",G757)),"}]","")/100&amp;"%")</f>
        <v>装备附加属性加成+50%</v>
      </c>
      <c r="L757" s="83" t="str">
        <f ca="1">IF(MOD(COUNTIF($Q$11:Q756,Q756),5)=0,OFFSET(装备属性!$G$1083,1+INT(COUNTA($Q$11:Q756)/5),0),L756)</f>
        <v>提成色</v>
      </c>
      <c r="M757" s="89" t="str">
        <f ca="1">IF(MOD(COUNTIF($Q$11:Q756,Q756),5)=0,OFFSET(装备属性!$H$1083,1+INT(COUNTA($Q$11:Q756)/5),0),M756)</f>
        <v>equip_extra_attr</v>
      </c>
      <c r="N757" s="76">
        <f ca="1">IF(MOD(COUNTIF($Q$11:Q756,Q756),5)=0,OFFSET(装备属性!$K$1083,1+INT(COUNTA($Q$11:Q756)/5),0),N756)</f>
        <v>0.5</v>
      </c>
      <c r="O757" s="76">
        <f ca="1">IF(MOD(COUNTIF($Q$11:Q756,Q756),5)=0,OFFSET(装备属性!$L$1083,1+INT(COUNTA($Q$11:Q756)/5),0),O756)</f>
        <v>0.5</v>
      </c>
      <c r="Q757" s="89" t="str">
        <f ca="1">IF(MOD(COUNTIF($Q$11:Q756,Q756),5)=0,OFFSET(装备属性!$M$1083,1+INT(COUNTA($Q$11:Q756)/5),0),Q756)</f>
        <v>稀有词条</v>
      </c>
      <c r="R757" s="83" t="e">
        <f ca="1">IF(MOD(COUNTIF($Q$11:Q756,Q756),5)=0,10000*SUBSTITUTE(SUBSTITUTE(OFFSET(装备属性!$F$1083,1+INT(COUNTA($Q$11:Q756)/5),0),"[",""),"]","")+_xlfn.XLOOKUP(C757,$M$3:$M$7,$N$3:$N$7)*100,R756)</f>
        <v>#N/A</v>
      </c>
    </row>
    <row r="758" customHeight="1" spans="1:18">
      <c r="A758" s="78" t="str">
        <f ca="1" t="shared" si="33"/>
        <v/>
      </c>
      <c r="B758" s="82" t="str">
        <f ca="1">IFERROR(R758+COUNTIFS($R$11:$R758,R758),"")</f>
        <v/>
      </c>
      <c r="C758" s="83">
        <f ca="1">IF(MOD(COUNTIF($Q$11:Q757,Q757),5)=0,OFFSET(装备属性!$D$1083,1+INT(COUNTA($Q$11:Q757)/5),0),C757)</f>
        <v>0</v>
      </c>
      <c r="D758" s="82">
        <f t="shared" si="35"/>
        <v>2000</v>
      </c>
      <c r="F758" s="82" t="str">
        <f ca="1" t="shared" si="34"/>
        <v/>
      </c>
      <c r="G758" s="78" t="str">
        <f ca="1">IF(AND(LEFT("[{"&amp;M758&amp;","&amp;CEILING(N758*10000+(O758-N758)/4*(COUNTIF($F$11:F758,F758)-1)*10000,10)&amp;"}]",7)="[{equip",MID("[{"&amp;M758&amp;","&amp;CEILING(N758*10000+(O758-N758)/4*(COUNTIF($F$11:F758,F758)-1)*10000,10)&amp;"}]",8,1)&lt;&gt;"_"),"[{"&amp;M758&amp;","&amp;1&amp;"}]","[{"&amp;M758&amp;","&amp;CEILING(N758*10000+(O758-N758)/4*(COUNTIF($F$11:F758,F758)-1)*10000,10)&amp;"}]")</f>
        <v>[{equip_extra_attr,5000}]</v>
      </c>
      <c r="H758" s="82" t="s">
        <v>563</v>
      </c>
      <c r="J758" s="78">
        <f ca="1">IF(MOD(COUNTIF($Q$11:Q757,Q757),5)=0,OFFSET(装备属性!$P$1083,1+INT(COUNTA($Q$11:Q757)/5),0),J757)</f>
        <v>8</v>
      </c>
      <c r="K758" s="83" t="str">
        <f ca="1">IF(RIGHT(G758,13)="rune_slot,1}]",_xlfn.XLOOKUP(LEFT(SUBSTITUTE(G758,"[{",""),FIND(",",SUBSTITUTE(G758,"[{",""))-1),Sheet2!B:B,Sheet2!C:C)&amp;"+"&amp;1,_xlfn.XLOOKUP(LEFT(SUBSTITUTE(G758,"[{",""),FIND(",",SUBSTITUTE(G758,"[{",""))-1),Sheet2!B:B,Sheet2!C:C)&amp;"+"&amp;SUBSTITUTE(RIGHT(G758,LEN(G758)-FIND(",",G758)),"}]","")/100&amp;"%")</f>
        <v>装备附加属性加成+50%</v>
      </c>
      <c r="L758" s="83" t="str">
        <f ca="1">IF(MOD(COUNTIF($Q$11:Q757,Q757),5)=0,OFFSET(装备属性!$G$1083,1+INT(COUNTA($Q$11:Q757)/5),0),L757)</f>
        <v>提成色</v>
      </c>
      <c r="M758" s="89" t="str">
        <f ca="1">IF(MOD(COUNTIF($Q$11:Q757,Q757),5)=0,OFFSET(装备属性!$H$1083,1+INT(COUNTA($Q$11:Q757)/5),0),M757)</f>
        <v>equip_extra_attr</v>
      </c>
      <c r="N758" s="76">
        <f ca="1">IF(MOD(COUNTIF($Q$11:Q757,Q757),5)=0,OFFSET(装备属性!$K$1083,1+INT(COUNTA($Q$11:Q757)/5),0),N757)</f>
        <v>0.5</v>
      </c>
      <c r="O758" s="76">
        <f ca="1">IF(MOD(COUNTIF($Q$11:Q757,Q757),5)=0,OFFSET(装备属性!$L$1083,1+INT(COUNTA($Q$11:Q757)/5),0),O757)</f>
        <v>0.5</v>
      </c>
      <c r="Q758" s="89" t="str">
        <f ca="1">IF(MOD(COUNTIF($Q$11:Q757,Q757),5)=0,OFFSET(装备属性!$M$1083,1+INT(COUNTA($Q$11:Q757)/5),0),Q757)</f>
        <v>稀有词条</v>
      </c>
      <c r="R758" s="83" t="e">
        <f ca="1">IF(MOD(COUNTIF($Q$11:Q757,Q757),5)=0,10000*SUBSTITUTE(SUBSTITUTE(OFFSET(装备属性!$F$1083,1+INT(COUNTA($Q$11:Q757)/5),0),"[",""),"]","")+_xlfn.XLOOKUP(C758,$M$3:$M$7,$N$3:$N$7)*100,R757)</f>
        <v>#N/A</v>
      </c>
    </row>
    <row r="759" customHeight="1" spans="1:18">
      <c r="A759" s="78" t="str">
        <f ca="1" t="shared" si="33"/>
        <v/>
      </c>
      <c r="B759" s="82" t="str">
        <f ca="1">IFERROR(R759+COUNTIFS($R$11:$R759,R759),"")</f>
        <v/>
      </c>
      <c r="C759" s="83">
        <f ca="1">IF(MOD(COUNTIF($Q$11:Q758,Q758),5)=0,OFFSET(装备属性!$D$1083,1+INT(COUNTA($Q$11:Q758)/5),0),C758)</f>
        <v>0</v>
      </c>
      <c r="D759" s="82">
        <f t="shared" si="35"/>
        <v>1500</v>
      </c>
      <c r="F759" s="82" t="str">
        <f ca="1" t="shared" si="34"/>
        <v/>
      </c>
      <c r="G759" s="78" t="str">
        <f ca="1">IF(AND(LEFT("[{"&amp;M759&amp;","&amp;CEILING(N759*10000+(O759-N759)/4*(COUNTIF($F$11:F759,F759)-1)*10000,10)&amp;"}]",7)="[{equip",MID("[{"&amp;M759&amp;","&amp;CEILING(N759*10000+(O759-N759)/4*(COUNTIF($F$11:F759,F759)-1)*10000,10)&amp;"}]",8,1)&lt;&gt;"_"),"[{"&amp;M759&amp;","&amp;1&amp;"}]","[{"&amp;M759&amp;","&amp;CEILING(N759*10000+(O759-N759)/4*(COUNTIF($F$11:F759,F759)-1)*10000,10)&amp;"}]")</f>
        <v>[{equip_extra_attr,5000}]</v>
      </c>
      <c r="H759" s="82" t="s">
        <v>563</v>
      </c>
      <c r="J759" s="78">
        <f ca="1">IF(MOD(COUNTIF($Q$11:Q758,Q758),5)=0,OFFSET(装备属性!$P$1083,1+INT(COUNTA($Q$11:Q758)/5),0),J758)</f>
        <v>8</v>
      </c>
      <c r="K759" s="83" t="str">
        <f ca="1">IF(RIGHT(G759,13)="rune_slot,1}]",_xlfn.XLOOKUP(LEFT(SUBSTITUTE(G759,"[{",""),FIND(",",SUBSTITUTE(G759,"[{",""))-1),Sheet2!B:B,Sheet2!C:C)&amp;"+"&amp;1,_xlfn.XLOOKUP(LEFT(SUBSTITUTE(G759,"[{",""),FIND(",",SUBSTITUTE(G759,"[{",""))-1),Sheet2!B:B,Sheet2!C:C)&amp;"+"&amp;SUBSTITUTE(RIGHT(G759,LEN(G759)-FIND(",",G759)),"}]","")/100&amp;"%")</f>
        <v>装备附加属性加成+50%</v>
      </c>
      <c r="L759" s="83" t="str">
        <f ca="1">IF(MOD(COUNTIF($Q$11:Q758,Q758),5)=0,OFFSET(装备属性!$G$1083,1+INT(COUNTA($Q$11:Q758)/5),0),L758)</f>
        <v>提成色</v>
      </c>
      <c r="M759" s="89" t="str">
        <f ca="1">IF(MOD(COUNTIF($Q$11:Q758,Q758),5)=0,OFFSET(装备属性!$H$1083,1+INT(COUNTA($Q$11:Q758)/5),0),M758)</f>
        <v>equip_extra_attr</v>
      </c>
      <c r="N759" s="76">
        <f ca="1">IF(MOD(COUNTIF($Q$11:Q758,Q758),5)=0,OFFSET(装备属性!$K$1083,1+INT(COUNTA($Q$11:Q758)/5),0),N758)</f>
        <v>0.5</v>
      </c>
      <c r="O759" s="76">
        <f ca="1">IF(MOD(COUNTIF($Q$11:Q758,Q758),5)=0,OFFSET(装备属性!$L$1083,1+INT(COUNTA($Q$11:Q758)/5),0),O758)</f>
        <v>0.5</v>
      </c>
      <c r="Q759" s="89" t="str">
        <f ca="1">IF(MOD(COUNTIF($Q$11:Q758,Q758),5)=0,OFFSET(装备属性!$M$1083,1+INT(COUNTA($Q$11:Q758)/5),0),Q758)</f>
        <v>稀有词条</v>
      </c>
      <c r="R759" s="83" t="e">
        <f ca="1">IF(MOD(COUNTIF($Q$11:Q758,Q758),5)=0,10000*SUBSTITUTE(SUBSTITUTE(OFFSET(装备属性!$F$1083,1+INT(COUNTA($Q$11:Q758)/5),0),"[",""),"]","")+_xlfn.XLOOKUP(C759,$M$3:$M$7,$N$3:$N$7)*100,R758)</f>
        <v>#N/A</v>
      </c>
    </row>
    <row r="760" customHeight="1" spans="1:18">
      <c r="A760" s="78" t="str">
        <f ca="1" t="shared" si="33"/>
        <v/>
      </c>
      <c r="B760" s="82" t="str">
        <f ca="1">IFERROR(R760+COUNTIFS($R$11:$R760,R760),"")</f>
        <v/>
      </c>
      <c r="C760" s="83">
        <f ca="1">IF(MOD(COUNTIF($Q$11:Q759,Q759),5)=0,OFFSET(装备属性!$D$1083,1+INT(COUNTA($Q$11:Q759)/5),0),C759)</f>
        <v>0</v>
      </c>
      <c r="D760" s="82">
        <f t="shared" si="35"/>
        <v>1000</v>
      </c>
      <c r="F760" s="82" t="str">
        <f ca="1" t="shared" si="34"/>
        <v/>
      </c>
      <c r="G760" s="78" t="str">
        <f ca="1">IF(AND(LEFT("[{"&amp;M760&amp;","&amp;CEILING(N760*10000+(O760-N760)/4*(COUNTIF($F$11:F760,F760)-1)*10000,10)&amp;"}]",7)="[{equip",MID("[{"&amp;M760&amp;","&amp;CEILING(N760*10000+(O760-N760)/4*(COUNTIF($F$11:F760,F760)-1)*10000,10)&amp;"}]",8,1)&lt;&gt;"_"),"[{"&amp;M760&amp;","&amp;1&amp;"}]","[{"&amp;M760&amp;","&amp;CEILING(N760*10000+(O760-N760)/4*(COUNTIF($F$11:F760,F760)-1)*10000,10)&amp;"}]")</f>
        <v>[{equip_extra_attr,5000}]</v>
      </c>
      <c r="H760" s="82" t="s">
        <v>563</v>
      </c>
      <c r="J760" s="78">
        <f ca="1">IF(MOD(COUNTIF($Q$11:Q759,Q759),5)=0,OFFSET(装备属性!$P$1083,1+INT(COUNTA($Q$11:Q759)/5),0),J759)</f>
        <v>8</v>
      </c>
      <c r="K760" s="83" t="str">
        <f ca="1">IF(RIGHT(G760,13)="rune_slot,1}]",_xlfn.XLOOKUP(LEFT(SUBSTITUTE(G760,"[{",""),FIND(",",SUBSTITUTE(G760,"[{",""))-1),Sheet2!B:B,Sheet2!C:C)&amp;"+"&amp;1,_xlfn.XLOOKUP(LEFT(SUBSTITUTE(G760,"[{",""),FIND(",",SUBSTITUTE(G760,"[{",""))-1),Sheet2!B:B,Sheet2!C:C)&amp;"+"&amp;SUBSTITUTE(RIGHT(G760,LEN(G760)-FIND(",",G760)),"}]","")/100&amp;"%")</f>
        <v>装备附加属性加成+50%</v>
      </c>
      <c r="L760" s="83" t="str">
        <f ca="1">IF(MOD(COUNTIF($Q$11:Q759,Q759),5)=0,OFFSET(装备属性!$G$1083,1+INT(COUNTA($Q$11:Q759)/5),0),L759)</f>
        <v>提成色</v>
      </c>
      <c r="M760" s="89" t="str">
        <f ca="1">IF(MOD(COUNTIF($Q$11:Q759,Q759),5)=0,OFFSET(装备属性!$H$1083,1+INT(COUNTA($Q$11:Q759)/5),0),M759)</f>
        <v>equip_extra_attr</v>
      </c>
      <c r="N760" s="76">
        <f ca="1">IF(MOD(COUNTIF($Q$11:Q759,Q759),5)=0,OFFSET(装备属性!$K$1083,1+INT(COUNTA($Q$11:Q759)/5),0),N759)</f>
        <v>0.5</v>
      </c>
      <c r="O760" s="76">
        <f ca="1">IF(MOD(COUNTIF($Q$11:Q759,Q759),5)=0,OFFSET(装备属性!$L$1083,1+INT(COUNTA($Q$11:Q759)/5),0),O759)</f>
        <v>0.5</v>
      </c>
      <c r="Q760" s="89" t="str">
        <f ca="1">IF(MOD(COUNTIF($Q$11:Q759,Q759),5)=0,OFFSET(装备属性!$M$1083,1+INT(COUNTA($Q$11:Q759)/5),0),Q759)</f>
        <v>稀有词条</v>
      </c>
      <c r="R760" s="83" t="e">
        <f ca="1">IF(MOD(COUNTIF($Q$11:Q759,Q759),5)=0,10000*SUBSTITUTE(SUBSTITUTE(OFFSET(装备属性!$F$1083,1+INT(COUNTA($Q$11:Q759)/5),0),"[",""),"]","")+_xlfn.XLOOKUP(C760,$M$3:$M$7,$N$3:$N$7)*100,R759)</f>
        <v>#N/A</v>
      </c>
    </row>
    <row r="761" customHeight="1" spans="1:18">
      <c r="A761" s="78">
        <f ca="1" t="shared" si="33"/>
        <v>30602</v>
      </c>
      <c r="B761" s="82">
        <f ca="1">IFERROR(R761+COUNTIFS($R$11:$R761,R761),"")</f>
        <v>30611</v>
      </c>
      <c r="C761" s="83" t="str">
        <f ca="1">IF(MOD(COUNTIF($Q$11:Q760,Q760),5)=0,OFFSET(装备属性!$D$1083,1+INT(COUNTA($Q$11:Q760)/5),0),C760)</f>
        <v>红</v>
      </c>
      <c r="D761" s="82">
        <f t="shared" si="35"/>
        <v>3000</v>
      </c>
      <c r="F761" s="82">
        <f ca="1" t="shared" si="34"/>
        <v>30602</v>
      </c>
      <c r="G761" s="78" t="str">
        <f ca="1">IF(AND(LEFT("[{"&amp;M761&amp;","&amp;CEILING(N761*10000+(O761-N761)/4*(COUNTIF($F$11:F761,F761)-1)*10000,10)&amp;"}]",7)="[{equip",MID("[{"&amp;M761&amp;","&amp;CEILING(N761*10000+(O761-N761)/4*(COUNTIF($F$11:F761,F761)-1)*10000,10)&amp;"}]",8,1)&lt;&gt;"_"),"[{"&amp;M761&amp;","&amp;1&amp;"}]","[{"&amp;M761&amp;","&amp;CEILING(N761*10000+(O761-N761)/4*(COUNTIF($F$11:F761,F761)-1)*10000,10)&amp;"}]")</f>
        <v>[{arena_pve_hit_rare,720}]</v>
      </c>
      <c r="H761" s="82" t="s">
        <v>563</v>
      </c>
      <c r="J761" s="78">
        <f ca="1">IF(MOD(COUNTIF($Q$11:Q760,Q760),5)=0,OFFSET(装备属性!$P$1083,1+INT(COUNTA($Q$11:Q760)/5),0),J760)</f>
        <v>1</v>
      </c>
      <c r="K761" s="83" t="str">
        <f ca="1">IF(RIGHT(G761,13)="rune_slot,1}]",_xlfn.XLOOKUP(LEFT(SUBSTITUTE(G761,"[{",""),FIND(",",SUBSTITUTE(G761,"[{",""))-1),Sheet2!B:B,Sheet2!C:C)&amp;"+"&amp;1,_xlfn.XLOOKUP(LEFT(SUBSTITUTE(G761,"[{",""),FIND(",",SUBSTITUTE(G761,"[{",""))-1),Sheet2!B:B,Sheet2!C:C)&amp;"+"&amp;SUBSTITUTE(RIGHT(G761,LEN(G761)-FIND(",",G761)),"}]","")/100&amp;"%")</f>
        <v>荧幕争锋增伤+7.2%</v>
      </c>
      <c r="L761" s="83" t="str">
        <f ca="1">IF(MOD(COUNTIF($Q$11:Q760,Q760),5)=0,OFFSET(装备属性!$G$1083,1+INT(COUNTA($Q$11:Q760)/5),0),L760)</f>
        <v>关键开团Ⅲ</v>
      </c>
      <c r="M761" s="89" t="str">
        <f ca="1">IF(MOD(COUNTIF($Q$11:Q760,Q760),5)=0,OFFSET(装备属性!$H$1083,1+INT(COUNTA($Q$11:Q760)/5),0),M760)</f>
        <v>arena_pve_hit_rare</v>
      </c>
      <c r="N761" s="76">
        <f ca="1">IF(MOD(COUNTIF($Q$11:Q760,Q760),5)=0,OFFSET(装备属性!$K$1083,1+INT(COUNTA($Q$11:Q760)/5),0),N760)</f>
        <v>0.072</v>
      </c>
      <c r="O761" s="76">
        <f ca="1">IF(MOD(COUNTIF($Q$11:Q760,Q760),5)=0,OFFSET(装备属性!$L$1083,1+INT(COUNTA($Q$11:Q760)/5),0),O760)</f>
        <v>0.086</v>
      </c>
      <c r="Q761" s="89" t="str">
        <f ca="1">IF(MOD(COUNTIF($Q$11:Q760,Q760),5)=0,OFFSET(装备属性!$M$1083,1+INT(COUNTA($Q$11:Q760)/5),0),Q760)</f>
        <v>玩法类</v>
      </c>
      <c r="R761" s="83">
        <f ca="1">IF(MOD(COUNTIF($Q$11:Q760,Q760),5)=0,10000*SUBSTITUTE(SUBSTITUTE(OFFSET(装备属性!$F$1083,1+INT(COUNTA($Q$11:Q760)/5),0),"[",""),"]","")+_xlfn.XLOOKUP(C761,$M$3:$M$7,$N$3:$N$7)*100,R760)</f>
        <v>30600</v>
      </c>
    </row>
    <row r="762" customHeight="1" spans="1:18">
      <c r="A762" s="78">
        <f ca="1" t="shared" si="33"/>
        <v>30602</v>
      </c>
      <c r="B762" s="82">
        <f ca="1">IFERROR(R762+COUNTIFS($R$11:$R762,R762),"")</f>
        <v>30612</v>
      </c>
      <c r="C762" s="83" t="str">
        <f ca="1">IF(MOD(COUNTIF($Q$11:Q761,Q761),5)=0,OFFSET(装备属性!$D$1083,1+INT(COUNTA($Q$11:Q761)/5),0),C761)</f>
        <v>红</v>
      </c>
      <c r="D762" s="82">
        <f t="shared" si="35"/>
        <v>2500</v>
      </c>
      <c r="F762" s="82">
        <f ca="1" t="shared" si="34"/>
        <v>30602</v>
      </c>
      <c r="G762" s="78" t="str">
        <f ca="1">IF(AND(LEFT("[{"&amp;M762&amp;","&amp;CEILING(N762*10000+(O762-N762)/4*(COUNTIF($F$11:F762,F762)-1)*10000,10)&amp;"}]",7)="[{equip",MID("[{"&amp;M762&amp;","&amp;CEILING(N762*10000+(O762-N762)/4*(COUNTIF($F$11:F762,F762)-1)*10000,10)&amp;"}]",8,1)&lt;&gt;"_"),"[{"&amp;M762&amp;","&amp;1&amp;"}]","[{"&amp;M762&amp;","&amp;CEILING(N762*10000+(O762-N762)/4*(COUNTIF($F$11:F762,F762)-1)*10000,10)&amp;"}]")</f>
        <v>[{arena_pve_hit_rare,760}]</v>
      </c>
      <c r="H762" s="82" t="s">
        <v>563</v>
      </c>
      <c r="J762" s="78">
        <f ca="1">IF(MOD(COUNTIF($Q$11:Q761,Q761),5)=0,OFFSET(装备属性!$P$1083,1+INT(COUNTA($Q$11:Q761)/5),0),J761)</f>
        <v>1</v>
      </c>
      <c r="K762" s="83" t="str">
        <f ca="1">IF(RIGHT(G762,13)="rune_slot,1}]",_xlfn.XLOOKUP(LEFT(SUBSTITUTE(G762,"[{",""),FIND(",",SUBSTITUTE(G762,"[{",""))-1),Sheet2!B:B,Sheet2!C:C)&amp;"+"&amp;1,_xlfn.XLOOKUP(LEFT(SUBSTITUTE(G762,"[{",""),FIND(",",SUBSTITUTE(G762,"[{",""))-1),Sheet2!B:B,Sheet2!C:C)&amp;"+"&amp;SUBSTITUTE(RIGHT(G762,LEN(G762)-FIND(",",G762)),"}]","")/100&amp;"%")</f>
        <v>荧幕争锋增伤+7.6%</v>
      </c>
      <c r="L762" s="83" t="str">
        <f ca="1">IF(MOD(COUNTIF($Q$11:Q761,Q761),5)=0,OFFSET(装备属性!$G$1083,1+INT(COUNTA($Q$11:Q761)/5),0),L761)</f>
        <v>关键开团Ⅲ</v>
      </c>
      <c r="M762" s="89" t="str">
        <f ca="1">IF(MOD(COUNTIF($Q$11:Q761,Q761),5)=0,OFFSET(装备属性!$H$1083,1+INT(COUNTA($Q$11:Q761)/5),0),M761)</f>
        <v>arena_pve_hit_rare</v>
      </c>
      <c r="N762" s="76">
        <f ca="1">IF(MOD(COUNTIF($Q$11:Q761,Q761),5)=0,OFFSET(装备属性!$K$1083,1+INT(COUNTA($Q$11:Q761)/5),0),N761)</f>
        <v>0.072</v>
      </c>
      <c r="O762" s="76">
        <f ca="1">IF(MOD(COUNTIF($Q$11:Q761,Q761),5)=0,OFFSET(装备属性!$L$1083,1+INT(COUNTA($Q$11:Q761)/5),0),O761)</f>
        <v>0.086</v>
      </c>
      <c r="Q762" s="89" t="str">
        <f ca="1">IF(MOD(COUNTIF($Q$11:Q761,Q761),5)=0,OFFSET(装备属性!$M$1083,1+INT(COUNTA($Q$11:Q761)/5),0),Q761)</f>
        <v>玩法类</v>
      </c>
      <c r="R762" s="83">
        <f ca="1">IF(MOD(COUNTIF($Q$11:Q761,Q761),5)=0,10000*SUBSTITUTE(SUBSTITUTE(OFFSET(装备属性!$F$1083,1+INT(COUNTA($Q$11:Q761)/5),0),"[",""),"]","")+_xlfn.XLOOKUP(C762,$M$3:$M$7,$N$3:$N$7)*100,R761)</f>
        <v>30600</v>
      </c>
    </row>
    <row r="763" customHeight="1" spans="1:18">
      <c r="A763" s="78">
        <f ca="1" t="shared" si="33"/>
        <v>30602</v>
      </c>
      <c r="B763" s="82">
        <f ca="1">IFERROR(R763+COUNTIFS($R$11:$R763,R763),"")</f>
        <v>30613</v>
      </c>
      <c r="C763" s="83" t="str">
        <f ca="1">IF(MOD(COUNTIF($Q$11:Q762,Q762),5)=0,OFFSET(装备属性!$D$1083,1+INT(COUNTA($Q$11:Q762)/5),0),C762)</f>
        <v>红</v>
      </c>
      <c r="D763" s="82">
        <f t="shared" si="35"/>
        <v>2000</v>
      </c>
      <c r="F763" s="82">
        <f ca="1" t="shared" si="34"/>
        <v>30602</v>
      </c>
      <c r="G763" s="78" t="str">
        <f ca="1">IF(AND(LEFT("[{"&amp;M763&amp;","&amp;CEILING(N763*10000+(O763-N763)/4*(COUNTIF($F$11:F763,F763)-1)*10000,10)&amp;"}]",7)="[{equip",MID("[{"&amp;M763&amp;","&amp;CEILING(N763*10000+(O763-N763)/4*(COUNTIF($F$11:F763,F763)-1)*10000,10)&amp;"}]",8,1)&lt;&gt;"_"),"[{"&amp;M763&amp;","&amp;1&amp;"}]","[{"&amp;M763&amp;","&amp;CEILING(N763*10000+(O763-N763)/4*(COUNTIF($F$11:F763,F763)-1)*10000,10)&amp;"}]")</f>
        <v>[{arena_pve_hit_rare,790}]</v>
      </c>
      <c r="H763" s="82" t="s">
        <v>563</v>
      </c>
      <c r="J763" s="78">
        <f ca="1">IF(MOD(COUNTIF($Q$11:Q762,Q762),5)=0,OFFSET(装备属性!$P$1083,1+INT(COUNTA($Q$11:Q762)/5),0),J762)</f>
        <v>1</v>
      </c>
      <c r="K763" s="83" t="str">
        <f ca="1">IF(RIGHT(G763,13)="rune_slot,1}]",_xlfn.XLOOKUP(LEFT(SUBSTITUTE(G763,"[{",""),FIND(",",SUBSTITUTE(G763,"[{",""))-1),Sheet2!B:B,Sheet2!C:C)&amp;"+"&amp;1,_xlfn.XLOOKUP(LEFT(SUBSTITUTE(G763,"[{",""),FIND(",",SUBSTITUTE(G763,"[{",""))-1),Sheet2!B:B,Sheet2!C:C)&amp;"+"&amp;SUBSTITUTE(RIGHT(G763,LEN(G763)-FIND(",",G763)),"}]","")/100&amp;"%")</f>
        <v>荧幕争锋增伤+7.9%</v>
      </c>
      <c r="L763" s="83" t="str">
        <f ca="1">IF(MOD(COUNTIF($Q$11:Q762,Q762),5)=0,OFFSET(装备属性!$G$1083,1+INT(COUNTA($Q$11:Q762)/5),0),L762)</f>
        <v>关键开团Ⅲ</v>
      </c>
      <c r="M763" s="89" t="str">
        <f ca="1">IF(MOD(COUNTIF($Q$11:Q762,Q762),5)=0,OFFSET(装备属性!$H$1083,1+INT(COUNTA($Q$11:Q762)/5),0),M762)</f>
        <v>arena_pve_hit_rare</v>
      </c>
      <c r="N763" s="76">
        <f ca="1">IF(MOD(COUNTIF($Q$11:Q762,Q762),5)=0,OFFSET(装备属性!$K$1083,1+INT(COUNTA($Q$11:Q762)/5),0),N762)</f>
        <v>0.072</v>
      </c>
      <c r="O763" s="76">
        <f ca="1">IF(MOD(COUNTIF($Q$11:Q762,Q762),5)=0,OFFSET(装备属性!$L$1083,1+INT(COUNTA($Q$11:Q762)/5),0),O762)</f>
        <v>0.086</v>
      </c>
      <c r="Q763" s="89" t="str">
        <f ca="1">IF(MOD(COUNTIF($Q$11:Q762,Q762),5)=0,OFFSET(装备属性!$M$1083,1+INT(COUNTA($Q$11:Q762)/5),0),Q762)</f>
        <v>玩法类</v>
      </c>
      <c r="R763" s="83">
        <f ca="1">IF(MOD(COUNTIF($Q$11:Q762,Q762),5)=0,10000*SUBSTITUTE(SUBSTITUTE(OFFSET(装备属性!$F$1083,1+INT(COUNTA($Q$11:Q762)/5),0),"[",""),"]","")+_xlfn.XLOOKUP(C763,$M$3:$M$7,$N$3:$N$7)*100,R762)</f>
        <v>30600</v>
      </c>
    </row>
    <row r="764" customHeight="1" spans="1:18">
      <c r="A764" s="78">
        <f ca="1" t="shared" si="33"/>
        <v>30602</v>
      </c>
      <c r="B764" s="82">
        <f ca="1">IFERROR(R764+COUNTIFS($R$11:$R764,R764),"")</f>
        <v>30614</v>
      </c>
      <c r="C764" s="83" t="str">
        <f ca="1">IF(MOD(COUNTIF($Q$11:Q763,Q763),5)=0,OFFSET(装备属性!$D$1083,1+INT(COUNTA($Q$11:Q763)/5),0),C763)</f>
        <v>红</v>
      </c>
      <c r="D764" s="82">
        <f t="shared" si="35"/>
        <v>1500</v>
      </c>
      <c r="F764" s="82">
        <f ca="1" t="shared" si="34"/>
        <v>30602</v>
      </c>
      <c r="G764" s="78" t="str">
        <f ca="1">IF(AND(LEFT("[{"&amp;M764&amp;","&amp;CEILING(N764*10000+(O764-N764)/4*(COUNTIF($F$11:F764,F764)-1)*10000,10)&amp;"}]",7)="[{equip",MID("[{"&amp;M764&amp;","&amp;CEILING(N764*10000+(O764-N764)/4*(COUNTIF($F$11:F764,F764)-1)*10000,10)&amp;"}]",8,1)&lt;&gt;"_"),"[{"&amp;M764&amp;","&amp;1&amp;"}]","[{"&amp;M764&amp;","&amp;CEILING(N764*10000+(O764-N764)/4*(COUNTIF($F$11:F764,F764)-1)*10000,10)&amp;"}]")</f>
        <v>[{arena_pve_hit_rare,830}]</v>
      </c>
      <c r="H764" s="82" t="s">
        <v>563</v>
      </c>
      <c r="J764" s="78">
        <f ca="1">IF(MOD(COUNTIF($Q$11:Q763,Q763),5)=0,OFFSET(装备属性!$P$1083,1+INT(COUNTA($Q$11:Q763)/5),0),J763)</f>
        <v>1</v>
      </c>
      <c r="K764" s="83" t="str">
        <f ca="1">IF(RIGHT(G764,13)="rune_slot,1}]",_xlfn.XLOOKUP(LEFT(SUBSTITUTE(G764,"[{",""),FIND(",",SUBSTITUTE(G764,"[{",""))-1),Sheet2!B:B,Sheet2!C:C)&amp;"+"&amp;1,_xlfn.XLOOKUP(LEFT(SUBSTITUTE(G764,"[{",""),FIND(",",SUBSTITUTE(G764,"[{",""))-1),Sheet2!B:B,Sheet2!C:C)&amp;"+"&amp;SUBSTITUTE(RIGHT(G764,LEN(G764)-FIND(",",G764)),"}]","")/100&amp;"%")</f>
        <v>荧幕争锋增伤+8.3%</v>
      </c>
      <c r="L764" s="83" t="str">
        <f ca="1">IF(MOD(COUNTIF($Q$11:Q763,Q763),5)=0,OFFSET(装备属性!$G$1083,1+INT(COUNTA($Q$11:Q763)/5),0),L763)</f>
        <v>关键开团Ⅲ</v>
      </c>
      <c r="M764" s="89" t="str">
        <f ca="1">IF(MOD(COUNTIF($Q$11:Q763,Q763),5)=0,OFFSET(装备属性!$H$1083,1+INT(COUNTA($Q$11:Q763)/5),0),M763)</f>
        <v>arena_pve_hit_rare</v>
      </c>
      <c r="N764" s="76">
        <f ca="1">IF(MOD(COUNTIF($Q$11:Q763,Q763),5)=0,OFFSET(装备属性!$K$1083,1+INT(COUNTA($Q$11:Q763)/5),0),N763)</f>
        <v>0.072</v>
      </c>
      <c r="O764" s="76">
        <f ca="1">IF(MOD(COUNTIF($Q$11:Q763,Q763),5)=0,OFFSET(装备属性!$L$1083,1+INT(COUNTA($Q$11:Q763)/5),0),O763)</f>
        <v>0.086</v>
      </c>
      <c r="Q764" s="89" t="str">
        <f ca="1">IF(MOD(COUNTIF($Q$11:Q763,Q763),5)=0,OFFSET(装备属性!$M$1083,1+INT(COUNTA($Q$11:Q763)/5),0),Q763)</f>
        <v>玩法类</v>
      </c>
      <c r="R764" s="83">
        <f ca="1">IF(MOD(COUNTIF($Q$11:Q763,Q763),5)=0,10000*SUBSTITUTE(SUBSTITUTE(OFFSET(装备属性!$F$1083,1+INT(COUNTA($Q$11:Q763)/5),0),"[",""),"]","")+_xlfn.XLOOKUP(C764,$M$3:$M$7,$N$3:$N$7)*100,R763)</f>
        <v>30600</v>
      </c>
    </row>
    <row r="765" customHeight="1" spans="1:18">
      <c r="A765" s="78">
        <f ca="1" t="shared" si="33"/>
        <v>30602</v>
      </c>
      <c r="B765" s="82">
        <f ca="1">IFERROR(R765+COUNTIFS($R$11:$R765,R765),"")</f>
        <v>30615</v>
      </c>
      <c r="C765" s="83" t="str">
        <f ca="1">IF(MOD(COUNTIF($Q$11:Q764,Q764),5)=0,OFFSET(装备属性!$D$1083,1+INT(COUNTA($Q$11:Q764)/5),0),C764)</f>
        <v>红</v>
      </c>
      <c r="D765" s="82">
        <f t="shared" si="35"/>
        <v>1000</v>
      </c>
      <c r="F765" s="82">
        <f ca="1" t="shared" si="34"/>
        <v>30602</v>
      </c>
      <c r="G765" s="78" t="str">
        <f ca="1">IF(AND(LEFT("[{"&amp;M765&amp;","&amp;CEILING(N765*10000+(O765-N765)/4*(COUNTIF($F$11:F765,F765)-1)*10000,10)&amp;"}]",7)="[{equip",MID("[{"&amp;M765&amp;","&amp;CEILING(N765*10000+(O765-N765)/4*(COUNTIF($F$11:F765,F765)-1)*10000,10)&amp;"}]",8,1)&lt;&gt;"_"),"[{"&amp;M765&amp;","&amp;1&amp;"}]","[{"&amp;M765&amp;","&amp;CEILING(N765*10000+(O765-N765)/4*(COUNTIF($F$11:F765,F765)-1)*10000,10)&amp;"}]")</f>
        <v>[{arena_pve_hit_rare,860}]</v>
      </c>
      <c r="H765" s="82" t="s">
        <v>563</v>
      </c>
      <c r="J765" s="78">
        <f ca="1">IF(MOD(COUNTIF($Q$11:Q764,Q764),5)=0,OFFSET(装备属性!$P$1083,1+INT(COUNTA($Q$11:Q764)/5),0),J764)</f>
        <v>1</v>
      </c>
      <c r="K765" s="83" t="str">
        <f ca="1">IF(RIGHT(G765,13)="rune_slot,1}]",_xlfn.XLOOKUP(LEFT(SUBSTITUTE(G765,"[{",""),FIND(",",SUBSTITUTE(G765,"[{",""))-1),Sheet2!B:B,Sheet2!C:C)&amp;"+"&amp;1,_xlfn.XLOOKUP(LEFT(SUBSTITUTE(G765,"[{",""),FIND(",",SUBSTITUTE(G765,"[{",""))-1),Sheet2!B:B,Sheet2!C:C)&amp;"+"&amp;SUBSTITUTE(RIGHT(G765,LEN(G765)-FIND(",",G765)),"}]","")/100&amp;"%")</f>
        <v>荧幕争锋增伤+8.6%</v>
      </c>
      <c r="L765" s="83" t="str">
        <f ca="1">IF(MOD(COUNTIF($Q$11:Q764,Q764),5)=0,OFFSET(装备属性!$G$1083,1+INT(COUNTA($Q$11:Q764)/5),0),L764)</f>
        <v>关键开团Ⅲ</v>
      </c>
      <c r="M765" s="89" t="str">
        <f ca="1">IF(MOD(COUNTIF($Q$11:Q764,Q764),5)=0,OFFSET(装备属性!$H$1083,1+INT(COUNTA($Q$11:Q764)/5),0),M764)</f>
        <v>arena_pve_hit_rare</v>
      </c>
      <c r="N765" s="76">
        <f ca="1">IF(MOD(COUNTIF($Q$11:Q764,Q764),5)=0,OFFSET(装备属性!$K$1083,1+INT(COUNTA($Q$11:Q764)/5),0),N764)</f>
        <v>0.072</v>
      </c>
      <c r="O765" s="76">
        <f ca="1">IF(MOD(COUNTIF($Q$11:Q764,Q764),5)=0,OFFSET(装备属性!$L$1083,1+INT(COUNTA($Q$11:Q764)/5),0),O764)</f>
        <v>0.086</v>
      </c>
      <c r="Q765" s="89" t="str">
        <f ca="1">IF(MOD(COUNTIF($Q$11:Q764,Q764),5)=0,OFFSET(装备属性!$M$1083,1+INT(COUNTA($Q$11:Q764)/5),0),Q764)</f>
        <v>玩法类</v>
      </c>
      <c r="R765" s="83">
        <f ca="1">IF(MOD(COUNTIF($Q$11:Q764,Q764),5)=0,10000*SUBSTITUTE(SUBSTITUTE(OFFSET(装备属性!$F$1083,1+INT(COUNTA($Q$11:Q764)/5),0),"[",""),"]","")+_xlfn.XLOOKUP(C765,$M$3:$M$7,$N$3:$N$7)*100,R764)</f>
        <v>30600</v>
      </c>
    </row>
    <row r="766" customHeight="1" spans="1:18">
      <c r="A766" s="78" t="str">
        <f ca="1" t="shared" si="33"/>
        <v/>
      </c>
      <c r="B766" s="82" t="str">
        <f ca="1">IFERROR(R766+COUNTIFS($R$11:$R766,R766),"")</f>
        <v/>
      </c>
      <c r="C766" s="83">
        <f ca="1">IF(MOD(COUNTIF($Q$11:Q765,Q765),5)=0,OFFSET(装备属性!$D$1083,1+INT(COUNTA($Q$11:Q765)/5),0),C765)</f>
        <v>0</v>
      </c>
      <c r="D766" s="82">
        <f t="shared" si="35"/>
        <v>3000</v>
      </c>
      <c r="F766" s="82" t="str">
        <f ca="1" t="shared" si="34"/>
        <v/>
      </c>
      <c r="G766" s="78" t="str">
        <f ca="1">IF(AND(LEFT("[{"&amp;M766&amp;","&amp;CEILING(N766*10000+(O766-N766)/4*(COUNTIF($F$11:F766,F766)-1)*10000,10)&amp;"}]",7)="[{equip",MID("[{"&amp;M766&amp;","&amp;CEILING(N766*10000+(O766-N766)/4*(COUNTIF($F$11:F766,F766)-1)*10000,10)&amp;"}]",8,1)&lt;&gt;"_"),"[{"&amp;M766&amp;","&amp;1&amp;"}]","[{"&amp;M766&amp;","&amp;CEILING(N766*10000+(O766-N766)/4*(COUNTIF($F$11:F766,F766)-1)*10000,10)&amp;"}]")</f>
        <v>[{equip3_rune_slot,1}]</v>
      </c>
      <c r="H766" s="82" t="s">
        <v>563</v>
      </c>
      <c r="J766" s="78">
        <f ca="1">IF(MOD(COUNTIF($Q$11:Q765,Q765),5)=0,OFFSET(装备属性!$P$1083,1+INT(COUNTA($Q$11:Q765)/5),0),J765)</f>
        <v>6</v>
      </c>
      <c r="K766" s="83" t="str">
        <f ca="1">IF(RIGHT(G766,13)="rune_slot,1}]",_xlfn.XLOOKUP(LEFT(SUBSTITUTE(G766,"[{",""),FIND(",",SUBSTITUTE(G766,"[{",""))-1),Sheet2!B:B,Sheet2!C:C)&amp;"+"&amp;1,_xlfn.XLOOKUP(LEFT(SUBSTITUTE(G766,"[{",""),FIND(",",SUBSTITUTE(G766,"[{",""))-1),Sheet2!B:B,Sheet2!C:C)&amp;"+"&amp;SUBSTITUTE(RIGHT(G766,LEN(G766)-FIND(",",G766)),"}]","")/100&amp;"%")</f>
        <v>饰品符文孔位+1</v>
      </c>
      <c r="L766" s="83" t="str">
        <f ca="1">IF(MOD(COUNTIF($Q$11:Q765,Q765),5)=0,OFFSET(装备属性!$G$1083,1+INT(COUNTA($Q$11:Q765)/5),0),L765)</f>
        <v>扩符槽</v>
      </c>
      <c r="M766" s="89" t="str">
        <f ca="1">IF(MOD(COUNTIF($Q$11:Q765,Q765),5)=0,OFFSET(装备属性!$H$1083,1+INT(COUNTA($Q$11:Q765)/5),0),M765)</f>
        <v>equip3_rune_slot</v>
      </c>
      <c r="N766" s="76">
        <f ca="1">IF(MOD(COUNTIF($Q$11:Q765,Q765),5)=0,OFFSET(装备属性!$K$1083,1+INT(COUNTA($Q$11:Q765)/5),0),N765)</f>
        <v>1</v>
      </c>
      <c r="O766" s="76">
        <f ca="1">IF(MOD(COUNTIF($Q$11:Q765,Q765),5)=0,OFFSET(装备属性!$L$1083,1+INT(COUNTA($Q$11:Q765)/5),0),O765)</f>
        <v>1</v>
      </c>
      <c r="Q766" s="89" t="str">
        <f ca="1">IF(MOD(COUNTIF($Q$11:Q765,Q765),5)=0,OFFSET(装备属性!$M$1083,1+INT(COUNTA($Q$11:Q765)/5),0),Q765)</f>
        <v>稀有词条</v>
      </c>
      <c r="R766" s="83" t="e">
        <f ca="1">IF(MOD(COUNTIF($Q$11:Q765,Q765),5)=0,10000*SUBSTITUTE(SUBSTITUTE(OFFSET(装备属性!$F$1083,1+INT(COUNTA($Q$11:Q765)/5),0),"[",""),"]","")+_xlfn.XLOOKUP(C766,$M$3:$M$7,$N$3:$N$7)*100,R765)</f>
        <v>#N/A</v>
      </c>
    </row>
    <row r="767" customHeight="1" spans="1:18">
      <c r="A767" s="78" t="str">
        <f ca="1" t="shared" si="33"/>
        <v/>
      </c>
      <c r="B767" s="82" t="str">
        <f ca="1">IFERROR(R767+COUNTIFS($R$11:$R767,R767),"")</f>
        <v/>
      </c>
      <c r="C767" s="83">
        <f ca="1">IF(MOD(COUNTIF($Q$11:Q766,Q766),5)=0,OFFSET(装备属性!$D$1083,1+INT(COUNTA($Q$11:Q766)/5),0),C766)</f>
        <v>0</v>
      </c>
      <c r="D767" s="82">
        <f t="shared" si="35"/>
        <v>2500</v>
      </c>
      <c r="F767" s="82" t="str">
        <f ca="1" t="shared" si="34"/>
        <v/>
      </c>
      <c r="G767" s="78" t="str">
        <f ca="1">IF(AND(LEFT("[{"&amp;M767&amp;","&amp;CEILING(N767*10000+(O767-N767)/4*(COUNTIF($F$11:F767,F767)-1)*10000,10)&amp;"}]",7)="[{equip",MID("[{"&amp;M767&amp;","&amp;CEILING(N767*10000+(O767-N767)/4*(COUNTIF($F$11:F767,F767)-1)*10000,10)&amp;"}]",8,1)&lt;&gt;"_"),"[{"&amp;M767&amp;","&amp;1&amp;"}]","[{"&amp;M767&amp;","&amp;CEILING(N767*10000+(O767-N767)/4*(COUNTIF($F$11:F767,F767)-1)*10000,10)&amp;"}]")</f>
        <v>[{equip3_rune_slot,1}]</v>
      </c>
      <c r="H767" s="82" t="s">
        <v>563</v>
      </c>
      <c r="J767" s="78">
        <f ca="1">IF(MOD(COUNTIF($Q$11:Q766,Q766),5)=0,OFFSET(装备属性!$P$1083,1+INT(COUNTA($Q$11:Q766)/5),0),J766)</f>
        <v>6</v>
      </c>
      <c r="K767" s="83" t="str">
        <f ca="1">IF(RIGHT(G767,13)="rune_slot,1}]",_xlfn.XLOOKUP(LEFT(SUBSTITUTE(G767,"[{",""),FIND(",",SUBSTITUTE(G767,"[{",""))-1),Sheet2!B:B,Sheet2!C:C)&amp;"+"&amp;1,_xlfn.XLOOKUP(LEFT(SUBSTITUTE(G767,"[{",""),FIND(",",SUBSTITUTE(G767,"[{",""))-1),Sheet2!B:B,Sheet2!C:C)&amp;"+"&amp;SUBSTITUTE(RIGHT(G767,LEN(G767)-FIND(",",G767)),"}]","")/100&amp;"%")</f>
        <v>饰品符文孔位+1</v>
      </c>
      <c r="L767" s="83" t="str">
        <f ca="1">IF(MOD(COUNTIF($Q$11:Q766,Q766),5)=0,OFFSET(装备属性!$G$1083,1+INT(COUNTA($Q$11:Q766)/5),0),L766)</f>
        <v>扩符槽</v>
      </c>
      <c r="M767" s="89" t="str">
        <f ca="1">IF(MOD(COUNTIF($Q$11:Q766,Q766),5)=0,OFFSET(装备属性!$H$1083,1+INT(COUNTA($Q$11:Q766)/5),0),M766)</f>
        <v>equip3_rune_slot</v>
      </c>
      <c r="N767" s="76">
        <f ca="1">IF(MOD(COUNTIF($Q$11:Q766,Q766),5)=0,OFFSET(装备属性!$K$1083,1+INT(COUNTA($Q$11:Q766)/5),0),N766)</f>
        <v>1</v>
      </c>
      <c r="O767" s="76">
        <f ca="1">IF(MOD(COUNTIF($Q$11:Q766,Q766),5)=0,OFFSET(装备属性!$L$1083,1+INT(COUNTA($Q$11:Q766)/5),0),O766)</f>
        <v>1</v>
      </c>
      <c r="Q767" s="89" t="str">
        <f ca="1">IF(MOD(COUNTIF($Q$11:Q766,Q766),5)=0,OFFSET(装备属性!$M$1083,1+INT(COUNTA($Q$11:Q766)/5),0),Q766)</f>
        <v>稀有词条</v>
      </c>
      <c r="R767" s="83" t="e">
        <f ca="1">IF(MOD(COUNTIF($Q$11:Q766,Q766),5)=0,10000*SUBSTITUTE(SUBSTITUTE(OFFSET(装备属性!$F$1083,1+INT(COUNTA($Q$11:Q766)/5),0),"[",""),"]","")+_xlfn.XLOOKUP(C767,$M$3:$M$7,$N$3:$N$7)*100,R766)</f>
        <v>#N/A</v>
      </c>
    </row>
    <row r="768" customHeight="1" spans="1:18">
      <c r="A768" s="78" t="str">
        <f ca="1" t="shared" si="33"/>
        <v/>
      </c>
      <c r="B768" s="82" t="str">
        <f ca="1">IFERROR(R768+COUNTIFS($R$11:$R768,R768),"")</f>
        <v/>
      </c>
      <c r="C768" s="83">
        <f ca="1">IF(MOD(COUNTIF($Q$11:Q767,Q767),5)=0,OFFSET(装备属性!$D$1083,1+INT(COUNTA($Q$11:Q767)/5),0),C767)</f>
        <v>0</v>
      </c>
      <c r="D768" s="82">
        <f t="shared" si="35"/>
        <v>2000</v>
      </c>
      <c r="F768" s="82" t="str">
        <f ca="1" t="shared" si="34"/>
        <v/>
      </c>
      <c r="G768" s="78" t="str">
        <f ca="1">IF(AND(LEFT("[{"&amp;M768&amp;","&amp;CEILING(N768*10000+(O768-N768)/4*(COUNTIF($F$11:F768,F768)-1)*10000,10)&amp;"}]",7)="[{equip",MID("[{"&amp;M768&amp;","&amp;CEILING(N768*10000+(O768-N768)/4*(COUNTIF($F$11:F768,F768)-1)*10000,10)&amp;"}]",8,1)&lt;&gt;"_"),"[{"&amp;M768&amp;","&amp;1&amp;"}]","[{"&amp;M768&amp;","&amp;CEILING(N768*10000+(O768-N768)/4*(COUNTIF($F$11:F768,F768)-1)*10000,10)&amp;"}]")</f>
        <v>[{equip3_rune_slot,1}]</v>
      </c>
      <c r="H768" s="82" t="s">
        <v>563</v>
      </c>
      <c r="J768" s="78">
        <f ca="1">IF(MOD(COUNTIF($Q$11:Q767,Q767),5)=0,OFFSET(装备属性!$P$1083,1+INT(COUNTA($Q$11:Q767)/5),0),J767)</f>
        <v>6</v>
      </c>
      <c r="K768" s="83" t="str">
        <f ca="1">IF(RIGHT(G768,13)="rune_slot,1}]",_xlfn.XLOOKUP(LEFT(SUBSTITUTE(G768,"[{",""),FIND(",",SUBSTITUTE(G768,"[{",""))-1),Sheet2!B:B,Sheet2!C:C)&amp;"+"&amp;1,_xlfn.XLOOKUP(LEFT(SUBSTITUTE(G768,"[{",""),FIND(",",SUBSTITUTE(G768,"[{",""))-1),Sheet2!B:B,Sheet2!C:C)&amp;"+"&amp;SUBSTITUTE(RIGHT(G768,LEN(G768)-FIND(",",G768)),"}]","")/100&amp;"%")</f>
        <v>饰品符文孔位+1</v>
      </c>
      <c r="L768" s="83" t="str">
        <f ca="1">IF(MOD(COUNTIF($Q$11:Q767,Q767),5)=0,OFFSET(装备属性!$G$1083,1+INT(COUNTA($Q$11:Q767)/5),0),L767)</f>
        <v>扩符槽</v>
      </c>
      <c r="M768" s="89" t="str">
        <f ca="1">IF(MOD(COUNTIF($Q$11:Q767,Q767),5)=0,OFFSET(装备属性!$H$1083,1+INT(COUNTA($Q$11:Q767)/5),0),M767)</f>
        <v>equip3_rune_slot</v>
      </c>
      <c r="N768" s="76">
        <f ca="1">IF(MOD(COUNTIF($Q$11:Q767,Q767),5)=0,OFFSET(装备属性!$K$1083,1+INT(COUNTA($Q$11:Q767)/5),0),N767)</f>
        <v>1</v>
      </c>
      <c r="O768" s="76">
        <f ca="1">IF(MOD(COUNTIF($Q$11:Q767,Q767),5)=0,OFFSET(装备属性!$L$1083,1+INT(COUNTA($Q$11:Q767)/5),0),O767)</f>
        <v>1</v>
      </c>
      <c r="Q768" s="89" t="str">
        <f ca="1">IF(MOD(COUNTIF($Q$11:Q767,Q767),5)=0,OFFSET(装备属性!$M$1083,1+INT(COUNTA($Q$11:Q767)/5),0),Q767)</f>
        <v>稀有词条</v>
      </c>
      <c r="R768" s="83" t="e">
        <f ca="1">IF(MOD(COUNTIF($Q$11:Q767,Q767),5)=0,10000*SUBSTITUTE(SUBSTITUTE(OFFSET(装备属性!$F$1083,1+INT(COUNTA($Q$11:Q767)/5),0),"[",""),"]","")+_xlfn.XLOOKUP(C768,$M$3:$M$7,$N$3:$N$7)*100,R767)</f>
        <v>#N/A</v>
      </c>
    </row>
    <row r="769" customHeight="1" spans="1:18">
      <c r="A769" s="78" t="str">
        <f ca="1" t="shared" si="33"/>
        <v/>
      </c>
      <c r="B769" s="82" t="str">
        <f ca="1">IFERROR(R769+COUNTIFS($R$11:$R769,R769),"")</f>
        <v/>
      </c>
      <c r="C769" s="83">
        <f ca="1">IF(MOD(COUNTIF($Q$11:Q768,Q768),5)=0,OFFSET(装备属性!$D$1083,1+INT(COUNTA($Q$11:Q768)/5),0),C768)</f>
        <v>0</v>
      </c>
      <c r="D769" s="82">
        <f t="shared" si="35"/>
        <v>1500</v>
      </c>
      <c r="F769" s="82" t="str">
        <f ca="1" t="shared" si="34"/>
        <v/>
      </c>
      <c r="G769" s="78" t="str">
        <f ca="1">IF(AND(LEFT("[{"&amp;M769&amp;","&amp;CEILING(N769*10000+(O769-N769)/4*(COUNTIF($F$11:F769,F769)-1)*10000,10)&amp;"}]",7)="[{equip",MID("[{"&amp;M769&amp;","&amp;CEILING(N769*10000+(O769-N769)/4*(COUNTIF($F$11:F769,F769)-1)*10000,10)&amp;"}]",8,1)&lt;&gt;"_"),"[{"&amp;M769&amp;","&amp;1&amp;"}]","[{"&amp;M769&amp;","&amp;CEILING(N769*10000+(O769-N769)/4*(COUNTIF($F$11:F769,F769)-1)*10000,10)&amp;"}]")</f>
        <v>[{equip3_rune_slot,1}]</v>
      </c>
      <c r="H769" s="82" t="s">
        <v>563</v>
      </c>
      <c r="J769" s="78">
        <f ca="1">IF(MOD(COUNTIF($Q$11:Q768,Q768),5)=0,OFFSET(装备属性!$P$1083,1+INT(COUNTA($Q$11:Q768)/5),0),J768)</f>
        <v>6</v>
      </c>
      <c r="K769" s="83" t="str">
        <f ca="1">IF(RIGHT(G769,13)="rune_slot,1}]",_xlfn.XLOOKUP(LEFT(SUBSTITUTE(G769,"[{",""),FIND(",",SUBSTITUTE(G769,"[{",""))-1),Sheet2!B:B,Sheet2!C:C)&amp;"+"&amp;1,_xlfn.XLOOKUP(LEFT(SUBSTITUTE(G769,"[{",""),FIND(",",SUBSTITUTE(G769,"[{",""))-1),Sheet2!B:B,Sheet2!C:C)&amp;"+"&amp;SUBSTITUTE(RIGHT(G769,LEN(G769)-FIND(",",G769)),"}]","")/100&amp;"%")</f>
        <v>饰品符文孔位+1</v>
      </c>
      <c r="L769" s="83" t="str">
        <f ca="1">IF(MOD(COUNTIF($Q$11:Q768,Q768),5)=0,OFFSET(装备属性!$G$1083,1+INT(COUNTA($Q$11:Q768)/5),0),L768)</f>
        <v>扩符槽</v>
      </c>
      <c r="M769" s="89" t="str">
        <f ca="1">IF(MOD(COUNTIF($Q$11:Q768,Q768),5)=0,OFFSET(装备属性!$H$1083,1+INT(COUNTA($Q$11:Q768)/5),0),M768)</f>
        <v>equip3_rune_slot</v>
      </c>
      <c r="N769" s="76">
        <f ca="1">IF(MOD(COUNTIF($Q$11:Q768,Q768),5)=0,OFFSET(装备属性!$K$1083,1+INT(COUNTA($Q$11:Q768)/5),0),N768)</f>
        <v>1</v>
      </c>
      <c r="O769" s="76">
        <f ca="1">IF(MOD(COUNTIF($Q$11:Q768,Q768),5)=0,OFFSET(装备属性!$L$1083,1+INT(COUNTA($Q$11:Q768)/5),0),O768)</f>
        <v>1</v>
      </c>
      <c r="Q769" s="89" t="str">
        <f ca="1">IF(MOD(COUNTIF($Q$11:Q768,Q768),5)=0,OFFSET(装备属性!$M$1083,1+INT(COUNTA($Q$11:Q768)/5),0),Q768)</f>
        <v>稀有词条</v>
      </c>
      <c r="R769" s="83" t="e">
        <f ca="1">IF(MOD(COUNTIF($Q$11:Q768,Q768),5)=0,10000*SUBSTITUTE(SUBSTITUTE(OFFSET(装备属性!$F$1083,1+INT(COUNTA($Q$11:Q768)/5),0),"[",""),"]","")+_xlfn.XLOOKUP(C769,$M$3:$M$7,$N$3:$N$7)*100,R768)</f>
        <v>#N/A</v>
      </c>
    </row>
    <row r="770" customHeight="1" spans="1:18">
      <c r="A770" s="78" t="str">
        <f ca="1" t="shared" si="33"/>
        <v/>
      </c>
      <c r="B770" s="82" t="str">
        <f ca="1">IFERROR(R770+COUNTIFS($R$11:$R770,R770),"")</f>
        <v/>
      </c>
      <c r="C770" s="83">
        <f ca="1">IF(MOD(COUNTIF($Q$11:Q769,Q769),5)=0,OFFSET(装备属性!$D$1083,1+INT(COUNTA($Q$11:Q769)/5),0),C769)</f>
        <v>0</v>
      </c>
      <c r="D770" s="82">
        <f t="shared" si="35"/>
        <v>1000</v>
      </c>
      <c r="F770" s="82" t="str">
        <f ca="1" t="shared" si="34"/>
        <v/>
      </c>
      <c r="G770" s="78" t="str">
        <f ca="1">IF(AND(LEFT("[{"&amp;M770&amp;","&amp;CEILING(N770*10000+(O770-N770)/4*(COUNTIF($F$11:F770,F770)-1)*10000,10)&amp;"}]",7)="[{equip",MID("[{"&amp;M770&amp;","&amp;CEILING(N770*10000+(O770-N770)/4*(COUNTIF($F$11:F770,F770)-1)*10000,10)&amp;"}]",8,1)&lt;&gt;"_"),"[{"&amp;M770&amp;","&amp;1&amp;"}]","[{"&amp;M770&amp;","&amp;CEILING(N770*10000+(O770-N770)/4*(COUNTIF($F$11:F770,F770)-1)*10000,10)&amp;"}]")</f>
        <v>[{equip3_rune_slot,1}]</v>
      </c>
      <c r="H770" s="82" t="s">
        <v>563</v>
      </c>
      <c r="J770" s="78">
        <f ca="1">IF(MOD(COUNTIF($Q$11:Q769,Q769),5)=0,OFFSET(装备属性!$P$1083,1+INT(COUNTA($Q$11:Q769)/5),0),J769)</f>
        <v>6</v>
      </c>
      <c r="K770" s="83" t="str">
        <f ca="1">IF(RIGHT(G770,13)="rune_slot,1}]",_xlfn.XLOOKUP(LEFT(SUBSTITUTE(G770,"[{",""),FIND(",",SUBSTITUTE(G770,"[{",""))-1),Sheet2!B:B,Sheet2!C:C)&amp;"+"&amp;1,_xlfn.XLOOKUP(LEFT(SUBSTITUTE(G770,"[{",""),FIND(",",SUBSTITUTE(G770,"[{",""))-1),Sheet2!B:B,Sheet2!C:C)&amp;"+"&amp;SUBSTITUTE(RIGHT(G770,LEN(G770)-FIND(",",G770)),"}]","")/100&amp;"%")</f>
        <v>饰品符文孔位+1</v>
      </c>
      <c r="L770" s="83" t="str">
        <f ca="1">IF(MOD(COUNTIF($Q$11:Q769,Q769),5)=0,OFFSET(装备属性!$G$1083,1+INT(COUNTA($Q$11:Q769)/5),0),L769)</f>
        <v>扩符槽</v>
      </c>
      <c r="M770" s="89" t="str">
        <f ca="1">IF(MOD(COUNTIF($Q$11:Q769,Q769),5)=0,OFFSET(装备属性!$H$1083,1+INT(COUNTA($Q$11:Q769)/5),0),M769)</f>
        <v>equip3_rune_slot</v>
      </c>
      <c r="N770" s="76">
        <f ca="1">IF(MOD(COUNTIF($Q$11:Q769,Q769),5)=0,OFFSET(装备属性!$K$1083,1+INT(COUNTA($Q$11:Q769)/5),0),N769)</f>
        <v>1</v>
      </c>
      <c r="O770" s="76">
        <f ca="1">IF(MOD(COUNTIF($Q$11:Q769,Q769),5)=0,OFFSET(装备属性!$L$1083,1+INT(COUNTA($Q$11:Q769)/5),0),O769)</f>
        <v>1</v>
      </c>
      <c r="Q770" s="89" t="str">
        <f ca="1">IF(MOD(COUNTIF($Q$11:Q769,Q769),5)=0,OFFSET(装备属性!$M$1083,1+INT(COUNTA($Q$11:Q769)/5),0),Q769)</f>
        <v>稀有词条</v>
      </c>
      <c r="R770" s="83" t="e">
        <f ca="1">IF(MOD(COUNTIF($Q$11:Q769,Q769),5)=0,10000*SUBSTITUTE(SUBSTITUTE(OFFSET(装备属性!$F$1083,1+INT(COUNTA($Q$11:Q769)/5),0),"[",""),"]","")+_xlfn.XLOOKUP(C770,$M$3:$M$7,$N$3:$N$7)*100,R769)</f>
        <v>#N/A</v>
      </c>
    </row>
    <row r="771" customHeight="1" spans="1:18">
      <c r="A771" s="78">
        <f ca="1" t="shared" si="33"/>
        <v>30601</v>
      </c>
      <c r="B771" s="82">
        <f ca="1">IFERROR(R771+COUNTIFS($R$11:$R771,R771),"")</f>
        <v>30616</v>
      </c>
      <c r="C771" s="83" t="str">
        <f ca="1">IF(MOD(COUNTIF($Q$11:Q770,Q770),5)=0,OFFSET(装备属性!$D$1083,1+INT(COUNTA($Q$11:Q770)/5),0),C770)</f>
        <v>红</v>
      </c>
      <c r="D771" s="82">
        <f t="shared" si="35"/>
        <v>3000</v>
      </c>
      <c r="F771" s="82">
        <f ca="1" t="shared" si="34"/>
        <v>30603</v>
      </c>
      <c r="G771" s="78" t="str">
        <f ca="1">IF(AND(LEFT("[{"&amp;M771&amp;","&amp;CEILING(N771*10000+(O771-N771)/4*(COUNTIF($F$11:F771,F771)-1)*10000,10)&amp;"}]",7)="[{equip",MID("[{"&amp;M771&amp;","&amp;CEILING(N771*10000+(O771-N771)/4*(COUNTIF($F$11:F771,F771)-1)*10000,10)&amp;"}]",8,1)&lt;&gt;"_"),"[{"&amp;M771&amp;","&amp;1&amp;"}]","[{"&amp;M771&amp;","&amp;CEILING(N771*10000+(O771-N771)/4*(COUNTIF($F$11:F771,F771)-1)*10000,10)&amp;"}]")</f>
        <v>[{hunter_dmg_red_rate,250}]</v>
      </c>
      <c r="H771" s="82" t="s">
        <v>563</v>
      </c>
      <c r="J771" s="78">
        <f ca="1">IF(MOD(COUNTIF($Q$11:Q770,Q770),5)=0,OFFSET(装备属性!$P$1083,1+INT(COUNTA($Q$11:Q770)/5),0),J770)</f>
        <v>5</v>
      </c>
      <c r="K771" s="83" t="str">
        <f ca="1">IF(RIGHT(G771,13)="rune_slot,1}]",_xlfn.XLOOKUP(LEFT(SUBSTITUTE(G771,"[{",""),FIND(",",SUBSTITUTE(G771,"[{",""))-1),Sheet2!B:B,Sheet2!C:C)&amp;"+"&amp;1,_xlfn.XLOOKUP(LEFT(SUBSTITUTE(G771,"[{",""),FIND(",",SUBSTITUTE(G771,"[{",""))-1),Sheet2!B:B,Sheet2!C:C)&amp;"+"&amp;SUBSTITUTE(RIGHT(G771,LEN(G771)-FIND(",",G771)),"}]","")/100&amp;"%")</f>
        <v>射手伤害减免+2.5%</v>
      </c>
      <c r="L771" s="83" t="str">
        <f ca="1">IF(MOD(COUNTIF($Q$11:Q770,Q770),5)=0,OFFSET(装备属性!$G$1083,1+INT(COUNTA($Q$11:Q770)/5),0),L770)</f>
        <v>远程躲伤Ⅲ</v>
      </c>
      <c r="M771" s="89" t="str">
        <f ca="1">IF(MOD(COUNTIF($Q$11:Q770,Q770),5)=0,OFFSET(装备属性!$H$1083,1+INT(COUNTA($Q$11:Q770)/5),0),M770)</f>
        <v>hunter_dmg_red_rate</v>
      </c>
      <c r="N771" s="76">
        <f ca="1">IF(MOD(COUNTIF($Q$11:Q770,Q770),5)=0,OFFSET(装备属性!$K$1083,1+INT(COUNTA($Q$11:Q770)/5),0),N770)</f>
        <v>0.025</v>
      </c>
      <c r="O771" s="76">
        <f ca="1">IF(MOD(COUNTIF($Q$11:Q770,Q770),5)=0,OFFSET(装备属性!$L$1083,1+INT(COUNTA($Q$11:Q770)/5),0),O770)</f>
        <v>0.029</v>
      </c>
      <c r="Q771" s="89" t="str">
        <f ca="1">IF(MOD(COUNTIF($Q$11:Q770,Q770),5)=0,OFFSET(装备属性!$M$1083,1+INT(COUNTA($Q$11:Q770)/5),0),Q770)</f>
        <v>通用属性</v>
      </c>
      <c r="R771" s="83">
        <f ca="1">IF(MOD(COUNTIF($Q$11:Q770,Q770),5)=0,10000*SUBSTITUTE(SUBSTITUTE(OFFSET(装备属性!$F$1083,1+INT(COUNTA($Q$11:Q770)/5),0),"[",""),"]","")+_xlfn.XLOOKUP(C771,$M$3:$M$7,$N$3:$N$7)*100,R770)</f>
        <v>30600</v>
      </c>
    </row>
    <row r="772" customHeight="1" spans="1:18">
      <c r="A772" s="78">
        <f ca="1" t="shared" si="33"/>
        <v>30601</v>
      </c>
      <c r="B772" s="82">
        <f ca="1">IFERROR(R772+COUNTIFS($R$11:$R772,R772),"")</f>
        <v>30617</v>
      </c>
      <c r="C772" s="83" t="str">
        <f ca="1">IF(MOD(COUNTIF($Q$11:Q771,Q771),5)=0,OFFSET(装备属性!$D$1083,1+INT(COUNTA($Q$11:Q771)/5),0),C771)</f>
        <v>红</v>
      </c>
      <c r="D772" s="82">
        <f t="shared" si="35"/>
        <v>2500</v>
      </c>
      <c r="F772" s="82">
        <f ca="1" t="shared" si="34"/>
        <v>30603</v>
      </c>
      <c r="G772" s="78" t="str">
        <f ca="1">IF(AND(LEFT("[{"&amp;M772&amp;","&amp;CEILING(N772*10000+(O772-N772)/4*(COUNTIF($F$11:F772,F772)-1)*10000,10)&amp;"}]",7)="[{equip",MID("[{"&amp;M772&amp;","&amp;CEILING(N772*10000+(O772-N772)/4*(COUNTIF($F$11:F772,F772)-1)*10000,10)&amp;"}]",8,1)&lt;&gt;"_"),"[{"&amp;M772&amp;","&amp;1&amp;"}]","[{"&amp;M772&amp;","&amp;CEILING(N772*10000+(O772-N772)/4*(COUNTIF($F$11:F772,F772)-1)*10000,10)&amp;"}]")</f>
        <v>[{hunter_dmg_red_rate,260}]</v>
      </c>
      <c r="H772" s="82" t="s">
        <v>563</v>
      </c>
      <c r="J772" s="78">
        <f ca="1">IF(MOD(COUNTIF($Q$11:Q771,Q771),5)=0,OFFSET(装备属性!$P$1083,1+INT(COUNTA($Q$11:Q771)/5),0),J771)</f>
        <v>5</v>
      </c>
      <c r="K772" s="83" t="str">
        <f ca="1">IF(RIGHT(G772,13)="rune_slot,1}]",_xlfn.XLOOKUP(LEFT(SUBSTITUTE(G772,"[{",""),FIND(",",SUBSTITUTE(G772,"[{",""))-1),Sheet2!B:B,Sheet2!C:C)&amp;"+"&amp;1,_xlfn.XLOOKUP(LEFT(SUBSTITUTE(G772,"[{",""),FIND(",",SUBSTITUTE(G772,"[{",""))-1),Sheet2!B:B,Sheet2!C:C)&amp;"+"&amp;SUBSTITUTE(RIGHT(G772,LEN(G772)-FIND(",",G772)),"}]","")/100&amp;"%")</f>
        <v>射手伤害减免+2.6%</v>
      </c>
      <c r="L772" s="83" t="str">
        <f ca="1">IF(MOD(COUNTIF($Q$11:Q771,Q771),5)=0,OFFSET(装备属性!$G$1083,1+INT(COUNTA($Q$11:Q771)/5),0),L771)</f>
        <v>远程躲伤Ⅲ</v>
      </c>
      <c r="M772" s="89" t="str">
        <f ca="1">IF(MOD(COUNTIF($Q$11:Q771,Q771),5)=0,OFFSET(装备属性!$H$1083,1+INT(COUNTA($Q$11:Q771)/5),0),M771)</f>
        <v>hunter_dmg_red_rate</v>
      </c>
      <c r="N772" s="76">
        <f ca="1">IF(MOD(COUNTIF($Q$11:Q771,Q771),5)=0,OFFSET(装备属性!$K$1083,1+INT(COUNTA($Q$11:Q771)/5),0),N771)</f>
        <v>0.025</v>
      </c>
      <c r="O772" s="76">
        <f ca="1">IF(MOD(COUNTIF($Q$11:Q771,Q771),5)=0,OFFSET(装备属性!$L$1083,1+INT(COUNTA($Q$11:Q771)/5),0),O771)</f>
        <v>0.029</v>
      </c>
      <c r="Q772" s="89" t="str">
        <f ca="1">IF(MOD(COUNTIF($Q$11:Q771,Q771),5)=0,OFFSET(装备属性!$M$1083,1+INT(COUNTA($Q$11:Q771)/5),0),Q771)</f>
        <v>通用属性</v>
      </c>
      <c r="R772" s="83">
        <f ca="1">IF(MOD(COUNTIF($Q$11:Q771,Q771),5)=0,10000*SUBSTITUTE(SUBSTITUTE(OFFSET(装备属性!$F$1083,1+INT(COUNTA($Q$11:Q771)/5),0),"[",""),"]","")+_xlfn.XLOOKUP(C772,$M$3:$M$7,$N$3:$N$7)*100,R771)</f>
        <v>30600</v>
      </c>
    </row>
    <row r="773" customHeight="1" spans="1:18">
      <c r="A773" s="78">
        <f ca="1" t="shared" si="33"/>
        <v>30601</v>
      </c>
      <c r="B773" s="82">
        <f ca="1">IFERROR(R773+COUNTIFS($R$11:$R773,R773),"")</f>
        <v>30618</v>
      </c>
      <c r="C773" s="83" t="str">
        <f ca="1">IF(MOD(COUNTIF($Q$11:Q772,Q772),5)=0,OFFSET(装备属性!$D$1083,1+INT(COUNTA($Q$11:Q772)/5),0),C772)</f>
        <v>红</v>
      </c>
      <c r="D773" s="82">
        <f t="shared" si="35"/>
        <v>2000</v>
      </c>
      <c r="F773" s="82">
        <f ca="1" t="shared" si="34"/>
        <v>30603</v>
      </c>
      <c r="G773" s="78" t="str">
        <f ca="1">IF(AND(LEFT("[{"&amp;M773&amp;","&amp;CEILING(N773*10000+(O773-N773)/4*(COUNTIF($F$11:F773,F773)-1)*10000,10)&amp;"}]",7)="[{equip",MID("[{"&amp;M773&amp;","&amp;CEILING(N773*10000+(O773-N773)/4*(COUNTIF($F$11:F773,F773)-1)*10000,10)&amp;"}]",8,1)&lt;&gt;"_"),"[{"&amp;M773&amp;","&amp;1&amp;"}]","[{"&amp;M773&amp;","&amp;CEILING(N773*10000+(O773-N773)/4*(COUNTIF($F$11:F773,F773)-1)*10000,10)&amp;"}]")</f>
        <v>[{hunter_dmg_red_rate,270}]</v>
      </c>
      <c r="H773" s="82" t="s">
        <v>563</v>
      </c>
      <c r="J773" s="78">
        <f ca="1">IF(MOD(COUNTIF($Q$11:Q772,Q772),5)=0,OFFSET(装备属性!$P$1083,1+INT(COUNTA($Q$11:Q772)/5),0),J772)</f>
        <v>5</v>
      </c>
      <c r="K773" s="83" t="str">
        <f ca="1">IF(RIGHT(G773,13)="rune_slot,1}]",_xlfn.XLOOKUP(LEFT(SUBSTITUTE(G773,"[{",""),FIND(",",SUBSTITUTE(G773,"[{",""))-1),Sheet2!B:B,Sheet2!C:C)&amp;"+"&amp;1,_xlfn.XLOOKUP(LEFT(SUBSTITUTE(G773,"[{",""),FIND(",",SUBSTITUTE(G773,"[{",""))-1),Sheet2!B:B,Sheet2!C:C)&amp;"+"&amp;SUBSTITUTE(RIGHT(G773,LEN(G773)-FIND(",",G773)),"}]","")/100&amp;"%")</f>
        <v>射手伤害减免+2.7%</v>
      </c>
      <c r="L773" s="83" t="str">
        <f ca="1">IF(MOD(COUNTIF($Q$11:Q772,Q772),5)=0,OFFSET(装备属性!$G$1083,1+INT(COUNTA($Q$11:Q772)/5),0),L772)</f>
        <v>远程躲伤Ⅲ</v>
      </c>
      <c r="M773" s="89" t="str">
        <f ca="1">IF(MOD(COUNTIF($Q$11:Q772,Q772),5)=0,OFFSET(装备属性!$H$1083,1+INT(COUNTA($Q$11:Q772)/5),0),M772)</f>
        <v>hunter_dmg_red_rate</v>
      </c>
      <c r="N773" s="76">
        <f ca="1">IF(MOD(COUNTIF($Q$11:Q772,Q772),5)=0,OFFSET(装备属性!$K$1083,1+INT(COUNTA($Q$11:Q772)/5),0),N772)</f>
        <v>0.025</v>
      </c>
      <c r="O773" s="76">
        <f ca="1">IF(MOD(COUNTIF($Q$11:Q772,Q772),5)=0,OFFSET(装备属性!$L$1083,1+INT(COUNTA($Q$11:Q772)/5),0),O772)</f>
        <v>0.029</v>
      </c>
      <c r="Q773" s="89" t="str">
        <f ca="1">IF(MOD(COUNTIF($Q$11:Q772,Q772),5)=0,OFFSET(装备属性!$M$1083,1+INT(COUNTA($Q$11:Q772)/5),0),Q772)</f>
        <v>通用属性</v>
      </c>
      <c r="R773" s="83">
        <f ca="1">IF(MOD(COUNTIF($Q$11:Q772,Q772),5)=0,10000*SUBSTITUTE(SUBSTITUTE(OFFSET(装备属性!$F$1083,1+INT(COUNTA($Q$11:Q772)/5),0),"[",""),"]","")+_xlfn.XLOOKUP(C773,$M$3:$M$7,$N$3:$N$7)*100,R772)</f>
        <v>30600</v>
      </c>
    </row>
    <row r="774" customHeight="1" spans="1:18">
      <c r="A774" s="78">
        <f ca="1" t="shared" si="33"/>
        <v>30601</v>
      </c>
      <c r="B774" s="82">
        <f ca="1">IFERROR(R774+COUNTIFS($R$11:$R774,R774),"")</f>
        <v>30619</v>
      </c>
      <c r="C774" s="83" t="str">
        <f ca="1">IF(MOD(COUNTIF($Q$11:Q773,Q773),5)=0,OFFSET(装备属性!$D$1083,1+INT(COUNTA($Q$11:Q773)/5),0),C773)</f>
        <v>红</v>
      </c>
      <c r="D774" s="82">
        <f t="shared" si="35"/>
        <v>1500</v>
      </c>
      <c r="F774" s="82">
        <f ca="1" t="shared" si="34"/>
        <v>30603</v>
      </c>
      <c r="G774" s="78" t="str">
        <f ca="1">IF(AND(LEFT("[{"&amp;M774&amp;","&amp;CEILING(N774*10000+(O774-N774)/4*(COUNTIF($F$11:F774,F774)-1)*10000,10)&amp;"}]",7)="[{equip",MID("[{"&amp;M774&amp;","&amp;CEILING(N774*10000+(O774-N774)/4*(COUNTIF($F$11:F774,F774)-1)*10000,10)&amp;"}]",8,1)&lt;&gt;"_"),"[{"&amp;M774&amp;","&amp;1&amp;"}]","[{"&amp;M774&amp;","&amp;CEILING(N774*10000+(O774-N774)/4*(COUNTIF($F$11:F774,F774)-1)*10000,10)&amp;"}]")</f>
        <v>[{hunter_dmg_red_rate,280}]</v>
      </c>
      <c r="H774" s="82" t="s">
        <v>563</v>
      </c>
      <c r="J774" s="78">
        <f ca="1">IF(MOD(COUNTIF($Q$11:Q773,Q773),5)=0,OFFSET(装备属性!$P$1083,1+INT(COUNTA($Q$11:Q773)/5),0),J773)</f>
        <v>5</v>
      </c>
      <c r="K774" s="83" t="str">
        <f ca="1">IF(RIGHT(G774,13)="rune_slot,1}]",_xlfn.XLOOKUP(LEFT(SUBSTITUTE(G774,"[{",""),FIND(",",SUBSTITUTE(G774,"[{",""))-1),Sheet2!B:B,Sheet2!C:C)&amp;"+"&amp;1,_xlfn.XLOOKUP(LEFT(SUBSTITUTE(G774,"[{",""),FIND(",",SUBSTITUTE(G774,"[{",""))-1),Sheet2!B:B,Sheet2!C:C)&amp;"+"&amp;SUBSTITUTE(RIGHT(G774,LEN(G774)-FIND(",",G774)),"}]","")/100&amp;"%")</f>
        <v>射手伤害减免+2.8%</v>
      </c>
      <c r="L774" s="83" t="str">
        <f ca="1">IF(MOD(COUNTIF($Q$11:Q773,Q773),5)=0,OFFSET(装备属性!$G$1083,1+INT(COUNTA($Q$11:Q773)/5),0),L773)</f>
        <v>远程躲伤Ⅲ</v>
      </c>
      <c r="M774" s="89" t="str">
        <f ca="1">IF(MOD(COUNTIF($Q$11:Q773,Q773),5)=0,OFFSET(装备属性!$H$1083,1+INT(COUNTA($Q$11:Q773)/5),0),M773)</f>
        <v>hunter_dmg_red_rate</v>
      </c>
      <c r="N774" s="76">
        <f ca="1">IF(MOD(COUNTIF($Q$11:Q773,Q773),5)=0,OFFSET(装备属性!$K$1083,1+INT(COUNTA($Q$11:Q773)/5),0),N773)</f>
        <v>0.025</v>
      </c>
      <c r="O774" s="76">
        <f ca="1">IF(MOD(COUNTIF($Q$11:Q773,Q773),5)=0,OFFSET(装备属性!$L$1083,1+INT(COUNTA($Q$11:Q773)/5),0),O773)</f>
        <v>0.029</v>
      </c>
      <c r="Q774" s="89" t="str">
        <f ca="1">IF(MOD(COUNTIF($Q$11:Q773,Q773),5)=0,OFFSET(装备属性!$M$1083,1+INT(COUNTA($Q$11:Q773)/5),0),Q773)</f>
        <v>通用属性</v>
      </c>
      <c r="R774" s="83">
        <f ca="1">IF(MOD(COUNTIF($Q$11:Q773,Q773),5)=0,10000*SUBSTITUTE(SUBSTITUTE(OFFSET(装备属性!$F$1083,1+INT(COUNTA($Q$11:Q773)/5),0),"[",""),"]","")+_xlfn.XLOOKUP(C774,$M$3:$M$7,$N$3:$N$7)*100,R773)</f>
        <v>30600</v>
      </c>
    </row>
    <row r="775" customHeight="1" spans="1:18">
      <c r="A775" s="78">
        <f ca="1" t="shared" si="33"/>
        <v>30601</v>
      </c>
      <c r="B775" s="82">
        <f ca="1">IFERROR(R775+COUNTIFS($R$11:$R775,R775),"")</f>
        <v>30620</v>
      </c>
      <c r="C775" s="83" t="str">
        <f ca="1">IF(MOD(COUNTIF($Q$11:Q774,Q774),5)=0,OFFSET(装备属性!$D$1083,1+INT(COUNTA($Q$11:Q774)/5),0),C774)</f>
        <v>红</v>
      </c>
      <c r="D775" s="82">
        <f t="shared" si="35"/>
        <v>1000</v>
      </c>
      <c r="F775" s="82">
        <f ca="1" t="shared" si="34"/>
        <v>30603</v>
      </c>
      <c r="G775" s="78" t="str">
        <f ca="1">IF(AND(LEFT("[{"&amp;M775&amp;","&amp;CEILING(N775*10000+(O775-N775)/4*(COUNTIF($F$11:F775,F775)-1)*10000,10)&amp;"}]",7)="[{equip",MID("[{"&amp;M775&amp;","&amp;CEILING(N775*10000+(O775-N775)/4*(COUNTIF($F$11:F775,F775)-1)*10000,10)&amp;"}]",8,1)&lt;&gt;"_"),"[{"&amp;M775&amp;","&amp;1&amp;"}]","[{"&amp;M775&amp;","&amp;CEILING(N775*10000+(O775-N775)/4*(COUNTIF($F$11:F775,F775)-1)*10000,10)&amp;"}]")</f>
        <v>[{hunter_dmg_red_rate,290}]</v>
      </c>
      <c r="H775" s="82" t="s">
        <v>563</v>
      </c>
      <c r="J775" s="78">
        <f ca="1">IF(MOD(COUNTIF($Q$11:Q774,Q774),5)=0,OFFSET(装备属性!$P$1083,1+INT(COUNTA($Q$11:Q774)/5),0),J774)</f>
        <v>5</v>
      </c>
      <c r="K775" s="83" t="str">
        <f ca="1">IF(RIGHT(G775,13)="rune_slot,1}]",_xlfn.XLOOKUP(LEFT(SUBSTITUTE(G775,"[{",""),FIND(",",SUBSTITUTE(G775,"[{",""))-1),Sheet2!B:B,Sheet2!C:C)&amp;"+"&amp;1,_xlfn.XLOOKUP(LEFT(SUBSTITUTE(G775,"[{",""),FIND(",",SUBSTITUTE(G775,"[{",""))-1),Sheet2!B:B,Sheet2!C:C)&amp;"+"&amp;SUBSTITUTE(RIGHT(G775,LEN(G775)-FIND(",",G775)),"}]","")/100&amp;"%")</f>
        <v>射手伤害减免+2.9%</v>
      </c>
      <c r="L775" s="83" t="str">
        <f ca="1">IF(MOD(COUNTIF($Q$11:Q774,Q774),5)=0,OFFSET(装备属性!$G$1083,1+INT(COUNTA($Q$11:Q774)/5),0),L774)</f>
        <v>远程躲伤Ⅲ</v>
      </c>
      <c r="M775" s="89" t="str">
        <f ca="1">IF(MOD(COUNTIF($Q$11:Q774,Q774),5)=0,OFFSET(装备属性!$H$1083,1+INT(COUNTA($Q$11:Q774)/5),0),M774)</f>
        <v>hunter_dmg_red_rate</v>
      </c>
      <c r="N775" s="76">
        <f ca="1">IF(MOD(COUNTIF($Q$11:Q774,Q774),5)=0,OFFSET(装备属性!$K$1083,1+INT(COUNTA($Q$11:Q774)/5),0),N774)</f>
        <v>0.025</v>
      </c>
      <c r="O775" s="76">
        <f ca="1">IF(MOD(COUNTIF($Q$11:Q774,Q774),5)=0,OFFSET(装备属性!$L$1083,1+INT(COUNTA($Q$11:Q774)/5),0),O774)</f>
        <v>0.029</v>
      </c>
      <c r="Q775" s="89" t="str">
        <f ca="1">IF(MOD(COUNTIF($Q$11:Q774,Q774),5)=0,OFFSET(装备属性!$M$1083,1+INT(COUNTA($Q$11:Q774)/5),0),Q774)</f>
        <v>通用属性</v>
      </c>
      <c r="R775" s="83">
        <f ca="1">IF(MOD(COUNTIF($Q$11:Q774,Q774),5)=0,10000*SUBSTITUTE(SUBSTITUTE(OFFSET(装备属性!$F$1083,1+INT(COUNTA($Q$11:Q774)/5),0),"[",""),"]","")+_xlfn.XLOOKUP(C775,$M$3:$M$7,$N$3:$N$7)*100,R774)</f>
        <v>30600</v>
      </c>
    </row>
    <row r="776" customHeight="1" spans="1:18">
      <c r="A776" s="78">
        <f ca="1" t="shared" si="33"/>
        <v>30601</v>
      </c>
      <c r="B776" s="82">
        <f ca="1">IFERROR(R776+COUNTIFS($R$11:$R776,R776),"")</f>
        <v>30621</v>
      </c>
      <c r="C776" s="83" t="str">
        <f ca="1">IF(MOD(COUNTIF($Q$11:Q775,Q775),5)=0,OFFSET(装备属性!$D$1083,1+INT(COUNTA($Q$11:Q775)/5),0),C775)</f>
        <v>红</v>
      </c>
      <c r="D776" s="82">
        <f t="shared" si="35"/>
        <v>3000</v>
      </c>
      <c r="F776" s="82">
        <f ca="1" t="shared" si="34"/>
        <v>30604</v>
      </c>
      <c r="G776" s="78" t="str">
        <f ca="1">IF(AND(LEFT("[{"&amp;M776&amp;","&amp;CEILING(N776*10000+(O776-N776)/4*(COUNTIF($F$11:F776,F776)-1)*10000,10)&amp;"}]",7)="[{equip",MID("[{"&amp;M776&amp;","&amp;CEILING(N776*10000+(O776-N776)/4*(COUNTIF($F$11:F776,F776)-1)*10000,10)&amp;"}]",8,1)&lt;&gt;"_"),"[{"&amp;M776&amp;","&amp;1&amp;"}]","[{"&amp;M776&amp;","&amp;CEILING(N776*10000+(O776-N776)/4*(COUNTIF($F$11:F776,F776)-1)*10000,10)&amp;"}]")</f>
        <v>[{hunter_dmg_rate,720}]</v>
      </c>
      <c r="H776" s="82" t="s">
        <v>563</v>
      </c>
      <c r="J776" s="78">
        <f ca="1">IF(MOD(COUNTIF($Q$11:Q775,Q775),5)=0,OFFSET(装备属性!$P$1083,1+INT(COUNTA($Q$11:Q775)/5),0),J775)</f>
        <v>3</v>
      </c>
      <c r="K776" s="83" t="str">
        <f ca="1">IF(RIGHT(G776,13)="rune_slot,1}]",_xlfn.XLOOKUP(LEFT(SUBSTITUTE(G776,"[{",""),FIND(",",SUBSTITUTE(G776,"[{",""))-1),Sheet2!B:B,Sheet2!C:C)&amp;"+"&amp;1,_xlfn.XLOOKUP(LEFT(SUBSTITUTE(G776,"[{",""),FIND(",",SUBSTITUTE(G776,"[{",""))-1),Sheet2!B:B,Sheet2!C:C)&amp;"+"&amp;SUBSTITUTE(RIGHT(G776,LEN(G776)-FIND(",",G776)),"}]","")/100&amp;"%")</f>
        <v>射手伤害+7.2%</v>
      </c>
      <c r="L776" s="83" t="str">
        <f ca="1">IF(MOD(COUNTIF($Q$11:Q775,Q775),5)=0,OFFSET(装备属性!$G$1083,1+INT(COUNTA($Q$11:Q775)/5),0),L775)</f>
        <v>远程喂饭Ⅲ</v>
      </c>
      <c r="M776" s="89" t="str">
        <f ca="1">IF(MOD(COUNTIF($Q$11:Q775,Q775),5)=0,OFFSET(装备属性!$H$1083,1+INT(COUNTA($Q$11:Q775)/5),0),M775)</f>
        <v>hunter_dmg_rate</v>
      </c>
      <c r="N776" s="76">
        <f ca="1">IF(MOD(COUNTIF($Q$11:Q775,Q775),5)=0,OFFSET(装备属性!$K$1083,1+INT(COUNTA($Q$11:Q775)/5),0),N775)</f>
        <v>0.072</v>
      </c>
      <c r="O776" s="76">
        <f ca="1">IF(MOD(COUNTIF($Q$11:Q775,Q775),5)=0,OFFSET(装备属性!$L$1083,1+INT(COUNTA($Q$11:Q775)/5),0),O775)</f>
        <v>0.086</v>
      </c>
      <c r="Q776" s="89" t="str">
        <f ca="1">IF(MOD(COUNTIF($Q$11:Q775,Q775),5)=0,OFFSET(装备属性!$M$1083,1+INT(COUNTA($Q$11:Q775)/5),0),Q775)</f>
        <v>通用属性</v>
      </c>
      <c r="R776" s="83">
        <f ca="1">IF(MOD(COUNTIF($Q$11:Q775,Q775),5)=0,10000*SUBSTITUTE(SUBSTITUTE(OFFSET(装备属性!$F$1083,1+INT(COUNTA($Q$11:Q775)/5),0),"[",""),"]","")+_xlfn.XLOOKUP(C776,$M$3:$M$7,$N$3:$N$7)*100,R775)</f>
        <v>30600</v>
      </c>
    </row>
    <row r="777" customHeight="1" spans="1:18">
      <c r="A777" s="78">
        <f ca="1" t="shared" si="33"/>
        <v>30601</v>
      </c>
      <c r="B777" s="82">
        <f ca="1">IFERROR(R777+COUNTIFS($R$11:$R777,R777),"")</f>
        <v>30622</v>
      </c>
      <c r="C777" s="83" t="str">
        <f ca="1">IF(MOD(COUNTIF($Q$11:Q776,Q776),5)=0,OFFSET(装备属性!$D$1083,1+INT(COUNTA($Q$11:Q776)/5),0),C776)</f>
        <v>红</v>
      </c>
      <c r="D777" s="82">
        <f t="shared" si="35"/>
        <v>2500</v>
      </c>
      <c r="F777" s="82">
        <f ca="1" t="shared" si="34"/>
        <v>30604</v>
      </c>
      <c r="G777" s="78" t="str">
        <f ca="1">IF(AND(LEFT("[{"&amp;M777&amp;","&amp;CEILING(N777*10000+(O777-N777)/4*(COUNTIF($F$11:F777,F777)-1)*10000,10)&amp;"}]",7)="[{equip",MID("[{"&amp;M777&amp;","&amp;CEILING(N777*10000+(O777-N777)/4*(COUNTIF($F$11:F777,F777)-1)*10000,10)&amp;"}]",8,1)&lt;&gt;"_"),"[{"&amp;M777&amp;","&amp;1&amp;"}]","[{"&amp;M777&amp;","&amp;CEILING(N777*10000+(O777-N777)/4*(COUNTIF($F$11:F777,F777)-1)*10000,10)&amp;"}]")</f>
        <v>[{hunter_dmg_rate,760}]</v>
      </c>
      <c r="H777" s="82" t="s">
        <v>563</v>
      </c>
      <c r="J777" s="78">
        <f ca="1">IF(MOD(COUNTIF($Q$11:Q776,Q776),5)=0,OFFSET(装备属性!$P$1083,1+INT(COUNTA($Q$11:Q776)/5),0),J776)</f>
        <v>3</v>
      </c>
      <c r="K777" s="83" t="str">
        <f ca="1">IF(RIGHT(G777,13)="rune_slot,1}]",_xlfn.XLOOKUP(LEFT(SUBSTITUTE(G777,"[{",""),FIND(",",SUBSTITUTE(G777,"[{",""))-1),Sheet2!B:B,Sheet2!C:C)&amp;"+"&amp;1,_xlfn.XLOOKUP(LEFT(SUBSTITUTE(G777,"[{",""),FIND(",",SUBSTITUTE(G777,"[{",""))-1),Sheet2!B:B,Sheet2!C:C)&amp;"+"&amp;SUBSTITUTE(RIGHT(G777,LEN(G777)-FIND(",",G777)),"}]","")/100&amp;"%")</f>
        <v>射手伤害+7.6%</v>
      </c>
      <c r="L777" s="83" t="str">
        <f ca="1">IF(MOD(COUNTIF($Q$11:Q776,Q776),5)=0,OFFSET(装备属性!$G$1083,1+INT(COUNTA($Q$11:Q776)/5),0),L776)</f>
        <v>远程喂饭Ⅲ</v>
      </c>
      <c r="M777" s="89" t="str">
        <f ca="1">IF(MOD(COUNTIF($Q$11:Q776,Q776),5)=0,OFFSET(装备属性!$H$1083,1+INT(COUNTA($Q$11:Q776)/5),0),M776)</f>
        <v>hunter_dmg_rate</v>
      </c>
      <c r="N777" s="76">
        <f ca="1">IF(MOD(COUNTIF($Q$11:Q776,Q776),5)=0,OFFSET(装备属性!$K$1083,1+INT(COUNTA($Q$11:Q776)/5),0),N776)</f>
        <v>0.072</v>
      </c>
      <c r="O777" s="76">
        <f ca="1">IF(MOD(COUNTIF($Q$11:Q776,Q776),5)=0,OFFSET(装备属性!$L$1083,1+INT(COUNTA($Q$11:Q776)/5),0),O776)</f>
        <v>0.086</v>
      </c>
      <c r="Q777" s="89" t="str">
        <f ca="1">IF(MOD(COUNTIF($Q$11:Q776,Q776),5)=0,OFFSET(装备属性!$M$1083,1+INT(COUNTA($Q$11:Q776)/5),0),Q776)</f>
        <v>通用属性</v>
      </c>
      <c r="R777" s="83">
        <f ca="1">IF(MOD(COUNTIF($Q$11:Q776,Q776),5)=0,10000*SUBSTITUTE(SUBSTITUTE(OFFSET(装备属性!$F$1083,1+INT(COUNTA($Q$11:Q776)/5),0),"[",""),"]","")+_xlfn.XLOOKUP(C777,$M$3:$M$7,$N$3:$N$7)*100,R776)</f>
        <v>30600</v>
      </c>
    </row>
    <row r="778" customHeight="1" spans="1:18">
      <c r="A778" s="78">
        <f ca="1" t="shared" si="33"/>
        <v>30601</v>
      </c>
      <c r="B778" s="82">
        <f ca="1">IFERROR(R778+COUNTIFS($R$11:$R778,R778),"")</f>
        <v>30623</v>
      </c>
      <c r="C778" s="83" t="str">
        <f ca="1">IF(MOD(COUNTIF($Q$11:Q777,Q777),5)=0,OFFSET(装备属性!$D$1083,1+INT(COUNTA($Q$11:Q777)/5),0),C777)</f>
        <v>红</v>
      </c>
      <c r="D778" s="82">
        <f t="shared" si="35"/>
        <v>2000</v>
      </c>
      <c r="F778" s="82">
        <f ca="1" t="shared" si="34"/>
        <v>30604</v>
      </c>
      <c r="G778" s="78" t="str">
        <f ca="1">IF(AND(LEFT("[{"&amp;M778&amp;","&amp;CEILING(N778*10000+(O778-N778)/4*(COUNTIF($F$11:F778,F778)-1)*10000,10)&amp;"}]",7)="[{equip",MID("[{"&amp;M778&amp;","&amp;CEILING(N778*10000+(O778-N778)/4*(COUNTIF($F$11:F778,F778)-1)*10000,10)&amp;"}]",8,1)&lt;&gt;"_"),"[{"&amp;M778&amp;","&amp;1&amp;"}]","[{"&amp;M778&amp;","&amp;CEILING(N778*10000+(O778-N778)/4*(COUNTIF($F$11:F778,F778)-1)*10000,10)&amp;"}]")</f>
        <v>[{hunter_dmg_rate,790}]</v>
      </c>
      <c r="H778" s="82" t="s">
        <v>563</v>
      </c>
      <c r="J778" s="78">
        <f ca="1">IF(MOD(COUNTIF($Q$11:Q777,Q777),5)=0,OFFSET(装备属性!$P$1083,1+INT(COUNTA($Q$11:Q777)/5),0),J777)</f>
        <v>3</v>
      </c>
      <c r="K778" s="83" t="str">
        <f ca="1">IF(RIGHT(G778,13)="rune_slot,1}]",_xlfn.XLOOKUP(LEFT(SUBSTITUTE(G778,"[{",""),FIND(",",SUBSTITUTE(G778,"[{",""))-1),Sheet2!B:B,Sheet2!C:C)&amp;"+"&amp;1,_xlfn.XLOOKUP(LEFT(SUBSTITUTE(G778,"[{",""),FIND(",",SUBSTITUTE(G778,"[{",""))-1),Sheet2!B:B,Sheet2!C:C)&amp;"+"&amp;SUBSTITUTE(RIGHT(G778,LEN(G778)-FIND(",",G778)),"}]","")/100&amp;"%")</f>
        <v>射手伤害+7.9%</v>
      </c>
      <c r="L778" s="83" t="str">
        <f ca="1">IF(MOD(COUNTIF($Q$11:Q777,Q777),5)=0,OFFSET(装备属性!$G$1083,1+INT(COUNTA($Q$11:Q777)/5),0),L777)</f>
        <v>远程喂饭Ⅲ</v>
      </c>
      <c r="M778" s="89" t="str">
        <f ca="1">IF(MOD(COUNTIF($Q$11:Q777,Q777),5)=0,OFFSET(装备属性!$H$1083,1+INT(COUNTA($Q$11:Q777)/5),0),M777)</f>
        <v>hunter_dmg_rate</v>
      </c>
      <c r="N778" s="76">
        <f ca="1">IF(MOD(COUNTIF($Q$11:Q777,Q777),5)=0,OFFSET(装备属性!$K$1083,1+INT(COUNTA($Q$11:Q777)/5),0),N777)</f>
        <v>0.072</v>
      </c>
      <c r="O778" s="76">
        <f ca="1">IF(MOD(COUNTIF($Q$11:Q777,Q777),5)=0,OFFSET(装备属性!$L$1083,1+INT(COUNTA($Q$11:Q777)/5),0),O777)</f>
        <v>0.086</v>
      </c>
      <c r="Q778" s="89" t="str">
        <f ca="1">IF(MOD(COUNTIF($Q$11:Q777,Q777),5)=0,OFFSET(装备属性!$M$1083,1+INT(COUNTA($Q$11:Q777)/5),0),Q777)</f>
        <v>通用属性</v>
      </c>
      <c r="R778" s="83">
        <f ca="1">IF(MOD(COUNTIF($Q$11:Q777,Q777),5)=0,10000*SUBSTITUTE(SUBSTITUTE(OFFSET(装备属性!$F$1083,1+INT(COUNTA($Q$11:Q777)/5),0),"[",""),"]","")+_xlfn.XLOOKUP(C778,$M$3:$M$7,$N$3:$N$7)*100,R777)</f>
        <v>30600</v>
      </c>
    </row>
    <row r="779" customHeight="1" spans="1:18">
      <c r="A779" s="78">
        <f ca="1" t="shared" si="33"/>
        <v>30601</v>
      </c>
      <c r="B779" s="82">
        <f ca="1">IFERROR(R779+COUNTIFS($R$11:$R779,R779),"")</f>
        <v>30624</v>
      </c>
      <c r="C779" s="83" t="str">
        <f ca="1">IF(MOD(COUNTIF($Q$11:Q778,Q778),5)=0,OFFSET(装备属性!$D$1083,1+INT(COUNTA($Q$11:Q778)/5),0),C778)</f>
        <v>红</v>
      </c>
      <c r="D779" s="82">
        <f t="shared" si="35"/>
        <v>1500</v>
      </c>
      <c r="F779" s="82">
        <f ca="1" t="shared" si="34"/>
        <v>30604</v>
      </c>
      <c r="G779" s="78" t="str">
        <f ca="1">IF(AND(LEFT("[{"&amp;M779&amp;","&amp;CEILING(N779*10000+(O779-N779)/4*(COUNTIF($F$11:F779,F779)-1)*10000,10)&amp;"}]",7)="[{equip",MID("[{"&amp;M779&amp;","&amp;CEILING(N779*10000+(O779-N779)/4*(COUNTIF($F$11:F779,F779)-1)*10000,10)&amp;"}]",8,1)&lt;&gt;"_"),"[{"&amp;M779&amp;","&amp;1&amp;"}]","[{"&amp;M779&amp;","&amp;CEILING(N779*10000+(O779-N779)/4*(COUNTIF($F$11:F779,F779)-1)*10000,10)&amp;"}]")</f>
        <v>[{hunter_dmg_rate,830}]</v>
      </c>
      <c r="H779" s="82" t="s">
        <v>563</v>
      </c>
      <c r="J779" s="78">
        <f ca="1">IF(MOD(COUNTIF($Q$11:Q778,Q778),5)=0,OFFSET(装备属性!$P$1083,1+INT(COUNTA($Q$11:Q778)/5),0),J778)</f>
        <v>3</v>
      </c>
      <c r="K779" s="83" t="str">
        <f ca="1">IF(RIGHT(G779,13)="rune_slot,1}]",_xlfn.XLOOKUP(LEFT(SUBSTITUTE(G779,"[{",""),FIND(",",SUBSTITUTE(G779,"[{",""))-1),Sheet2!B:B,Sheet2!C:C)&amp;"+"&amp;1,_xlfn.XLOOKUP(LEFT(SUBSTITUTE(G779,"[{",""),FIND(",",SUBSTITUTE(G779,"[{",""))-1),Sheet2!B:B,Sheet2!C:C)&amp;"+"&amp;SUBSTITUTE(RIGHT(G779,LEN(G779)-FIND(",",G779)),"}]","")/100&amp;"%")</f>
        <v>射手伤害+8.3%</v>
      </c>
      <c r="L779" s="83" t="str">
        <f ca="1">IF(MOD(COUNTIF($Q$11:Q778,Q778),5)=0,OFFSET(装备属性!$G$1083,1+INT(COUNTA($Q$11:Q778)/5),0),L778)</f>
        <v>远程喂饭Ⅲ</v>
      </c>
      <c r="M779" s="89" t="str">
        <f ca="1">IF(MOD(COUNTIF($Q$11:Q778,Q778),5)=0,OFFSET(装备属性!$H$1083,1+INT(COUNTA($Q$11:Q778)/5),0),M778)</f>
        <v>hunter_dmg_rate</v>
      </c>
      <c r="N779" s="76">
        <f ca="1">IF(MOD(COUNTIF($Q$11:Q778,Q778),5)=0,OFFSET(装备属性!$K$1083,1+INT(COUNTA($Q$11:Q778)/5),0),N778)</f>
        <v>0.072</v>
      </c>
      <c r="O779" s="76">
        <f ca="1">IF(MOD(COUNTIF($Q$11:Q778,Q778),5)=0,OFFSET(装备属性!$L$1083,1+INT(COUNTA($Q$11:Q778)/5),0),O778)</f>
        <v>0.086</v>
      </c>
      <c r="Q779" s="89" t="str">
        <f ca="1">IF(MOD(COUNTIF($Q$11:Q778,Q778),5)=0,OFFSET(装备属性!$M$1083,1+INT(COUNTA($Q$11:Q778)/5),0),Q778)</f>
        <v>通用属性</v>
      </c>
      <c r="R779" s="83">
        <f ca="1">IF(MOD(COUNTIF($Q$11:Q778,Q778),5)=0,10000*SUBSTITUTE(SUBSTITUTE(OFFSET(装备属性!$F$1083,1+INT(COUNTA($Q$11:Q778)/5),0),"[",""),"]","")+_xlfn.XLOOKUP(C779,$M$3:$M$7,$N$3:$N$7)*100,R778)</f>
        <v>30600</v>
      </c>
    </row>
    <row r="780" customHeight="1" spans="1:18">
      <c r="A780" s="78">
        <f ca="1" t="shared" ref="A780:A843" si="36">IFERROR(R780+IF(Q780="通用属性",1,IF(Q780="玩法类",2,IF(Q780="稀有词条",3,0))),"")</f>
        <v>30601</v>
      </c>
      <c r="B780" s="82">
        <f ca="1">IFERROR(R780+COUNTIFS($R$11:$R780,R780),"")</f>
        <v>30625</v>
      </c>
      <c r="C780" s="83" t="str">
        <f ca="1">IF(MOD(COUNTIF($Q$11:Q779,Q779),5)=0,OFFSET(装备属性!$D$1083,1+INT(COUNTA($Q$11:Q779)/5),0),C779)</f>
        <v>红</v>
      </c>
      <c r="D780" s="82">
        <f t="shared" si="35"/>
        <v>1000</v>
      </c>
      <c r="F780" s="82">
        <f ca="1" t="shared" ref="F780:F843" si="37">IFERROR(R780+INT((B780-R780-1)/5),"")</f>
        <v>30604</v>
      </c>
      <c r="G780" s="78" t="str">
        <f ca="1">IF(AND(LEFT("[{"&amp;M780&amp;","&amp;CEILING(N780*10000+(O780-N780)/4*(COUNTIF($F$11:F780,F780)-1)*10000,10)&amp;"}]",7)="[{equip",MID("[{"&amp;M780&amp;","&amp;CEILING(N780*10000+(O780-N780)/4*(COUNTIF($F$11:F780,F780)-1)*10000,10)&amp;"}]",8,1)&lt;&gt;"_"),"[{"&amp;M780&amp;","&amp;1&amp;"}]","[{"&amp;M780&amp;","&amp;CEILING(N780*10000+(O780-N780)/4*(COUNTIF($F$11:F780,F780)-1)*10000,10)&amp;"}]")</f>
        <v>[{hunter_dmg_rate,860}]</v>
      </c>
      <c r="H780" s="82" t="s">
        <v>563</v>
      </c>
      <c r="J780" s="78">
        <f ca="1">IF(MOD(COUNTIF($Q$11:Q779,Q779),5)=0,OFFSET(装备属性!$P$1083,1+INT(COUNTA($Q$11:Q779)/5),0),J779)</f>
        <v>3</v>
      </c>
      <c r="K780" s="83" t="str">
        <f ca="1">IF(RIGHT(G780,13)="rune_slot,1}]",_xlfn.XLOOKUP(LEFT(SUBSTITUTE(G780,"[{",""),FIND(",",SUBSTITUTE(G780,"[{",""))-1),Sheet2!B:B,Sheet2!C:C)&amp;"+"&amp;1,_xlfn.XLOOKUP(LEFT(SUBSTITUTE(G780,"[{",""),FIND(",",SUBSTITUTE(G780,"[{",""))-1),Sheet2!B:B,Sheet2!C:C)&amp;"+"&amp;SUBSTITUTE(RIGHT(G780,LEN(G780)-FIND(",",G780)),"}]","")/100&amp;"%")</f>
        <v>射手伤害+8.6%</v>
      </c>
      <c r="L780" s="83" t="str">
        <f ca="1">IF(MOD(COUNTIF($Q$11:Q779,Q779),5)=0,OFFSET(装备属性!$G$1083,1+INT(COUNTA($Q$11:Q779)/5),0),L779)</f>
        <v>远程喂饭Ⅲ</v>
      </c>
      <c r="M780" s="89" t="str">
        <f ca="1">IF(MOD(COUNTIF($Q$11:Q779,Q779),5)=0,OFFSET(装备属性!$H$1083,1+INT(COUNTA($Q$11:Q779)/5),0),M779)</f>
        <v>hunter_dmg_rate</v>
      </c>
      <c r="N780" s="76">
        <f ca="1">IF(MOD(COUNTIF($Q$11:Q779,Q779),5)=0,OFFSET(装备属性!$K$1083,1+INT(COUNTA($Q$11:Q779)/5),0),N779)</f>
        <v>0.072</v>
      </c>
      <c r="O780" s="76">
        <f ca="1">IF(MOD(COUNTIF($Q$11:Q779,Q779),5)=0,OFFSET(装备属性!$L$1083,1+INT(COUNTA($Q$11:Q779)/5),0),O779)</f>
        <v>0.086</v>
      </c>
      <c r="Q780" s="89" t="str">
        <f ca="1">IF(MOD(COUNTIF($Q$11:Q779,Q779),5)=0,OFFSET(装备属性!$M$1083,1+INT(COUNTA($Q$11:Q779)/5),0),Q779)</f>
        <v>通用属性</v>
      </c>
      <c r="R780" s="83">
        <f ca="1">IF(MOD(COUNTIF($Q$11:Q779,Q779),5)=0,10000*SUBSTITUTE(SUBSTITUTE(OFFSET(装备属性!$F$1083,1+INT(COUNTA($Q$11:Q779)/5),0),"[",""),"]","")+_xlfn.XLOOKUP(C780,$M$3:$M$7,$N$3:$N$7)*100,R779)</f>
        <v>30600</v>
      </c>
    </row>
    <row r="781" customHeight="1" spans="1:18">
      <c r="A781" s="78">
        <f ca="1" t="shared" si="36"/>
        <v>30601</v>
      </c>
      <c r="B781" s="82">
        <f ca="1">IFERROR(R781+COUNTIFS($R$11:$R781,R781),"")</f>
        <v>30626</v>
      </c>
      <c r="C781" s="83" t="str">
        <f ca="1">IF(MOD(COUNTIF($Q$11:Q780,Q780),5)=0,OFFSET(装备属性!$D$1083,1+INT(COUNTA($Q$11:Q780)/5),0),C780)</f>
        <v>红</v>
      </c>
      <c r="D781" s="82">
        <f t="shared" si="35"/>
        <v>3000</v>
      </c>
      <c r="F781" s="82">
        <f ca="1" t="shared" si="37"/>
        <v>30605</v>
      </c>
      <c r="G781" s="78" t="str">
        <f ca="1">IF(AND(LEFT("[{"&amp;M781&amp;","&amp;CEILING(N781*10000+(O781-N781)/4*(COUNTIF($F$11:F781,F781)-1)*10000,10)&amp;"}]",7)="[{equip",MID("[{"&amp;M781&amp;","&amp;CEILING(N781*10000+(O781-N781)/4*(COUNTIF($F$11:F781,F781)-1)*10000,10)&amp;"}]",8,1)&lt;&gt;"_"),"[{"&amp;M781&amp;","&amp;1&amp;"}]","[{"&amp;M781&amp;","&amp;CEILING(N781*10000+(O781-N781)/4*(COUNTIF($F$11:F781,F781)-1)*10000,10)&amp;"}]")</f>
        <v>[{hunter_class_dmg_rate,900}]</v>
      </c>
      <c r="H781" s="82" t="s">
        <v>563</v>
      </c>
      <c r="J781" s="78">
        <f ca="1">IF(MOD(COUNTIF($Q$11:Q780,Q780),5)=0,OFFSET(装备属性!$P$1083,1+INT(COUNTA($Q$11:Q780)/5),0),J780)</f>
        <v>4</v>
      </c>
      <c r="K781" s="83" t="str">
        <f ca="1">IF(RIGHT(G781,13)="rune_slot,1}]",_xlfn.XLOOKUP(LEFT(SUBSTITUTE(G781,"[{",""),FIND(",",SUBSTITUTE(G781,"[{",""))-1),Sheet2!B:B,Sheet2!C:C)&amp;"+"&amp;1,_xlfn.XLOOKUP(LEFT(SUBSTITUTE(G781,"[{",""),FIND(",",SUBSTITUTE(G781,"[{",""))-1),Sheet2!B:B,Sheet2!C:C)&amp;"+"&amp;SUBSTITUTE(RIGHT(G781,LEN(G781)-FIND(",",G781)),"}]","")/100&amp;"%")</f>
        <v>上阵两个射手职业增伤+9%</v>
      </c>
      <c r="L781" s="83" t="str">
        <f ca="1">IF(MOD(COUNTIF($Q$11:Q780,Q780),5)=0,OFFSET(装备属性!$G$1083,1+INT(COUNTA($Q$11:Q780)/5),0),L780)</f>
        <v>远程小队Ⅲ</v>
      </c>
      <c r="M781" s="89" t="str">
        <f ca="1">IF(MOD(COUNTIF($Q$11:Q780,Q780),5)=0,OFFSET(装备属性!$H$1083,1+INT(COUNTA($Q$11:Q780)/5),0),M780)</f>
        <v>hunter_class_dmg_rate</v>
      </c>
      <c r="N781" s="76">
        <f ca="1">IF(MOD(COUNTIF($Q$11:Q780,Q780),5)=0,OFFSET(装备属性!$K$1083,1+INT(COUNTA($Q$11:Q780)/5),0),N780)</f>
        <v>0.09</v>
      </c>
      <c r="O781" s="76">
        <f ca="1">IF(MOD(COUNTIF($Q$11:Q780,Q780),5)=0,OFFSET(装备属性!$L$1083,1+INT(COUNTA($Q$11:Q780)/5),0),O780)</f>
        <v>0.11</v>
      </c>
      <c r="Q781" s="89" t="str">
        <f ca="1">IF(MOD(COUNTIF($Q$11:Q780,Q780),5)=0,OFFSET(装备属性!$M$1083,1+INT(COUNTA($Q$11:Q780)/5),0),Q780)</f>
        <v>通用属性</v>
      </c>
      <c r="R781" s="83">
        <f ca="1">IF(MOD(COUNTIF($Q$11:Q780,Q780),5)=0,10000*SUBSTITUTE(SUBSTITUTE(OFFSET(装备属性!$F$1083,1+INT(COUNTA($Q$11:Q780)/5),0),"[",""),"]","")+_xlfn.XLOOKUP(C781,$M$3:$M$7,$N$3:$N$7)*100,R780)</f>
        <v>30600</v>
      </c>
    </row>
    <row r="782" customHeight="1" spans="1:18">
      <c r="A782" s="78">
        <f ca="1" t="shared" si="36"/>
        <v>30601</v>
      </c>
      <c r="B782" s="82">
        <f ca="1">IFERROR(R782+COUNTIFS($R$11:$R782,R782),"")</f>
        <v>30627</v>
      </c>
      <c r="C782" s="83" t="str">
        <f ca="1">IF(MOD(COUNTIF($Q$11:Q781,Q781),5)=0,OFFSET(装备属性!$D$1083,1+INT(COUNTA($Q$11:Q781)/5),0),C781)</f>
        <v>红</v>
      </c>
      <c r="D782" s="82">
        <f t="shared" si="35"/>
        <v>2500</v>
      </c>
      <c r="F782" s="82">
        <f ca="1" t="shared" si="37"/>
        <v>30605</v>
      </c>
      <c r="G782" s="78" t="str">
        <f ca="1">IF(AND(LEFT("[{"&amp;M782&amp;","&amp;CEILING(N782*10000+(O782-N782)/4*(COUNTIF($F$11:F782,F782)-1)*10000,10)&amp;"}]",7)="[{equip",MID("[{"&amp;M782&amp;","&amp;CEILING(N782*10000+(O782-N782)/4*(COUNTIF($F$11:F782,F782)-1)*10000,10)&amp;"}]",8,1)&lt;&gt;"_"),"[{"&amp;M782&amp;","&amp;1&amp;"}]","[{"&amp;M782&amp;","&amp;CEILING(N782*10000+(O782-N782)/4*(COUNTIF($F$11:F782,F782)-1)*10000,10)&amp;"}]")</f>
        <v>[{hunter_class_dmg_rate,950}]</v>
      </c>
      <c r="H782" s="82" t="s">
        <v>563</v>
      </c>
      <c r="J782" s="78">
        <f ca="1">IF(MOD(COUNTIF($Q$11:Q781,Q781),5)=0,OFFSET(装备属性!$P$1083,1+INT(COUNTA($Q$11:Q781)/5),0),J781)</f>
        <v>4</v>
      </c>
      <c r="K782" s="83" t="str">
        <f ca="1">IF(RIGHT(G782,13)="rune_slot,1}]",_xlfn.XLOOKUP(LEFT(SUBSTITUTE(G782,"[{",""),FIND(",",SUBSTITUTE(G782,"[{",""))-1),Sheet2!B:B,Sheet2!C:C)&amp;"+"&amp;1,_xlfn.XLOOKUP(LEFT(SUBSTITUTE(G782,"[{",""),FIND(",",SUBSTITUTE(G782,"[{",""))-1),Sheet2!B:B,Sheet2!C:C)&amp;"+"&amp;SUBSTITUTE(RIGHT(G782,LEN(G782)-FIND(",",G782)),"}]","")/100&amp;"%")</f>
        <v>上阵两个射手职业增伤+9.5%</v>
      </c>
      <c r="L782" s="83" t="str">
        <f ca="1">IF(MOD(COUNTIF($Q$11:Q781,Q781),5)=0,OFFSET(装备属性!$G$1083,1+INT(COUNTA($Q$11:Q781)/5),0),L781)</f>
        <v>远程小队Ⅲ</v>
      </c>
      <c r="M782" s="89" t="str">
        <f ca="1">IF(MOD(COUNTIF($Q$11:Q781,Q781),5)=0,OFFSET(装备属性!$H$1083,1+INT(COUNTA($Q$11:Q781)/5),0),M781)</f>
        <v>hunter_class_dmg_rate</v>
      </c>
      <c r="N782" s="76">
        <f ca="1">IF(MOD(COUNTIF($Q$11:Q781,Q781),5)=0,OFFSET(装备属性!$K$1083,1+INT(COUNTA($Q$11:Q781)/5),0),N781)</f>
        <v>0.09</v>
      </c>
      <c r="O782" s="76">
        <f ca="1">IF(MOD(COUNTIF($Q$11:Q781,Q781),5)=0,OFFSET(装备属性!$L$1083,1+INT(COUNTA($Q$11:Q781)/5),0),O781)</f>
        <v>0.11</v>
      </c>
      <c r="Q782" s="89" t="str">
        <f ca="1">IF(MOD(COUNTIF($Q$11:Q781,Q781),5)=0,OFFSET(装备属性!$M$1083,1+INT(COUNTA($Q$11:Q781)/5),0),Q781)</f>
        <v>通用属性</v>
      </c>
      <c r="R782" s="83">
        <f ca="1">IF(MOD(COUNTIF($Q$11:Q781,Q781),5)=0,10000*SUBSTITUTE(SUBSTITUTE(OFFSET(装备属性!$F$1083,1+INT(COUNTA($Q$11:Q781)/5),0),"[",""),"]","")+_xlfn.XLOOKUP(C782,$M$3:$M$7,$N$3:$N$7)*100,R781)</f>
        <v>30600</v>
      </c>
    </row>
    <row r="783" customHeight="1" spans="1:18">
      <c r="A783" s="78">
        <f ca="1" t="shared" si="36"/>
        <v>30601</v>
      </c>
      <c r="B783" s="82">
        <f ca="1">IFERROR(R783+COUNTIFS($R$11:$R783,R783),"")</f>
        <v>30628</v>
      </c>
      <c r="C783" s="83" t="str">
        <f ca="1">IF(MOD(COUNTIF($Q$11:Q782,Q782),5)=0,OFFSET(装备属性!$D$1083,1+INT(COUNTA($Q$11:Q782)/5),0),C782)</f>
        <v>红</v>
      </c>
      <c r="D783" s="82">
        <f t="shared" si="35"/>
        <v>2000</v>
      </c>
      <c r="F783" s="82">
        <f ca="1" t="shared" si="37"/>
        <v>30605</v>
      </c>
      <c r="G783" s="78" t="str">
        <f ca="1">IF(AND(LEFT("[{"&amp;M783&amp;","&amp;CEILING(N783*10000+(O783-N783)/4*(COUNTIF($F$11:F783,F783)-1)*10000,10)&amp;"}]",7)="[{equip",MID("[{"&amp;M783&amp;","&amp;CEILING(N783*10000+(O783-N783)/4*(COUNTIF($F$11:F783,F783)-1)*10000,10)&amp;"}]",8,1)&lt;&gt;"_"),"[{"&amp;M783&amp;","&amp;1&amp;"}]","[{"&amp;M783&amp;","&amp;CEILING(N783*10000+(O783-N783)/4*(COUNTIF($F$11:F783,F783)-1)*10000,10)&amp;"}]")</f>
        <v>[{hunter_class_dmg_rate,1000}]</v>
      </c>
      <c r="H783" s="82" t="s">
        <v>563</v>
      </c>
      <c r="J783" s="78">
        <f ca="1">IF(MOD(COUNTIF($Q$11:Q782,Q782),5)=0,OFFSET(装备属性!$P$1083,1+INT(COUNTA($Q$11:Q782)/5),0),J782)</f>
        <v>4</v>
      </c>
      <c r="K783" s="83" t="str">
        <f ca="1">IF(RIGHT(G783,13)="rune_slot,1}]",_xlfn.XLOOKUP(LEFT(SUBSTITUTE(G783,"[{",""),FIND(",",SUBSTITUTE(G783,"[{",""))-1),Sheet2!B:B,Sheet2!C:C)&amp;"+"&amp;1,_xlfn.XLOOKUP(LEFT(SUBSTITUTE(G783,"[{",""),FIND(",",SUBSTITUTE(G783,"[{",""))-1),Sheet2!B:B,Sheet2!C:C)&amp;"+"&amp;SUBSTITUTE(RIGHT(G783,LEN(G783)-FIND(",",G783)),"}]","")/100&amp;"%")</f>
        <v>上阵两个射手职业增伤+10%</v>
      </c>
      <c r="L783" s="83" t="str">
        <f ca="1">IF(MOD(COUNTIF($Q$11:Q782,Q782),5)=0,OFFSET(装备属性!$G$1083,1+INT(COUNTA($Q$11:Q782)/5),0),L782)</f>
        <v>远程小队Ⅲ</v>
      </c>
      <c r="M783" s="89" t="str">
        <f ca="1">IF(MOD(COUNTIF($Q$11:Q782,Q782),5)=0,OFFSET(装备属性!$H$1083,1+INT(COUNTA($Q$11:Q782)/5),0),M782)</f>
        <v>hunter_class_dmg_rate</v>
      </c>
      <c r="N783" s="76">
        <f ca="1">IF(MOD(COUNTIF($Q$11:Q782,Q782),5)=0,OFFSET(装备属性!$K$1083,1+INT(COUNTA($Q$11:Q782)/5),0),N782)</f>
        <v>0.09</v>
      </c>
      <c r="O783" s="76">
        <f ca="1">IF(MOD(COUNTIF($Q$11:Q782,Q782),5)=0,OFFSET(装备属性!$L$1083,1+INT(COUNTA($Q$11:Q782)/5),0),O782)</f>
        <v>0.11</v>
      </c>
      <c r="Q783" s="89" t="str">
        <f ca="1">IF(MOD(COUNTIF($Q$11:Q782,Q782),5)=0,OFFSET(装备属性!$M$1083,1+INT(COUNTA($Q$11:Q782)/5),0),Q782)</f>
        <v>通用属性</v>
      </c>
      <c r="R783" s="83">
        <f ca="1">IF(MOD(COUNTIF($Q$11:Q782,Q782),5)=0,10000*SUBSTITUTE(SUBSTITUTE(OFFSET(装备属性!$F$1083,1+INT(COUNTA($Q$11:Q782)/5),0),"[",""),"]","")+_xlfn.XLOOKUP(C783,$M$3:$M$7,$N$3:$N$7)*100,R782)</f>
        <v>30600</v>
      </c>
    </row>
    <row r="784" customHeight="1" spans="1:18">
      <c r="A784" s="78">
        <f ca="1" t="shared" si="36"/>
        <v>30601</v>
      </c>
      <c r="B784" s="82">
        <f ca="1">IFERROR(R784+COUNTIFS($R$11:$R784,R784),"")</f>
        <v>30629</v>
      </c>
      <c r="C784" s="83" t="str">
        <f ca="1">IF(MOD(COUNTIF($Q$11:Q783,Q783),5)=0,OFFSET(装备属性!$D$1083,1+INT(COUNTA($Q$11:Q783)/5),0),C783)</f>
        <v>红</v>
      </c>
      <c r="D784" s="82">
        <f t="shared" si="35"/>
        <v>1500</v>
      </c>
      <c r="F784" s="82">
        <f ca="1" t="shared" si="37"/>
        <v>30605</v>
      </c>
      <c r="G784" s="78" t="str">
        <f ca="1">IF(AND(LEFT("[{"&amp;M784&amp;","&amp;CEILING(N784*10000+(O784-N784)/4*(COUNTIF($F$11:F784,F784)-1)*10000,10)&amp;"}]",7)="[{equip",MID("[{"&amp;M784&amp;","&amp;CEILING(N784*10000+(O784-N784)/4*(COUNTIF($F$11:F784,F784)-1)*10000,10)&amp;"}]",8,1)&lt;&gt;"_"),"[{"&amp;M784&amp;","&amp;1&amp;"}]","[{"&amp;M784&amp;","&amp;CEILING(N784*10000+(O784-N784)/4*(COUNTIF($F$11:F784,F784)-1)*10000,10)&amp;"}]")</f>
        <v>[{hunter_class_dmg_rate,1050}]</v>
      </c>
      <c r="H784" s="82" t="s">
        <v>563</v>
      </c>
      <c r="J784" s="78">
        <f ca="1">IF(MOD(COUNTIF($Q$11:Q783,Q783),5)=0,OFFSET(装备属性!$P$1083,1+INT(COUNTA($Q$11:Q783)/5),0),J783)</f>
        <v>4</v>
      </c>
      <c r="K784" s="83" t="str">
        <f ca="1">IF(RIGHT(G784,13)="rune_slot,1}]",_xlfn.XLOOKUP(LEFT(SUBSTITUTE(G784,"[{",""),FIND(",",SUBSTITUTE(G784,"[{",""))-1),Sheet2!B:B,Sheet2!C:C)&amp;"+"&amp;1,_xlfn.XLOOKUP(LEFT(SUBSTITUTE(G784,"[{",""),FIND(",",SUBSTITUTE(G784,"[{",""))-1),Sheet2!B:B,Sheet2!C:C)&amp;"+"&amp;SUBSTITUTE(RIGHT(G784,LEN(G784)-FIND(",",G784)),"}]","")/100&amp;"%")</f>
        <v>上阵两个射手职业增伤+10.5%</v>
      </c>
      <c r="L784" s="83" t="str">
        <f ca="1">IF(MOD(COUNTIF($Q$11:Q783,Q783),5)=0,OFFSET(装备属性!$G$1083,1+INT(COUNTA($Q$11:Q783)/5),0),L783)</f>
        <v>远程小队Ⅲ</v>
      </c>
      <c r="M784" s="89" t="str">
        <f ca="1">IF(MOD(COUNTIF($Q$11:Q783,Q783),5)=0,OFFSET(装备属性!$H$1083,1+INT(COUNTA($Q$11:Q783)/5),0),M783)</f>
        <v>hunter_class_dmg_rate</v>
      </c>
      <c r="N784" s="76">
        <f ca="1">IF(MOD(COUNTIF($Q$11:Q783,Q783),5)=0,OFFSET(装备属性!$K$1083,1+INT(COUNTA($Q$11:Q783)/5),0),N783)</f>
        <v>0.09</v>
      </c>
      <c r="O784" s="76">
        <f ca="1">IF(MOD(COUNTIF($Q$11:Q783,Q783),5)=0,OFFSET(装备属性!$L$1083,1+INT(COUNTA($Q$11:Q783)/5),0),O783)</f>
        <v>0.11</v>
      </c>
      <c r="Q784" s="89" t="str">
        <f ca="1">IF(MOD(COUNTIF($Q$11:Q783,Q783),5)=0,OFFSET(装备属性!$M$1083,1+INT(COUNTA($Q$11:Q783)/5),0),Q783)</f>
        <v>通用属性</v>
      </c>
      <c r="R784" s="83">
        <f ca="1">IF(MOD(COUNTIF($Q$11:Q783,Q783),5)=0,10000*SUBSTITUTE(SUBSTITUTE(OFFSET(装备属性!$F$1083,1+INT(COUNTA($Q$11:Q783)/5),0),"[",""),"]","")+_xlfn.XLOOKUP(C784,$M$3:$M$7,$N$3:$N$7)*100,R783)</f>
        <v>30600</v>
      </c>
    </row>
    <row r="785" customHeight="1" spans="1:18">
      <c r="A785" s="78">
        <f ca="1" t="shared" si="36"/>
        <v>30601</v>
      </c>
      <c r="B785" s="82">
        <f ca="1">IFERROR(R785+COUNTIFS($R$11:$R785,R785),"")</f>
        <v>30630</v>
      </c>
      <c r="C785" s="83" t="str">
        <f ca="1">IF(MOD(COUNTIF($Q$11:Q784,Q784),5)=0,OFFSET(装备属性!$D$1083,1+INT(COUNTA($Q$11:Q784)/5),0),C784)</f>
        <v>红</v>
      </c>
      <c r="D785" s="82">
        <f t="shared" ref="D785:D848" si="38">D780</f>
        <v>1000</v>
      </c>
      <c r="F785" s="82">
        <f ca="1" t="shared" si="37"/>
        <v>30605</v>
      </c>
      <c r="G785" s="78" t="str">
        <f ca="1">IF(AND(LEFT("[{"&amp;M785&amp;","&amp;CEILING(N785*10000+(O785-N785)/4*(COUNTIF($F$11:F785,F785)-1)*10000,10)&amp;"}]",7)="[{equip",MID("[{"&amp;M785&amp;","&amp;CEILING(N785*10000+(O785-N785)/4*(COUNTIF($F$11:F785,F785)-1)*10000,10)&amp;"}]",8,1)&lt;&gt;"_"),"[{"&amp;M785&amp;","&amp;1&amp;"}]","[{"&amp;M785&amp;","&amp;CEILING(N785*10000+(O785-N785)/4*(COUNTIF($F$11:F785,F785)-1)*10000,10)&amp;"}]")</f>
        <v>[{hunter_class_dmg_rate,1100}]</v>
      </c>
      <c r="H785" s="82" t="s">
        <v>563</v>
      </c>
      <c r="J785" s="78">
        <f ca="1">IF(MOD(COUNTIF($Q$11:Q784,Q784),5)=0,OFFSET(装备属性!$P$1083,1+INT(COUNTA($Q$11:Q784)/5),0),J784)</f>
        <v>4</v>
      </c>
      <c r="K785" s="83" t="str">
        <f ca="1">IF(RIGHT(G785,13)="rune_slot,1}]",_xlfn.XLOOKUP(LEFT(SUBSTITUTE(G785,"[{",""),FIND(",",SUBSTITUTE(G785,"[{",""))-1),Sheet2!B:B,Sheet2!C:C)&amp;"+"&amp;1,_xlfn.XLOOKUP(LEFT(SUBSTITUTE(G785,"[{",""),FIND(",",SUBSTITUTE(G785,"[{",""))-1),Sheet2!B:B,Sheet2!C:C)&amp;"+"&amp;SUBSTITUTE(RIGHT(G785,LEN(G785)-FIND(",",G785)),"}]","")/100&amp;"%")</f>
        <v>上阵两个射手职业增伤+11%</v>
      </c>
      <c r="L785" s="83" t="str">
        <f ca="1">IF(MOD(COUNTIF($Q$11:Q784,Q784),5)=0,OFFSET(装备属性!$G$1083,1+INT(COUNTA($Q$11:Q784)/5),0),L784)</f>
        <v>远程小队Ⅲ</v>
      </c>
      <c r="M785" s="89" t="str">
        <f ca="1">IF(MOD(COUNTIF($Q$11:Q784,Q784),5)=0,OFFSET(装备属性!$H$1083,1+INT(COUNTA($Q$11:Q784)/5),0),M784)</f>
        <v>hunter_class_dmg_rate</v>
      </c>
      <c r="N785" s="76">
        <f ca="1">IF(MOD(COUNTIF($Q$11:Q784,Q784),5)=0,OFFSET(装备属性!$K$1083,1+INT(COUNTA($Q$11:Q784)/5),0),N784)</f>
        <v>0.09</v>
      </c>
      <c r="O785" s="76">
        <f ca="1">IF(MOD(COUNTIF($Q$11:Q784,Q784),5)=0,OFFSET(装备属性!$L$1083,1+INT(COUNTA($Q$11:Q784)/5),0),O784)</f>
        <v>0.11</v>
      </c>
      <c r="Q785" s="89" t="str">
        <f ca="1">IF(MOD(COUNTIF($Q$11:Q784,Q784),5)=0,OFFSET(装备属性!$M$1083,1+INT(COUNTA($Q$11:Q784)/5),0),Q784)</f>
        <v>通用属性</v>
      </c>
      <c r="R785" s="83">
        <f ca="1">IF(MOD(COUNTIF($Q$11:Q784,Q784),5)=0,10000*SUBSTITUTE(SUBSTITUTE(OFFSET(装备属性!$F$1083,1+INT(COUNTA($Q$11:Q784)/5),0),"[",""),"]","")+_xlfn.XLOOKUP(C785,$M$3:$M$7,$N$3:$N$7)*100,R784)</f>
        <v>30600</v>
      </c>
    </row>
    <row r="786" customHeight="1" spans="1:18">
      <c r="A786" s="78">
        <f ca="1" t="shared" si="36"/>
        <v>30601</v>
      </c>
      <c r="B786" s="82">
        <f ca="1">IFERROR(R786+COUNTIFS($R$11:$R786,R786),"")</f>
        <v>30631</v>
      </c>
      <c r="C786" s="83" t="str">
        <f ca="1">IF(MOD(COUNTIF($Q$11:Q785,Q785),5)=0,OFFSET(装备属性!$D$1083,1+INT(COUNTA($Q$11:Q785)/5),0),C785)</f>
        <v>红</v>
      </c>
      <c r="D786" s="82">
        <f t="shared" si="38"/>
        <v>3000</v>
      </c>
      <c r="F786" s="82">
        <f ca="1" t="shared" si="37"/>
        <v>30606</v>
      </c>
      <c r="G786" s="78" t="str">
        <f ca="1">IF(AND(LEFT("[{"&amp;M786&amp;","&amp;CEILING(N786*10000+(O786-N786)/4*(COUNTIF($F$11:F786,F786)-1)*10000,10)&amp;"}]",7)="[{equip",MID("[{"&amp;M786&amp;","&amp;CEILING(N786*10000+(O786-N786)/4*(COUNTIF($F$11:F786,F786)-1)*10000,10)&amp;"}]",8,1)&lt;&gt;"_"),"[{"&amp;M786&amp;","&amp;1&amp;"}]","[{"&amp;M786&amp;","&amp;CEILING(N786*10000+(O786-N786)/4*(COUNTIF($F$11:F786,F786)-1)*10000,10)&amp;"}]")</f>
        <v>[{hunter_crit_dmg,2700}]</v>
      </c>
      <c r="H786" s="82" t="s">
        <v>563</v>
      </c>
      <c r="J786" s="78">
        <f ca="1">IF(MOD(COUNTIF($Q$11:Q785,Q785),5)=0,OFFSET(装备属性!$P$1083,1+INT(COUNTA($Q$11:Q785)/5),0),J785)</f>
        <v>10</v>
      </c>
      <c r="K786" s="83" t="str">
        <f ca="1">IF(RIGHT(G786,13)="rune_slot,1}]",_xlfn.XLOOKUP(LEFT(SUBSTITUTE(G786,"[{",""),FIND(",",SUBSTITUTE(G786,"[{",""))-1),Sheet2!B:B,Sheet2!C:C)&amp;"+"&amp;1,_xlfn.XLOOKUP(LEFT(SUBSTITUTE(G786,"[{",""),FIND(",",SUBSTITUTE(G786,"[{",""))-1),Sheet2!B:B,Sheet2!C:C)&amp;"+"&amp;SUBSTITUTE(RIGHT(G786,LEN(G786)-FIND(",",G786)),"}]","")/100&amp;"%")</f>
        <v>射手暴击伤害+27%</v>
      </c>
      <c r="L786" s="83" t="str">
        <f ca="1">IF(MOD(COUNTIF($Q$11:Q785,Q785),5)=0,OFFSET(装备属性!$G$1083,1+INT(COUNTA($Q$11:Q785)/5),0),L785)</f>
        <v>暴走远程Ⅲ</v>
      </c>
      <c r="M786" s="89" t="str">
        <f ca="1">IF(MOD(COUNTIF($Q$11:Q785,Q785),5)=0,OFFSET(装备属性!$H$1083,1+INT(COUNTA($Q$11:Q785)/5),0),M785)</f>
        <v>hunter_crit_dmg</v>
      </c>
      <c r="N786" s="76">
        <f ca="1">IF(MOD(COUNTIF($Q$11:Q785,Q785),5)=0,OFFSET(装备属性!$K$1083,1+INT(COUNTA($Q$11:Q785)/5),0),N785)</f>
        <v>0.27</v>
      </c>
      <c r="O786" s="76">
        <f ca="1">IF(MOD(COUNTIF($Q$11:Q785,Q785),5)=0,OFFSET(装备属性!$L$1083,1+INT(COUNTA($Q$11:Q785)/5),0),O785)</f>
        <v>0.33</v>
      </c>
      <c r="Q786" s="89" t="str">
        <f ca="1">IF(MOD(COUNTIF($Q$11:Q785,Q785),5)=0,OFFSET(装备属性!$M$1083,1+INT(COUNTA($Q$11:Q785)/5),0),Q785)</f>
        <v>通用属性</v>
      </c>
      <c r="R786" s="83">
        <f ca="1">IF(MOD(COUNTIF($Q$11:Q785,Q785),5)=0,10000*SUBSTITUTE(SUBSTITUTE(OFFSET(装备属性!$F$1083,1+INT(COUNTA($Q$11:Q785)/5),0),"[",""),"]","")+_xlfn.XLOOKUP(C786,$M$3:$M$7,$N$3:$N$7)*100,R785)</f>
        <v>30600</v>
      </c>
    </row>
    <row r="787" customHeight="1" spans="1:18">
      <c r="A787" s="78">
        <f ca="1" t="shared" si="36"/>
        <v>30601</v>
      </c>
      <c r="B787" s="82">
        <f ca="1">IFERROR(R787+COUNTIFS($R$11:$R787,R787),"")</f>
        <v>30632</v>
      </c>
      <c r="C787" s="83" t="str">
        <f ca="1">IF(MOD(COUNTIF($Q$11:Q786,Q786),5)=0,OFFSET(装备属性!$D$1083,1+INT(COUNTA($Q$11:Q786)/5),0),C786)</f>
        <v>红</v>
      </c>
      <c r="D787" s="82">
        <f t="shared" si="38"/>
        <v>2500</v>
      </c>
      <c r="F787" s="82">
        <f ca="1" t="shared" si="37"/>
        <v>30606</v>
      </c>
      <c r="G787" s="78" t="str">
        <f ca="1">IF(AND(LEFT("[{"&amp;M787&amp;","&amp;CEILING(N787*10000+(O787-N787)/4*(COUNTIF($F$11:F787,F787)-1)*10000,10)&amp;"}]",7)="[{equip",MID("[{"&amp;M787&amp;","&amp;CEILING(N787*10000+(O787-N787)/4*(COUNTIF($F$11:F787,F787)-1)*10000,10)&amp;"}]",8,1)&lt;&gt;"_"),"[{"&amp;M787&amp;","&amp;1&amp;"}]","[{"&amp;M787&amp;","&amp;CEILING(N787*10000+(O787-N787)/4*(COUNTIF($F$11:F787,F787)-1)*10000,10)&amp;"}]")</f>
        <v>[{hunter_crit_dmg,2850}]</v>
      </c>
      <c r="H787" s="82" t="s">
        <v>563</v>
      </c>
      <c r="J787" s="78">
        <f ca="1">IF(MOD(COUNTIF($Q$11:Q786,Q786),5)=0,OFFSET(装备属性!$P$1083,1+INT(COUNTA($Q$11:Q786)/5),0),J786)</f>
        <v>10</v>
      </c>
      <c r="K787" s="83" t="str">
        <f ca="1">IF(RIGHT(G787,13)="rune_slot,1}]",_xlfn.XLOOKUP(LEFT(SUBSTITUTE(G787,"[{",""),FIND(",",SUBSTITUTE(G787,"[{",""))-1),Sheet2!B:B,Sheet2!C:C)&amp;"+"&amp;1,_xlfn.XLOOKUP(LEFT(SUBSTITUTE(G787,"[{",""),FIND(",",SUBSTITUTE(G787,"[{",""))-1),Sheet2!B:B,Sheet2!C:C)&amp;"+"&amp;SUBSTITUTE(RIGHT(G787,LEN(G787)-FIND(",",G787)),"}]","")/100&amp;"%")</f>
        <v>射手暴击伤害+28.5%</v>
      </c>
      <c r="L787" s="83" t="str">
        <f ca="1">IF(MOD(COUNTIF($Q$11:Q786,Q786),5)=0,OFFSET(装备属性!$G$1083,1+INT(COUNTA($Q$11:Q786)/5),0),L786)</f>
        <v>暴走远程Ⅲ</v>
      </c>
      <c r="M787" s="89" t="str">
        <f ca="1">IF(MOD(COUNTIF($Q$11:Q786,Q786),5)=0,OFFSET(装备属性!$H$1083,1+INT(COUNTA($Q$11:Q786)/5),0),M786)</f>
        <v>hunter_crit_dmg</v>
      </c>
      <c r="N787" s="76">
        <f ca="1">IF(MOD(COUNTIF($Q$11:Q786,Q786),5)=0,OFFSET(装备属性!$K$1083,1+INT(COUNTA($Q$11:Q786)/5),0),N786)</f>
        <v>0.27</v>
      </c>
      <c r="O787" s="76">
        <f ca="1">IF(MOD(COUNTIF($Q$11:Q786,Q786),5)=0,OFFSET(装备属性!$L$1083,1+INT(COUNTA($Q$11:Q786)/5),0),O786)</f>
        <v>0.33</v>
      </c>
      <c r="Q787" s="89" t="str">
        <f ca="1">IF(MOD(COUNTIF($Q$11:Q786,Q786),5)=0,OFFSET(装备属性!$M$1083,1+INT(COUNTA($Q$11:Q786)/5),0),Q786)</f>
        <v>通用属性</v>
      </c>
      <c r="R787" s="83">
        <f ca="1">IF(MOD(COUNTIF($Q$11:Q786,Q786),5)=0,10000*SUBSTITUTE(SUBSTITUTE(OFFSET(装备属性!$F$1083,1+INT(COUNTA($Q$11:Q786)/5),0),"[",""),"]","")+_xlfn.XLOOKUP(C787,$M$3:$M$7,$N$3:$N$7)*100,R786)</f>
        <v>30600</v>
      </c>
    </row>
    <row r="788" customHeight="1" spans="1:18">
      <c r="A788" s="78">
        <f ca="1" t="shared" si="36"/>
        <v>30601</v>
      </c>
      <c r="B788" s="82">
        <f ca="1">IFERROR(R788+COUNTIFS($R$11:$R788,R788),"")</f>
        <v>30633</v>
      </c>
      <c r="C788" s="83" t="str">
        <f ca="1">IF(MOD(COUNTIF($Q$11:Q787,Q787),5)=0,OFFSET(装备属性!$D$1083,1+INT(COUNTA($Q$11:Q787)/5),0),C787)</f>
        <v>红</v>
      </c>
      <c r="D788" s="82">
        <f t="shared" si="38"/>
        <v>2000</v>
      </c>
      <c r="F788" s="82">
        <f ca="1" t="shared" si="37"/>
        <v>30606</v>
      </c>
      <c r="G788" s="78" t="str">
        <f ca="1">IF(AND(LEFT("[{"&amp;M788&amp;","&amp;CEILING(N788*10000+(O788-N788)/4*(COUNTIF($F$11:F788,F788)-1)*10000,10)&amp;"}]",7)="[{equip",MID("[{"&amp;M788&amp;","&amp;CEILING(N788*10000+(O788-N788)/4*(COUNTIF($F$11:F788,F788)-1)*10000,10)&amp;"}]",8,1)&lt;&gt;"_"),"[{"&amp;M788&amp;","&amp;1&amp;"}]","[{"&amp;M788&amp;","&amp;CEILING(N788*10000+(O788-N788)/4*(COUNTIF($F$11:F788,F788)-1)*10000,10)&amp;"}]")</f>
        <v>[{hunter_crit_dmg,3000}]</v>
      </c>
      <c r="H788" s="82" t="s">
        <v>563</v>
      </c>
      <c r="J788" s="78">
        <f ca="1">IF(MOD(COUNTIF($Q$11:Q787,Q787),5)=0,OFFSET(装备属性!$P$1083,1+INT(COUNTA($Q$11:Q787)/5),0),J787)</f>
        <v>10</v>
      </c>
      <c r="K788" s="83" t="str">
        <f ca="1">IF(RIGHT(G788,13)="rune_slot,1}]",_xlfn.XLOOKUP(LEFT(SUBSTITUTE(G788,"[{",""),FIND(",",SUBSTITUTE(G788,"[{",""))-1),Sheet2!B:B,Sheet2!C:C)&amp;"+"&amp;1,_xlfn.XLOOKUP(LEFT(SUBSTITUTE(G788,"[{",""),FIND(",",SUBSTITUTE(G788,"[{",""))-1),Sheet2!B:B,Sheet2!C:C)&amp;"+"&amp;SUBSTITUTE(RIGHT(G788,LEN(G788)-FIND(",",G788)),"}]","")/100&amp;"%")</f>
        <v>射手暴击伤害+30%</v>
      </c>
      <c r="L788" s="83" t="str">
        <f ca="1">IF(MOD(COUNTIF($Q$11:Q787,Q787),5)=0,OFFSET(装备属性!$G$1083,1+INT(COUNTA($Q$11:Q787)/5),0),L787)</f>
        <v>暴走远程Ⅲ</v>
      </c>
      <c r="M788" s="89" t="str">
        <f ca="1">IF(MOD(COUNTIF($Q$11:Q787,Q787),5)=0,OFFSET(装备属性!$H$1083,1+INT(COUNTA($Q$11:Q787)/5),0),M787)</f>
        <v>hunter_crit_dmg</v>
      </c>
      <c r="N788" s="76">
        <f ca="1">IF(MOD(COUNTIF($Q$11:Q787,Q787),5)=0,OFFSET(装备属性!$K$1083,1+INT(COUNTA($Q$11:Q787)/5),0),N787)</f>
        <v>0.27</v>
      </c>
      <c r="O788" s="76">
        <f ca="1">IF(MOD(COUNTIF($Q$11:Q787,Q787),5)=0,OFFSET(装备属性!$L$1083,1+INT(COUNTA($Q$11:Q787)/5),0),O787)</f>
        <v>0.33</v>
      </c>
      <c r="Q788" s="89" t="str">
        <f ca="1">IF(MOD(COUNTIF($Q$11:Q787,Q787),5)=0,OFFSET(装备属性!$M$1083,1+INT(COUNTA($Q$11:Q787)/5),0),Q787)</f>
        <v>通用属性</v>
      </c>
      <c r="R788" s="83">
        <f ca="1">IF(MOD(COUNTIF($Q$11:Q787,Q787),5)=0,10000*SUBSTITUTE(SUBSTITUTE(OFFSET(装备属性!$F$1083,1+INT(COUNTA($Q$11:Q787)/5),0),"[",""),"]","")+_xlfn.XLOOKUP(C788,$M$3:$M$7,$N$3:$N$7)*100,R787)</f>
        <v>30600</v>
      </c>
    </row>
    <row r="789" customHeight="1" spans="1:18">
      <c r="A789" s="78">
        <f ca="1" t="shared" si="36"/>
        <v>30601</v>
      </c>
      <c r="B789" s="82">
        <f ca="1">IFERROR(R789+COUNTIFS($R$11:$R789,R789),"")</f>
        <v>30634</v>
      </c>
      <c r="C789" s="83" t="str">
        <f ca="1">IF(MOD(COUNTIF($Q$11:Q788,Q788),5)=0,OFFSET(装备属性!$D$1083,1+INT(COUNTA($Q$11:Q788)/5),0),C788)</f>
        <v>红</v>
      </c>
      <c r="D789" s="82">
        <f t="shared" si="38"/>
        <v>1500</v>
      </c>
      <c r="F789" s="82">
        <f ca="1" t="shared" si="37"/>
        <v>30606</v>
      </c>
      <c r="G789" s="78" t="str">
        <f ca="1">IF(AND(LEFT("[{"&amp;M789&amp;","&amp;CEILING(N789*10000+(O789-N789)/4*(COUNTIF($F$11:F789,F789)-1)*10000,10)&amp;"}]",7)="[{equip",MID("[{"&amp;M789&amp;","&amp;CEILING(N789*10000+(O789-N789)/4*(COUNTIF($F$11:F789,F789)-1)*10000,10)&amp;"}]",8,1)&lt;&gt;"_"),"[{"&amp;M789&amp;","&amp;1&amp;"}]","[{"&amp;M789&amp;","&amp;CEILING(N789*10000+(O789-N789)/4*(COUNTIF($F$11:F789,F789)-1)*10000,10)&amp;"}]")</f>
        <v>[{hunter_crit_dmg,3150}]</v>
      </c>
      <c r="H789" s="82" t="s">
        <v>563</v>
      </c>
      <c r="J789" s="78">
        <f ca="1">IF(MOD(COUNTIF($Q$11:Q788,Q788),5)=0,OFFSET(装备属性!$P$1083,1+INT(COUNTA($Q$11:Q788)/5),0),J788)</f>
        <v>10</v>
      </c>
      <c r="K789" s="83" t="str">
        <f ca="1">IF(RIGHT(G789,13)="rune_slot,1}]",_xlfn.XLOOKUP(LEFT(SUBSTITUTE(G789,"[{",""),FIND(",",SUBSTITUTE(G789,"[{",""))-1),Sheet2!B:B,Sheet2!C:C)&amp;"+"&amp;1,_xlfn.XLOOKUP(LEFT(SUBSTITUTE(G789,"[{",""),FIND(",",SUBSTITUTE(G789,"[{",""))-1),Sheet2!B:B,Sheet2!C:C)&amp;"+"&amp;SUBSTITUTE(RIGHT(G789,LEN(G789)-FIND(",",G789)),"}]","")/100&amp;"%")</f>
        <v>射手暴击伤害+31.5%</v>
      </c>
      <c r="L789" s="83" t="str">
        <f ca="1">IF(MOD(COUNTIF($Q$11:Q788,Q788),5)=0,OFFSET(装备属性!$G$1083,1+INT(COUNTA($Q$11:Q788)/5),0),L788)</f>
        <v>暴走远程Ⅲ</v>
      </c>
      <c r="M789" s="89" t="str">
        <f ca="1">IF(MOD(COUNTIF($Q$11:Q788,Q788),5)=0,OFFSET(装备属性!$H$1083,1+INT(COUNTA($Q$11:Q788)/5),0),M788)</f>
        <v>hunter_crit_dmg</v>
      </c>
      <c r="N789" s="76">
        <f ca="1">IF(MOD(COUNTIF($Q$11:Q788,Q788),5)=0,OFFSET(装备属性!$K$1083,1+INT(COUNTA($Q$11:Q788)/5),0),N788)</f>
        <v>0.27</v>
      </c>
      <c r="O789" s="76">
        <f ca="1">IF(MOD(COUNTIF($Q$11:Q788,Q788),5)=0,OFFSET(装备属性!$L$1083,1+INT(COUNTA($Q$11:Q788)/5),0),O788)</f>
        <v>0.33</v>
      </c>
      <c r="Q789" s="89" t="str">
        <f ca="1">IF(MOD(COUNTIF($Q$11:Q788,Q788),5)=0,OFFSET(装备属性!$M$1083,1+INT(COUNTA($Q$11:Q788)/5),0),Q788)</f>
        <v>通用属性</v>
      </c>
      <c r="R789" s="83">
        <f ca="1">IF(MOD(COUNTIF($Q$11:Q788,Q788),5)=0,10000*SUBSTITUTE(SUBSTITUTE(OFFSET(装备属性!$F$1083,1+INT(COUNTA($Q$11:Q788)/5),0),"[",""),"]","")+_xlfn.XLOOKUP(C789,$M$3:$M$7,$N$3:$N$7)*100,R788)</f>
        <v>30600</v>
      </c>
    </row>
    <row r="790" customHeight="1" spans="1:18">
      <c r="A790" s="78">
        <f ca="1" t="shared" si="36"/>
        <v>30601</v>
      </c>
      <c r="B790" s="82">
        <f ca="1">IFERROR(R790+COUNTIFS($R$11:$R790,R790),"")</f>
        <v>30635</v>
      </c>
      <c r="C790" s="83" t="str">
        <f ca="1">IF(MOD(COUNTIF($Q$11:Q789,Q789),5)=0,OFFSET(装备属性!$D$1083,1+INT(COUNTA($Q$11:Q789)/5),0),C789)</f>
        <v>红</v>
      </c>
      <c r="D790" s="82">
        <f t="shared" si="38"/>
        <v>1000</v>
      </c>
      <c r="F790" s="82">
        <f ca="1" t="shared" si="37"/>
        <v>30606</v>
      </c>
      <c r="G790" s="78" t="str">
        <f ca="1">IF(AND(LEFT("[{"&amp;M790&amp;","&amp;CEILING(N790*10000+(O790-N790)/4*(COUNTIF($F$11:F790,F790)-1)*10000,10)&amp;"}]",7)="[{equip",MID("[{"&amp;M790&amp;","&amp;CEILING(N790*10000+(O790-N790)/4*(COUNTIF($F$11:F790,F790)-1)*10000,10)&amp;"}]",8,1)&lt;&gt;"_"),"[{"&amp;M790&amp;","&amp;1&amp;"}]","[{"&amp;M790&amp;","&amp;CEILING(N790*10000+(O790-N790)/4*(COUNTIF($F$11:F790,F790)-1)*10000,10)&amp;"}]")</f>
        <v>[{hunter_crit_dmg,3300}]</v>
      </c>
      <c r="H790" s="82" t="s">
        <v>563</v>
      </c>
      <c r="J790" s="78">
        <f ca="1">IF(MOD(COUNTIF($Q$11:Q789,Q789),5)=0,OFFSET(装备属性!$P$1083,1+INT(COUNTA($Q$11:Q789)/5),0),J789)</f>
        <v>10</v>
      </c>
      <c r="K790" s="83" t="str">
        <f ca="1">IF(RIGHT(G790,13)="rune_slot,1}]",_xlfn.XLOOKUP(LEFT(SUBSTITUTE(G790,"[{",""),FIND(",",SUBSTITUTE(G790,"[{",""))-1),Sheet2!B:B,Sheet2!C:C)&amp;"+"&amp;1,_xlfn.XLOOKUP(LEFT(SUBSTITUTE(G790,"[{",""),FIND(",",SUBSTITUTE(G790,"[{",""))-1),Sheet2!B:B,Sheet2!C:C)&amp;"+"&amp;SUBSTITUTE(RIGHT(G790,LEN(G790)-FIND(",",G790)),"}]","")/100&amp;"%")</f>
        <v>射手暴击伤害+33%</v>
      </c>
      <c r="L790" s="83" t="str">
        <f ca="1">IF(MOD(COUNTIF($Q$11:Q789,Q789),5)=0,OFFSET(装备属性!$G$1083,1+INT(COUNTA($Q$11:Q789)/5),0),L789)</f>
        <v>暴走远程Ⅲ</v>
      </c>
      <c r="M790" s="89" t="str">
        <f ca="1">IF(MOD(COUNTIF($Q$11:Q789,Q789),5)=0,OFFSET(装备属性!$H$1083,1+INT(COUNTA($Q$11:Q789)/5),0),M789)</f>
        <v>hunter_crit_dmg</v>
      </c>
      <c r="N790" s="76">
        <f ca="1">IF(MOD(COUNTIF($Q$11:Q789,Q789),5)=0,OFFSET(装备属性!$K$1083,1+INT(COUNTA($Q$11:Q789)/5),0),N789)</f>
        <v>0.27</v>
      </c>
      <c r="O790" s="76">
        <f ca="1">IF(MOD(COUNTIF($Q$11:Q789,Q789),5)=0,OFFSET(装备属性!$L$1083,1+INT(COUNTA($Q$11:Q789)/5),0),O789)</f>
        <v>0.33</v>
      </c>
      <c r="Q790" s="89" t="str">
        <f ca="1">IF(MOD(COUNTIF($Q$11:Q789,Q789),5)=0,OFFSET(装备属性!$M$1083,1+INT(COUNTA($Q$11:Q789)/5),0),Q789)</f>
        <v>通用属性</v>
      </c>
      <c r="R790" s="83">
        <f ca="1">IF(MOD(COUNTIF($Q$11:Q789,Q789),5)=0,10000*SUBSTITUTE(SUBSTITUTE(OFFSET(装备属性!$F$1083,1+INT(COUNTA($Q$11:Q789)/5),0),"[",""),"]","")+_xlfn.XLOOKUP(C790,$M$3:$M$7,$N$3:$N$7)*100,R789)</f>
        <v>30600</v>
      </c>
    </row>
    <row r="791" customHeight="1" spans="1:18">
      <c r="A791" s="78" t="str">
        <f ca="1" t="shared" si="36"/>
        <v/>
      </c>
      <c r="B791" s="82" t="str">
        <f ca="1">IFERROR(R791+COUNTIFS($R$11:$R791,R791),"")</f>
        <v/>
      </c>
      <c r="C791" s="83">
        <f ca="1">IF(MOD(COUNTIF($Q$11:Q790,Q790),5)=0,OFFSET(装备属性!$D$1083,1+INT(COUNTA($Q$11:Q790)/5),0),C790)</f>
        <v>0</v>
      </c>
      <c r="D791" s="82">
        <f t="shared" si="38"/>
        <v>3000</v>
      </c>
      <c r="F791" s="82" t="str">
        <f ca="1" t="shared" si="37"/>
        <v/>
      </c>
      <c r="G791" s="78" t="str">
        <f ca="1">IF(AND(LEFT("[{"&amp;M791&amp;","&amp;CEILING(N791*10000+(O791-N791)/4*(COUNTIF($F$11:F791,F791)-1)*10000,10)&amp;"}]",7)="[{equip",MID("[{"&amp;M791&amp;","&amp;CEILING(N791*10000+(O791-N791)/4*(COUNTIF($F$11:F791,F791)-1)*10000,10)&amp;"}]",8,1)&lt;&gt;"_"),"[{"&amp;M791&amp;","&amp;1&amp;"}]","[{"&amp;M791&amp;","&amp;CEILING(N791*10000+(O791-N791)/4*(COUNTIF($F$11:F791,F791)-1)*10000,10)&amp;"}]")</f>
        <v>[{global_dmg_rate,12130}]</v>
      </c>
      <c r="H791" s="82" t="s">
        <v>563</v>
      </c>
      <c r="J791" s="78">
        <f ca="1">IF(MOD(COUNTIF($Q$11:Q790,Q790),5)=0,OFFSET(装备属性!$P$1083,1+INT(COUNTA($Q$11:Q790)/5),0),J790)</f>
        <v>2</v>
      </c>
      <c r="K791" s="83" t="str">
        <f ca="1">IF(RIGHT(G791,13)="rune_slot,1}]",_xlfn.XLOOKUP(LEFT(SUBSTITUTE(G791,"[{",""),FIND(",",SUBSTITUTE(G791,"[{",""))-1),Sheet2!B:B,Sheet2!C:C)&amp;"+"&amp;1,_xlfn.XLOOKUP(LEFT(SUBSTITUTE(G791,"[{",""),FIND(",",SUBSTITUTE(G791,"[{",""))-1),Sheet2!B:B,Sheet2!C:C)&amp;"+"&amp;SUBSTITUTE(RIGHT(G791,LEN(G791)-FIND(",",G791)),"}]","")/100&amp;"%")</f>
        <v>伤害加成+121.3%</v>
      </c>
      <c r="L791" s="83" t="str">
        <f ca="1">IF(MOD(COUNTIF($Q$11:Q790,Q790),5)=0,OFFSET(装备属性!$G$1083,1+INT(COUNTA($Q$11:Q790)/5),0),L790)</f>
        <v>全职小队Ⅳ</v>
      </c>
      <c r="M791" s="89" t="str">
        <f ca="1">IF(MOD(COUNTIF($Q$11:Q790,Q790),5)=0,OFFSET(装备属性!$H$1083,1+INT(COUNTA($Q$11:Q790)/5),0),M790)</f>
        <v>global_dmg_rate</v>
      </c>
      <c r="N791" s="76">
        <f ca="1">IF(MOD(COUNTIF($Q$11:Q790,Q790),5)=0,OFFSET(装备属性!$K$1083,1+INT(COUNTA($Q$11:Q790)/5),0),N790)</f>
        <v>0.058</v>
      </c>
      <c r="O791" s="76">
        <f ca="1">IF(MOD(COUNTIF($Q$11:Q790,Q790),5)=0,OFFSET(装备属性!$L$1083,1+INT(COUNTA($Q$11:Q790)/5),0),O790)</f>
        <v>0.072</v>
      </c>
      <c r="Q791" s="89" t="str">
        <f ca="1">IF(MOD(COUNTIF($Q$11:Q790,Q790),5)=0,OFFSET(装备属性!$M$1083,1+INT(COUNTA($Q$11:Q790)/5),0),Q790)</f>
        <v>通用属性</v>
      </c>
      <c r="R791" s="83" t="e">
        <f ca="1">IF(MOD(COUNTIF($Q$11:Q790,Q790),5)=0,10000*SUBSTITUTE(SUBSTITUTE(OFFSET(装备属性!$F$1083,1+INT(COUNTA($Q$11:Q790)/5),0),"[",""),"]","")+_xlfn.XLOOKUP(C791,$M$3:$M$7,$N$3:$N$7)*100,R790)</f>
        <v>#N/A</v>
      </c>
    </row>
    <row r="792" customHeight="1" spans="1:18">
      <c r="A792" s="78" t="str">
        <f ca="1" t="shared" si="36"/>
        <v/>
      </c>
      <c r="B792" s="82" t="str">
        <f ca="1">IFERROR(R792+COUNTIFS($R$11:$R792,R792),"")</f>
        <v/>
      </c>
      <c r="C792" s="83">
        <f ca="1">IF(MOD(COUNTIF($Q$11:Q791,Q791),5)=0,OFFSET(装备属性!$D$1083,1+INT(COUNTA($Q$11:Q791)/5),0),C791)</f>
        <v>0</v>
      </c>
      <c r="D792" s="82">
        <f t="shared" si="38"/>
        <v>2500</v>
      </c>
      <c r="F792" s="82" t="str">
        <f ca="1" t="shared" si="37"/>
        <v/>
      </c>
      <c r="G792" s="78" t="str">
        <f ca="1">IF(AND(LEFT("[{"&amp;M792&amp;","&amp;CEILING(N792*10000+(O792-N792)/4*(COUNTIF($F$11:F792,F792)-1)*10000,10)&amp;"}]",7)="[{equip",MID("[{"&amp;M792&amp;","&amp;CEILING(N792*10000+(O792-N792)/4*(COUNTIF($F$11:F792,F792)-1)*10000,10)&amp;"}]",8,1)&lt;&gt;"_"),"[{"&amp;M792&amp;","&amp;1&amp;"}]","[{"&amp;M792&amp;","&amp;CEILING(N792*10000+(O792-N792)/4*(COUNTIF($F$11:F792,F792)-1)*10000,10)&amp;"}]")</f>
        <v>[{global_dmg_rate,12170}]</v>
      </c>
      <c r="H792" s="82" t="s">
        <v>563</v>
      </c>
      <c r="J792" s="78">
        <f ca="1">IF(MOD(COUNTIF($Q$11:Q791,Q791),5)=0,OFFSET(装备属性!$P$1083,1+INT(COUNTA($Q$11:Q791)/5),0),J791)</f>
        <v>2</v>
      </c>
      <c r="K792" s="83" t="str">
        <f ca="1">IF(RIGHT(G792,13)="rune_slot,1}]",_xlfn.XLOOKUP(LEFT(SUBSTITUTE(G792,"[{",""),FIND(",",SUBSTITUTE(G792,"[{",""))-1),Sheet2!B:B,Sheet2!C:C)&amp;"+"&amp;1,_xlfn.XLOOKUP(LEFT(SUBSTITUTE(G792,"[{",""),FIND(",",SUBSTITUTE(G792,"[{",""))-1),Sheet2!B:B,Sheet2!C:C)&amp;"+"&amp;SUBSTITUTE(RIGHT(G792,LEN(G792)-FIND(",",G792)),"}]","")/100&amp;"%")</f>
        <v>伤害加成+121.7%</v>
      </c>
      <c r="L792" s="83" t="str">
        <f ca="1">IF(MOD(COUNTIF($Q$11:Q791,Q791),5)=0,OFFSET(装备属性!$G$1083,1+INT(COUNTA($Q$11:Q791)/5),0),L791)</f>
        <v>全职小队Ⅳ</v>
      </c>
      <c r="M792" s="89" t="str">
        <f ca="1">IF(MOD(COUNTIF($Q$11:Q791,Q791),5)=0,OFFSET(装备属性!$H$1083,1+INT(COUNTA($Q$11:Q791)/5),0),M791)</f>
        <v>global_dmg_rate</v>
      </c>
      <c r="N792" s="76">
        <f ca="1">IF(MOD(COUNTIF($Q$11:Q791,Q791),5)=0,OFFSET(装备属性!$K$1083,1+INT(COUNTA($Q$11:Q791)/5),0),N791)</f>
        <v>0.058</v>
      </c>
      <c r="O792" s="76">
        <f ca="1">IF(MOD(COUNTIF($Q$11:Q791,Q791),5)=0,OFFSET(装备属性!$L$1083,1+INT(COUNTA($Q$11:Q791)/5),0),O791)</f>
        <v>0.072</v>
      </c>
      <c r="Q792" s="89" t="str">
        <f ca="1">IF(MOD(COUNTIF($Q$11:Q791,Q791),5)=0,OFFSET(装备属性!$M$1083,1+INT(COUNTA($Q$11:Q791)/5),0),Q791)</f>
        <v>通用属性</v>
      </c>
      <c r="R792" s="83" t="e">
        <f ca="1">IF(MOD(COUNTIF($Q$11:Q791,Q791),5)=0,10000*SUBSTITUTE(SUBSTITUTE(OFFSET(装备属性!$F$1083,1+INT(COUNTA($Q$11:Q791)/5),0),"[",""),"]","")+_xlfn.XLOOKUP(C792,$M$3:$M$7,$N$3:$N$7)*100,R791)</f>
        <v>#N/A</v>
      </c>
    </row>
    <row r="793" customHeight="1" spans="1:18">
      <c r="A793" s="78" t="str">
        <f ca="1" t="shared" si="36"/>
        <v/>
      </c>
      <c r="B793" s="82" t="str">
        <f ca="1">IFERROR(R793+COUNTIFS($R$11:$R793,R793),"")</f>
        <v/>
      </c>
      <c r="C793" s="83">
        <f ca="1">IF(MOD(COUNTIF($Q$11:Q792,Q792),5)=0,OFFSET(装备属性!$D$1083,1+INT(COUNTA($Q$11:Q792)/5),0),C792)</f>
        <v>0</v>
      </c>
      <c r="D793" s="82">
        <f t="shared" si="38"/>
        <v>2000</v>
      </c>
      <c r="F793" s="82" t="str">
        <f ca="1" t="shared" si="37"/>
        <v/>
      </c>
      <c r="G793" s="78" t="str">
        <f ca="1">IF(AND(LEFT("[{"&amp;M793&amp;","&amp;CEILING(N793*10000+(O793-N793)/4*(COUNTIF($F$11:F793,F793)-1)*10000,10)&amp;"}]",7)="[{equip",MID("[{"&amp;M793&amp;","&amp;CEILING(N793*10000+(O793-N793)/4*(COUNTIF($F$11:F793,F793)-1)*10000,10)&amp;"}]",8,1)&lt;&gt;"_"),"[{"&amp;M793&amp;","&amp;1&amp;"}]","[{"&amp;M793&amp;","&amp;CEILING(N793*10000+(O793-N793)/4*(COUNTIF($F$11:F793,F793)-1)*10000,10)&amp;"}]")</f>
        <v>[{global_dmg_rate,12200}]</v>
      </c>
      <c r="H793" s="82" t="s">
        <v>563</v>
      </c>
      <c r="J793" s="78">
        <f ca="1">IF(MOD(COUNTIF($Q$11:Q792,Q792),5)=0,OFFSET(装备属性!$P$1083,1+INT(COUNTA($Q$11:Q792)/5),0),J792)</f>
        <v>2</v>
      </c>
      <c r="K793" s="83" t="str">
        <f ca="1">IF(RIGHT(G793,13)="rune_slot,1}]",_xlfn.XLOOKUP(LEFT(SUBSTITUTE(G793,"[{",""),FIND(",",SUBSTITUTE(G793,"[{",""))-1),Sheet2!B:B,Sheet2!C:C)&amp;"+"&amp;1,_xlfn.XLOOKUP(LEFT(SUBSTITUTE(G793,"[{",""),FIND(",",SUBSTITUTE(G793,"[{",""))-1),Sheet2!B:B,Sheet2!C:C)&amp;"+"&amp;SUBSTITUTE(RIGHT(G793,LEN(G793)-FIND(",",G793)),"}]","")/100&amp;"%")</f>
        <v>伤害加成+122%</v>
      </c>
      <c r="L793" s="83" t="str">
        <f ca="1">IF(MOD(COUNTIF($Q$11:Q792,Q792),5)=0,OFFSET(装备属性!$G$1083,1+INT(COUNTA($Q$11:Q792)/5),0),L792)</f>
        <v>全职小队Ⅳ</v>
      </c>
      <c r="M793" s="89" t="str">
        <f ca="1">IF(MOD(COUNTIF($Q$11:Q792,Q792),5)=0,OFFSET(装备属性!$H$1083,1+INT(COUNTA($Q$11:Q792)/5),0),M792)</f>
        <v>global_dmg_rate</v>
      </c>
      <c r="N793" s="76">
        <f ca="1">IF(MOD(COUNTIF($Q$11:Q792,Q792),5)=0,OFFSET(装备属性!$K$1083,1+INT(COUNTA($Q$11:Q792)/5),0),N792)</f>
        <v>0.058</v>
      </c>
      <c r="O793" s="76">
        <f ca="1">IF(MOD(COUNTIF($Q$11:Q792,Q792),5)=0,OFFSET(装备属性!$L$1083,1+INT(COUNTA($Q$11:Q792)/5),0),O792)</f>
        <v>0.072</v>
      </c>
      <c r="Q793" s="89" t="str">
        <f ca="1">IF(MOD(COUNTIF($Q$11:Q792,Q792),5)=0,OFFSET(装备属性!$M$1083,1+INT(COUNTA($Q$11:Q792)/5),0),Q792)</f>
        <v>通用属性</v>
      </c>
      <c r="R793" s="83" t="e">
        <f ca="1">IF(MOD(COUNTIF($Q$11:Q792,Q792),5)=0,10000*SUBSTITUTE(SUBSTITUTE(OFFSET(装备属性!$F$1083,1+INT(COUNTA($Q$11:Q792)/5),0),"[",""),"]","")+_xlfn.XLOOKUP(C793,$M$3:$M$7,$N$3:$N$7)*100,R792)</f>
        <v>#N/A</v>
      </c>
    </row>
    <row r="794" customHeight="1" spans="1:18">
      <c r="A794" s="78" t="str">
        <f ca="1" t="shared" si="36"/>
        <v/>
      </c>
      <c r="B794" s="82" t="str">
        <f ca="1">IFERROR(R794+COUNTIFS($R$11:$R794,R794),"")</f>
        <v/>
      </c>
      <c r="C794" s="83">
        <f ca="1">IF(MOD(COUNTIF($Q$11:Q793,Q793),5)=0,OFFSET(装备属性!$D$1083,1+INT(COUNTA($Q$11:Q793)/5),0),C793)</f>
        <v>0</v>
      </c>
      <c r="D794" s="82">
        <f t="shared" si="38"/>
        <v>1500</v>
      </c>
      <c r="F794" s="82" t="str">
        <f ca="1" t="shared" si="37"/>
        <v/>
      </c>
      <c r="G794" s="78" t="str">
        <f ca="1">IF(AND(LEFT("[{"&amp;M794&amp;","&amp;CEILING(N794*10000+(O794-N794)/4*(COUNTIF($F$11:F794,F794)-1)*10000,10)&amp;"}]",7)="[{equip",MID("[{"&amp;M794&amp;","&amp;CEILING(N794*10000+(O794-N794)/4*(COUNTIF($F$11:F794,F794)-1)*10000,10)&amp;"}]",8,1)&lt;&gt;"_"),"[{"&amp;M794&amp;","&amp;1&amp;"}]","[{"&amp;M794&amp;","&amp;CEILING(N794*10000+(O794-N794)/4*(COUNTIF($F$11:F794,F794)-1)*10000,10)&amp;"}]")</f>
        <v>[{global_dmg_rate,12240}]</v>
      </c>
      <c r="H794" s="82" t="s">
        <v>563</v>
      </c>
      <c r="J794" s="78">
        <f ca="1">IF(MOD(COUNTIF($Q$11:Q793,Q793),5)=0,OFFSET(装备属性!$P$1083,1+INT(COUNTA($Q$11:Q793)/5),0),J793)</f>
        <v>2</v>
      </c>
      <c r="K794" s="83" t="str">
        <f ca="1">IF(RIGHT(G794,13)="rune_slot,1}]",_xlfn.XLOOKUP(LEFT(SUBSTITUTE(G794,"[{",""),FIND(",",SUBSTITUTE(G794,"[{",""))-1),Sheet2!B:B,Sheet2!C:C)&amp;"+"&amp;1,_xlfn.XLOOKUP(LEFT(SUBSTITUTE(G794,"[{",""),FIND(",",SUBSTITUTE(G794,"[{",""))-1),Sheet2!B:B,Sheet2!C:C)&amp;"+"&amp;SUBSTITUTE(RIGHT(G794,LEN(G794)-FIND(",",G794)),"}]","")/100&amp;"%")</f>
        <v>伤害加成+122.4%</v>
      </c>
      <c r="L794" s="83" t="str">
        <f ca="1">IF(MOD(COUNTIF($Q$11:Q793,Q793),5)=0,OFFSET(装备属性!$G$1083,1+INT(COUNTA($Q$11:Q793)/5),0),L793)</f>
        <v>全职小队Ⅳ</v>
      </c>
      <c r="M794" s="89" t="str">
        <f ca="1">IF(MOD(COUNTIF($Q$11:Q793,Q793),5)=0,OFFSET(装备属性!$H$1083,1+INT(COUNTA($Q$11:Q793)/5),0),M793)</f>
        <v>global_dmg_rate</v>
      </c>
      <c r="N794" s="76">
        <f ca="1">IF(MOD(COUNTIF($Q$11:Q793,Q793),5)=0,OFFSET(装备属性!$K$1083,1+INT(COUNTA($Q$11:Q793)/5),0),N793)</f>
        <v>0.058</v>
      </c>
      <c r="O794" s="76">
        <f ca="1">IF(MOD(COUNTIF($Q$11:Q793,Q793),5)=0,OFFSET(装备属性!$L$1083,1+INT(COUNTA($Q$11:Q793)/5),0),O793)</f>
        <v>0.072</v>
      </c>
      <c r="Q794" s="89" t="str">
        <f ca="1">IF(MOD(COUNTIF($Q$11:Q793,Q793),5)=0,OFFSET(装备属性!$M$1083,1+INT(COUNTA($Q$11:Q793)/5),0),Q793)</f>
        <v>通用属性</v>
      </c>
      <c r="R794" s="83" t="e">
        <f ca="1">IF(MOD(COUNTIF($Q$11:Q793,Q793),5)=0,10000*SUBSTITUTE(SUBSTITUTE(OFFSET(装备属性!$F$1083,1+INT(COUNTA($Q$11:Q793)/5),0),"[",""),"]","")+_xlfn.XLOOKUP(C794,$M$3:$M$7,$N$3:$N$7)*100,R793)</f>
        <v>#N/A</v>
      </c>
    </row>
    <row r="795" customHeight="1" spans="1:18">
      <c r="A795" s="78" t="str">
        <f ca="1" t="shared" si="36"/>
        <v/>
      </c>
      <c r="B795" s="82" t="str">
        <f ca="1">IFERROR(R795+COUNTIFS($R$11:$R795,R795),"")</f>
        <v/>
      </c>
      <c r="C795" s="83">
        <f ca="1">IF(MOD(COUNTIF($Q$11:Q794,Q794),5)=0,OFFSET(装备属性!$D$1083,1+INT(COUNTA($Q$11:Q794)/5),0),C794)</f>
        <v>0</v>
      </c>
      <c r="D795" s="82">
        <f t="shared" si="38"/>
        <v>1000</v>
      </c>
      <c r="F795" s="82" t="str">
        <f ca="1" t="shared" si="37"/>
        <v/>
      </c>
      <c r="G795" s="78" t="str">
        <f ca="1">IF(AND(LEFT("[{"&amp;M795&amp;","&amp;CEILING(N795*10000+(O795-N795)/4*(COUNTIF($F$11:F795,F795)-1)*10000,10)&amp;"}]",7)="[{equip",MID("[{"&amp;M795&amp;","&amp;CEILING(N795*10000+(O795-N795)/4*(COUNTIF($F$11:F795,F795)-1)*10000,10)&amp;"}]",8,1)&lt;&gt;"_"),"[{"&amp;M795&amp;","&amp;1&amp;"}]","[{"&amp;M795&amp;","&amp;CEILING(N795*10000+(O795-N795)/4*(COUNTIF($F$11:F795,F795)-1)*10000,10)&amp;"}]")</f>
        <v>[{global_dmg_rate,12270}]</v>
      </c>
      <c r="H795" s="82" t="s">
        <v>563</v>
      </c>
      <c r="J795" s="78">
        <f ca="1">IF(MOD(COUNTIF($Q$11:Q794,Q794),5)=0,OFFSET(装备属性!$P$1083,1+INT(COUNTA($Q$11:Q794)/5),0),J794)</f>
        <v>2</v>
      </c>
      <c r="K795" s="83" t="str">
        <f ca="1">IF(RIGHT(G795,13)="rune_slot,1}]",_xlfn.XLOOKUP(LEFT(SUBSTITUTE(G795,"[{",""),FIND(",",SUBSTITUTE(G795,"[{",""))-1),Sheet2!B:B,Sheet2!C:C)&amp;"+"&amp;1,_xlfn.XLOOKUP(LEFT(SUBSTITUTE(G795,"[{",""),FIND(",",SUBSTITUTE(G795,"[{",""))-1),Sheet2!B:B,Sheet2!C:C)&amp;"+"&amp;SUBSTITUTE(RIGHT(G795,LEN(G795)-FIND(",",G795)),"}]","")/100&amp;"%")</f>
        <v>伤害加成+122.7%</v>
      </c>
      <c r="L795" s="83" t="str">
        <f ca="1">IF(MOD(COUNTIF($Q$11:Q794,Q794),5)=0,OFFSET(装备属性!$G$1083,1+INT(COUNTA($Q$11:Q794)/5),0),L794)</f>
        <v>全职小队Ⅳ</v>
      </c>
      <c r="M795" s="89" t="str">
        <f ca="1">IF(MOD(COUNTIF($Q$11:Q794,Q794),5)=0,OFFSET(装备属性!$H$1083,1+INT(COUNTA($Q$11:Q794)/5),0),M794)</f>
        <v>global_dmg_rate</v>
      </c>
      <c r="N795" s="76">
        <f ca="1">IF(MOD(COUNTIF($Q$11:Q794,Q794),5)=0,OFFSET(装备属性!$K$1083,1+INT(COUNTA($Q$11:Q794)/5),0),N794)</f>
        <v>0.058</v>
      </c>
      <c r="O795" s="76">
        <f ca="1">IF(MOD(COUNTIF($Q$11:Q794,Q794),5)=0,OFFSET(装备属性!$L$1083,1+INT(COUNTA($Q$11:Q794)/5),0),O794)</f>
        <v>0.072</v>
      </c>
      <c r="Q795" s="89" t="str">
        <f ca="1">IF(MOD(COUNTIF($Q$11:Q794,Q794),5)=0,OFFSET(装备属性!$M$1083,1+INT(COUNTA($Q$11:Q794)/5),0),Q794)</f>
        <v>通用属性</v>
      </c>
      <c r="R795" s="83" t="e">
        <f ca="1">IF(MOD(COUNTIF($Q$11:Q794,Q794),5)=0,10000*SUBSTITUTE(SUBSTITUTE(OFFSET(装备属性!$F$1083,1+INT(COUNTA($Q$11:Q794)/5),0),"[",""),"]","")+_xlfn.XLOOKUP(C795,$M$3:$M$7,$N$3:$N$7)*100,R794)</f>
        <v>#N/A</v>
      </c>
    </row>
    <row r="796" customHeight="1" spans="1:18">
      <c r="A796" s="78">
        <f ca="1" t="shared" si="36"/>
        <v>30701</v>
      </c>
      <c r="B796" s="82">
        <f ca="1">IFERROR(R796+COUNTIFS($R$11:$R796,R796),"")</f>
        <v>30701</v>
      </c>
      <c r="C796" s="83" t="str">
        <f ca="1">IF(MOD(COUNTIF($Q$11:Q795,Q795),5)=0,OFFSET(装备属性!$D$1083,1+INT(COUNTA($Q$11:Q795)/5),0),C795)</f>
        <v>粉</v>
      </c>
      <c r="D796" s="82">
        <f t="shared" si="38"/>
        <v>3000</v>
      </c>
      <c r="F796" s="82">
        <f ca="1" t="shared" si="37"/>
        <v>30700</v>
      </c>
      <c r="G796" s="78" t="str">
        <f ca="1">IF(AND(LEFT("[{"&amp;M796&amp;","&amp;CEILING(N796*10000+(O796-N796)/4*(COUNTIF($F$11:F796,F796)-1)*10000,10)&amp;"}]",7)="[{equip",MID("[{"&amp;M796&amp;","&amp;CEILING(N796*10000+(O796-N796)/4*(COUNTIF($F$11:F796,F796)-1)*10000,10)&amp;"}]",8,1)&lt;&gt;"_"),"[{"&amp;M796&amp;","&amp;1&amp;"}]","[{"&amp;M796&amp;","&amp;CEILING(N796*10000+(O796-N796)/4*(COUNTIF($F$11:F796,F796)-1)*10000,10)&amp;"}]")</f>
        <v>[{dmg_red_rate,250}]</v>
      </c>
      <c r="H796" s="82" t="s">
        <v>563</v>
      </c>
      <c r="J796" s="78">
        <f ca="1">IF(MOD(COUNTIF($Q$11:Q795,Q795),5)=0,OFFSET(装备属性!$P$1083,1+INT(COUNTA($Q$11:Q795)/5),0),J795)</f>
        <v>6</v>
      </c>
      <c r="K796" s="83" t="str">
        <f ca="1">IF(RIGHT(G796,13)="rune_slot,1}]",_xlfn.XLOOKUP(LEFT(SUBSTITUTE(G796,"[{",""),FIND(",",SUBSTITUTE(G796,"[{",""))-1),Sheet2!B:B,Sheet2!C:C)&amp;"+"&amp;1,_xlfn.XLOOKUP(LEFT(SUBSTITUTE(G796,"[{",""),FIND(",",SUBSTITUTE(G796,"[{",""))-1),Sheet2!B:B,Sheet2!C:C)&amp;"+"&amp;SUBSTITUTE(RIGHT(G796,LEN(G796)-FIND(",",G796)),"}]","")/100&amp;"%")</f>
        <v>伤害减免+2.5%</v>
      </c>
      <c r="L796" s="83" t="str">
        <f ca="1">IF(MOD(COUNTIF($Q$11:Q795,Q795),5)=0,OFFSET(装备属性!$G$1083,1+INT(COUNTA($Q$11:Q795)/5),0),L795)</f>
        <v>全员抗揍Ⅳ</v>
      </c>
      <c r="M796" s="89" t="str">
        <f ca="1">IF(MOD(COUNTIF($Q$11:Q795,Q795),5)=0,OFFSET(装备属性!$H$1083,1+INT(COUNTA($Q$11:Q795)/5),0),M795)</f>
        <v>dmg_red_rate</v>
      </c>
      <c r="N796" s="76">
        <f ca="1">IF(MOD(COUNTIF($Q$11:Q795,Q795),5)=0,OFFSET(装备属性!$K$1083,1+INT(COUNTA($Q$11:Q795)/5),0),N795)</f>
        <v>0.025</v>
      </c>
      <c r="O796" s="76">
        <f ca="1">IF(MOD(COUNTIF($Q$11:Q795,Q795),5)=0,OFFSET(装备属性!$L$1083,1+INT(COUNTA($Q$11:Q795)/5),0),O795)</f>
        <v>0.029</v>
      </c>
      <c r="Q796" s="89" t="str">
        <f ca="1">IF(MOD(COUNTIF($Q$11:Q795,Q795),5)=0,OFFSET(装备属性!$M$1083,1+INT(COUNTA($Q$11:Q795)/5),0),Q795)</f>
        <v>通用属性</v>
      </c>
      <c r="R796" s="83">
        <f ca="1">IF(MOD(COUNTIF($Q$11:Q795,Q795),5)=0,10000*SUBSTITUTE(SUBSTITUTE(OFFSET(装备属性!$F$1083,1+INT(COUNTA($Q$11:Q795)/5),0),"[",""),"]","")+_xlfn.XLOOKUP(C796,$M$3:$M$7,$N$3:$N$7)*100,R795)</f>
        <v>30700</v>
      </c>
    </row>
    <row r="797" customHeight="1" spans="1:18">
      <c r="A797" s="78">
        <f ca="1" t="shared" si="36"/>
        <v>30701</v>
      </c>
      <c r="B797" s="82">
        <f ca="1">IFERROR(R797+COUNTIFS($R$11:$R797,R797),"")</f>
        <v>30702</v>
      </c>
      <c r="C797" s="83" t="str">
        <f ca="1">IF(MOD(COUNTIF($Q$11:Q796,Q796),5)=0,OFFSET(装备属性!$D$1083,1+INT(COUNTA($Q$11:Q796)/5),0),C796)</f>
        <v>粉</v>
      </c>
      <c r="D797" s="82">
        <f t="shared" si="38"/>
        <v>2500</v>
      </c>
      <c r="F797" s="82">
        <f ca="1" t="shared" si="37"/>
        <v>30700</v>
      </c>
      <c r="G797" s="78" t="str">
        <f ca="1">IF(AND(LEFT("[{"&amp;M797&amp;","&amp;CEILING(N797*10000+(O797-N797)/4*(COUNTIF($F$11:F797,F797)-1)*10000,10)&amp;"}]",7)="[{equip",MID("[{"&amp;M797&amp;","&amp;CEILING(N797*10000+(O797-N797)/4*(COUNTIF($F$11:F797,F797)-1)*10000,10)&amp;"}]",8,1)&lt;&gt;"_"),"[{"&amp;M797&amp;","&amp;1&amp;"}]","[{"&amp;M797&amp;","&amp;CEILING(N797*10000+(O797-N797)/4*(COUNTIF($F$11:F797,F797)-1)*10000,10)&amp;"}]")</f>
        <v>[{dmg_red_rate,260}]</v>
      </c>
      <c r="H797" s="82" t="s">
        <v>563</v>
      </c>
      <c r="J797" s="78">
        <f ca="1">IF(MOD(COUNTIF($Q$11:Q796,Q796),5)=0,OFFSET(装备属性!$P$1083,1+INT(COUNTA($Q$11:Q796)/5),0),J796)</f>
        <v>6</v>
      </c>
      <c r="K797" s="83" t="str">
        <f ca="1">IF(RIGHT(G797,13)="rune_slot,1}]",_xlfn.XLOOKUP(LEFT(SUBSTITUTE(G797,"[{",""),FIND(",",SUBSTITUTE(G797,"[{",""))-1),Sheet2!B:B,Sheet2!C:C)&amp;"+"&amp;1,_xlfn.XLOOKUP(LEFT(SUBSTITUTE(G797,"[{",""),FIND(",",SUBSTITUTE(G797,"[{",""))-1),Sheet2!B:B,Sheet2!C:C)&amp;"+"&amp;SUBSTITUTE(RIGHT(G797,LEN(G797)-FIND(",",G797)),"}]","")/100&amp;"%")</f>
        <v>伤害减免+2.6%</v>
      </c>
      <c r="L797" s="83" t="str">
        <f ca="1">IF(MOD(COUNTIF($Q$11:Q796,Q796),5)=0,OFFSET(装备属性!$G$1083,1+INT(COUNTA($Q$11:Q796)/5),0),L796)</f>
        <v>全员抗揍Ⅳ</v>
      </c>
      <c r="M797" s="89" t="str">
        <f ca="1">IF(MOD(COUNTIF($Q$11:Q796,Q796),5)=0,OFFSET(装备属性!$H$1083,1+INT(COUNTA($Q$11:Q796)/5),0),M796)</f>
        <v>dmg_red_rate</v>
      </c>
      <c r="N797" s="76">
        <f ca="1">IF(MOD(COUNTIF($Q$11:Q796,Q796),5)=0,OFFSET(装备属性!$K$1083,1+INT(COUNTA($Q$11:Q796)/5),0),N796)</f>
        <v>0.025</v>
      </c>
      <c r="O797" s="76">
        <f ca="1">IF(MOD(COUNTIF($Q$11:Q796,Q796),5)=0,OFFSET(装备属性!$L$1083,1+INT(COUNTA($Q$11:Q796)/5),0),O796)</f>
        <v>0.029</v>
      </c>
      <c r="Q797" s="89" t="str">
        <f ca="1">IF(MOD(COUNTIF($Q$11:Q796,Q796),5)=0,OFFSET(装备属性!$M$1083,1+INT(COUNTA($Q$11:Q796)/5),0),Q796)</f>
        <v>通用属性</v>
      </c>
      <c r="R797" s="83">
        <f ca="1">IF(MOD(COUNTIF($Q$11:Q796,Q796),5)=0,10000*SUBSTITUTE(SUBSTITUTE(OFFSET(装备属性!$F$1083,1+INT(COUNTA($Q$11:Q796)/5),0),"[",""),"]","")+_xlfn.XLOOKUP(C797,$M$3:$M$7,$N$3:$N$7)*100,R796)</f>
        <v>30700</v>
      </c>
    </row>
    <row r="798" customHeight="1" spans="1:18">
      <c r="A798" s="78">
        <f ca="1" t="shared" si="36"/>
        <v>30701</v>
      </c>
      <c r="B798" s="82">
        <f ca="1">IFERROR(R798+COUNTIFS($R$11:$R798,R798),"")</f>
        <v>30703</v>
      </c>
      <c r="C798" s="83" t="str">
        <f ca="1">IF(MOD(COUNTIF($Q$11:Q797,Q797),5)=0,OFFSET(装备属性!$D$1083,1+INT(COUNTA($Q$11:Q797)/5),0),C797)</f>
        <v>粉</v>
      </c>
      <c r="D798" s="82">
        <f t="shared" si="38"/>
        <v>2000</v>
      </c>
      <c r="F798" s="82">
        <f ca="1" t="shared" si="37"/>
        <v>30700</v>
      </c>
      <c r="G798" s="78" t="str">
        <f ca="1">IF(AND(LEFT("[{"&amp;M798&amp;","&amp;CEILING(N798*10000+(O798-N798)/4*(COUNTIF($F$11:F798,F798)-1)*10000,10)&amp;"}]",7)="[{equip",MID("[{"&amp;M798&amp;","&amp;CEILING(N798*10000+(O798-N798)/4*(COUNTIF($F$11:F798,F798)-1)*10000,10)&amp;"}]",8,1)&lt;&gt;"_"),"[{"&amp;M798&amp;","&amp;1&amp;"}]","[{"&amp;M798&amp;","&amp;CEILING(N798*10000+(O798-N798)/4*(COUNTIF($F$11:F798,F798)-1)*10000,10)&amp;"}]")</f>
        <v>[{dmg_red_rate,270}]</v>
      </c>
      <c r="H798" s="82" t="s">
        <v>563</v>
      </c>
      <c r="J798" s="78">
        <f ca="1">IF(MOD(COUNTIF($Q$11:Q797,Q797),5)=0,OFFSET(装备属性!$P$1083,1+INT(COUNTA($Q$11:Q797)/5),0),J797)</f>
        <v>6</v>
      </c>
      <c r="K798" s="83" t="str">
        <f ca="1">IF(RIGHT(G798,13)="rune_slot,1}]",_xlfn.XLOOKUP(LEFT(SUBSTITUTE(G798,"[{",""),FIND(",",SUBSTITUTE(G798,"[{",""))-1),Sheet2!B:B,Sheet2!C:C)&amp;"+"&amp;1,_xlfn.XLOOKUP(LEFT(SUBSTITUTE(G798,"[{",""),FIND(",",SUBSTITUTE(G798,"[{",""))-1),Sheet2!B:B,Sheet2!C:C)&amp;"+"&amp;SUBSTITUTE(RIGHT(G798,LEN(G798)-FIND(",",G798)),"}]","")/100&amp;"%")</f>
        <v>伤害减免+2.7%</v>
      </c>
      <c r="L798" s="83" t="str">
        <f ca="1">IF(MOD(COUNTIF($Q$11:Q797,Q797),5)=0,OFFSET(装备属性!$G$1083,1+INT(COUNTA($Q$11:Q797)/5),0),L797)</f>
        <v>全员抗揍Ⅳ</v>
      </c>
      <c r="M798" s="89" t="str">
        <f ca="1">IF(MOD(COUNTIF($Q$11:Q797,Q797),5)=0,OFFSET(装备属性!$H$1083,1+INT(COUNTA($Q$11:Q797)/5),0),M797)</f>
        <v>dmg_red_rate</v>
      </c>
      <c r="N798" s="76">
        <f ca="1">IF(MOD(COUNTIF($Q$11:Q797,Q797),5)=0,OFFSET(装备属性!$K$1083,1+INT(COUNTA($Q$11:Q797)/5),0),N797)</f>
        <v>0.025</v>
      </c>
      <c r="O798" s="76">
        <f ca="1">IF(MOD(COUNTIF($Q$11:Q797,Q797),5)=0,OFFSET(装备属性!$L$1083,1+INT(COUNTA($Q$11:Q797)/5),0),O797)</f>
        <v>0.029</v>
      </c>
      <c r="Q798" s="89" t="str">
        <f ca="1">IF(MOD(COUNTIF($Q$11:Q797,Q797),5)=0,OFFSET(装备属性!$M$1083,1+INT(COUNTA($Q$11:Q797)/5),0),Q797)</f>
        <v>通用属性</v>
      </c>
      <c r="R798" s="83">
        <f ca="1">IF(MOD(COUNTIF($Q$11:Q797,Q797),5)=0,10000*SUBSTITUTE(SUBSTITUTE(OFFSET(装备属性!$F$1083,1+INT(COUNTA($Q$11:Q797)/5),0),"[",""),"]","")+_xlfn.XLOOKUP(C798,$M$3:$M$7,$N$3:$N$7)*100,R797)</f>
        <v>30700</v>
      </c>
    </row>
    <row r="799" customHeight="1" spans="1:18">
      <c r="A799" s="78">
        <f ca="1" t="shared" si="36"/>
        <v>30701</v>
      </c>
      <c r="B799" s="82">
        <f ca="1">IFERROR(R799+COUNTIFS($R$11:$R799,R799),"")</f>
        <v>30704</v>
      </c>
      <c r="C799" s="83" t="str">
        <f ca="1">IF(MOD(COUNTIF($Q$11:Q798,Q798),5)=0,OFFSET(装备属性!$D$1083,1+INT(COUNTA($Q$11:Q798)/5),0),C798)</f>
        <v>粉</v>
      </c>
      <c r="D799" s="82">
        <f t="shared" si="38"/>
        <v>1500</v>
      </c>
      <c r="F799" s="82">
        <f ca="1" t="shared" si="37"/>
        <v>30700</v>
      </c>
      <c r="G799" s="78" t="str">
        <f ca="1">IF(AND(LEFT("[{"&amp;M799&amp;","&amp;CEILING(N799*10000+(O799-N799)/4*(COUNTIF($F$11:F799,F799)-1)*10000,10)&amp;"}]",7)="[{equip",MID("[{"&amp;M799&amp;","&amp;CEILING(N799*10000+(O799-N799)/4*(COUNTIF($F$11:F799,F799)-1)*10000,10)&amp;"}]",8,1)&lt;&gt;"_"),"[{"&amp;M799&amp;","&amp;1&amp;"}]","[{"&amp;M799&amp;","&amp;CEILING(N799*10000+(O799-N799)/4*(COUNTIF($F$11:F799,F799)-1)*10000,10)&amp;"}]")</f>
        <v>[{dmg_red_rate,280}]</v>
      </c>
      <c r="H799" s="82" t="s">
        <v>563</v>
      </c>
      <c r="J799" s="78">
        <f ca="1">IF(MOD(COUNTIF($Q$11:Q798,Q798),5)=0,OFFSET(装备属性!$P$1083,1+INT(COUNTA($Q$11:Q798)/5),0),J798)</f>
        <v>6</v>
      </c>
      <c r="K799" s="83" t="str">
        <f ca="1">IF(RIGHT(G799,13)="rune_slot,1}]",_xlfn.XLOOKUP(LEFT(SUBSTITUTE(G799,"[{",""),FIND(",",SUBSTITUTE(G799,"[{",""))-1),Sheet2!B:B,Sheet2!C:C)&amp;"+"&amp;1,_xlfn.XLOOKUP(LEFT(SUBSTITUTE(G799,"[{",""),FIND(",",SUBSTITUTE(G799,"[{",""))-1),Sheet2!B:B,Sheet2!C:C)&amp;"+"&amp;SUBSTITUTE(RIGHT(G799,LEN(G799)-FIND(",",G799)),"}]","")/100&amp;"%")</f>
        <v>伤害减免+2.8%</v>
      </c>
      <c r="L799" s="83" t="str">
        <f ca="1">IF(MOD(COUNTIF($Q$11:Q798,Q798),5)=0,OFFSET(装备属性!$G$1083,1+INT(COUNTA($Q$11:Q798)/5),0),L798)</f>
        <v>全员抗揍Ⅳ</v>
      </c>
      <c r="M799" s="89" t="str">
        <f ca="1">IF(MOD(COUNTIF($Q$11:Q798,Q798),5)=0,OFFSET(装备属性!$H$1083,1+INT(COUNTA($Q$11:Q798)/5),0),M798)</f>
        <v>dmg_red_rate</v>
      </c>
      <c r="N799" s="76">
        <f ca="1">IF(MOD(COUNTIF($Q$11:Q798,Q798),5)=0,OFFSET(装备属性!$K$1083,1+INT(COUNTA($Q$11:Q798)/5),0),N798)</f>
        <v>0.025</v>
      </c>
      <c r="O799" s="76">
        <f ca="1">IF(MOD(COUNTIF($Q$11:Q798,Q798),5)=0,OFFSET(装备属性!$L$1083,1+INT(COUNTA($Q$11:Q798)/5),0),O798)</f>
        <v>0.029</v>
      </c>
      <c r="Q799" s="89" t="str">
        <f ca="1">IF(MOD(COUNTIF($Q$11:Q798,Q798),5)=0,OFFSET(装备属性!$M$1083,1+INT(COUNTA($Q$11:Q798)/5),0),Q798)</f>
        <v>通用属性</v>
      </c>
      <c r="R799" s="83">
        <f ca="1">IF(MOD(COUNTIF($Q$11:Q798,Q798),5)=0,10000*SUBSTITUTE(SUBSTITUTE(OFFSET(装备属性!$F$1083,1+INT(COUNTA($Q$11:Q798)/5),0),"[",""),"]","")+_xlfn.XLOOKUP(C799,$M$3:$M$7,$N$3:$N$7)*100,R798)</f>
        <v>30700</v>
      </c>
    </row>
    <row r="800" customHeight="1" spans="1:18">
      <c r="A800" s="78">
        <f ca="1" t="shared" si="36"/>
        <v>30701</v>
      </c>
      <c r="B800" s="82">
        <f ca="1">IFERROR(R800+COUNTIFS($R$11:$R800,R800),"")</f>
        <v>30705</v>
      </c>
      <c r="C800" s="83" t="str">
        <f ca="1">IF(MOD(COUNTIF($Q$11:Q799,Q799),5)=0,OFFSET(装备属性!$D$1083,1+INT(COUNTA($Q$11:Q799)/5),0),C799)</f>
        <v>粉</v>
      </c>
      <c r="D800" s="82">
        <f t="shared" si="38"/>
        <v>1000</v>
      </c>
      <c r="F800" s="82">
        <f ca="1" t="shared" si="37"/>
        <v>30700</v>
      </c>
      <c r="G800" s="78" t="str">
        <f ca="1">IF(AND(LEFT("[{"&amp;M800&amp;","&amp;CEILING(N800*10000+(O800-N800)/4*(COUNTIF($F$11:F800,F800)-1)*10000,10)&amp;"}]",7)="[{equip",MID("[{"&amp;M800&amp;","&amp;CEILING(N800*10000+(O800-N800)/4*(COUNTIF($F$11:F800,F800)-1)*10000,10)&amp;"}]",8,1)&lt;&gt;"_"),"[{"&amp;M800&amp;","&amp;1&amp;"}]","[{"&amp;M800&amp;","&amp;CEILING(N800*10000+(O800-N800)/4*(COUNTIF($F$11:F800,F800)-1)*10000,10)&amp;"}]")</f>
        <v>[{dmg_red_rate,290}]</v>
      </c>
      <c r="H800" s="82" t="s">
        <v>563</v>
      </c>
      <c r="J800" s="78">
        <f ca="1">IF(MOD(COUNTIF($Q$11:Q799,Q799),5)=0,OFFSET(装备属性!$P$1083,1+INT(COUNTA($Q$11:Q799)/5),0),J799)</f>
        <v>6</v>
      </c>
      <c r="K800" s="83" t="str">
        <f ca="1">IF(RIGHT(G800,13)="rune_slot,1}]",_xlfn.XLOOKUP(LEFT(SUBSTITUTE(G800,"[{",""),FIND(",",SUBSTITUTE(G800,"[{",""))-1),Sheet2!B:B,Sheet2!C:C)&amp;"+"&amp;1,_xlfn.XLOOKUP(LEFT(SUBSTITUTE(G800,"[{",""),FIND(",",SUBSTITUTE(G800,"[{",""))-1),Sheet2!B:B,Sheet2!C:C)&amp;"+"&amp;SUBSTITUTE(RIGHT(G800,LEN(G800)-FIND(",",G800)),"}]","")/100&amp;"%")</f>
        <v>伤害减免+2.9%</v>
      </c>
      <c r="L800" s="83" t="str">
        <f ca="1">IF(MOD(COUNTIF($Q$11:Q799,Q799),5)=0,OFFSET(装备属性!$G$1083,1+INT(COUNTA($Q$11:Q799)/5),0),L799)</f>
        <v>全员抗揍Ⅳ</v>
      </c>
      <c r="M800" s="89" t="str">
        <f ca="1">IF(MOD(COUNTIF($Q$11:Q799,Q799),5)=0,OFFSET(装备属性!$H$1083,1+INT(COUNTA($Q$11:Q799)/5),0),M799)</f>
        <v>dmg_red_rate</v>
      </c>
      <c r="N800" s="76">
        <f ca="1">IF(MOD(COUNTIF($Q$11:Q799,Q799),5)=0,OFFSET(装备属性!$K$1083,1+INT(COUNTA($Q$11:Q799)/5),0),N799)</f>
        <v>0.025</v>
      </c>
      <c r="O800" s="76">
        <f ca="1">IF(MOD(COUNTIF($Q$11:Q799,Q799),5)=0,OFFSET(装备属性!$L$1083,1+INT(COUNTA($Q$11:Q799)/5),0),O799)</f>
        <v>0.029</v>
      </c>
      <c r="Q800" s="89" t="str">
        <f ca="1">IF(MOD(COUNTIF($Q$11:Q799,Q799),5)=0,OFFSET(装备属性!$M$1083,1+INT(COUNTA($Q$11:Q799)/5),0),Q799)</f>
        <v>通用属性</v>
      </c>
      <c r="R800" s="83">
        <f ca="1">IF(MOD(COUNTIF($Q$11:Q799,Q799),5)=0,10000*SUBSTITUTE(SUBSTITUTE(OFFSET(装备属性!$F$1083,1+INT(COUNTA($Q$11:Q799)/5),0),"[",""),"]","")+_xlfn.XLOOKUP(C800,$M$3:$M$7,$N$3:$N$7)*100,R799)</f>
        <v>30700</v>
      </c>
    </row>
    <row r="801" customHeight="1" spans="1:18">
      <c r="A801" s="78">
        <f ca="1" t="shared" si="36"/>
        <v>30701</v>
      </c>
      <c r="B801" s="82">
        <f ca="1">IFERROR(R801+COUNTIFS($R$11:$R801,R801),"")</f>
        <v>30706</v>
      </c>
      <c r="C801" s="83" t="str">
        <f ca="1">IF(MOD(COUNTIF($Q$11:Q800,Q800),5)=0,OFFSET(装备属性!$D$1083,1+INT(COUNTA($Q$11:Q800)/5),0),C800)</f>
        <v>粉</v>
      </c>
      <c r="D801" s="82">
        <f t="shared" si="38"/>
        <v>3000</v>
      </c>
      <c r="F801" s="82">
        <f ca="1" t="shared" si="37"/>
        <v>30701</v>
      </c>
      <c r="G801" s="78" t="str">
        <f ca="1">IF(AND(LEFT("[{"&amp;M801&amp;","&amp;CEILING(N801*10000+(O801-N801)/4*(COUNTIF($F$11:F801,F801)-1)*10000,10)&amp;"}]",7)="[{equip",MID("[{"&amp;M801&amp;","&amp;CEILING(N801*10000+(O801-N801)/4*(COUNTIF($F$11:F801,F801)-1)*10000,10)&amp;"}]",8,1)&lt;&gt;"_"),"[{"&amp;M801&amp;","&amp;1&amp;"}]","[{"&amp;M801&amp;","&amp;CEILING(N801*10000+(O801-N801)/4*(COUNTIF($F$11:F801,F801)-1)*10000,10)&amp;"}]")</f>
        <v>[{all_class_dmg,580}]</v>
      </c>
      <c r="H801" s="82" t="s">
        <v>563</v>
      </c>
      <c r="J801" s="78">
        <f ca="1">IF(MOD(COUNTIF($Q$11:Q800,Q800),5)=0,OFFSET(装备属性!$P$1083,1+INT(COUNTA($Q$11:Q800)/5),0),J800)</f>
        <v>2</v>
      </c>
      <c r="K801" s="83" t="str">
        <f ca="1">IF(RIGHT(G801,13)="rune_slot,1}]",_xlfn.XLOOKUP(LEFT(SUBSTITUTE(G801,"[{",""),FIND(",",SUBSTITUTE(G801,"[{",""))-1),Sheet2!B:B,Sheet2!C:C)&amp;"+"&amp;1,_xlfn.XLOOKUP(LEFT(SUBSTITUTE(G801,"[{",""),FIND(",",SUBSTITUTE(G801,"[{",""))-1),Sheet2!B:B,Sheet2!C:C)&amp;"+"&amp;SUBSTITUTE(RIGHT(G801,LEN(G801)-FIND(",",G801)),"}]","")/100&amp;"%")</f>
        <v>上阵五个不同职业增伤+5.8%</v>
      </c>
      <c r="L801" s="83" t="str">
        <f ca="1">IF(MOD(COUNTIF($Q$11:Q800,Q800),5)=0,OFFSET(装备属性!$G$1083,1+INT(COUNTA($Q$11:Q800)/5),0),L800)</f>
        <v>全员出力Ⅳ</v>
      </c>
      <c r="M801" s="89" t="str">
        <f ca="1">IF(MOD(COUNTIF($Q$11:Q800,Q800),5)=0,OFFSET(装备属性!$H$1083,1+INT(COUNTA($Q$11:Q800)/5),0),M800)</f>
        <v>all_class_dmg</v>
      </c>
      <c r="N801" s="76">
        <f ca="1">IF(MOD(COUNTIF($Q$11:Q800,Q800),5)=0,OFFSET(装备属性!$K$1083,1+INT(COUNTA($Q$11:Q800)/5),0),N800)</f>
        <v>0.058</v>
      </c>
      <c r="O801" s="76">
        <f ca="1">IF(MOD(COUNTIF($Q$11:Q800,Q800),5)=0,OFFSET(装备属性!$L$1083,1+INT(COUNTA($Q$11:Q800)/5),0),O800)</f>
        <v>0.072</v>
      </c>
      <c r="Q801" s="89" t="str">
        <f ca="1">IF(MOD(COUNTIF($Q$11:Q800,Q800),5)=0,OFFSET(装备属性!$M$1083,1+INT(COUNTA($Q$11:Q800)/5),0),Q800)</f>
        <v>通用属性</v>
      </c>
      <c r="R801" s="83">
        <f ca="1">IF(MOD(COUNTIF($Q$11:Q800,Q800),5)=0,10000*SUBSTITUTE(SUBSTITUTE(OFFSET(装备属性!$F$1083,1+INT(COUNTA($Q$11:Q800)/5),0),"[",""),"]","")+_xlfn.XLOOKUP(C801,$M$3:$M$7,$N$3:$N$7)*100,R800)</f>
        <v>30700</v>
      </c>
    </row>
    <row r="802" customHeight="1" spans="1:18">
      <c r="A802" s="78">
        <f ca="1" t="shared" si="36"/>
        <v>30701</v>
      </c>
      <c r="B802" s="82">
        <f ca="1">IFERROR(R802+COUNTIFS($R$11:$R802,R802),"")</f>
        <v>30707</v>
      </c>
      <c r="C802" s="83" t="str">
        <f ca="1">IF(MOD(COUNTIF($Q$11:Q801,Q801),5)=0,OFFSET(装备属性!$D$1083,1+INT(COUNTA($Q$11:Q801)/5),0),C801)</f>
        <v>粉</v>
      </c>
      <c r="D802" s="82">
        <f t="shared" si="38"/>
        <v>2500</v>
      </c>
      <c r="F802" s="82">
        <f ca="1" t="shared" si="37"/>
        <v>30701</v>
      </c>
      <c r="G802" s="78" t="str">
        <f ca="1">IF(AND(LEFT("[{"&amp;M802&amp;","&amp;CEILING(N802*10000+(O802-N802)/4*(COUNTIF($F$11:F802,F802)-1)*10000,10)&amp;"}]",7)="[{equip",MID("[{"&amp;M802&amp;","&amp;CEILING(N802*10000+(O802-N802)/4*(COUNTIF($F$11:F802,F802)-1)*10000,10)&amp;"}]",8,1)&lt;&gt;"_"),"[{"&amp;M802&amp;","&amp;1&amp;"}]","[{"&amp;M802&amp;","&amp;CEILING(N802*10000+(O802-N802)/4*(COUNTIF($F$11:F802,F802)-1)*10000,10)&amp;"}]")</f>
        <v>[{all_class_dmg,620}]</v>
      </c>
      <c r="H802" s="82" t="s">
        <v>563</v>
      </c>
      <c r="J802" s="78">
        <f ca="1">IF(MOD(COUNTIF($Q$11:Q801,Q801),5)=0,OFFSET(装备属性!$P$1083,1+INT(COUNTA($Q$11:Q801)/5),0),J801)</f>
        <v>2</v>
      </c>
      <c r="K802" s="83" t="str">
        <f ca="1">IF(RIGHT(G802,13)="rune_slot,1}]",_xlfn.XLOOKUP(LEFT(SUBSTITUTE(G802,"[{",""),FIND(",",SUBSTITUTE(G802,"[{",""))-1),Sheet2!B:B,Sheet2!C:C)&amp;"+"&amp;1,_xlfn.XLOOKUP(LEFT(SUBSTITUTE(G802,"[{",""),FIND(",",SUBSTITUTE(G802,"[{",""))-1),Sheet2!B:B,Sheet2!C:C)&amp;"+"&amp;SUBSTITUTE(RIGHT(G802,LEN(G802)-FIND(",",G802)),"}]","")/100&amp;"%")</f>
        <v>上阵五个不同职业增伤+6.2%</v>
      </c>
      <c r="L802" s="83" t="str">
        <f ca="1">IF(MOD(COUNTIF($Q$11:Q801,Q801),5)=0,OFFSET(装备属性!$G$1083,1+INT(COUNTA($Q$11:Q801)/5),0),L801)</f>
        <v>全员出力Ⅳ</v>
      </c>
      <c r="M802" s="89" t="str">
        <f ca="1">IF(MOD(COUNTIF($Q$11:Q801,Q801),5)=0,OFFSET(装备属性!$H$1083,1+INT(COUNTA($Q$11:Q801)/5),0),M801)</f>
        <v>all_class_dmg</v>
      </c>
      <c r="N802" s="76">
        <f ca="1">IF(MOD(COUNTIF($Q$11:Q801,Q801),5)=0,OFFSET(装备属性!$K$1083,1+INT(COUNTA($Q$11:Q801)/5),0),N801)</f>
        <v>0.058</v>
      </c>
      <c r="O802" s="76">
        <f ca="1">IF(MOD(COUNTIF($Q$11:Q801,Q801),5)=0,OFFSET(装备属性!$L$1083,1+INT(COUNTA($Q$11:Q801)/5),0),O801)</f>
        <v>0.072</v>
      </c>
      <c r="Q802" s="89" t="str">
        <f ca="1">IF(MOD(COUNTIF($Q$11:Q801,Q801),5)=0,OFFSET(装备属性!$M$1083,1+INT(COUNTA($Q$11:Q801)/5),0),Q801)</f>
        <v>通用属性</v>
      </c>
      <c r="R802" s="83">
        <f ca="1">IF(MOD(COUNTIF($Q$11:Q801,Q801),5)=0,10000*SUBSTITUTE(SUBSTITUTE(OFFSET(装备属性!$F$1083,1+INT(COUNTA($Q$11:Q801)/5),0),"[",""),"]","")+_xlfn.XLOOKUP(C802,$M$3:$M$7,$N$3:$N$7)*100,R801)</f>
        <v>30700</v>
      </c>
    </row>
    <row r="803" customHeight="1" spans="1:18">
      <c r="A803" s="78">
        <f ca="1" t="shared" si="36"/>
        <v>30701</v>
      </c>
      <c r="B803" s="82">
        <f ca="1">IFERROR(R803+COUNTIFS($R$11:$R803,R803),"")</f>
        <v>30708</v>
      </c>
      <c r="C803" s="83" t="str">
        <f ca="1">IF(MOD(COUNTIF($Q$11:Q802,Q802),5)=0,OFFSET(装备属性!$D$1083,1+INT(COUNTA($Q$11:Q802)/5),0),C802)</f>
        <v>粉</v>
      </c>
      <c r="D803" s="82">
        <f t="shared" si="38"/>
        <v>2000</v>
      </c>
      <c r="F803" s="82">
        <f ca="1" t="shared" si="37"/>
        <v>30701</v>
      </c>
      <c r="G803" s="78" t="str">
        <f ca="1">IF(AND(LEFT("[{"&amp;M803&amp;","&amp;CEILING(N803*10000+(O803-N803)/4*(COUNTIF($F$11:F803,F803)-1)*10000,10)&amp;"}]",7)="[{equip",MID("[{"&amp;M803&amp;","&amp;CEILING(N803*10000+(O803-N803)/4*(COUNTIF($F$11:F803,F803)-1)*10000,10)&amp;"}]",8,1)&lt;&gt;"_"),"[{"&amp;M803&amp;","&amp;1&amp;"}]","[{"&amp;M803&amp;","&amp;CEILING(N803*10000+(O803-N803)/4*(COUNTIF($F$11:F803,F803)-1)*10000,10)&amp;"}]")</f>
        <v>[{all_class_dmg,650}]</v>
      </c>
      <c r="H803" s="82" t="s">
        <v>563</v>
      </c>
      <c r="J803" s="78">
        <f ca="1">IF(MOD(COUNTIF($Q$11:Q802,Q802),5)=0,OFFSET(装备属性!$P$1083,1+INT(COUNTA($Q$11:Q802)/5),0),J802)</f>
        <v>2</v>
      </c>
      <c r="K803" s="83" t="str">
        <f ca="1">IF(RIGHT(G803,13)="rune_slot,1}]",_xlfn.XLOOKUP(LEFT(SUBSTITUTE(G803,"[{",""),FIND(",",SUBSTITUTE(G803,"[{",""))-1),Sheet2!B:B,Sheet2!C:C)&amp;"+"&amp;1,_xlfn.XLOOKUP(LEFT(SUBSTITUTE(G803,"[{",""),FIND(",",SUBSTITUTE(G803,"[{",""))-1),Sheet2!B:B,Sheet2!C:C)&amp;"+"&amp;SUBSTITUTE(RIGHT(G803,LEN(G803)-FIND(",",G803)),"}]","")/100&amp;"%")</f>
        <v>上阵五个不同职业增伤+6.5%</v>
      </c>
      <c r="L803" s="83" t="str">
        <f ca="1">IF(MOD(COUNTIF($Q$11:Q802,Q802),5)=0,OFFSET(装备属性!$G$1083,1+INT(COUNTA($Q$11:Q802)/5),0),L802)</f>
        <v>全员出力Ⅳ</v>
      </c>
      <c r="M803" s="89" t="str">
        <f ca="1">IF(MOD(COUNTIF($Q$11:Q802,Q802),5)=0,OFFSET(装备属性!$H$1083,1+INT(COUNTA($Q$11:Q802)/5),0),M802)</f>
        <v>all_class_dmg</v>
      </c>
      <c r="N803" s="76">
        <f ca="1">IF(MOD(COUNTIF($Q$11:Q802,Q802),5)=0,OFFSET(装备属性!$K$1083,1+INT(COUNTA($Q$11:Q802)/5),0),N802)</f>
        <v>0.058</v>
      </c>
      <c r="O803" s="76">
        <f ca="1">IF(MOD(COUNTIF($Q$11:Q802,Q802),5)=0,OFFSET(装备属性!$L$1083,1+INT(COUNTA($Q$11:Q802)/5),0),O802)</f>
        <v>0.072</v>
      </c>
      <c r="Q803" s="89" t="str">
        <f ca="1">IF(MOD(COUNTIF($Q$11:Q802,Q802),5)=0,OFFSET(装备属性!$M$1083,1+INT(COUNTA($Q$11:Q802)/5),0),Q802)</f>
        <v>通用属性</v>
      </c>
      <c r="R803" s="83">
        <f ca="1">IF(MOD(COUNTIF($Q$11:Q802,Q802),5)=0,10000*SUBSTITUTE(SUBSTITUTE(OFFSET(装备属性!$F$1083,1+INT(COUNTA($Q$11:Q802)/5),0),"[",""),"]","")+_xlfn.XLOOKUP(C803,$M$3:$M$7,$N$3:$N$7)*100,R802)</f>
        <v>30700</v>
      </c>
    </row>
    <row r="804" customHeight="1" spans="1:18">
      <c r="A804" s="78">
        <f ca="1" t="shared" si="36"/>
        <v>30701</v>
      </c>
      <c r="B804" s="82">
        <f ca="1">IFERROR(R804+COUNTIFS($R$11:$R804,R804),"")</f>
        <v>30709</v>
      </c>
      <c r="C804" s="83" t="str">
        <f ca="1">IF(MOD(COUNTIF($Q$11:Q803,Q803),5)=0,OFFSET(装备属性!$D$1083,1+INT(COUNTA($Q$11:Q803)/5),0),C803)</f>
        <v>粉</v>
      </c>
      <c r="D804" s="82">
        <f t="shared" si="38"/>
        <v>1500</v>
      </c>
      <c r="F804" s="82">
        <f ca="1" t="shared" si="37"/>
        <v>30701</v>
      </c>
      <c r="G804" s="78" t="str">
        <f ca="1">IF(AND(LEFT("[{"&amp;M804&amp;","&amp;CEILING(N804*10000+(O804-N804)/4*(COUNTIF($F$11:F804,F804)-1)*10000,10)&amp;"}]",7)="[{equip",MID("[{"&amp;M804&amp;","&amp;CEILING(N804*10000+(O804-N804)/4*(COUNTIF($F$11:F804,F804)-1)*10000,10)&amp;"}]",8,1)&lt;&gt;"_"),"[{"&amp;M804&amp;","&amp;1&amp;"}]","[{"&amp;M804&amp;","&amp;CEILING(N804*10000+(O804-N804)/4*(COUNTIF($F$11:F804,F804)-1)*10000,10)&amp;"}]")</f>
        <v>[{all_class_dmg,690}]</v>
      </c>
      <c r="H804" s="82" t="s">
        <v>563</v>
      </c>
      <c r="J804" s="78">
        <f ca="1">IF(MOD(COUNTIF($Q$11:Q803,Q803),5)=0,OFFSET(装备属性!$P$1083,1+INT(COUNTA($Q$11:Q803)/5),0),J803)</f>
        <v>2</v>
      </c>
      <c r="K804" s="83" t="str">
        <f ca="1">IF(RIGHT(G804,13)="rune_slot,1}]",_xlfn.XLOOKUP(LEFT(SUBSTITUTE(G804,"[{",""),FIND(",",SUBSTITUTE(G804,"[{",""))-1),Sheet2!B:B,Sheet2!C:C)&amp;"+"&amp;1,_xlfn.XLOOKUP(LEFT(SUBSTITUTE(G804,"[{",""),FIND(",",SUBSTITUTE(G804,"[{",""))-1),Sheet2!B:B,Sheet2!C:C)&amp;"+"&amp;SUBSTITUTE(RIGHT(G804,LEN(G804)-FIND(",",G804)),"}]","")/100&amp;"%")</f>
        <v>上阵五个不同职业增伤+6.9%</v>
      </c>
      <c r="L804" s="83" t="str">
        <f ca="1">IF(MOD(COUNTIF($Q$11:Q803,Q803),5)=0,OFFSET(装备属性!$G$1083,1+INT(COUNTA($Q$11:Q803)/5),0),L803)</f>
        <v>全员出力Ⅳ</v>
      </c>
      <c r="M804" s="89" t="str">
        <f ca="1">IF(MOD(COUNTIF($Q$11:Q803,Q803),5)=0,OFFSET(装备属性!$H$1083,1+INT(COUNTA($Q$11:Q803)/5),0),M803)</f>
        <v>all_class_dmg</v>
      </c>
      <c r="N804" s="76">
        <f ca="1">IF(MOD(COUNTIF($Q$11:Q803,Q803),5)=0,OFFSET(装备属性!$K$1083,1+INT(COUNTA($Q$11:Q803)/5),0),N803)</f>
        <v>0.058</v>
      </c>
      <c r="O804" s="76">
        <f ca="1">IF(MOD(COUNTIF($Q$11:Q803,Q803),5)=0,OFFSET(装备属性!$L$1083,1+INT(COUNTA($Q$11:Q803)/5),0),O803)</f>
        <v>0.072</v>
      </c>
      <c r="Q804" s="89" t="str">
        <f ca="1">IF(MOD(COUNTIF($Q$11:Q803,Q803),5)=0,OFFSET(装备属性!$M$1083,1+INT(COUNTA($Q$11:Q803)/5),0),Q803)</f>
        <v>通用属性</v>
      </c>
      <c r="R804" s="83">
        <f ca="1">IF(MOD(COUNTIF($Q$11:Q803,Q803),5)=0,10000*SUBSTITUTE(SUBSTITUTE(OFFSET(装备属性!$F$1083,1+INT(COUNTA($Q$11:Q803)/5),0),"[",""),"]","")+_xlfn.XLOOKUP(C804,$M$3:$M$7,$N$3:$N$7)*100,R803)</f>
        <v>30700</v>
      </c>
    </row>
    <row r="805" customHeight="1" spans="1:18">
      <c r="A805" s="78">
        <f ca="1" t="shared" si="36"/>
        <v>30701</v>
      </c>
      <c r="B805" s="82">
        <f ca="1">IFERROR(R805+COUNTIFS($R$11:$R805,R805),"")</f>
        <v>30710</v>
      </c>
      <c r="C805" s="83" t="str">
        <f ca="1">IF(MOD(COUNTIF($Q$11:Q804,Q804),5)=0,OFFSET(装备属性!$D$1083,1+INT(COUNTA($Q$11:Q804)/5),0),C804)</f>
        <v>粉</v>
      </c>
      <c r="D805" s="82">
        <f t="shared" si="38"/>
        <v>1000</v>
      </c>
      <c r="F805" s="82">
        <f ca="1" t="shared" si="37"/>
        <v>30701</v>
      </c>
      <c r="G805" s="78" t="str">
        <f ca="1">IF(AND(LEFT("[{"&amp;M805&amp;","&amp;CEILING(N805*10000+(O805-N805)/4*(COUNTIF($F$11:F805,F805)-1)*10000,10)&amp;"}]",7)="[{equip",MID("[{"&amp;M805&amp;","&amp;CEILING(N805*10000+(O805-N805)/4*(COUNTIF($F$11:F805,F805)-1)*10000,10)&amp;"}]",8,1)&lt;&gt;"_"),"[{"&amp;M805&amp;","&amp;1&amp;"}]","[{"&amp;M805&amp;","&amp;CEILING(N805*10000+(O805-N805)/4*(COUNTIF($F$11:F805,F805)-1)*10000,10)&amp;"}]")</f>
        <v>[{all_class_dmg,720}]</v>
      </c>
      <c r="H805" s="82" t="s">
        <v>563</v>
      </c>
      <c r="J805" s="78">
        <f ca="1">IF(MOD(COUNTIF($Q$11:Q804,Q804),5)=0,OFFSET(装备属性!$P$1083,1+INT(COUNTA($Q$11:Q804)/5),0),J804)</f>
        <v>2</v>
      </c>
      <c r="K805" s="83" t="str">
        <f ca="1">IF(RIGHT(G805,13)="rune_slot,1}]",_xlfn.XLOOKUP(LEFT(SUBSTITUTE(G805,"[{",""),FIND(",",SUBSTITUTE(G805,"[{",""))-1),Sheet2!B:B,Sheet2!C:C)&amp;"+"&amp;1,_xlfn.XLOOKUP(LEFT(SUBSTITUTE(G805,"[{",""),FIND(",",SUBSTITUTE(G805,"[{",""))-1),Sheet2!B:B,Sheet2!C:C)&amp;"+"&amp;SUBSTITUTE(RIGHT(G805,LEN(G805)-FIND(",",G805)),"}]","")/100&amp;"%")</f>
        <v>上阵五个不同职业增伤+7.2%</v>
      </c>
      <c r="L805" s="83" t="str">
        <f ca="1">IF(MOD(COUNTIF($Q$11:Q804,Q804),5)=0,OFFSET(装备属性!$G$1083,1+INT(COUNTA($Q$11:Q804)/5),0),L804)</f>
        <v>全员出力Ⅳ</v>
      </c>
      <c r="M805" s="89" t="str">
        <f ca="1">IF(MOD(COUNTIF($Q$11:Q804,Q804),5)=0,OFFSET(装备属性!$H$1083,1+INT(COUNTA($Q$11:Q804)/5),0),M804)</f>
        <v>all_class_dmg</v>
      </c>
      <c r="N805" s="76">
        <f ca="1">IF(MOD(COUNTIF($Q$11:Q804,Q804),5)=0,OFFSET(装备属性!$K$1083,1+INT(COUNTA($Q$11:Q804)/5),0),N804)</f>
        <v>0.058</v>
      </c>
      <c r="O805" s="76">
        <f ca="1">IF(MOD(COUNTIF($Q$11:Q804,Q804),5)=0,OFFSET(装备属性!$L$1083,1+INT(COUNTA($Q$11:Q804)/5),0),O804)</f>
        <v>0.072</v>
      </c>
      <c r="Q805" s="89" t="str">
        <f ca="1">IF(MOD(COUNTIF($Q$11:Q804,Q804),5)=0,OFFSET(装备属性!$M$1083,1+INT(COUNTA($Q$11:Q804)/5),0),Q804)</f>
        <v>通用属性</v>
      </c>
      <c r="R805" s="83">
        <f ca="1">IF(MOD(COUNTIF($Q$11:Q804,Q804),5)=0,10000*SUBSTITUTE(SUBSTITUTE(OFFSET(装备属性!$F$1083,1+INT(COUNTA($Q$11:Q804)/5),0),"[",""),"]","")+_xlfn.XLOOKUP(C805,$M$3:$M$7,$N$3:$N$7)*100,R804)</f>
        <v>30700</v>
      </c>
    </row>
    <row r="806" customHeight="1" spans="1:18">
      <c r="A806" s="78" t="str">
        <f ca="1" t="shared" si="36"/>
        <v/>
      </c>
      <c r="B806" s="82" t="str">
        <f ca="1">IFERROR(R806+COUNTIFS($R$11:$R806,R806),"")</f>
        <v/>
      </c>
      <c r="C806" s="83">
        <f ca="1">IF(MOD(COUNTIF($Q$11:Q805,Q805),5)=0,OFFSET(装备属性!$D$1083,1+INT(COUNTA($Q$11:Q805)/5),0),C805)</f>
        <v>0</v>
      </c>
      <c r="D806" s="82">
        <f t="shared" si="38"/>
        <v>3000</v>
      </c>
      <c r="F806" s="82" t="str">
        <f ca="1" t="shared" si="37"/>
        <v/>
      </c>
      <c r="G806" s="78" t="str">
        <f ca="1">IF(AND(LEFT("[{"&amp;M806&amp;","&amp;CEILING(N806*10000+(O806-N806)/4*(COUNTIF($F$11:F806,F806)-1)*10000,10)&amp;"}]",7)="[{equip",MID("[{"&amp;M806&amp;","&amp;CEILING(N806*10000+(O806-N806)/4*(COUNTIF($F$11:F806,F806)-1)*10000,10)&amp;"}]",8,1)&lt;&gt;"_"),"[{"&amp;M806&amp;","&amp;1&amp;"}]","[{"&amp;M806&amp;","&amp;CEILING(N806*10000+(O806-N806)/4*(COUNTIF($F$11:F806,F806)-1)*10000,10)&amp;"}]")</f>
        <v>[{exp_boost,2000}]</v>
      </c>
      <c r="H806" s="82" t="s">
        <v>563</v>
      </c>
      <c r="J806" s="78">
        <f ca="1">IF(MOD(COUNTIF($Q$11:Q805,Q805),5)=0,OFFSET(装备属性!$P$1083,1+INT(COUNTA($Q$11:Q805)/5),0),J805)</f>
        <v>9</v>
      </c>
      <c r="K806" s="83" t="str">
        <f ca="1">IF(RIGHT(G806,13)="rune_slot,1}]",_xlfn.XLOOKUP(LEFT(SUBSTITUTE(G806,"[{",""),FIND(",",SUBSTITUTE(G806,"[{",""))-1),Sheet2!B:B,Sheet2!C:C)&amp;"+"&amp;1,_xlfn.XLOOKUP(LEFT(SUBSTITUTE(G806,"[{",""),FIND(",",SUBSTITUTE(G806,"[{",""))-1),Sheet2!B:B,Sheet2!C:C)&amp;"+"&amp;SUBSTITUTE(RIGHT(G806,LEN(G806)-FIND(",",G806)),"}]","")/100&amp;"%")</f>
        <v>经验加成+20%</v>
      </c>
      <c r="L806" s="83" t="str">
        <f ca="1">IF(MOD(COUNTIF($Q$11:Q805,Q805),5)=0,OFFSET(装备属性!$G$1083,1+INT(COUNTA($Q$11:Q805)/5),0),L805)</f>
        <v>涨见识</v>
      </c>
      <c r="M806" s="89" t="str">
        <f ca="1">IF(MOD(COUNTIF($Q$11:Q805,Q805),5)=0,OFFSET(装备属性!$H$1083,1+INT(COUNTA($Q$11:Q805)/5),0),M805)</f>
        <v>exp_boost</v>
      </c>
      <c r="N806" s="76">
        <f ca="1">IF(MOD(COUNTIF($Q$11:Q805,Q805),5)=0,OFFSET(装备属性!$K$1083,1+INT(COUNTA($Q$11:Q805)/5),0),N805)</f>
        <v>0.2</v>
      </c>
      <c r="O806" s="76">
        <f ca="1">IF(MOD(COUNTIF($Q$11:Q805,Q805),5)=0,OFFSET(装备属性!$L$1083,1+INT(COUNTA($Q$11:Q805)/5),0),O805)</f>
        <v>0.2</v>
      </c>
      <c r="Q806" s="89" t="str">
        <f ca="1">IF(MOD(COUNTIF($Q$11:Q805,Q805),5)=0,OFFSET(装备属性!$M$1083,1+INT(COUNTA($Q$11:Q805)/5),0),Q805)</f>
        <v>稀有词条</v>
      </c>
      <c r="R806" s="83" t="e">
        <f ca="1">IF(MOD(COUNTIF($Q$11:Q805,Q805),5)=0,10000*SUBSTITUTE(SUBSTITUTE(OFFSET(装备属性!$F$1083,1+INT(COUNTA($Q$11:Q805)/5),0),"[",""),"]","")+_xlfn.XLOOKUP(C806,$M$3:$M$7,$N$3:$N$7)*100,R805)</f>
        <v>#N/A</v>
      </c>
    </row>
    <row r="807" customHeight="1" spans="1:18">
      <c r="A807" s="78" t="str">
        <f ca="1" t="shared" si="36"/>
        <v/>
      </c>
      <c r="B807" s="82" t="str">
        <f ca="1">IFERROR(R807+COUNTIFS($R$11:$R807,R807),"")</f>
        <v/>
      </c>
      <c r="C807" s="83">
        <f ca="1">IF(MOD(COUNTIF($Q$11:Q806,Q806),5)=0,OFFSET(装备属性!$D$1083,1+INT(COUNTA($Q$11:Q806)/5),0),C806)</f>
        <v>0</v>
      </c>
      <c r="D807" s="82">
        <f t="shared" si="38"/>
        <v>2500</v>
      </c>
      <c r="F807" s="82" t="str">
        <f ca="1" t="shared" si="37"/>
        <v/>
      </c>
      <c r="G807" s="78" t="str">
        <f ca="1">IF(AND(LEFT("[{"&amp;M807&amp;","&amp;CEILING(N807*10000+(O807-N807)/4*(COUNTIF($F$11:F807,F807)-1)*10000,10)&amp;"}]",7)="[{equip",MID("[{"&amp;M807&amp;","&amp;CEILING(N807*10000+(O807-N807)/4*(COUNTIF($F$11:F807,F807)-1)*10000,10)&amp;"}]",8,1)&lt;&gt;"_"),"[{"&amp;M807&amp;","&amp;1&amp;"}]","[{"&amp;M807&amp;","&amp;CEILING(N807*10000+(O807-N807)/4*(COUNTIF($F$11:F807,F807)-1)*10000,10)&amp;"}]")</f>
        <v>[{exp_boost,2000}]</v>
      </c>
      <c r="H807" s="82" t="s">
        <v>563</v>
      </c>
      <c r="J807" s="78">
        <f ca="1">IF(MOD(COUNTIF($Q$11:Q806,Q806),5)=0,OFFSET(装备属性!$P$1083,1+INT(COUNTA($Q$11:Q806)/5),0),J806)</f>
        <v>9</v>
      </c>
      <c r="K807" s="83" t="str">
        <f ca="1">IF(RIGHT(G807,13)="rune_slot,1}]",_xlfn.XLOOKUP(LEFT(SUBSTITUTE(G807,"[{",""),FIND(",",SUBSTITUTE(G807,"[{",""))-1),Sheet2!B:B,Sheet2!C:C)&amp;"+"&amp;1,_xlfn.XLOOKUP(LEFT(SUBSTITUTE(G807,"[{",""),FIND(",",SUBSTITUTE(G807,"[{",""))-1),Sheet2!B:B,Sheet2!C:C)&amp;"+"&amp;SUBSTITUTE(RIGHT(G807,LEN(G807)-FIND(",",G807)),"}]","")/100&amp;"%")</f>
        <v>经验加成+20%</v>
      </c>
      <c r="L807" s="83" t="str">
        <f ca="1">IF(MOD(COUNTIF($Q$11:Q806,Q806),5)=0,OFFSET(装备属性!$G$1083,1+INT(COUNTA($Q$11:Q806)/5),0),L806)</f>
        <v>涨见识</v>
      </c>
      <c r="M807" s="89" t="str">
        <f ca="1">IF(MOD(COUNTIF($Q$11:Q806,Q806),5)=0,OFFSET(装备属性!$H$1083,1+INT(COUNTA($Q$11:Q806)/5),0),M806)</f>
        <v>exp_boost</v>
      </c>
      <c r="N807" s="76">
        <f ca="1">IF(MOD(COUNTIF($Q$11:Q806,Q806),5)=0,OFFSET(装备属性!$K$1083,1+INT(COUNTA($Q$11:Q806)/5),0),N806)</f>
        <v>0.2</v>
      </c>
      <c r="O807" s="76">
        <f ca="1">IF(MOD(COUNTIF($Q$11:Q806,Q806),5)=0,OFFSET(装备属性!$L$1083,1+INT(COUNTA($Q$11:Q806)/5),0),O806)</f>
        <v>0.2</v>
      </c>
      <c r="Q807" s="89" t="str">
        <f ca="1">IF(MOD(COUNTIF($Q$11:Q806,Q806),5)=0,OFFSET(装备属性!$M$1083,1+INT(COUNTA($Q$11:Q806)/5),0),Q806)</f>
        <v>稀有词条</v>
      </c>
      <c r="R807" s="83" t="e">
        <f ca="1">IF(MOD(COUNTIF($Q$11:Q806,Q806),5)=0,10000*SUBSTITUTE(SUBSTITUTE(OFFSET(装备属性!$F$1083,1+INT(COUNTA($Q$11:Q806)/5),0),"[",""),"]","")+_xlfn.XLOOKUP(C807,$M$3:$M$7,$N$3:$N$7)*100,R806)</f>
        <v>#N/A</v>
      </c>
    </row>
    <row r="808" customHeight="1" spans="1:18">
      <c r="A808" s="78" t="str">
        <f ca="1" t="shared" si="36"/>
        <v/>
      </c>
      <c r="B808" s="82" t="str">
        <f ca="1">IFERROR(R808+COUNTIFS($R$11:$R808,R808),"")</f>
        <v/>
      </c>
      <c r="C808" s="83">
        <f ca="1">IF(MOD(COUNTIF($Q$11:Q807,Q807),5)=0,OFFSET(装备属性!$D$1083,1+INT(COUNTA($Q$11:Q807)/5),0),C807)</f>
        <v>0</v>
      </c>
      <c r="D808" s="82">
        <f t="shared" si="38"/>
        <v>2000</v>
      </c>
      <c r="F808" s="82" t="str">
        <f ca="1" t="shared" si="37"/>
        <v/>
      </c>
      <c r="G808" s="78" t="str">
        <f ca="1">IF(AND(LEFT("[{"&amp;M808&amp;","&amp;CEILING(N808*10000+(O808-N808)/4*(COUNTIF($F$11:F808,F808)-1)*10000,10)&amp;"}]",7)="[{equip",MID("[{"&amp;M808&amp;","&amp;CEILING(N808*10000+(O808-N808)/4*(COUNTIF($F$11:F808,F808)-1)*10000,10)&amp;"}]",8,1)&lt;&gt;"_"),"[{"&amp;M808&amp;","&amp;1&amp;"}]","[{"&amp;M808&amp;","&amp;CEILING(N808*10000+(O808-N808)/4*(COUNTIF($F$11:F808,F808)-1)*10000,10)&amp;"}]")</f>
        <v>[{exp_boost,2000}]</v>
      </c>
      <c r="H808" s="82" t="s">
        <v>563</v>
      </c>
      <c r="J808" s="78">
        <f ca="1">IF(MOD(COUNTIF($Q$11:Q807,Q807),5)=0,OFFSET(装备属性!$P$1083,1+INT(COUNTA($Q$11:Q807)/5),0),J807)</f>
        <v>9</v>
      </c>
      <c r="K808" s="83" t="str">
        <f ca="1">IF(RIGHT(G808,13)="rune_slot,1}]",_xlfn.XLOOKUP(LEFT(SUBSTITUTE(G808,"[{",""),FIND(",",SUBSTITUTE(G808,"[{",""))-1),Sheet2!B:B,Sheet2!C:C)&amp;"+"&amp;1,_xlfn.XLOOKUP(LEFT(SUBSTITUTE(G808,"[{",""),FIND(",",SUBSTITUTE(G808,"[{",""))-1),Sheet2!B:B,Sheet2!C:C)&amp;"+"&amp;SUBSTITUTE(RIGHT(G808,LEN(G808)-FIND(",",G808)),"}]","")/100&amp;"%")</f>
        <v>经验加成+20%</v>
      </c>
      <c r="L808" s="83" t="str">
        <f ca="1">IF(MOD(COUNTIF($Q$11:Q807,Q807),5)=0,OFFSET(装备属性!$G$1083,1+INT(COUNTA($Q$11:Q807)/5),0),L807)</f>
        <v>涨见识</v>
      </c>
      <c r="M808" s="89" t="str">
        <f ca="1">IF(MOD(COUNTIF($Q$11:Q807,Q807),5)=0,OFFSET(装备属性!$H$1083,1+INT(COUNTA($Q$11:Q807)/5),0),M807)</f>
        <v>exp_boost</v>
      </c>
      <c r="N808" s="76">
        <f ca="1">IF(MOD(COUNTIF($Q$11:Q807,Q807),5)=0,OFFSET(装备属性!$K$1083,1+INT(COUNTA($Q$11:Q807)/5),0),N807)</f>
        <v>0.2</v>
      </c>
      <c r="O808" s="76">
        <f ca="1">IF(MOD(COUNTIF($Q$11:Q807,Q807),5)=0,OFFSET(装备属性!$L$1083,1+INT(COUNTA($Q$11:Q807)/5),0),O807)</f>
        <v>0.2</v>
      </c>
      <c r="Q808" s="89" t="str">
        <f ca="1">IF(MOD(COUNTIF($Q$11:Q807,Q807),5)=0,OFFSET(装备属性!$M$1083,1+INT(COUNTA($Q$11:Q807)/5),0),Q807)</f>
        <v>稀有词条</v>
      </c>
      <c r="R808" s="83" t="e">
        <f ca="1">IF(MOD(COUNTIF($Q$11:Q807,Q807),5)=0,10000*SUBSTITUTE(SUBSTITUTE(OFFSET(装备属性!$F$1083,1+INT(COUNTA($Q$11:Q807)/5),0),"[",""),"]","")+_xlfn.XLOOKUP(C808,$M$3:$M$7,$N$3:$N$7)*100,R807)</f>
        <v>#N/A</v>
      </c>
    </row>
    <row r="809" customHeight="1" spans="1:18">
      <c r="A809" s="78" t="str">
        <f ca="1" t="shared" si="36"/>
        <v/>
      </c>
      <c r="B809" s="82" t="str">
        <f ca="1">IFERROR(R809+COUNTIFS($R$11:$R809,R809),"")</f>
        <v/>
      </c>
      <c r="C809" s="83">
        <f ca="1">IF(MOD(COUNTIF($Q$11:Q808,Q808),5)=0,OFFSET(装备属性!$D$1083,1+INT(COUNTA($Q$11:Q808)/5),0),C808)</f>
        <v>0</v>
      </c>
      <c r="D809" s="82">
        <f t="shared" si="38"/>
        <v>1500</v>
      </c>
      <c r="F809" s="82" t="str">
        <f ca="1" t="shared" si="37"/>
        <v/>
      </c>
      <c r="G809" s="78" t="str">
        <f ca="1">IF(AND(LEFT("[{"&amp;M809&amp;","&amp;CEILING(N809*10000+(O809-N809)/4*(COUNTIF($F$11:F809,F809)-1)*10000,10)&amp;"}]",7)="[{equip",MID("[{"&amp;M809&amp;","&amp;CEILING(N809*10000+(O809-N809)/4*(COUNTIF($F$11:F809,F809)-1)*10000,10)&amp;"}]",8,1)&lt;&gt;"_"),"[{"&amp;M809&amp;","&amp;1&amp;"}]","[{"&amp;M809&amp;","&amp;CEILING(N809*10000+(O809-N809)/4*(COUNTIF($F$11:F809,F809)-1)*10000,10)&amp;"}]")</f>
        <v>[{exp_boost,2000}]</v>
      </c>
      <c r="H809" s="82" t="s">
        <v>563</v>
      </c>
      <c r="J809" s="78">
        <f ca="1">IF(MOD(COUNTIF($Q$11:Q808,Q808),5)=0,OFFSET(装备属性!$P$1083,1+INT(COUNTA($Q$11:Q808)/5),0),J808)</f>
        <v>9</v>
      </c>
      <c r="K809" s="83" t="str">
        <f ca="1">IF(RIGHT(G809,13)="rune_slot,1}]",_xlfn.XLOOKUP(LEFT(SUBSTITUTE(G809,"[{",""),FIND(",",SUBSTITUTE(G809,"[{",""))-1),Sheet2!B:B,Sheet2!C:C)&amp;"+"&amp;1,_xlfn.XLOOKUP(LEFT(SUBSTITUTE(G809,"[{",""),FIND(",",SUBSTITUTE(G809,"[{",""))-1),Sheet2!B:B,Sheet2!C:C)&amp;"+"&amp;SUBSTITUTE(RIGHT(G809,LEN(G809)-FIND(",",G809)),"}]","")/100&amp;"%")</f>
        <v>经验加成+20%</v>
      </c>
      <c r="L809" s="83" t="str">
        <f ca="1">IF(MOD(COUNTIF($Q$11:Q808,Q808),5)=0,OFFSET(装备属性!$G$1083,1+INT(COUNTA($Q$11:Q808)/5),0),L808)</f>
        <v>涨见识</v>
      </c>
      <c r="M809" s="89" t="str">
        <f ca="1">IF(MOD(COUNTIF($Q$11:Q808,Q808),5)=0,OFFSET(装备属性!$H$1083,1+INT(COUNTA($Q$11:Q808)/5),0),M808)</f>
        <v>exp_boost</v>
      </c>
      <c r="N809" s="76">
        <f ca="1">IF(MOD(COUNTIF($Q$11:Q808,Q808),5)=0,OFFSET(装备属性!$K$1083,1+INT(COUNTA($Q$11:Q808)/5),0),N808)</f>
        <v>0.2</v>
      </c>
      <c r="O809" s="76">
        <f ca="1">IF(MOD(COUNTIF($Q$11:Q808,Q808),5)=0,OFFSET(装备属性!$L$1083,1+INT(COUNTA($Q$11:Q808)/5),0),O808)</f>
        <v>0.2</v>
      </c>
      <c r="Q809" s="89" t="str">
        <f ca="1">IF(MOD(COUNTIF($Q$11:Q808,Q808),5)=0,OFFSET(装备属性!$M$1083,1+INT(COUNTA($Q$11:Q808)/5),0),Q808)</f>
        <v>稀有词条</v>
      </c>
      <c r="R809" s="83" t="e">
        <f ca="1">IF(MOD(COUNTIF($Q$11:Q808,Q808),5)=0,10000*SUBSTITUTE(SUBSTITUTE(OFFSET(装备属性!$F$1083,1+INT(COUNTA($Q$11:Q808)/5),0),"[",""),"]","")+_xlfn.XLOOKUP(C809,$M$3:$M$7,$N$3:$N$7)*100,R808)</f>
        <v>#N/A</v>
      </c>
    </row>
    <row r="810" customHeight="1" spans="1:18">
      <c r="A810" s="78" t="str">
        <f ca="1" t="shared" si="36"/>
        <v/>
      </c>
      <c r="B810" s="82" t="str">
        <f ca="1">IFERROR(R810+COUNTIFS($R$11:$R810,R810),"")</f>
        <v/>
      </c>
      <c r="C810" s="83">
        <f ca="1">IF(MOD(COUNTIF($Q$11:Q809,Q809),5)=0,OFFSET(装备属性!$D$1083,1+INT(COUNTA($Q$11:Q809)/5),0),C809)</f>
        <v>0</v>
      </c>
      <c r="D810" s="82">
        <f t="shared" si="38"/>
        <v>1000</v>
      </c>
      <c r="F810" s="82" t="str">
        <f ca="1" t="shared" si="37"/>
        <v/>
      </c>
      <c r="G810" s="78" t="str">
        <f ca="1">IF(AND(LEFT("[{"&amp;M810&amp;","&amp;CEILING(N810*10000+(O810-N810)/4*(COUNTIF($F$11:F810,F810)-1)*10000,10)&amp;"}]",7)="[{equip",MID("[{"&amp;M810&amp;","&amp;CEILING(N810*10000+(O810-N810)/4*(COUNTIF($F$11:F810,F810)-1)*10000,10)&amp;"}]",8,1)&lt;&gt;"_"),"[{"&amp;M810&amp;","&amp;1&amp;"}]","[{"&amp;M810&amp;","&amp;CEILING(N810*10000+(O810-N810)/4*(COUNTIF($F$11:F810,F810)-1)*10000,10)&amp;"}]")</f>
        <v>[{exp_boost,2000}]</v>
      </c>
      <c r="H810" s="82" t="s">
        <v>563</v>
      </c>
      <c r="J810" s="78">
        <f ca="1">IF(MOD(COUNTIF($Q$11:Q809,Q809),5)=0,OFFSET(装备属性!$P$1083,1+INT(COUNTA($Q$11:Q809)/5),0),J809)</f>
        <v>9</v>
      </c>
      <c r="K810" s="83" t="str">
        <f ca="1">IF(RIGHT(G810,13)="rune_slot,1}]",_xlfn.XLOOKUP(LEFT(SUBSTITUTE(G810,"[{",""),FIND(",",SUBSTITUTE(G810,"[{",""))-1),Sheet2!B:B,Sheet2!C:C)&amp;"+"&amp;1,_xlfn.XLOOKUP(LEFT(SUBSTITUTE(G810,"[{",""),FIND(",",SUBSTITUTE(G810,"[{",""))-1),Sheet2!B:B,Sheet2!C:C)&amp;"+"&amp;SUBSTITUTE(RIGHT(G810,LEN(G810)-FIND(",",G810)),"}]","")/100&amp;"%")</f>
        <v>经验加成+20%</v>
      </c>
      <c r="L810" s="83" t="str">
        <f ca="1">IF(MOD(COUNTIF($Q$11:Q809,Q809),5)=0,OFFSET(装备属性!$G$1083,1+INT(COUNTA($Q$11:Q809)/5),0),L809)</f>
        <v>涨见识</v>
      </c>
      <c r="M810" s="89" t="str">
        <f ca="1">IF(MOD(COUNTIF($Q$11:Q809,Q809),5)=0,OFFSET(装备属性!$H$1083,1+INT(COUNTA($Q$11:Q809)/5),0),M809)</f>
        <v>exp_boost</v>
      </c>
      <c r="N810" s="76">
        <f ca="1">IF(MOD(COUNTIF($Q$11:Q809,Q809),5)=0,OFFSET(装备属性!$K$1083,1+INT(COUNTA($Q$11:Q809)/5),0),N809)</f>
        <v>0.2</v>
      </c>
      <c r="O810" s="76">
        <f ca="1">IF(MOD(COUNTIF($Q$11:Q809,Q809),5)=0,OFFSET(装备属性!$L$1083,1+INT(COUNTA($Q$11:Q809)/5),0),O809)</f>
        <v>0.2</v>
      </c>
      <c r="Q810" s="89" t="str">
        <f ca="1">IF(MOD(COUNTIF($Q$11:Q809,Q809),5)=0,OFFSET(装备属性!$M$1083,1+INT(COUNTA($Q$11:Q809)/5),0),Q809)</f>
        <v>稀有词条</v>
      </c>
      <c r="R810" s="83" t="e">
        <f ca="1">IF(MOD(COUNTIF($Q$11:Q809,Q809),5)=0,10000*SUBSTITUTE(SUBSTITUTE(OFFSET(装备属性!$F$1083,1+INT(COUNTA($Q$11:Q809)/5),0),"[",""),"]","")+_xlfn.XLOOKUP(C810,$M$3:$M$7,$N$3:$N$7)*100,R809)</f>
        <v>#N/A</v>
      </c>
    </row>
    <row r="811" customHeight="1" spans="1:18">
      <c r="A811" s="78">
        <f ca="1" t="shared" si="36"/>
        <v>30703</v>
      </c>
      <c r="B811" s="82">
        <f ca="1">IFERROR(R811+COUNTIFS($R$11:$R811,R811),"")</f>
        <v>30711</v>
      </c>
      <c r="C811" s="83" t="str">
        <f ca="1">IF(MOD(COUNTIF($Q$11:Q810,Q810),5)=0,OFFSET(装备属性!$D$1083,1+INT(COUNTA($Q$11:Q810)/5),0),C810)</f>
        <v>粉</v>
      </c>
      <c r="D811" s="82">
        <f t="shared" si="38"/>
        <v>3000</v>
      </c>
      <c r="F811" s="82">
        <f ca="1" t="shared" si="37"/>
        <v>30702</v>
      </c>
      <c r="G811" s="78" t="str">
        <f ca="1">IF(AND(LEFT("[{"&amp;M811&amp;","&amp;CEILING(N811*10000+(O811-N811)/4*(COUNTIF($F$11:F811,F811)-1)*10000,10)&amp;"}]",7)="[{equip",MID("[{"&amp;M811&amp;","&amp;CEILING(N811*10000+(O811-N811)/4*(COUNTIF($F$11:F811,F811)-1)*10000,10)&amp;"}]",8,1)&lt;&gt;"_"),"[{"&amp;M811&amp;","&amp;1&amp;"}]","[{"&amp;M811&amp;","&amp;CEILING(N811*10000+(O811-N811)/4*(COUNTIF($F$11:F811,F811)-1)*10000,10)&amp;"}]")</f>
        <v>[{equip_base_attr,2500}]</v>
      </c>
      <c r="H811" s="82" t="s">
        <v>563</v>
      </c>
      <c r="J811" s="78">
        <f ca="1">IF(MOD(COUNTIF($Q$11:Q810,Q810),5)=0,OFFSET(装备属性!$P$1083,1+INT(COUNTA($Q$11:Q810)/5),0),J810)</f>
        <v>7</v>
      </c>
      <c r="K811" s="83" t="str">
        <f ca="1">IF(RIGHT(G811,13)="rune_slot,1}]",_xlfn.XLOOKUP(LEFT(SUBSTITUTE(G811,"[{",""),FIND(",",SUBSTITUTE(G811,"[{",""))-1),Sheet2!B:B,Sheet2!C:C)&amp;"+"&amp;1,_xlfn.XLOOKUP(LEFT(SUBSTITUTE(G811,"[{",""),FIND(",",SUBSTITUTE(G811,"[{",""))-1),Sheet2!B:B,Sheet2!C:C)&amp;"+"&amp;SUBSTITUTE(RIGHT(G811,LEN(G811)-FIND(",",G811)),"}]","")/100&amp;"%")</f>
        <v>装备基础属性加成+25%</v>
      </c>
      <c r="L811" s="83" t="str">
        <f ca="1">IF(MOD(COUNTIF($Q$11:Q810,Q810),5)=0,OFFSET(装备属性!$G$1083,1+INT(COUNTA($Q$11:Q810)/5),0),L810)</f>
        <v>厚底子</v>
      </c>
      <c r="M811" s="89" t="str">
        <f ca="1">IF(MOD(COUNTIF($Q$11:Q810,Q810),5)=0,OFFSET(装备属性!$H$1083,1+INT(COUNTA($Q$11:Q810)/5),0),M810)</f>
        <v>equip_base_attr</v>
      </c>
      <c r="N811" s="76">
        <f ca="1">IF(MOD(COUNTIF($Q$11:Q810,Q810),5)=0,OFFSET(装备属性!$K$1083,1+INT(COUNTA($Q$11:Q810)/5),0),N810)</f>
        <v>0.25</v>
      </c>
      <c r="O811" s="76">
        <f ca="1">IF(MOD(COUNTIF($Q$11:Q810,Q810),5)=0,OFFSET(装备属性!$L$1083,1+INT(COUNTA($Q$11:Q810)/5),0),O810)</f>
        <v>0.25</v>
      </c>
      <c r="Q811" s="89" t="str">
        <f ca="1">IF(MOD(COUNTIF($Q$11:Q810,Q810),5)=0,OFFSET(装备属性!$M$1083,1+INT(COUNTA($Q$11:Q810)/5),0),Q810)</f>
        <v>稀有词条</v>
      </c>
      <c r="R811" s="83">
        <f ca="1">IF(MOD(COUNTIF($Q$11:Q810,Q810),5)=0,10000*SUBSTITUTE(SUBSTITUTE(OFFSET(装备属性!$F$1083,1+INT(COUNTA($Q$11:Q810)/5),0),"[",""),"]","")+_xlfn.XLOOKUP(C811,$M$3:$M$7,$N$3:$N$7)*100,R810)</f>
        <v>30700</v>
      </c>
    </row>
    <row r="812" customHeight="1" spans="1:18">
      <c r="A812" s="78">
        <f ca="1" t="shared" si="36"/>
        <v>30703</v>
      </c>
      <c r="B812" s="82">
        <f ca="1">IFERROR(R812+COUNTIFS($R$11:$R812,R812),"")</f>
        <v>30712</v>
      </c>
      <c r="C812" s="83" t="str">
        <f ca="1">IF(MOD(COUNTIF($Q$11:Q811,Q811),5)=0,OFFSET(装备属性!$D$1083,1+INT(COUNTA($Q$11:Q811)/5),0),C811)</f>
        <v>粉</v>
      </c>
      <c r="D812" s="82">
        <f t="shared" si="38"/>
        <v>2500</v>
      </c>
      <c r="F812" s="82">
        <f ca="1" t="shared" si="37"/>
        <v>30702</v>
      </c>
      <c r="G812" s="78" t="str">
        <f ca="1">IF(AND(LEFT("[{"&amp;M812&amp;","&amp;CEILING(N812*10000+(O812-N812)/4*(COUNTIF($F$11:F812,F812)-1)*10000,10)&amp;"}]",7)="[{equip",MID("[{"&amp;M812&amp;","&amp;CEILING(N812*10000+(O812-N812)/4*(COUNTIF($F$11:F812,F812)-1)*10000,10)&amp;"}]",8,1)&lt;&gt;"_"),"[{"&amp;M812&amp;","&amp;1&amp;"}]","[{"&amp;M812&amp;","&amp;CEILING(N812*10000+(O812-N812)/4*(COUNTIF($F$11:F812,F812)-1)*10000,10)&amp;"}]")</f>
        <v>[{equip_base_attr,2500}]</v>
      </c>
      <c r="H812" s="82" t="s">
        <v>563</v>
      </c>
      <c r="J812" s="78">
        <f ca="1">IF(MOD(COUNTIF($Q$11:Q811,Q811),5)=0,OFFSET(装备属性!$P$1083,1+INT(COUNTA($Q$11:Q811)/5),0),J811)</f>
        <v>7</v>
      </c>
      <c r="K812" s="83" t="str">
        <f ca="1">IF(RIGHT(G812,13)="rune_slot,1}]",_xlfn.XLOOKUP(LEFT(SUBSTITUTE(G812,"[{",""),FIND(",",SUBSTITUTE(G812,"[{",""))-1),Sheet2!B:B,Sheet2!C:C)&amp;"+"&amp;1,_xlfn.XLOOKUP(LEFT(SUBSTITUTE(G812,"[{",""),FIND(",",SUBSTITUTE(G812,"[{",""))-1),Sheet2!B:B,Sheet2!C:C)&amp;"+"&amp;SUBSTITUTE(RIGHT(G812,LEN(G812)-FIND(",",G812)),"}]","")/100&amp;"%")</f>
        <v>装备基础属性加成+25%</v>
      </c>
      <c r="L812" s="83" t="str">
        <f ca="1">IF(MOD(COUNTIF($Q$11:Q811,Q811),5)=0,OFFSET(装备属性!$G$1083,1+INT(COUNTA($Q$11:Q811)/5),0),L811)</f>
        <v>厚底子</v>
      </c>
      <c r="M812" s="89" t="str">
        <f ca="1">IF(MOD(COUNTIF($Q$11:Q811,Q811),5)=0,OFFSET(装备属性!$H$1083,1+INT(COUNTA($Q$11:Q811)/5),0),M811)</f>
        <v>equip_base_attr</v>
      </c>
      <c r="N812" s="76">
        <f ca="1">IF(MOD(COUNTIF($Q$11:Q811,Q811),5)=0,OFFSET(装备属性!$K$1083,1+INT(COUNTA($Q$11:Q811)/5),0),N811)</f>
        <v>0.25</v>
      </c>
      <c r="O812" s="76">
        <f ca="1">IF(MOD(COUNTIF($Q$11:Q811,Q811),5)=0,OFFSET(装备属性!$L$1083,1+INT(COUNTA($Q$11:Q811)/5),0),O811)</f>
        <v>0.25</v>
      </c>
      <c r="Q812" s="89" t="str">
        <f ca="1">IF(MOD(COUNTIF($Q$11:Q811,Q811),5)=0,OFFSET(装备属性!$M$1083,1+INT(COUNTA($Q$11:Q811)/5),0),Q811)</f>
        <v>稀有词条</v>
      </c>
      <c r="R812" s="83">
        <f ca="1">IF(MOD(COUNTIF($Q$11:Q811,Q811),5)=0,10000*SUBSTITUTE(SUBSTITUTE(OFFSET(装备属性!$F$1083,1+INT(COUNTA($Q$11:Q811)/5),0),"[",""),"]","")+_xlfn.XLOOKUP(C812,$M$3:$M$7,$N$3:$N$7)*100,R811)</f>
        <v>30700</v>
      </c>
    </row>
    <row r="813" customHeight="1" spans="1:18">
      <c r="A813" s="78">
        <f ca="1" t="shared" si="36"/>
        <v>30703</v>
      </c>
      <c r="B813" s="82">
        <f ca="1">IFERROR(R813+COUNTIFS($R$11:$R813,R813),"")</f>
        <v>30713</v>
      </c>
      <c r="C813" s="83" t="str">
        <f ca="1">IF(MOD(COUNTIF($Q$11:Q812,Q812),5)=0,OFFSET(装备属性!$D$1083,1+INT(COUNTA($Q$11:Q812)/5),0),C812)</f>
        <v>粉</v>
      </c>
      <c r="D813" s="82">
        <f t="shared" si="38"/>
        <v>2000</v>
      </c>
      <c r="F813" s="82">
        <f ca="1" t="shared" si="37"/>
        <v>30702</v>
      </c>
      <c r="G813" s="78" t="str">
        <f ca="1">IF(AND(LEFT("[{"&amp;M813&amp;","&amp;CEILING(N813*10000+(O813-N813)/4*(COUNTIF($F$11:F813,F813)-1)*10000,10)&amp;"}]",7)="[{equip",MID("[{"&amp;M813&amp;","&amp;CEILING(N813*10000+(O813-N813)/4*(COUNTIF($F$11:F813,F813)-1)*10000,10)&amp;"}]",8,1)&lt;&gt;"_"),"[{"&amp;M813&amp;","&amp;1&amp;"}]","[{"&amp;M813&amp;","&amp;CEILING(N813*10000+(O813-N813)/4*(COUNTIF($F$11:F813,F813)-1)*10000,10)&amp;"}]")</f>
        <v>[{equip_base_attr,2500}]</v>
      </c>
      <c r="H813" s="82" t="s">
        <v>563</v>
      </c>
      <c r="J813" s="78">
        <f ca="1">IF(MOD(COUNTIF($Q$11:Q812,Q812),5)=0,OFFSET(装备属性!$P$1083,1+INT(COUNTA($Q$11:Q812)/5),0),J812)</f>
        <v>7</v>
      </c>
      <c r="K813" s="83" t="str">
        <f ca="1">IF(RIGHT(G813,13)="rune_slot,1}]",_xlfn.XLOOKUP(LEFT(SUBSTITUTE(G813,"[{",""),FIND(",",SUBSTITUTE(G813,"[{",""))-1),Sheet2!B:B,Sheet2!C:C)&amp;"+"&amp;1,_xlfn.XLOOKUP(LEFT(SUBSTITUTE(G813,"[{",""),FIND(",",SUBSTITUTE(G813,"[{",""))-1),Sheet2!B:B,Sheet2!C:C)&amp;"+"&amp;SUBSTITUTE(RIGHT(G813,LEN(G813)-FIND(",",G813)),"}]","")/100&amp;"%")</f>
        <v>装备基础属性加成+25%</v>
      </c>
      <c r="L813" s="83" t="str">
        <f ca="1">IF(MOD(COUNTIF($Q$11:Q812,Q812),5)=0,OFFSET(装备属性!$G$1083,1+INT(COUNTA($Q$11:Q812)/5),0),L812)</f>
        <v>厚底子</v>
      </c>
      <c r="M813" s="89" t="str">
        <f ca="1">IF(MOD(COUNTIF($Q$11:Q812,Q812),5)=0,OFFSET(装备属性!$H$1083,1+INT(COUNTA($Q$11:Q812)/5),0),M812)</f>
        <v>equip_base_attr</v>
      </c>
      <c r="N813" s="76">
        <f ca="1">IF(MOD(COUNTIF($Q$11:Q812,Q812),5)=0,OFFSET(装备属性!$K$1083,1+INT(COUNTA($Q$11:Q812)/5),0),N812)</f>
        <v>0.25</v>
      </c>
      <c r="O813" s="76">
        <f ca="1">IF(MOD(COUNTIF($Q$11:Q812,Q812),5)=0,OFFSET(装备属性!$L$1083,1+INT(COUNTA($Q$11:Q812)/5),0),O812)</f>
        <v>0.25</v>
      </c>
      <c r="Q813" s="89" t="str">
        <f ca="1">IF(MOD(COUNTIF($Q$11:Q812,Q812),5)=0,OFFSET(装备属性!$M$1083,1+INT(COUNTA($Q$11:Q812)/5),0),Q812)</f>
        <v>稀有词条</v>
      </c>
      <c r="R813" s="83">
        <f ca="1">IF(MOD(COUNTIF($Q$11:Q812,Q812),5)=0,10000*SUBSTITUTE(SUBSTITUTE(OFFSET(装备属性!$F$1083,1+INT(COUNTA($Q$11:Q812)/5),0),"[",""),"]","")+_xlfn.XLOOKUP(C813,$M$3:$M$7,$N$3:$N$7)*100,R812)</f>
        <v>30700</v>
      </c>
    </row>
    <row r="814" customHeight="1" spans="1:18">
      <c r="A814" s="78">
        <f ca="1" t="shared" si="36"/>
        <v>30703</v>
      </c>
      <c r="B814" s="82">
        <f ca="1">IFERROR(R814+COUNTIFS($R$11:$R814,R814),"")</f>
        <v>30714</v>
      </c>
      <c r="C814" s="83" t="str">
        <f ca="1">IF(MOD(COUNTIF($Q$11:Q813,Q813),5)=0,OFFSET(装备属性!$D$1083,1+INT(COUNTA($Q$11:Q813)/5),0),C813)</f>
        <v>粉</v>
      </c>
      <c r="D814" s="82">
        <f t="shared" si="38"/>
        <v>1500</v>
      </c>
      <c r="F814" s="82">
        <f ca="1" t="shared" si="37"/>
        <v>30702</v>
      </c>
      <c r="G814" s="78" t="str">
        <f ca="1">IF(AND(LEFT("[{"&amp;M814&amp;","&amp;CEILING(N814*10000+(O814-N814)/4*(COUNTIF($F$11:F814,F814)-1)*10000,10)&amp;"}]",7)="[{equip",MID("[{"&amp;M814&amp;","&amp;CEILING(N814*10000+(O814-N814)/4*(COUNTIF($F$11:F814,F814)-1)*10000,10)&amp;"}]",8,1)&lt;&gt;"_"),"[{"&amp;M814&amp;","&amp;1&amp;"}]","[{"&amp;M814&amp;","&amp;CEILING(N814*10000+(O814-N814)/4*(COUNTIF($F$11:F814,F814)-1)*10000,10)&amp;"}]")</f>
        <v>[{equip_base_attr,2500}]</v>
      </c>
      <c r="H814" s="82" t="s">
        <v>563</v>
      </c>
      <c r="J814" s="78">
        <f ca="1">IF(MOD(COUNTIF($Q$11:Q813,Q813),5)=0,OFFSET(装备属性!$P$1083,1+INT(COUNTA($Q$11:Q813)/5),0),J813)</f>
        <v>7</v>
      </c>
      <c r="K814" s="83" t="str">
        <f ca="1">IF(RIGHT(G814,13)="rune_slot,1}]",_xlfn.XLOOKUP(LEFT(SUBSTITUTE(G814,"[{",""),FIND(",",SUBSTITUTE(G814,"[{",""))-1),Sheet2!B:B,Sheet2!C:C)&amp;"+"&amp;1,_xlfn.XLOOKUP(LEFT(SUBSTITUTE(G814,"[{",""),FIND(",",SUBSTITUTE(G814,"[{",""))-1),Sheet2!B:B,Sheet2!C:C)&amp;"+"&amp;SUBSTITUTE(RIGHT(G814,LEN(G814)-FIND(",",G814)),"}]","")/100&amp;"%")</f>
        <v>装备基础属性加成+25%</v>
      </c>
      <c r="L814" s="83" t="str">
        <f ca="1">IF(MOD(COUNTIF($Q$11:Q813,Q813),5)=0,OFFSET(装备属性!$G$1083,1+INT(COUNTA($Q$11:Q813)/5),0),L813)</f>
        <v>厚底子</v>
      </c>
      <c r="M814" s="89" t="str">
        <f ca="1">IF(MOD(COUNTIF($Q$11:Q813,Q813),5)=0,OFFSET(装备属性!$H$1083,1+INT(COUNTA($Q$11:Q813)/5),0),M813)</f>
        <v>equip_base_attr</v>
      </c>
      <c r="N814" s="76">
        <f ca="1">IF(MOD(COUNTIF($Q$11:Q813,Q813),5)=0,OFFSET(装备属性!$K$1083,1+INT(COUNTA($Q$11:Q813)/5),0),N813)</f>
        <v>0.25</v>
      </c>
      <c r="O814" s="76">
        <f ca="1">IF(MOD(COUNTIF($Q$11:Q813,Q813),5)=0,OFFSET(装备属性!$L$1083,1+INT(COUNTA($Q$11:Q813)/5),0),O813)</f>
        <v>0.25</v>
      </c>
      <c r="Q814" s="89" t="str">
        <f ca="1">IF(MOD(COUNTIF($Q$11:Q813,Q813),5)=0,OFFSET(装备属性!$M$1083,1+INT(COUNTA($Q$11:Q813)/5),0),Q813)</f>
        <v>稀有词条</v>
      </c>
      <c r="R814" s="83">
        <f ca="1">IF(MOD(COUNTIF($Q$11:Q813,Q813),5)=0,10000*SUBSTITUTE(SUBSTITUTE(OFFSET(装备属性!$F$1083,1+INT(COUNTA($Q$11:Q813)/5),0),"[",""),"]","")+_xlfn.XLOOKUP(C814,$M$3:$M$7,$N$3:$N$7)*100,R813)</f>
        <v>30700</v>
      </c>
    </row>
    <row r="815" customHeight="1" spans="1:18">
      <c r="A815" s="78">
        <f ca="1" t="shared" si="36"/>
        <v>30703</v>
      </c>
      <c r="B815" s="82">
        <f ca="1">IFERROR(R815+COUNTIFS($R$11:$R815,R815),"")</f>
        <v>30715</v>
      </c>
      <c r="C815" s="83" t="str">
        <f ca="1">IF(MOD(COUNTIF($Q$11:Q814,Q814),5)=0,OFFSET(装备属性!$D$1083,1+INT(COUNTA($Q$11:Q814)/5),0),C814)</f>
        <v>粉</v>
      </c>
      <c r="D815" s="82">
        <f t="shared" si="38"/>
        <v>1000</v>
      </c>
      <c r="F815" s="82">
        <f ca="1" t="shared" si="37"/>
        <v>30702</v>
      </c>
      <c r="G815" s="78" t="str">
        <f ca="1">IF(AND(LEFT("[{"&amp;M815&amp;","&amp;CEILING(N815*10000+(O815-N815)/4*(COUNTIF($F$11:F815,F815)-1)*10000,10)&amp;"}]",7)="[{equip",MID("[{"&amp;M815&amp;","&amp;CEILING(N815*10000+(O815-N815)/4*(COUNTIF($F$11:F815,F815)-1)*10000,10)&amp;"}]",8,1)&lt;&gt;"_"),"[{"&amp;M815&amp;","&amp;1&amp;"}]","[{"&amp;M815&amp;","&amp;CEILING(N815*10000+(O815-N815)/4*(COUNTIF($F$11:F815,F815)-1)*10000,10)&amp;"}]")</f>
        <v>[{equip_base_attr,2500}]</v>
      </c>
      <c r="H815" s="82" t="s">
        <v>563</v>
      </c>
      <c r="J815" s="78">
        <f ca="1">IF(MOD(COUNTIF($Q$11:Q814,Q814),5)=0,OFFSET(装备属性!$P$1083,1+INT(COUNTA($Q$11:Q814)/5),0),J814)</f>
        <v>7</v>
      </c>
      <c r="K815" s="83" t="str">
        <f ca="1">IF(RIGHT(G815,13)="rune_slot,1}]",_xlfn.XLOOKUP(LEFT(SUBSTITUTE(G815,"[{",""),FIND(",",SUBSTITUTE(G815,"[{",""))-1),Sheet2!B:B,Sheet2!C:C)&amp;"+"&amp;1,_xlfn.XLOOKUP(LEFT(SUBSTITUTE(G815,"[{",""),FIND(",",SUBSTITUTE(G815,"[{",""))-1),Sheet2!B:B,Sheet2!C:C)&amp;"+"&amp;SUBSTITUTE(RIGHT(G815,LEN(G815)-FIND(",",G815)),"}]","")/100&amp;"%")</f>
        <v>装备基础属性加成+25%</v>
      </c>
      <c r="L815" s="83" t="str">
        <f ca="1">IF(MOD(COUNTIF($Q$11:Q814,Q814),5)=0,OFFSET(装备属性!$G$1083,1+INT(COUNTA($Q$11:Q814)/5),0),L814)</f>
        <v>厚底子</v>
      </c>
      <c r="M815" s="89" t="str">
        <f ca="1">IF(MOD(COUNTIF($Q$11:Q814,Q814),5)=0,OFFSET(装备属性!$H$1083,1+INT(COUNTA($Q$11:Q814)/5),0),M814)</f>
        <v>equip_base_attr</v>
      </c>
      <c r="N815" s="76">
        <f ca="1">IF(MOD(COUNTIF($Q$11:Q814,Q814),5)=0,OFFSET(装备属性!$K$1083,1+INT(COUNTA($Q$11:Q814)/5),0),N814)</f>
        <v>0.25</v>
      </c>
      <c r="O815" s="76">
        <f ca="1">IF(MOD(COUNTIF($Q$11:Q814,Q814),5)=0,OFFSET(装备属性!$L$1083,1+INT(COUNTA($Q$11:Q814)/5),0),O814)</f>
        <v>0.25</v>
      </c>
      <c r="Q815" s="89" t="str">
        <f ca="1">IF(MOD(COUNTIF($Q$11:Q814,Q814),5)=0,OFFSET(装备属性!$M$1083,1+INT(COUNTA($Q$11:Q814)/5),0),Q814)</f>
        <v>稀有词条</v>
      </c>
      <c r="R815" s="83">
        <f ca="1">IF(MOD(COUNTIF($Q$11:Q814,Q814),5)=0,10000*SUBSTITUTE(SUBSTITUTE(OFFSET(装备属性!$F$1083,1+INT(COUNTA($Q$11:Q814)/5),0),"[",""),"]","")+_xlfn.XLOOKUP(C815,$M$3:$M$7,$N$3:$N$7)*100,R814)</f>
        <v>30700</v>
      </c>
    </row>
    <row r="816" customHeight="1" spans="1:18">
      <c r="A816" s="78" t="str">
        <f ca="1" t="shared" si="36"/>
        <v/>
      </c>
      <c r="B816" s="82" t="str">
        <f ca="1">IFERROR(R816+COUNTIFS($R$11:$R816,R816),"")</f>
        <v/>
      </c>
      <c r="C816" s="83">
        <f ca="1">IF(MOD(COUNTIF($Q$11:Q815,Q815),5)=0,OFFSET(装备属性!$D$1083,1+INT(COUNTA($Q$11:Q815)/5),0),C815)</f>
        <v>0</v>
      </c>
      <c r="D816" s="82">
        <f t="shared" si="38"/>
        <v>3000</v>
      </c>
      <c r="F816" s="82" t="str">
        <f ca="1" t="shared" si="37"/>
        <v/>
      </c>
      <c r="G816" s="78" t="str">
        <f ca="1">IF(AND(LEFT("[{"&amp;M816&amp;","&amp;CEILING(N816*10000+(O816-N816)/4*(COUNTIF($F$11:F816,F816)-1)*10000,10)&amp;"}]",7)="[{equip",MID("[{"&amp;M816&amp;","&amp;CEILING(N816*10000+(O816-N816)/4*(COUNTIF($F$11:F816,F816)-1)*10000,10)&amp;"}]",8,1)&lt;&gt;"_"),"[{"&amp;M816&amp;","&amp;1&amp;"}]","[{"&amp;M816&amp;","&amp;CEILING(N816*10000+(O816-N816)/4*(COUNTIF($F$11:F816,F816)-1)*10000,10)&amp;"}]")</f>
        <v>[{equip_extra_attr,5000}]</v>
      </c>
      <c r="H816" s="82" t="s">
        <v>563</v>
      </c>
      <c r="J816" s="78">
        <f ca="1">IF(MOD(COUNTIF($Q$11:Q815,Q815),5)=0,OFFSET(装备属性!$P$1083,1+INT(COUNTA($Q$11:Q815)/5),0),J815)</f>
        <v>8</v>
      </c>
      <c r="K816" s="83" t="str">
        <f ca="1">IF(RIGHT(G816,13)="rune_slot,1}]",_xlfn.XLOOKUP(LEFT(SUBSTITUTE(G816,"[{",""),FIND(",",SUBSTITUTE(G816,"[{",""))-1),Sheet2!B:B,Sheet2!C:C)&amp;"+"&amp;1,_xlfn.XLOOKUP(LEFT(SUBSTITUTE(G816,"[{",""),FIND(",",SUBSTITUTE(G816,"[{",""))-1),Sheet2!B:B,Sheet2!C:C)&amp;"+"&amp;SUBSTITUTE(RIGHT(G816,LEN(G816)-FIND(",",G816)),"}]","")/100&amp;"%")</f>
        <v>装备附加属性加成+50%</v>
      </c>
      <c r="L816" s="83" t="str">
        <f ca="1">IF(MOD(COUNTIF($Q$11:Q815,Q815),5)=0,OFFSET(装备属性!$G$1083,1+INT(COUNTA($Q$11:Q815)/5),0),L815)</f>
        <v>提成色</v>
      </c>
      <c r="M816" s="89" t="str">
        <f ca="1">IF(MOD(COUNTIF($Q$11:Q815,Q815),5)=0,OFFSET(装备属性!$H$1083,1+INT(COUNTA($Q$11:Q815)/5),0),M815)</f>
        <v>equip_extra_attr</v>
      </c>
      <c r="N816" s="76">
        <f ca="1">IF(MOD(COUNTIF($Q$11:Q815,Q815),5)=0,OFFSET(装备属性!$K$1083,1+INT(COUNTA($Q$11:Q815)/5),0),N815)</f>
        <v>0.5</v>
      </c>
      <c r="O816" s="76">
        <f ca="1">IF(MOD(COUNTIF($Q$11:Q815,Q815),5)=0,OFFSET(装备属性!$L$1083,1+INT(COUNTA($Q$11:Q815)/5),0),O815)</f>
        <v>0.5</v>
      </c>
      <c r="Q816" s="89" t="str">
        <f ca="1">IF(MOD(COUNTIF($Q$11:Q815,Q815),5)=0,OFFSET(装备属性!$M$1083,1+INT(COUNTA($Q$11:Q815)/5),0),Q815)</f>
        <v>稀有词条</v>
      </c>
      <c r="R816" s="83" t="e">
        <f ca="1">IF(MOD(COUNTIF($Q$11:Q815,Q815),5)=0,10000*SUBSTITUTE(SUBSTITUTE(OFFSET(装备属性!$F$1083,1+INT(COUNTA($Q$11:Q815)/5),0),"[",""),"]","")+_xlfn.XLOOKUP(C816,$M$3:$M$7,$N$3:$N$7)*100,R815)</f>
        <v>#N/A</v>
      </c>
    </row>
    <row r="817" customHeight="1" spans="1:18">
      <c r="A817" s="78" t="str">
        <f ca="1" t="shared" si="36"/>
        <v/>
      </c>
      <c r="B817" s="82" t="str">
        <f ca="1">IFERROR(R817+COUNTIFS($R$11:$R817,R817),"")</f>
        <v/>
      </c>
      <c r="C817" s="83">
        <f ca="1">IF(MOD(COUNTIF($Q$11:Q816,Q816),5)=0,OFFSET(装备属性!$D$1083,1+INT(COUNTA($Q$11:Q816)/5),0),C816)</f>
        <v>0</v>
      </c>
      <c r="D817" s="82">
        <f t="shared" si="38"/>
        <v>2500</v>
      </c>
      <c r="F817" s="82" t="str">
        <f ca="1" t="shared" si="37"/>
        <v/>
      </c>
      <c r="G817" s="78" t="str">
        <f ca="1">IF(AND(LEFT("[{"&amp;M817&amp;","&amp;CEILING(N817*10000+(O817-N817)/4*(COUNTIF($F$11:F817,F817)-1)*10000,10)&amp;"}]",7)="[{equip",MID("[{"&amp;M817&amp;","&amp;CEILING(N817*10000+(O817-N817)/4*(COUNTIF($F$11:F817,F817)-1)*10000,10)&amp;"}]",8,1)&lt;&gt;"_"),"[{"&amp;M817&amp;","&amp;1&amp;"}]","[{"&amp;M817&amp;","&amp;CEILING(N817*10000+(O817-N817)/4*(COUNTIF($F$11:F817,F817)-1)*10000,10)&amp;"}]")</f>
        <v>[{equip_extra_attr,5000}]</v>
      </c>
      <c r="H817" s="82" t="s">
        <v>563</v>
      </c>
      <c r="J817" s="78">
        <f ca="1">IF(MOD(COUNTIF($Q$11:Q816,Q816),5)=0,OFFSET(装备属性!$P$1083,1+INT(COUNTA($Q$11:Q816)/5),0),J816)</f>
        <v>8</v>
      </c>
      <c r="K817" s="83" t="str">
        <f ca="1">IF(RIGHT(G817,13)="rune_slot,1}]",_xlfn.XLOOKUP(LEFT(SUBSTITUTE(G817,"[{",""),FIND(",",SUBSTITUTE(G817,"[{",""))-1),Sheet2!B:B,Sheet2!C:C)&amp;"+"&amp;1,_xlfn.XLOOKUP(LEFT(SUBSTITUTE(G817,"[{",""),FIND(",",SUBSTITUTE(G817,"[{",""))-1),Sheet2!B:B,Sheet2!C:C)&amp;"+"&amp;SUBSTITUTE(RIGHT(G817,LEN(G817)-FIND(",",G817)),"}]","")/100&amp;"%")</f>
        <v>装备附加属性加成+50%</v>
      </c>
      <c r="L817" s="83" t="str">
        <f ca="1">IF(MOD(COUNTIF($Q$11:Q816,Q816),5)=0,OFFSET(装备属性!$G$1083,1+INT(COUNTA($Q$11:Q816)/5),0),L816)</f>
        <v>提成色</v>
      </c>
      <c r="M817" s="89" t="str">
        <f ca="1">IF(MOD(COUNTIF($Q$11:Q816,Q816),5)=0,OFFSET(装备属性!$H$1083,1+INT(COUNTA($Q$11:Q816)/5),0),M816)</f>
        <v>equip_extra_attr</v>
      </c>
      <c r="N817" s="76">
        <f ca="1">IF(MOD(COUNTIF($Q$11:Q816,Q816),5)=0,OFFSET(装备属性!$K$1083,1+INT(COUNTA($Q$11:Q816)/5),0),N816)</f>
        <v>0.5</v>
      </c>
      <c r="O817" s="76">
        <f ca="1">IF(MOD(COUNTIF($Q$11:Q816,Q816),5)=0,OFFSET(装备属性!$L$1083,1+INT(COUNTA($Q$11:Q816)/5),0),O816)</f>
        <v>0.5</v>
      </c>
      <c r="Q817" s="89" t="str">
        <f ca="1">IF(MOD(COUNTIF($Q$11:Q816,Q816),5)=0,OFFSET(装备属性!$M$1083,1+INT(COUNTA($Q$11:Q816)/5),0),Q816)</f>
        <v>稀有词条</v>
      </c>
      <c r="R817" s="83" t="e">
        <f ca="1">IF(MOD(COUNTIF($Q$11:Q816,Q816),5)=0,10000*SUBSTITUTE(SUBSTITUTE(OFFSET(装备属性!$F$1083,1+INT(COUNTA($Q$11:Q816)/5),0),"[",""),"]","")+_xlfn.XLOOKUP(C817,$M$3:$M$7,$N$3:$N$7)*100,R816)</f>
        <v>#N/A</v>
      </c>
    </row>
    <row r="818" customHeight="1" spans="1:18">
      <c r="A818" s="78" t="str">
        <f ca="1" t="shared" si="36"/>
        <v/>
      </c>
      <c r="B818" s="82" t="str">
        <f ca="1">IFERROR(R818+COUNTIFS($R$11:$R818,R818),"")</f>
        <v/>
      </c>
      <c r="C818" s="83">
        <f ca="1">IF(MOD(COUNTIF($Q$11:Q817,Q817),5)=0,OFFSET(装备属性!$D$1083,1+INT(COUNTA($Q$11:Q817)/5),0),C817)</f>
        <v>0</v>
      </c>
      <c r="D818" s="82">
        <f t="shared" si="38"/>
        <v>2000</v>
      </c>
      <c r="F818" s="82" t="str">
        <f ca="1" t="shared" si="37"/>
        <v/>
      </c>
      <c r="G818" s="78" t="str">
        <f ca="1">IF(AND(LEFT("[{"&amp;M818&amp;","&amp;CEILING(N818*10000+(O818-N818)/4*(COUNTIF($F$11:F818,F818)-1)*10000,10)&amp;"}]",7)="[{equip",MID("[{"&amp;M818&amp;","&amp;CEILING(N818*10000+(O818-N818)/4*(COUNTIF($F$11:F818,F818)-1)*10000,10)&amp;"}]",8,1)&lt;&gt;"_"),"[{"&amp;M818&amp;","&amp;1&amp;"}]","[{"&amp;M818&amp;","&amp;CEILING(N818*10000+(O818-N818)/4*(COUNTIF($F$11:F818,F818)-1)*10000,10)&amp;"}]")</f>
        <v>[{equip_extra_attr,5000}]</v>
      </c>
      <c r="H818" s="82" t="s">
        <v>563</v>
      </c>
      <c r="J818" s="78">
        <f ca="1">IF(MOD(COUNTIF($Q$11:Q817,Q817),5)=0,OFFSET(装备属性!$P$1083,1+INT(COUNTA($Q$11:Q817)/5),0),J817)</f>
        <v>8</v>
      </c>
      <c r="K818" s="83" t="str">
        <f ca="1">IF(RIGHT(G818,13)="rune_slot,1}]",_xlfn.XLOOKUP(LEFT(SUBSTITUTE(G818,"[{",""),FIND(",",SUBSTITUTE(G818,"[{",""))-1),Sheet2!B:B,Sheet2!C:C)&amp;"+"&amp;1,_xlfn.XLOOKUP(LEFT(SUBSTITUTE(G818,"[{",""),FIND(",",SUBSTITUTE(G818,"[{",""))-1),Sheet2!B:B,Sheet2!C:C)&amp;"+"&amp;SUBSTITUTE(RIGHT(G818,LEN(G818)-FIND(",",G818)),"}]","")/100&amp;"%")</f>
        <v>装备附加属性加成+50%</v>
      </c>
      <c r="L818" s="83" t="str">
        <f ca="1">IF(MOD(COUNTIF($Q$11:Q817,Q817),5)=0,OFFSET(装备属性!$G$1083,1+INT(COUNTA($Q$11:Q817)/5),0),L817)</f>
        <v>提成色</v>
      </c>
      <c r="M818" s="89" t="str">
        <f ca="1">IF(MOD(COUNTIF($Q$11:Q817,Q817),5)=0,OFFSET(装备属性!$H$1083,1+INT(COUNTA($Q$11:Q817)/5),0),M817)</f>
        <v>equip_extra_attr</v>
      </c>
      <c r="N818" s="76">
        <f ca="1">IF(MOD(COUNTIF($Q$11:Q817,Q817),5)=0,OFFSET(装备属性!$K$1083,1+INT(COUNTA($Q$11:Q817)/5),0),N817)</f>
        <v>0.5</v>
      </c>
      <c r="O818" s="76">
        <f ca="1">IF(MOD(COUNTIF($Q$11:Q817,Q817),5)=0,OFFSET(装备属性!$L$1083,1+INT(COUNTA($Q$11:Q817)/5),0),O817)</f>
        <v>0.5</v>
      </c>
      <c r="Q818" s="89" t="str">
        <f ca="1">IF(MOD(COUNTIF($Q$11:Q817,Q817),5)=0,OFFSET(装备属性!$M$1083,1+INT(COUNTA($Q$11:Q817)/5),0),Q817)</f>
        <v>稀有词条</v>
      </c>
      <c r="R818" s="83" t="e">
        <f ca="1">IF(MOD(COUNTIF($Q$11:Q817,Q817),5)=0,10000*SUBSTITUTE(SUBSTITUTE(OFFSET(装备属性!$F$1083,1+INT(COUNTA($Q$11:Q817)/5),0),"[",""),"]","")+_xlfn.XLOOKUP(C818,$M$3:$M$7,$N$3:$N$7)*100,R817)</f>
        <v>#N/A</v>
      </c>
    </row>
    <row r="819" customHeight="1" spans="1:18">
      <c r="A819" s="78" t="str">
        <f ca="1" t="shared" si="36"/>
        <v/>
      </c>
      <c r="B819" s="82" t="str">
        <f ca="1">IFERROR(R819+COUNTIFS($R$11:$R819,R819),"")</f>
        <v/>
      </c>
      <c r="C819" s="83">
        <f ca="1">IF(MOD(COUNTIF($Q$11:Q818,Q818),5)=0,OFFSET(装备属性!$D$1083,1+INT(COUNTA($Q$11:Q818)/5),0),C818)</f>
        <v>0</v>
      </c>
      <c r="D819" s="82">
        <f t="shared" si="38"/>
        <v>1500</v>
      </c>
      <c r="F819" s="82" t="str">
        <f ca="1" t="shared" si="37"/>
        <v/>
      </c>
      <c r="G819" s="78" t="str">
        <f ca="1">IF(AND(LEFT("[{"&amp;M819&amp;","&amp;CEILING(N819*10000+(O819-N819)/4*(COUNTIF($F$11:F819,F819)-1)*10000,10)&amp;"}]",7)="[{equip",MID("[{"&amp;M819&amp;","&amp;CEILING(N819*10000+(O819-N819)/4*(COUNTIF($F$11:F819,F819)-1)*10000,10)&amp;"}]",8,1)&lt;&gt;"_"),"[{"&amp;M819&amp;","&amp;1&amp;"}]","[{"&amp;M819&amp;","&amp;CEILING(N819*10000+(O819-N819)/4*(COUNTIF($F$11:F819,F819)-1)*10000,10)&amp;"}]")</f>
        <v>[{equip_extra_attr,5000}]</v>
      </c>
      <c r="H819" s="82" t="s">
        <v>563</v>
      </c>
      <c r="J819" s="78">
        <f ca="1">IF(MOD(COUNTIF($Q$11:Q818,Q818),5)=0,OFFSET(装备属性!$P$1083,1+INT(COUNTA($Q$11:Q818)/5),0),J818)</f>
        <v>8</v>
      </c>
      <c r="K819" s="83" t="str">
        <f ca="1">IF(RIGHT(G819,13)="rune_slot,1}]",_xlfn.XLOOKUP(LEFT(SUBSTITUTE(G819,"[{",""),FIND(",",SUBSTITUTE(G819,"[{",""))-1),Sheet2!B:B,Sheet2!C:C)&amp;"+"&amp;1,_xlfn.XLOOKUP(LEFT(SUBSTITUTE(G819,"[{",""),FIND(",",SUBSTITUTE(G819,"[{",""))-1),Sheet2!B:B,Sheet2!C:C)&amp;"+"&amp;SUBSTITUTE(RIGHT(G819,LEN(G819)-FIND(",",G819)),"}]","")/100&amp;"%")</f>
        <v>装备附加属性加成+50%</v>
      </c>
      <c r="L819" s="83" t="str">
        <f ca="1">IF(MOD(COUNTIF($Q$11:Q818,Q818),5)=0,OFFSET(装备属性!$G$1083,1+INT(COUNTA($Q$11:Q818)/5),0),L818)</f>
        <v>提成色</v>
      </c>
      <c r="M819" s="89" t="str">
        <f ca="1">IF(MOD(COUNTIF($Q$11:Q818,Q818),5)=0,OFFSET(装备属性!$H$1083,1+INT(COUNTA($Q$11:Q818)/5),0),M818)</f>
        <v>equip_extra_attr</v>
      </c>
      <c r="N819" s="76">
        <f ca="1">IF(MOD(COUNTIF($Q$11:Q818,Q818),5)=0,OFFSET(装备属性!$K$1083,1+INT(COUNTA($Q$11:Q818)/5),0),N818)</f>
        <v>0.5</v>
      </c>
      <c r="O819" s="76">
        <f ca="1">IF(MOD(COUNTIF($Q$11:Q818,Q818),5)=0,OFFSET(装备属性!$L$1083,1+INT(COUNTA($Q$11:Q818)/5),0),O818)</f>
        <v>0.5</v>
      </c>
      <c r="Q819" s="89" t="str">
        <f ca="1">IF(MOD(COUNTIF($Q$11:Q818,Q818),5)=0,OFFSET(装备属性!$M$1083,1+INT(COUNTA($Q$11:Q818)/5),0),Q818)</f>
        <v>稀有词条</v>
      </c>
      <c r="R819" s="83" t="e">
        <f ca="1">IF(MOD(COUNTIF($Q$11:Q818,Q818),5)=0,10000*SUBSTITUTE(SUBSTITUTE(OFFSET(装备属性!$F$1083,1+INT(COUNTA($Q$11:Q818)/5),0),"[",""),"]","")+_xlfn.XLOOKUP(C819,$M$3:$M$7,$N$3:$N$7)*100,R818)</f>
        <v>#N/A</v>
      </c>
    </row>
    <row r="820" customHeight="1" spans="1:18">
      <c r="A820" s="78" t="str">
        <f ca="1" t="shared" si="36"/>
        <v/>
      </c>
      <c r="B820" s="82" t="str">
        <f ca="1">IFERROR(R820+COUNTIFS($R$11:$R820,R820),"")</f>
        <v/>
      </c>
      <c r="C820" s="83">
        <f ca="1">IF(MOD(COUNTIF($Q$11:Q819,Q819),5)=0,OFFSET(装备属性!$D$1083,1+INT(COUNTA($Q$11:Q819)/5),0),C819)</f>
        <v>0</v>
      </c>
      <c r="D820" s="82">
        <f t="shared" si="38"/>
        <v>1000</v>
      </c>
      <c r="F820" s="82" t="str">
        <f ca="1" t="shared" si="37"/>
        <v/>
      </c>
      <c r="G820" s="78" t="str">
        <f ca="1">IF(AND(LEFT("[{"&amp;M820&amp;","&amp;CEILING(N820*10000+(O820-N820)/4*(COUNTIF($F$11:F820,F820)-1)*10000,10)&amp;"}]",7)="[{equip",MID("[{"&amp;M820&amp;","&amp;CEILING(N820*10000+(O820-N820)/4*(COUNTIF($F$11:F820,F820)-1)*10000,10)&amp;"}]",8,1)&lt;&gt;"_"),"[{"&amp;M820&amp;","&amp;1&amp;"}]","[{"&amp;M820&amp;","&amp;CEILING(N820*10000+(O820-N820)/4*(COUNTIF($F$11:F820,F820)-1)*10000,10)&amp;"}]")</f>
        <v>[{equip_extra_attr,5000}]</v>
      </c>
      <c r="H820" s="82" t="s">
        <v>563</v>
      </c>
      <c r="J820" s="78">
        <f ca="1">IF(MOD(COUNTIF($Q$11:Q819,Q819),5)=0,OFFSET(装备属性!$P$1083,1+INT(COUNTA($Q$11:Q819)/5),0),J819)</f>
        <v>8</v>
      </c>
      <c r="K820" s="83" t="str">
        <f ca="1">IF(RIGHT(G820,13)="rune_slot,1}]",_xlfn.XLOOKUP(LEFT(SUBSTITUTE(G820,"[{",""),FIND(",",SUBSTITUTE(G820,"[{",""))-1),Sheet2!B:B,Sheet2!C:C)&amp;"+"&amp;1,_xlfn.XLOOKUP(LEFT(SUBSTITUTE(G820,"[{",""),FIND(",",SUBSTITUTE(G820,"[{",""))-1),Sheet2!B:B,Sheet2!C:C)&amp;"+"&amp;SUBSTITUTE(RIGHT(G820,LEN(G820)-FIND(",",G820)),"}]","")/100&amp;"%")</f>
        <v>装备附加属性加成+50%</v>
      </c>
      <c r="L820" s="83" t="str">
        <f ca="1">IF(MOD(COUNTIF($Q$11:Q819,Q819),5)=0,OFFSET(装备属性!$G$1083,1+INT(COUNTA($Q$11:Q819)/5),0),L819)</f>
        <v>提成色</v>
      </c>
      <c r="M820" s="89" t="str">
        <f ca="1">IF(MOD(COUNTIF($Q$11:Q819,Q819),5)=0,OFFSET(装备属性!$H$1083,1+INT(COUNTA($Q$11:Q819)/5),0),M819)</f>
        <v>equip_extra_attr</v>
      </c>
      <c r="N820" s="76">
        <f ca="1">IF(MOD(COUNTIF($Q$11:Q819,Q819),5)=0,OFFSET(装备属性!$K$1083,1+INT(COUNTA($Q$11:Q819)/5),0),N819)</f>
        <v>0.5</v>
      </c>
      <c r="O820" s="76">
        <f ca="1">IF(MOD(COUNTIF($Q$11:Q819,Q819),5)=0,OFFSET(装备属性!$L$1083,1+INT(COUNTA($Q$11:Q819)/5),0),O819)</f>
        <v>0.5</v>
      </c>
      <c r="Q820" s="89" t="str">
        <f ca="1">IF(MOD(COUNTIF($Q$11:Q819,Q819),5)=0,OFFSET(装备属性!$M$1083,1+INT(COUNTA($Q$11:Q819)/5),0),Q819)</f>
        <v>稀有词条</v>
      </c>
      <c r="R820" s="83" t="e">
        <f ca="1">IF(MOD(COUNTIF($Q$11:Q819,Q819),5)=0,10000*SUBSTITUTE(SUBSTITUTE(OFFSET(装备属性!$F$1083,1+INT(COUNTA($Q$11:Q819)/5),0),"[",""),"]","")+_xlfn.XLOOKUP(C820,$M$3:$M$7,$N$3:$N$7)*100,R819)</f>
        <v>#N/A</v>
      </c>
    </row>
    <row r="821" customHeight="1" spans="1:18">
      <c r="A821" s="78">
        <f ca="1" t="shared" si="36"/>
        <v>30702</v>
      </c>
      <c r="B821" s="82">
        <f ca="1">IFERROR(R821+COUNTIFS($R$11:$R821,R821),"")</f>
        <v>30716</v>
      </c>
      <c r="C821" s="83" t="str">
        <f ca="1">IF(MOD(COUNTIF($Q$11:Q820,Q820),5)=0,OFFSET(装备属性!$D$1083,1+INT(COUNTA($Q$11:Q820)/5),0),C820)</f>
        <v>粉</v>
      </c>
      <c r="D821" s="82">
        <f t="shared" si="38"/>
        <v>3000</v>
      </c>
      <c r="F821" s="82">
        <f ca="1" t="shared" si="37"/>
        <v>30703</v>
      </c>
      <c r="G821" s="78" t="str">
        <f ca="1">IF(AND(LEFT("[{"&amp;M821&amp;","&amp;CEILING(N821*10000+(O821-N821)/4*(COUNTIF($F$11:F821,F821)-1)*10000,10)&amp;"}]",7)="[{equip",MID("[{"&amp;M821&amp;","&amp;CEILING(N821*10000+(O821-N821)/4*(COUNTIF($F$11:F821,F821)-1)*10000,10)&amp;"}]",8,1)&lt;&gt;"_"),"[{"&amp;M821&amp;","&amp;1&amp;"}]","[{"&amp;M821&amp;","&amp;CEILING(N821*10000+(O821-N821)/4*(COUNTIF($F$11:F821,F821)-1)*10000,10)&amp;"}]")</f>
        <v>[{arena_pve_hit_rare,800}]</v>
      </c>
      <c r="H821" s="82" t="s">
        <v>563</v>
      </c>
      <c r="J821" s="78">
        <f ca="1">IF(MOD(COUNTIF($Q$11:Q820,Q820),5)=0,OFFSET(装备属性!$P$1083,1+INT(COUNTA($Q$11:Q820)/5),0),J820)</f>
        <v>1</v>
      </c>
      <c r="K821" s="83" t="str">
        <f ca="1">IF(RIGHT(G821,13)="rune_slot,1}]",_xlfn.XLOOKUP(LEFT(SUBSTITUTE(G821,"[{",""),FIND(",",SUBSTITUTE(G821,"[{",""))-1),Sheet2!B:B,Sheet2!C:C)&amp;"+"&amp;1,_xlfn.XLOOKUP(LEFT(SUBSTITUTE(G821,"[{",""),FIND(",",SUBSTITUTE(G821,"[{",""))-1),Sheet2!B:B,Sheet2!C:C)&amp;"+"&amp;SUBSTITUTE(RIGHT(G821,LEN(G821)-FIND(",",G821)),"}]","")/100&amp;"%")</f>
        <v>荧幕争锋增伤+8%</v>
      </c>
      <c r="L821" s="83" t="str">
        <f ca="1">IF(MOD(COUNTIF($Q$11:Q820,Q820),5)=0,OFFSET(装备属性!$G$1083,1+INT(COUNTA($Q$11:Q820)/5),0),L820)</f>
        <v>关键开团Ⅳ</v>
      </c>
      <c r="M821" s="89" t="str">
        <f ca="1">IF(MOD(COUNTIF($Q$11:Q820,Q820),5)=0,OFFSET(装备属性!$H$1083,1+INT(COUNTA($Q$11:Q820)/5),0),M820)</f>
        <v>arena_pve_hit_rare</v>
      </c>
      <c r="N821" s="76">
        <f ca="1">IF(MOD(COUNTIF($Q$11:Q820,Q820),5)=0,OFFSET(装备属性!$K$1083,1+INT(COUNTA($Q$11:Q820)/5),0),N820)</f>
        <v>0.08</v>
      </c>
      <c r="O821" s="76">
        <f ca="1">IF(MOD(COUNTIF($Q$11:Q820,Q820),5)=0,OFFSET(装备属性!$L$1083,1+INT(COUNTA($Q$11:Q820)/5),0),O820)</f>
        <v>0.09</v>
      </c>
      <c r="Q821" s="89" t="str">
        <f ca="1">IF(MOD(COUNTIF($Q$11:Q820,Q820),5)=0,OFFSET(装备属性!$M$1083,1+INT(COUNTA($Q$11:Q820)/5),0),Q820)</f>
        <v>玩法类</v>
      </c>
      <c r="R821" s="83">
        <f ca="1">IF(MOD(COUNTIF($Q$11:Q820,Q820),5)=0,10000*SUBSTITUTE(SUBSTITUTE(OFFSET(装备属性!$F$1083,1+INT(COUNTA($Q$11:Q820)/5),0),"[",""),"]","")+_xlfn.XLOOKUP(C821,$M$3:$M$7,$N$3:$N$7)*100,R820)</f>
        <v>30700</v>
      </c>
    </row>
    <row r="822" customHeight="1" spans="1:18">
      <c r="A822" s="78">
        <f ca="1" t="shared" si="36"/>
        <v>30702</v>
      </c>
      <c r="B822" s="82">
        <f ca="1">IFERROR(R822+COUNTIFS($R$11:$R822,R822),"")</f>
        <v>30717</v>
      </c>
      <c r="C822" s="83" t="str">
        <f ca="1">IF(MOD(COUNTIF($Q$11:Q821,Q821),5)=0,OFFSET(装备属性!$D$1083,1+INT(COUNTA($Q$11:Q821)/5),0),C821)</f>
        <v>粉</v>
      </c>
      <c r="D822" s="82">
        <f t="shared" si="38"/>
        <v>2500</v>
      </c>
      <c r="F822" s="82">
        <f ca="1" t="shared" si="37"/>
        <v>30703</v>
      </c>
      <c r="G822" s="78" t="str">
        <f ca="1">IF(AND(LEFT("[{"&amp;M822&amp;","&amp;CEILING(N822*10000+(O822-N822)/4*(COUNTIF($F$11:F822,F822)-1)*10000,10)&amp;"}]",7)="[{equip",MID("[{"&amp;M822&amp;","&amp;CEILING(N822*10000+(O822-N822)/4*(COUNTIF($F$11:F822,F822)-1)*10000,10)&amp;"}]",8,1)&lt;&gt;"_"),"[{"&amp;M822&amp;","&amp;1&amp;"}]","[{"&amp;M822&amp;","&amp;CEILING(N822*10000+(O822-N822)/4*(COUNTIF($F$11:F822,F822)-1)*10000,10)&amp;"}]")</f>
        <v>[{arena_pve_hit_rare,830}]</v>
      </c>
      <c r="H822" s="82" t="s">
        <v>563</v>
      </c>
      <c r="J822" s="78">
        <f ca="1">IF(MOD(COUNTIF($Q$11:Q821,Q821),5)=0,OFFSET(装备属性!$P$1083,1+INT(COUNTA($Q$11:Q821)/5),0),J821)</f>
        <v>1</v>
      </c>
      <c r="K822" s="83" t="str">
        <f ca="1">IF(RIGHT(G822,13)="rune_slot,1}]",_xlfn.XLOOKUP(LEFT(SUBSTITUTE(G822,"[{",""),FIND(",",SUBSTITUTE(G822,"[{",""))-1),Sheet2!B:B,Sheet2!C:C)&amp;"+"&amp;1,_xlfn.XLOOKUP(LEFT(SUBSTITUTE(G822,"[{",""),FIND(",",SUBSTITUTE(G822,"[{",""))-1),Sheet2!B:B,Sheet2!C:C)&amp;"+"&amp;SUBSTITUTE(RIGHT(G822,LEN(G822)-FIND(",",G822)),"}]","")/100&amp;"%")</f>
        <v>荧幕争锋增伤+8.3%</v>
      </c>
      <c r="L822" s="83" t="str">
        <f ca="1">IF(MOD(COUNTIF($Q$11:Q821,Q821),5)=0,OFFSET(装备属性!$G$1083,1+INT(COUNTA($Q$11:Q821)/5),0),L821)</f>
        <v>关键开团Ⅳ</v>
      </c>
      <c r="M822" s="89" t="str">
        <f ca="1">IF(MOD(COUNTIF($Q$11:Q821,Q821),5)=0,OFFSET(装备属性!$H$1083,1+INT(COUNTA($Q$11:Q821)/5),0),M821)</f>
        <v>arena_pve_hit_rare</v>
      </c>
      <c r="N822" s="76">
        <f ca="1">IF(MOD(COUNTIF($Q$11:Q821,Q821),5)=0,OFFSET(装备属性!$K$1083,1+INT(COUNTA($Q$11:Q821)/5),0),N821)</f>
        <v>0.08</v>
      </c>
      <c r="O822" s="76">
        <f ca="1">IF(MOD(COUNTIF($Q$11:Q821,Q821),5)=0,OFFSET(装备属性!$L$1083,1+INT(COUNTA($Q$11:Q821)/5),0),O821)</f>
        <v>0.09</v>
      </c>
      <c r="Q822" s="89" t="str">
        <f ca="1">IF(MOD(COUNTIF($Q$11:Q821,Q821),5)=0,OFFSET(装备属性!$M$1083,1+INT(COUNTA($Q$11:Q821)/5),0),Q821)</f>
        <v>玩法类</v>
      </c>
      <c r="R822" s="83">
        <f ca="1">IF(MOD(COUNTIF($Q$11:Q821,Q821),5)=0,10000*SUBSTITUTE(SUBSTITUTE(OFFSET(装备属性!$F$1083,1+INT(COUNTA($Q$11:Q821)/5),0),"[",""),"]","")+_xlfn.XLOOKUP(C822,$M$3:$M$7,$N$3:$N$7)*100,R821)</f>
        <v>30700</v>
      </c>
    </row>
    <row r="823" customHeight="1" spans="1:18">
      <c r="A823" s="78">
        <f ca="1" t="shared" si="36"/>
        <v>30702</v>
      </c>
      <c r="B823" s="82">
        <f ca="1">IFERROR(R823+COUNTIFS($R$11:$R823,R823),"")</f>
        <v>30718</v>
      </c>
      <c r="C823" s="83" t="str">
        <f ca="1">IF(MOD(COUNTIF($Q$11:Q822,Q822),5)=0,OFFSET(装备属性!$D$1083,1+INT(COUNTA($Q$11:Q822)/5),0),C822)</f>
        <v>粉</v>
      </c>
      <c r="D823" s="82">
        <f t="shared" si="38"/>
        <v>2000</v>
      </c>
      <c r="F823" s="82">
        <f ca="1" t="shared" si="37"/>
        <v>30703</v>
      </c>
      <c r="G823" s="78" t="str">
        <f ca="1">IF(AND(LEFT("[{"&amp;M823&amp;","&amp;CEILING(N823*10000+(O823-N823)/4*(COUNTIF($F$11:F823,F823)-1)*10000,10)&amp;"}]",7)="[{equip",MID("[{"&amp;M823&amp;","&amp;CEILING(N823*10000+(O823-N823)/4*(COUNTIF($F$11:F823,F823)-1)*10000,10)&amp;"}]",8,1)&lt;&gt;"_"),"[{"&amp;M823&amp;","&amp;1&amp;"}]","[{"&amp;M823&amp;","&amp;CEILING(N823*10000+(O823-N823)/4*(COUNTIF($F$11:F823,F823)-1)*10000,10)&amp;"}]")</f>
        <v>[{arena_pve_hit_rare,850}]</v>
      </c>
      <c r="H823" s="82" t="s">
        <v>563</v>
      </c>
      <c r="J823" s="78">
        <f ca="1">IF(MOD(COUNTIF($Q$11:Q822,Q822),5)=0,OFFSET(装备属性!$P$1083,1+INT(COUNTA($Q$11:Q822)/5),0),J822)</f>
        <v>1</v>
      </c>
      <c r="K823" s="83" t="str">
        <f ca="1">IF(RIGHT(G823,13)="rune_slot,1}]",_xlfn.XLOOKUP(LEFT(SUBSTITUTE(G823,"[{",""),FIND(",",SUBSTITUTE(G823,"[{",""))-1),Sheet2!B:B,Sheet2!C:C)&amp;"+"&amp;1,_xlfn.XLOOKUP(LEFT(SUBSTITUTE(G823,"[{",""),FIND(",",SUBSTITUTE(G823,"[{",""))-1),Sheet2!B:B,Sheet2!C:C)&amp;"+"&amp;SUBSTITUTE(RIGHT(G823,LEN(G823)-FIND(",",G823)),"}]","")/100&amp;"%")</f>
        <v>荧幕争锋增伤+8.5%</v>
      </c>
      <c r="L823" s="83" t="str">
        <f ca="1">IF(MOD(COUNTIF($Q$11:Q822,Q822),5)=0,OFFSET(装备属性!$G$1083,1+INT(COUNTA($Q$11:Q822)/5),0),L822)</f>
        <v>关键开团Ⅳ</v>
      </c>
      <c r="M823" s="89" t="str">
        <f ca="1">IF(MOD(COUNTIF($Q$11:Q822,Q822),5)=0,OFFSET(装备属性!$H$1083,1+INT(COUNTA($Q$11:Q822)/5),0),M822)</f>
        <v>arena_pve_hit_rare</v>
      </c>
      <c r="N823" s="76">
        <f ca="1">IF(MOD(COUNTIF($Q$11:Q822,Q822),5)=0,OFFSET(装备属性!$K$1083,1+INT(COUNTA($Q$11:Q822)/5),0),N822)</f>
        <v>0.08</v>
      </c>
      <c r="O823" s="76">
        <f ca="1">IF(MOD(COUNTIF($Q$11:Q822,Q822),5)=0,OFFSET(装备属性!$L$1083,1+INT(COUNTA($Q$11:Q822)/5),0),O822)</f>
        <v>0.09</v>
      </c>
      <c r="Q823" s="89" t="str">
        <f ca="1">IF(MOD(COUNTIF($Q$11:Q822,Q822),5)=0,OFFSET(装备属性!$M$1083,1+INT(COUNTA($Q$11:Q822)/5),0),Q822)</f>
        <v>玩法类</v>
      </c>
      <c r="R823" s="83">
        <f ca="1">IF(MOD(COUNTIF($Q$11:Q822,Q822),5)=0,10000*SUBSTITUTE(SUBSTITUTE(OFFSET(装备属性!$F$1083,1+INT(COUNTA($Q$11:Q822)/5),0),"[",""),"]","")+_xlfn.XLOOKUP(C823,$M$3:$M$7,$N$3:$N$7)*100,R822)</f>
        <v>30700</v>
      </c>
    </row>
    <row r="824" customHeight="1" spans="1:18">
      <c r="A824" s="78">
        <f ca="1" t="shared" si="36"/>
        <v>30702</v>
      </c>
      <c r="B824" s="82">
        <f ca="1">IFERROR(R824+COUNTIFS($R$11:$R824,R824),"")</f>
        <v>30719</v>
      </c>
      <c r="C824" s="83" t="str">
        <f ca="1">IF(MOD(COUNTIF($Q$11:Q823,Q823),5)=0,OFFSET(装备属性!$D$1083,1+INT(COUNTA($Q$11:Q823)/5),0),C823)</f>
        <v>粉</v>
      </c>
      <c r="D824" s="82">
        <f t="shared" si="38"/>
        <v>1500</v>
      </c>
      <c r="F824" s="82">
        <f ca="1" t="shared" si="37"/>
        <v>30703</v>
      </c>
      <c r="G824" s="78" t="str">
        <f ca="1">IF(AND(LEFT("[{"&amp;M824&amp;","&amp;CEILING(N824*10000+(O824-N824)/4*(COUNTIF($F$11:F824,F824)-1)*10000,10)&amp;"}]",7)="[{equip",MID("[{"&amp;M824&amp;","&amp;CEILING(N824*10000+(O824-N824)/4*(COUNTIF($F$11:F824,F824)-1)*10000,10)&amp;"}]",8,1)&lt;&gt;"_"),"[{"&amp;M824&amp;","&amp;1&amp;"}]","[{"&amp;M824&amp;","&amp;CEILING(N824*10000+(O824-N824)/4*(COUNTIF($F$11:F824,F824)-1)*10000,10)&amp;"}]")</f>
        <v>[{arena_pve_hit_rare,880}]</v>
      </c>
      <c r="H824" s="82" t="s">
        <v>563</v>
      </c>
      <c r="J824" s="78">
        <f ca="1">IF(MOD(COUNTIF($Q$11:Q823,Q823),5)=0,OFFSET(装备属性!$P$1083,1+INT(COUNTA($Q$11:Q823)/5),0),J823)</f>
        <v>1</v>
      </c>
      <c r="K824" s="83" t="str">
        <f ca="1">IF(RIGHT(G824,13)="rune_slot,1}]",_xlfn.XLOOKUP(LEFT(SUBSTITUTE(G824,"[{",""),FIND(",",SUBSTITUTE(G824,"[{",""))-1),Sheet2!B:B,Sheet2!C:C)&amp;"+"&amp;1,_xlfn.XLOOKUP(LEFT(SUBSTITUTE(G824,"[{",""),FIND(",",SUBSTITUTE(G824,"[{",""))-1),Sheet2!B:B,Sheet2!C:C)&amp;"+"&amp;SUBSTITUTE(RIGHT(G824,LEN(G824)-FIND(",",G824)),"}]","")/100&amp;"%")</f>
        <v>荧幕争锋增伤+8.8%</v>
      </c>
      <c r="L824" s="83" t="str">
        <f ca="1">IF(MOD(COUNTIF($Q$11:Q823,Q823),5)=0,OFFSET(装备属性!$G$1083,1+INT(COUNTA($Q$11:Q823)/5),0),L823)</f>
        <v>关键开团Ⅳ</v>
      </c>
      <c r="M824" s="89" t="str">
        <f ca="1">IF(MOD(COUNTIF($Q$11:Q823,Q823),5)=0,OFFSET(装备属性!$H$1083,1+INT(COUNTA($Q$11:Q823)/5),0),M823)</f>
        <v>arena_pve_hit_rare</v>
      </c>
      <c r="N824" s="76">
        <f ca="1">IF(MOD(COUNTIF($Q$11:Q823,Q823),5)=0,OFFSET(装备属性!$K$1083,1+INT(COUNTA($Q$11:Q823)/5),0),N823)</f>
        <v>0.08</v>
      </c>
      <c r="O824" s="76">
        <f ca="1">IF(MOD(COUNTIF($Q$11:Q823,Q823),5)=0,OFFSET(装备属性!$L$1083,1+INT(COUNTA($Q$11:Q823)/5),0),O823)</f>
        <v>0.09</v>
      </c>
      <c r="Q824" s="89" t="str">
        <f ca="1">IF(MOD(COUNTIF($Q$11:Q823,Q823),5)=0,OFFSET(装备属性!$M$1083,1+INT(COUNTA($Q$11:Q823)/5),0),Q823)</f>
        <v>玩法类</v>
      </c>
      <c r="R824" s="83">
        <f ca="1">IF(MOD(COUNTIF($Q$11:Q823,Q823),5)=0,10000*SUBSTITUTE(SUBSTITUTE(OFFSET(装备属性!$F$1083,1+INT(COUNTA($Q$11:Q823)/5),0),"[",""),"]","")+_xlfn.XLOOKUP(C824,$M$3:$M$7,$N$3:$N$7)*100,R823)</f>
        <v>30700</v>
      </c>
    </row>
    <row r="825" customHeight="1" spans="1:18">
      <c r="A825" s="78">
        <f ca="1" t="shared" si="36"/>
        <v>30702</v>
      </c>
      <c r="B825" s="82">
        <f ca="1">IFERROR(R825+COUNTIFS($R$11:$R825,R825),"")</f>
        <v>30720</v>
      </c>
      <c r="C825" s="83" t="str">
        <f ca="1">IF(MOD(COUNTIF($Q$11:Q824,Q824),5)=0,OFFSET(装备属性!$D$1083,1+INT(COUNTA($Q$11:Q824)/5),0),C824)</f>
        <v>粉</v>
      </c>
      <c r="D825" s="82">
        <f t="shared" si="38"/>
        <v>1000</v>
      </c>
      <c r="F825" s="82">
        <f ca="1" t="shared" si="37"/>
        <v>30703</v>
      </c>
      <c r="G825" s="78" t="str">
        <f ca="1">IF(AND(LEFT("[{"&amp;M825&amp;","&amp;CEILING(N825*10000+(O825-N825)/4*(COUNTIF($F$11:F825,F825)-1)*10000,10)&amp;"}]",7)="[{equip",MID("[{"&amp;M825&amp;","&amp;CEILING(N825*10000+(O825-N825)/4*(COUNTIF($F$11:F825,F825)-1)*10000,10)&amp;"}]",8,1)&lt;&gt;"_"),"[{"&amp;M825&amp;","&amp;1&amp;"}]","[{"&amp;M825&amp;","&amp;CEILING(N825*10000+(O825-N825)/4*(COUNTIF($F$11:F825,F825)-1)*10000,10)&amp;"}]")</f>
        <v>[{arena_pve_hit_rare,900}]</v>
      </c>
      <c r="H825" s="82" t="s">
        <v>563</v>
      </c>
      <c r="J825" s="78">
        <f ca="1">IF(MOD(COUNTIF($Q$11:Q824,Q824),5)=0,OFFSET(装备属性!$P$1083,1+INT(COUNTA($Q$11:Q824)/5),0),J824)</f>
        <v>1</v>
      </c>
      <c r="K825" s="83" t="str">
        <f ca="1">IF(RIGHT(G825,13)="rune_slot,1}]",_xlfn.XLOOKUP(LEFT(SUBSTITUTE(G825,"[{",""),FIND(",",SUBSTITUTE(G825,"[{",""))-1),Sheet2!B:B,Sheet2!C:C)&amp;"+"&amp;1,_xlfn.XLOOKUP(LEFT(SUBSTITUTE(G825,"[{",""),FIND(",",SUBSTITUTE(G825,"[{",""))-1),Sheet2!B:B,Sheet2!C:C)&amp;"+"&amp;SUBSTITUTE(RIGHT(G825,LEN(G825)-FIND(",",G825)),"}]","")/100&amp;"%")</f>
        <v>荧幕争锋增伤+9%</v>
      </c>
      <c r="L825" s="83" t="str">
        <f ca="1">IF(MOD(COUNTIF($Q$11:Q824,Q824),5)=0,OFFSET(装备属性!$G$1083,1+INT(COUNTA($Q$11:Q824)/5),0),L824)</f>
        <v>关键开团Ⅳ</v>
      </c>
      <c r="M825" s="89" t="str">
        <f ca="1">IF(MOD(COUNTIF($Q$11:Q824,Q824),5)=0,OFFSET(装备属性!$H$1083,1+INT(COUNTA($Q$11:Q824)/5),0),M824)</f>
        <v>arena_pve_hit_rare</v>
      </c>
      <c r="N825" s="76">
        <f ca="1">IF(MOD(COUNTIF($Q$11:Q824,Q824),5)=0,OFFSET(装备属性!$K$1083,1+INT(COUNTA($Q$11:Q824)/5),0),N824)</f>
        <v>0.08</v>
      </c>
      <c r="O825" s="76">
        <f ca="1">IF(MOD(COUNTIF($Q$11:Q824,Q824),5)=0,OFFSET(装备属性!$L$1083,1+INT(COUNTA($Q$11:Q824)/5),0),O824)</f>
        <v>0.09</v>
      </c>
      <c r="Q825" s="89" t="str">
        <f ca="1">IF(MOD(COUNTIF($Q$11:Q824,Q824),5)=0,OFFSET(装备属性!$M$1083,1+INT(COUNTA($Q$11:Q824)/5),0),Q824)</f>
        <v>玩法类</v>
      </c>
      <c r="R825" s="83">
        <f ca="1">IF(MOD(COUNTIF($Q$11:Q824,Q824),5)=0,10000*SUBSTITUTE(SUBSTITUTE(OFFSET(装备属性!$F$1083,1+INT(COUNTA($Q$11:Q824)/5),0),"[",""),"]","")+_xlfn.XLOOKUP(C825,$M$3:$M$7,$N$3:$N$7)*100,R824)</f>
        <v>30700</v>
      </c>
    </row>
    <row r="826" customHeight="1" spans="1:18">
      <c r="A826" s="78">
        <f ca="1" t="shared" si="36"/>
        <v>30703</v>
      </c>
      <c r="B826" s="82">
        <f ca="1">IFERROR(R826+COUNTIFS($R$11:$R826,R826),"")</f>
        <v>30721</v>
      </c>
      <c r="C826" s="83" t="str">
        <f ca="1">IF(MOD(COUNTIF($Q$11:Q825,Q825),5)=0,OFFSET(装备属性!$D$1083,1+INT(COUNTA($Q$11:Q825)/5),0),C825)</f>
        <v>粉</v>
      </c>
      <c r="D826" s="82">
        <f t="shared" si="38"/>
        <v>3000</v>
      </c>
      <c r="F826" s="82">
        <f ca="1" t="shared" si="37"/>
        <v>30704</v>
      </c>
      <c r="G826" s="78" t="str">
        <f ca="1">IF(AND(LEFT("[{"&amp;M826&amp;","&amp;CEILING(N826*10000+(O826-N826)/4*(COUNTIF($F$11:F826,F826)-1)*10000,10)&amp;"}]",7)="[{equip",MID("[{"&amp;M826&amp;","&amp;CEILING(N826*10000+(O826-N826)/4*(COUNTIF($F$11:F826,F826)-1)*10000,10)&amp;"}]",8,1)&lt;&gt;"_"),"[{"&amp;M826&amp;","&amp;1&amp;"}]","[{"&amp;M826&amp;","&amp;CEILING(N826*10000+(O826-N826)/4*(COUNTIF($F$11:F826,F826)-1)*10000,10)&amp;"}]")</f>
        <v>[{equip3_rune_slot,1}]</v>
      </c>
      <c r="H826" s="82" t="s">
        <v>563</v>
      </c>
      <c r="J826" s="78">
        <f ca="1">IF(MOD(COUNTIF($Q$11:Q825,Q825),5)=0,OFFSET(装备属性!$P$1083,1+INT(COUNTA($Q$11:Q825)/5),0),J825)</f>
        <v>6</v>
      </c>
      <c r="K826" s="83" t="str">
        <f ca="1">IF(RIGHT(G826,13)="rune_slot,1}]",_xlfn.XLOOKUP(LEFT(SUBSTITUTE(G826,"[{",""),FIND(",",SUBSTITUTE(G826,"[{",""))-1),Sheet2!B:B,Sheet2!C:C)&amp;"+"&amp;1,_xlfn.XLOOKUP(LEFT(SUBSTITUTE(G826,"[{",""),FIND(",",SUBSTITUTE(G826,"[{",""))-1),Sheet2!B:B,Sheet2!C:C)&amp;"+"&amp;SUBSTITUTE(RIGHT(G826,LEN(G826)-FIND(",",G826)),"}]","")/100&amp;"%")</f>
        <v>饰品符文孔位+1</v>
      </c>
      <c r="L826" s="83" t="str">
        <f ca="1">IF(MOD(COUNTIF($Q$11:Q825,Q825),5)=0,OFFSET(装备属性!$G$1083,1+INT(COUNTA($Q$11:Q825)/5),0),L825)</f>
        <v>扩符槽</v>
      </c>
      <c r="M826" s="89" t="str">
        <f ca="1">IF(MOD(COUNTIF($Q$11:Q825,Q825),5)=0,OFFSET(装备属性!$H$1083,1+INT(COUNTA($Q$11:Q825)/5),0),M825)</f>
        <v>equip3_rune_slot</v>
      </c>
      <c r="N826" s="76">
        <f ca="1">IF(MOD(COUNTIF($Q$11:Q825,Q825),5)=0,OFFSET(装备属性!$K$1083,1+INT(COUNTA($Q$11:Q825)/5),0),N825)</f>
        <v>1</v>
      </c>
      <c r="O826" s="76">
        <f ca="1">IF(MOD(COUNTIF($Q$11:Q825,Q825),5)=0,OFFSET(装备属性!$L$1083,1+INT(COUNTA($Q$11:Q825)/5),0),O825)</f>
        <v>1</v>
      </c>
      <c r="Q826" s="89" t="str">
        <f ca="1">IF(MOD(COUNTIF($Q$11:Q825,Q825),5)=0,OFFSET(装备属性!$M$1083,1+INT(COUNTA($Q$11:Q825)/5),0),Q825)</f>
        <v>稀有词条</v>
      </c>
      <c r="R826" s="83">
        <f ca="1">IF(MOD(COUNTIF($Q$11:Q825,Q825),5)=0,10000*SUBSTITUTE(SUBSTITUTE(OFFSET(装备属性!$F$1083,1+INT(COUNTA($Q$11:Q825)/5),0),"[",""),"]","")+_xlfn.XLOOKUP(C826,$M$3:$M$7,$N$3:$N$7)*100,R825)</f>
        <v>30700</v>
      </c>
    </row>
    <row r="827" customHeight="1" spans="1:18">
      <c r="A827" s="78">
        <f ca="1" t="shared" si="36"/>
        <v>30703</v>
      </c>
      <c r="B827" s="82">
        <f ca="1">IFERROR(R827+COUNTIFS($R$11:$R827,R827),"")</f>
        <v>30722</v>
      </c>
      <c r="C827" s="83" t="str">
        <f ca="1">IF(MOD(COUNTIF($Q$11:Q826,Q826),5)=0,OFFSET(装备属性!$D$1083,1+INT(COUNTA($Q$11:Q826)/5),0),C826)</f>
        <v>粉</v>
      </c>
      <c r="D827" s="82">
        <f t="shared" si="38"/>
        <v>2500</v>
      </c>
      <c r="F827" s="82">
        <f ca="1" t="shared" si="37"/>
        <v>30704</v>
      </c>
      <c r="G827" s="78" t="str">
        <f ca="1">IF(AND(LEFT("[{"&amp;M827&amp;","&amp;CEILING(N827*10000+(O827-N827)/4*(COUNTIF($F$11:F827,F827)-1)*10000,10)&amp;"}]",7)="[{equip",MID("[{"&amp;M827&amp;","&amp;CEILING(N827*10000+(O827-N827)/4*(COUNTIF($F$11:F827,F827)-1)*10000,10)&amp;"}]",8,1)&lt;&gt;"_"),"[{"&amp;M827&amp;","&amp;1&amp;"}]","[{"&amp;M827&amp;","&amp;CEILING(N827*10000+(O827-N827)/4*(COUNTIF($F$11:F827,F827)-1)*10000,10)&amp;"}]")</f>
        <v>[{equip3_rune_slot,1}]</v>
      </c>
      <c r="H827" s="82" t="s">
        <v>563</v>
      </c>
      <c r="J827" s="78">
        <f ca="1">IF(MOD(COUNTIF($Q$11:Q826,Q826),5)=0,OFFSET(装备属性!$P$1083,1+INT(COUNTA($Q$11:Q826)/5),0),J826)</f>
        <v>6</v>
      </c>
      <c r="K827" s="83" t="str">
        <f ca="1">IF(RIGHT(G827,13)="rune_slot,1}]",_xlfn.XLOOKUP(LEFT(SUBSTITUTE(G827,"[{",""),FIND(",",SUBSTITUTE(G827,"[{",""))-1),Sheet2!B:B,Sheet2!C:C)&amp;"+"&amp;1,_xlfn.XLOOKUP(LEFT(SUBSTITUTE(G827,"[{",""),FIND(",",SUBSTITUTE(G827,"[{",""))-1),Sheet2!B:B,Sheet2!C:C)&amp;"+"&amp;SUBSTITUTE(RIGHT(G827,LEN(G827)-FIND(",",G827)),"}]","")/100&amp;"%")</f>
        <v>饰品符文孔位+1</v>
      </c>
      <c r="L827" s="83" t="str">
        <f ca="1">IF(MOD(COUNTIF($Q$11:Q826,Q826),5)=0,OFFSET(装备属性!$G$1083,1+INT(COUNTA($Q$11:Q826)/5),0),L826)</f>
        <v>扩符槽</v>
      </c>
      <c r="M827" s="89" t="str">
        <f ca="1">IF(MOD(COUNTIF($Q$11:Q826,Q826),5)=0,OFFSET(装备属性!$H$1083,1+INT(COUNTA($Q$11:Q826)/5),0),M826)</f>
        <v>equip3_rune_slot</v>
      </c>
      <c r="N827" s="76">
        <f ca="1">IF(MOD(COUNTIF($Q$11:Q826,Q826),5)=0,OFFSET(装备属性!$K$1083,1+INT(COUNTA($Q$11:Q826)/5),0),N826)</f>
        <v>1</v>
      </c>
      <c r="O827" s="76">
        <f ca="1">IF(MOD(COUNTIF($Q$11:Q826,Q826),5)=0,OFFSET(装备属性!$L$1083,1+INT(COUNTA($Q$11:Q826)/5),0),O826)</f>
        <v>1</v>
      </c>
      <c r="Q827" s="89" t="str">
        <f ca="1">IF(MOD(COUNTIF($Q$11:Q826,Q826),5)=0,OFFSET(装备属性!$M$1083,1+INT(COUNTA($Q$11:Q826)/5),0),Q826)</f>
        <v>稀有词条</v>
      </c>
      <c r="R827" s="83">
        <f ca="1">IF(MOD(COUNTIF($Q$11:Q826,Q826),5)=0,10000*SUBSTITUTE(SUBSTITUTE(OFFSET(装备属性!$F$1083,1+INT(COUNTA($Q$11:Q826)/5),0),"[",""),"]","")+_xlfn.XLOOKUP(C827,$M$3:$M$7,$N$3:$N$7)*100,R826)</f>
        <v>30700</v>
      </c>
    </row>
    <row r="828" customHeight="1" spans="1:18">
      <c r="A828" s="78">
        <f ca="1" t="shared" si="36"/>
        <v>30703</v>
      </c>
      <c r="B828" s="82">
        <f ca="1">IFERROR(R828+COUNTIFS($R$11:$R828,R828),"")</f>
        <v>30723</v>
      </c>
      <c r="C828" s="83" t="str">
        <f ca="1">IF(MOD(COUNTIF($Q$11:Q827,Q827),5)=0,OFFSET(装备属性!$D$1083,1+INT(COUNTA($Q$11:Q827)/5),0),C827)</f>
        <v>粉</v>
      </c>
      <c r="D828" s="82">
        <f t="shared" si="38"/>
        <v>2000</v>
      </c>
      <c r="F828" s="82">
        <f ca="1" t="shared" si="37"/>
        <v>30704</v>
      </c>
      <c r="G828" s="78" t="str">
        <f ca="1">IF(AND(LEFT("[{"&amp;M828&amp;","&amp;CEILING(N828*10000+(O828-N828)/4*(COUNTIF($F$11:F828,F828)-1)*10000,10)&amp;"}]",7)="[{equip",MID("[{"&amp;M828&amp;","&amp;CEILING(N828*10000+(O828-N828)/4*(COUNTIF($F$11:F828,F828)-1)*10000,10)&amp;"}]",8,1)&lt;&gt;"_"),"[{"&amp;M828&amp;","&amp;1&amp;"}]","[{"&amp;M828&amp;","&amp;CEILING(N828*10000+(O828-N828)/4*(COUNTIF($F$11:F828,F828)-1)*10000,10)&amp;"}]")</f>
        <v>[{equip3_rune_slot,1}]</v>
      </c>
      <c r="H828" s="82" t="s">
        <v>563</v>
      </c>
      <c r="J828" s="78">
        <f ca="1">IF(MOD(COUNTIF($Q$11:Q827,Q827),5)=0,OFFSET(装备属性!$P$1083,1+INT(COUNTA($Q$11:Q827)/5),0),J827)</f>
        <v>6</v>
      </c>
      <c r="K828" s="83" t="str">
        <f ca="1">IF(RIGHT(G828,13)="rune_slot,1}]",_xlfn.XLOOKUP(LEFT(SUBSTITUTE(G828,"[{",""),FIND(",",SUBSTITUTE(G828,"[{",""))-1),Sheet2!B:B,Sheet2!C:C)&amp;"+"&amp;1,_xlfn.XLOOKUP(LEFT(SUBSTITUTE(G828,"[{",""),FIND(",",SUBSTITUTE(G828,"[{",""))-1),Sheet2!B:B,Sheet2!C:C)&amp;"+"&amp;SUBSTITUTE(RIGHT(G828,LEN(G828)-FIND(",",G828)),"}]","")/100&amp;"%")</f>
        <v>饰品符文孔位+1</v>
      </c>
      <c r="L828" s="83" t="str">
        <f ca="1">IF(MOD(COUNTIF($Q$11:Q827,Q827),5)=0,OFFSET(装备属性!$G$1083,1+INT(COUNTA($Q$11:Q827)/5),0),L827)</f>
        <v>扩符槽</v>
      </c>
      <c r="M828" s="89" t="str">
        <f ca="1">IF(MOD(COUNTIF($Q$11:Q827,Q827),5)=0,OFFSET(装备属性!$H$1083,1+INT(COUNTA($Q$11:Q827)/5),0),M827)</f>
        <v>equip3_rune_slot</v>
      </c>
      <c r="N828" s="76">
        <f ca="1">IF(MOD(COUNTIF($Q$11:Q827,Q827),5)=0,OFFSET(装备属性!$K$1083,1+INT(COUNTA($Q$11:Q827)/5),0),N827)</f>
        <v>1</v>
      </c>
      <c r="O828" s="76">
        <f ca="1">IF(MOD(COUNTIF($Q$11:Q827,Q827),5)=0,OFFSET(装备属性!$L$1083,1+INT(COUNTA($Q$11:Q827)/5),0),O827)</f>
        <v>1</v>
      </c>
      <c r="Q828" s="89" t="str">
        <f ca="1">IF(MOD(COUNTIF($Q$11:Q827,Q827),5)=0,OFFSET(装备属性!$M$1083,1+INT(COUNTA($Q$11:Q827)/5),0),Q827)</f>
        <v>稀有词条</v>
      </c>
      <c r="R828" s="83">
        <f ca="1">IF(MOD(COUNTIF($Q$11:Q827,Q827),5)=0,10000*SUBSTITUTE(SUBSTITUTE(OFFSET(装备属性!$F$1083,1+INT(COUNTA($Q$11:Q827)/5),0),"[",""),"]","")+_xlfn.XLOOKUP(C828,$M$3:$M$7,$N$3:$N$7)*100,R827)</f>
        <v>30700</v>
      </c>
    </row>
    <row r="829" customHeight="1" spans="1:18">
      <c r="A829" s="78">
        <f ca="1" t="shared" si="36"/>
        <v>30703</v>
      </c>
      <c r="B829" s="82">
        <f ca="1">IFERROR(R829+COUNTIFS($R$11:$R829,R829),"")</f>
        <v>30724</v>
      </c>
      <c r="C829" s="83" t="str">
        <f ca="1">IF(MOD(COUNTIF($Q$11:Q828,Q828),5)=0,OFFSET(装备属性!$D$1083,1+INT(COUNTA($Q$11:Q828)/5),0),C828)</f>
        <v>粉</v>
      </c>
      <c r="D829" s="82">
        <f t="shared" si="38"/>
        <v>1500</v>
      </c>
      <c r="F829" s="82">
        <f ca="1" t="shared" si="37"/>
        <v>30704</v>
      </c>
      <c r="G829" s="78" t="str">
        <f ca="1">IF(AND(LEFT("[{"&amp;M829&amp;","&amp;CEILING(N829*10000+(O829-N829)/4*(COUNTIF($F$11:F829,F829)-1)*10000,10)&amp;"}]",7)="[{equip",MID("[{"&amp;M829&amp;","&amp;CEILING(N829*10000+(O829-N829)/4*(COUNTIF($F$11:F829,F829)-1)*10000,10)&amp;"}]",8,1)&lt;&gt;"_"),"[{"&amp;M829&amp;","&amp;1&amp;"}]","[{"&amp;M829&amp;","&amp;CEILING(N829*10000+(O829-N829)/4*(COUNTIF($F$11:F829,F829)-1)*10000,10)&amp;"}]")</f>
        <v>[{equip3_rune_slot,1}]</v>
      </c>
      <c r="H829" s="82" t="s">
        <v>563</v>
      </c>
      <c r="J829" s="78">
        <f ca="1">IF(MOD(COUNTIF($Q$11:Q828,Q828),5)=0,OFFSET(装备属性!$P$1083,1+INT(COUNTA($Q$11:Q828)/5),0),J828)</f>
        <v>6</v>
      </c>
      <c r="K829" s="83" t="str">
        <f ca="1">IF(RIGHT(G829,13)="rune_slot,1}]",_xlfn.XLOOKUP(LEFT(SUBSTITUTE(G829,"[{",""),FIND(",",SUBSTITUTE(G829,"[{",""))-1),Sheet2!B:B,Sheet2!C:C)&amp;"+"&amp;1,_xlfn.XLOOKUP(LEFT(SUBSTITUTE(G829,"[{",""),FIND(",",SUBSTITUTE(G829,"[{",""))-1),Sheet2!B:B,Sheet2!C:C)&amp;"+"&amp;SUBSTITUTE(RIGHT(G829,LEN(G829)-FIND(",",G829)),"}]","")/100&amp;"%")</f>
        <v>饰品符文孔位+1</v>
      </c>
      <c r="L829" s="83" t="str">
        <f ca="1">IF(MOD(COUNTIF($Q$11:Q828,Q828),5)=0,OFFSET(装备属性!$G$1083,1+INT(COUNTA($Q$11:Q828)/5),0),L828)</f>
        <v>扩符槽</v>
      </c>
      <c r="M829" s="89" t="str">
        <f ca="1">IF(MOD(COUNTIF($Q$11:Q828,Q828),5)=0,OFFSET(装备属性!$H$1083,1+INT(COUNTA($Q$11:Q828)/5),0),M828)</f>
        <v>equip3_rune_slot</v>
      </c>
      <c r="N829" s="76">
        <f ca="1">IF(MOD(COUNTIF($Q$11:Q828,Q828),5)=0,OFFSET(装备属性!$K$1083,1+INT(COUNTA($Q$11:Q828)/5),0),N828)</f>
        <v>1</v>
      </c>
      <c r="O829" s="76">
        <f ca="1">IF(MOD(COUNTIF($Q$11:Q828,Q828),5)=0,OFFSET(装备属性!$L$1083,1+INT(COUNTA($Q$11:Q828)/5),0),O828)</f>
        <v>1</v>
      </c>
      <c r="Q829" s="89" t="str">
        <f ca="1">IF(MOD(COUNTIF($Q$11:Q828,Q828),5)=0,OFFSET(装备属性!$M$1083,1+INT(COUNTA($Q$11:Q828)/5),0),Q828)</f>
        <v>稀有词条</v>
      </c>
      <c r="R829" s="83">
        <f ca="1">IF(MOD(COUNTIF($Q$11:Q828,Q828),5)=0,10000*SUBSTITUTE(SUBSTITUTE(OFFSET(装备属性!$F$1083,1+INT(COUNTA($Q$11:Q828)/5),0),"[",""),"]","")+_xlfn.XLOOKUP(C829,$M$3:$M$7,$N$3:$N$7)*100,R828)</f>
        <v>30700</v>
      </c>
    </row>
    <row r="830" customHeight="1" spans="1:18">
      <c r="A830" s="78">
        <f ca="1" t="shared" si="36"/>
        <v>30703</v>
      </c>
      <c r="B830" s="82">
        <f ca="1">IFERROR(R830+COUNTIFS($R$11:$R830,R830),"")</f>
        <v>30725</v>
      </c>
      <c r="C830" s="83" t="str">
        <f ca="1">IF(MOD(COUNTIF($Q$11:Q829,Q829),5)=0,OFFSET(装备属性!$D$1083,1+INT(COUNTA($Q$11:Q829)/5),0),C829)</f>
        <v>粉</v>
      </c>
      <c r="D830" s="82">
        <f t="shared" si="38"/>
        <v>1000</v>
      </c>
      <c r="F830" s="82">
        <f ca="1" t="shared" si="37"/>
        <v>30704</v>
      </c>
      <c r="G830" s="78" t="str">
        <f ca="1">IF(AND(LEFT("[{"&amp;M830&amp;","&amp;CEILING(N830*10000+(O830-N830)/4*(COUNTIF($F$11:F830,F830)-1)*10000,10)&amp;"}]",7)="[{equip",MID("[{"&amp;M830&amp;","&amp;CEILING(N830*10000+(O830-N830)/4*(COUNTIF($F$11:F830,F830)-1)*10000,10)&amp;"}]",8,1)&lt;&gt;"_"),"[{"&amp;M830&amp;","&amp;1&amp;"}]","[{"&amp;M830&amp;","&amp;CEILING(N830*10000+(O830-N830)/4*(COUNTIF($F$11:F830,F830)-1)*10000,10)&amp;"}]")</f>
        <v>[{equip3_rune_slot,1}]</v>
      </c>
      <c r="H830" s="82" t="s">
        <v>563</v>
      </c>
      <c r="J830" s="78">
        <f ca="1">IF(MOD(COUNTIF($Q$11:Q829,Q829),5)=0,OFFSET(装备属性!$P$1083,1+INT(COUNTA($Q$11:Q829)/5),0),J829)</f>
        <v>6</v>
      </c>
      <c r="K830" s="83" t="str">
        <f ca="1">IF(RIGHT(G830,13)="rune_slot,1}]",_xlfn.XLOOKUP(LEFT(SUBSTITUTE(G830,"[{",""),FIND(",",SUBSTITUTE(G830,"[{",""))-1),Sheet2!B:B,Sheet2!C:C)&amp;"+"&amp;1,_xlfn.XLOOKUP(LEFT(SUBSTITUTE(G830,"[{",""),FIND(",",SUBSTITUTE(G830,"[{",""))-1),Sheet2!B:B,Sheet2!C:C)&amp;"+"&amp;SUBSTITUTE(RIGHT(G830,LEN(G830)-FIND(",",G830)),"}]","")/100&amp;"%")</f>
        <v>饰品符文孔位+1</v>
      </c>
      <c r="L830" s="83" t="str">
        <f ca="1">IF(MOD(COUNTIF($Q$11:Q829,Q829),5)=0,OFFSET(装备属性!$G$1083,1+INT(COUNTA($Q$11:Q829)/5),0),L829)</f>
        <v>扩符槽</v>
      </c>
      <c r="M830" s="89" t="str">
        <f ca="1">IF(MOD(COUNTIF($Q$11:Q829,Q829),5)=0,OFFSET(装备属性!$H$1083,1+INT(COUNTA($Q$11:Q829)/5),0),M829)</f>
        <v>equip3_rune_slot</v>
      </c>
      <c r="N830" s="76">
        <f ca="1">IF(MOD(COUNTIF($Q$11:Q829,Q829),5)=0,OFFSET(装备属性!$K$1083,1+INT(COUNTA($Q$11:Q829)/5),0),N829)</f>
        <v>1</v>
      </c>
      <c r="O830" s="76">
        <f ca="1">IF(MOD(COUNTIF($Q$11:Q829,Q829),5)=0,OFFSET(装备属性!$L$1083,1+INT(COUNTA($Q$11:Q829)/5),0),O829)</f>
        <v>1</v>
      </c>
      <c r="Q830" s="89" t="str">
        <f ca="1">IF(MOD(COUNTIF($Q$11:Q829,Q829),5)=0,OFFSET(装备属性!$M$1083,1+INT(COUNTA($Q$11:Q829)/5),0),Q829)</f>
        <v>稀有词条</v>
      </c>
      <c r="R830" s="83">
        <f ca="1">IF(MOD(COUNTIF($Q$11:Q829,Q829),5)=0,10000*SUBSTITUTE(SUBSTITUTE(OFFSET(装备属性!$F$1083,1+INT(COUNTA($Q$11:Q829)/5),0),"[",""),"]","")+_xlfn.XLOOKUP(C830,$M$3:$M$7,$N$3:$N$7)*100,R829)</f>
        <v>30700</v>
      </c>
    </row>
    <row r="831" customHeight="1" spans="1:18">
      <c r="A831" s="78">
        <f ca="1" t="shared" si="36"/>
        <v>30701</v>
      </c>
      <c r="B831" s="82">
        <f ca="1">IFERROR(R831+COUNTIFS($R$11:$R831,R831),"")</f>
        <v>30726</v>
      </c>
      <c r="C831" s="83" t="str">
        <f ca="1">IF(MOD(COUNTIF($Q$11:Q830,Q830),5)=0,OFFSET(装备属性!$D$1083,1+INT(COUNTA($Q$11:Q830)/5),0),C830)</f>
        <v>粉</v>
      </c>
      <c r="D831" s="82">
        <f t="shared" si="38"/>
        <v>3000</v>
      </c>
      <c r="F831" s="82">
        <f ca="1" t="shared" si="37"/>
        <v>30705</v>
      </c>
      <c r="G831" s="78" t="str">
        <f ca="1">IF(AND(LEFT("[{"&amp;M831&amp;","&amp;CEILING(N831*10000+(O831-N831)/4*(COUNTIF($F$11:F831,F831)-1)*10000,10)&amp;"}]",7)="[{equip",MID("[{"&amp;M831&amp;","&amp;CEILING(N831*10000+(O831-N831)/4*(COUNTIF($F$11:F831,F831)-1)*10000,10)&amp;"}]",8,1)&lt;&gt;"_"),"[{"&amp;M831&amp;","&amp;1&amp;"}]","[{"&amp;M831&amp;","&amp;CEILING(N831*10000+(O831-N831)/4*(COUNTIF($F$11:F831,F831)-1)*10000,10)&amp;"}]")</f>
        <v>[{hunter_dmg_red_rate,300}]</v>
      </c>
      <c r="H831" s="82" t="s">
        <v>563</v>
      </c>
      <c r="J831" s="78">
        <f ca="1">IF(MOD(COUNTIF($Q$11:Q830,Q830),5)=0,OFFSET(装备属性!$P$1083,1+INT(COUNTA($Q$11:Q830)/5),0),J830)</f>
        <v>5</v>
      </c>
      <c r="K831" s="83" t="str">
        <f ca="1">IF(RIGHT(G831,13)="rune_slot,1}]",_xlfn.XLOOKUP(LEFT(SUBSTITUTE(G831,"[{",""),FIND(",",SUBSTITUTE(G831,"[{",""))-1),Sheet2!B:B,Sheet2!C:C)&amp;"+"&amp;1,_xlfn.XLOOKUP(LEFT(SUBSTITUTE(G831,"[{",""),FIND(",",SUBSTITUTE(G831,"[{",""))-1),Sheet2!B:B,Sheet2!C:C)&amp;"+"&amp;SUBSTITUTE(RIGHT(G831,LEN(G831)-FIND(",",G831)),"}]","")/100&amp;"%")</f>
        <v>射手伤害减免+3%</v>
      </c>
      <c r="L831" s="83" t="str">
        <f ca="1">IF(MOD(COUNTIF($Q$11:Q830,Q830),5)=0,OFFSET(装备属性!$G$1083,1+INT(COUNTA($Q$11:Q830)/5),0),L830)</f>
        <v>远程躲伤Ⅳ</v>
      </c>
      <c r="M831" s="89" t="str">
        <f ca="1">IF(MOD(COUNTIF($Q$11:Q830,Q830),5)=0,OFFSET(装备属性!$H$1083,1+INT(COUNTA($Q$11:Q830)/5),0),M830)</f>
        <v>hunter_dmg_red_rate</v>
      </c>
      <c r="N831" s="76">
        <f ca="1">IF(MOD(COUNTIF($Q$11:Q830,Q830),5)=0,OFFSET(装备属性!$K$1083,1+INT(COUNTA($Q$11:Q830)/5),0),N830)</f>
        <v>0.03</v>
      </c>
      <c r="O831" s="76">
        <f ca="1">IF(MOD(COUNTIF($Q$11:Q830,Q830),5)=0,OFFSET(装备属性!$L$1083,1+INT(COUNTA($Q$11:Q830)/5),0),O830)</f>
        <v>0.034</v>
      </c>
      <c r="Q831" s="89" t="str">
        <f ca="1">IF(MOD(COUNTIF($Q$11:Q830,Q830),5)=0,OFFSET(装备属性!$M$1083,1+INT(COUNTA($Q$11:Q830)/5),0),Q830)</f>
        <v>通用属性</v>
      </c>
      <c r="R831" s="83">
        <f ca="1">IF(MOD(COUNTIF($Q$11:Q830,Q830),5)=0,10000*SUBSTITUTE(SUBSTITUTE(OFFSET(装备属性!$F$1083,1+INT(COUNTA($Q$11:Q830)/5),0),"[",""),"]","")+_xlfn.XLOOKUP(C831,$M$3:$M$7,$N$3:$N$7)*100,R830)</f>
        <v>30700</v>
      </c>
    </row>
    <row r="832" customHeight="1" spans="1:18">
      <c r="A832" s="78">
        <f ca="1" t="shared" si="36"/>
        <v>30701</v>
      </c>
      <c r="B832" s="82">
        <f ca="1">IFERROR(R832+COUNTIFS($R$11:$R832,R832),"")</f>
        <v>30727</v>
      </c>
      <c r="C832" s="83" t="str">
        <f ca="1">IF(MOD(COUNTIF($Q$11:Q831,Q831),5)=0,OFFSET(装备属性!$D$1083,1+INT(COUNTA($Q$11:Q831)/5),0),C831)</f>
        <v>粉</v>
      </c>
      <c r="D832" s="82">
        <f t="shared" si="38"/>
        <v>2500</v>
      </c>
      <c r="F832" s="82">
        <f ca="1" t="shared" si="37"/>
        <v>30705</v>
      </c>
      <c r="G832" s="78" t="str">
        <f ca="1">IF(AND(LEFT("[{"&amp;M832&amp;","&amp;CEILING(N832*10000+(O832-N832)/4*(COUNTIF($F$11:F832,F832)-1)*10000,10)&amp;"}]",7)="[{equip",MID("[{"&amp;M832&amp;","&amp;CEILING(N832*10000+(O832-N832)/4*(COUNTIF($F$11:F832,F832)-1)*10000,10)&amp;"}]",8,1)&lt;&gt;"_"),"[{"&amp;M832&amp;","&amp;1&amp;"}]","[{"&amp;M832&amp;","&amp;CEILING(N832*10000+(O832-N832)/4*(COUNTIF($F$11:F832,F832)-1)*10000,10)&amp;"}]")</f>
        <v>[{hunter_dmg_red_rate,310}]</v>
      </c>
      <c r="H832" s="82" t="s">
        <v>563</v>
      </c>
      <c r="J832" s="78">
        <f ca="1">IF(MOD(COUNTIF($Q$11:Q831,Q831),5)=0,OFFSET(装备属性!$P$1083,1+INT(COUNTA($Q$11:Q831)/5),0),J831)</f>
        <v>5</v>
      </c>
      <c r="K832" s="83" t="str">
        <f ca="1">IF(RIGHT(G832,13)="rune_slot,1}]",_xlfn.XLOOKUP(LEFT(SUBSTITUTE(G832,"[{",""),FIND(",",SUBSTITUTE(G832,"[{",""))-1),Sheet2!B:B,Sheet2!C:C)&amp;"+"&amp;1,_xlfn.XLOOKUP(LEFT(SUBSTITUTE(G832,"[{",""),FIND(",",SUBSTITUTE(G832,"[{",""))-1),Sheet2!B:B,Sheet2!C:C)&amp;"+"&amp;SUBSTITUTE(RIGHT(G832,LEN(G832)-FIND(",",G832)),"}]","")/100&amp;"%")</f>
        <v>射手伤害减免+3.1%</v>
      </c>
      <c r="L832" s="83" t="str">
        <f ca="1">IF(MOD(COUNTIF($Q$11:Q831,Q831),5)=0,OFFSET(装备属性!$G$1083,1+INT(COUNTA($Q$11:Q831)/5),0),L831)</f>
        <v>远程躲伤Ⅳ</v>
      </c>
      <c r="M832" s="89" t="str">
        <f ca="1">IF(MOD(COUNTIF($Q$11:Q831,Q831),5)=0,OFFSET(装备属性!$H$1083,1+INT(COUNTA($Q$11:Q831)/5),0),M831)</f>
        <v>hunter_dmg_red_rate</v>
      </c>
      <c r="N832" s="76">
        <f ca="1">IF(MOD(COUNTIF($Q$11:Q831,Q831),5)=0,OFFSET(装备属性!$K$1083,1+INT(COUNTA($Q$11:Q831)/5),0),N831)</f>
        <v>0.03</v>
      </c>
      <c r="O832" s="76">
        <f ca="1">IF(MOD(COUNTIF($Q$11:Q831,Q831),5)=0,OFFSET(装备属性!$L$1083,1+INT(COUNTA($Q$11:Q831)/5),0),O831)</f>
        <v>0.034</v>
      </c>
      <c r="Q832" s="89" t="str">
        <f ca="1">IF(MOD(COUNTIF($Q$11:Q831,Q831),5)=0,OFFSET(装备属性!$M$1083,1+INT(COUNTA($Q$11:Q831)/5),0),Q831)</f>
        <v>通用属性</v>
      </c>
      <c r="R832" s="83">
        <f ca="1">IF(MOD(COUNTIF($Q$11:Q831,Q831),5)=0,10000*SUBSTITUTE(SUBSTITUTE(OFFSET(装备属性!$F$1083,1+INT(COUNTA($Q$11:Q831)/5),0),"[",""),"]","")+_xlfn.XLOOKUP(C832,$M$3:$M$7,$N$3:$N$7)*100,R831)</f>
        <v>30700</v>
      </c>
    </row>
    <row r="833" customHeight="1" spans="1:18">
      <c r="A833" s="78">
        <f ca="1" t="shared" si="36"/>
        <v>30701</v>
      </c>
      <c r="B833" s="82">
        <f ca="1">IFERROR(R833+COUNTIFS($R$11:$R833,R833),"")</f>
        <v>30728</v>
      </c>
      <c r="C833" s="83" t="str">
        <f ca="1">IF(MOD(COUNTIF($Q$11:Q832,Q832),5)=0,OFFSET(装备属性!$D$1083,1+INT(COUNTA($Q$11:Q832)/5),0),C832)</f>
        <v>粉</v>
      </c>
      <c r="D833" s="82">
        <f t="shared" si="38"/>
        <v>2000</v>
      </c>
      <c r="F833" s="82">
        <f ca="1" t="shared" si="37"/>
        <v>30705</v>
      </c>
      <c r="G833" s="78" t="str">
        <f ca="1">IF(AND(LEFT("[{"&amp;M833&amp;","&amp;CEILING(N833*10000+(O833-N833)/4*(COUNTIF($F$11:F833,F833)-1)*10000,10)&amp;"}]",7)="[{equip",MID("[{"&amp;M833&amp;","&amp;CEILING(N833*10000+(O833-N833)/4*(COUNTIF($F$11:F833,F833)-1)*10000,10)&amp;"}]",8,1)&lt;&gt;"_"),"[{"&amp;M833&amp;","&amp;1&amp;"}]","[{"&amp;M833&amp;","&amp;CEILING(N833*10000+(O833-N833)/4*(COUNTIF($F$11:F833,F833)-1)*10000,10)&amp;"}]")</f>
        <v>[{hunter_dmg_red_rate,320}]</v>
      </c>
      <c r="H833" s="82" t="s">
        <v>563</v>
      </c>
      <c r="J833" s="78">
        <f ca="1">IF(MOD(COUNTIF($Q$11:Q832,Q832),5)=0,OFFSET(装备属性!$P$1083,1+INT(COUNTA($Q$11:Q832)/5),0),J832)</f>
        <v>5</v>
      </c>
      <c r="K833" s="83" t="str">
        <f ca="1">IF(RIGHT(G833,13)="rune_slot,1}]",_xlfn.XLOOKUP(LEFT(SUBSTITUTE(G833,"[{",""),FIND(",",SUBSTITUTE(G833,"[{",""))-1),Sheet2!B:B,Sheet2!C:C)&amp;"+"&amp;1,_xlfn.XLOOKUP(LEFT(SUBSTITUTE(G833,"[{",""),FIND(",",SUBSTITUTE(G833,"[{",""))-1),Sheet2!B:B,Sheet2!C:C)&amp;"+"&amp;SUBSTITUTE(RIGHT(G833,LEN(G833)-FIND(",",G833)),"}]","")/100&amp;"%")</f>
        <v>射手伤害减免+3.2%</v>
      </c>
      <c r="L833" s="83" t="str">
        <f ca="1">IF(MOD(COUNTIF($Q$11:Q832,Q832),5)=0,OFFSET(装备属性!$G$1083,1+INT(COUNTA($Q$11:Q832)/5),0),L832)</f>
        <v>远程躲伤Ⅳ</v>
      </c>
      <c r="M833" s="89" t="str">
        <f ca="1">IF(MOD(COUNTIF($Q$11:Q832,Q832),5)=0,OFFSET(装备属性!$H$1083,1+INT(COUNTA($Q$11:Q832)/5),0),M832)</f>
        <v>hunter_dmg_red_rate</v>
      </c>
      <c r="N833" s="76">
        <f ca="1">IF(MOD(COUNTIF($Q$11:Q832,Q832),5)=0,OFFSET(装备属性!$K$1083,1+INT(COUNTA($Q$11:Q832)/5),0),N832)</f>
        <v>0.03</v>
      </c>
      <c r="O833" s="76">
        <f ca="1">IF(MOD(COUNTIF($Q$11:Q832,Q832),5)=0,OFFSET(装备属性!$L$1083,1+INT(COUNTA($Q$11:Q832)/5),0),O832)</f>
        <v>0.034</v>
      </c>
      <c r="Q833" s="89" t="str">
        <f ca="1">IF(MOD(COUNTIF($Q$11:Q832,Q832),5)=0,OFFSET(装备属性!$M$1083,1+INT(COUNTA($Q$11:Q832)/5),0),Q832)</f>
        <v>通用属性</v>
      </c>
      <c r="R833" s="83">
        <f ca="1">IF(MOD(COUNTIF($Q$11:Q832,Q832),5)=0,10000*SUBSTITUTE(SUBSTITUTE(OFFSET(装备属性!$F$1083,1+INT(COUNTA($Q$11:Q832)/5),0),"[",""),"]","")+_xlfn.XLOOKUP(C833,$M$3:$M$7,$N$3:$N$7)*100,R832)</f>
        <v>30700</v>
      </c>
    </row>
    <row r="834" customHeight="1" spans="1:18">
      <c r="A834" s="78">
        <f ca="1" t="shared" si="36"/>
        <v>30701</v>
      </c>
      <c r="B834" s="82">
        <f ca="1">IFERROR(R834+COUNTIFS($R$11:$R834,R834),"")</f>
        <v>30729</v>
      </c>
      <c r="C834" s="83" t="str">
        <f ca="1">IF(MOD(COUNTIF($Q$11:Q833,Q833),5)=0,OFFSET(装备属性!$D$1083,1+INT(COUNTA($Q$11:Q833)/5),0),C833)</f>
        <v>粉</v>
      </c>
      <c r="D834" s="82">
        <f t="shared" si="38"/>
        <v>1500</v>
      </c>
      <c r="F834" s="82">
        <f ca="1" t="shared" si="37"/>
        <v>30705</v>
      </c>
      <c r="G834" s="78" t="str">
        <f ca="1">IF(AND(LEFT("[{"&amp;M834&amp;","&amp;CEILING(N834*10000+(O834-N834)/4*(COUNTIF($F$11:F834,F834)-1)*10000,10)&amp;"}]",7)="[{equip",MID("[{"&amp;M834&amp;","&amp;CEILING(N834*10000+(O834-N834)/4*(COUNTIF($F$11:F834,F834)-1)*10000,10)&amp;"}]",8,1)&lt;&gt;"_"),"[{"&amp;M834&amp;","&amp;1&amp;"}]","[{"&amp;M834&amp;","&amp;CEILING(N834*10000+(O834-N834)/4*(COUNTIF($F$11:F834,F834)-1)*10000,10)&amp;"}]")</f>
        <v>[{hunter_dmg_red_rate,330}]</v>
      </c>
      <c r="H834" s="82" t="s">
        <v>563</v>
      </c>
      <c r="J834" s="78">
        <f ca="1">IF(MOD(COUNTIF($Q$11:Q833,Q833),5)=0,OFFSET(装备属性!$P$1083,1+INT(COUNTA($Q$11:Q833)/5),0),J833)</f>
        <v>5</v>
      </c>
      <c r="K834" s="83" t="str">
        <f ca="1">IF(RIGHT(G834,13)="rune_slot,1}]",_xlfn.XLOOKUP(LEFT(SUBSTITUTE(G834,"[{",""),FIND(",",SUBSTITUTE(G834,"[{",""))-1),Sheet2!B:B,Sheet2!C:C)&amp;"+"&amp;1,_xlfn.XLOOKUP(LEFT(SUBSTITUTE(G834,"[{",""),FIND(",",SUBSTITUTE(G834,"[{",""))-1),Sheet2!B:B,Sheet2!C:C)&amp;"+"&amp;SUBSTITUTE(RIGHT(G834,LEN(G834)-FIND(",",G834)),"}]","")/100&amp;"%")</f>
        <v>射手伤害减免+3.3%</v>
      </c>
      <c r="L834" s="83" t="str">
        <f ca="1">IF(MOD(COUNTIF($Q$11:Q833,Q833),5)=0,OFFSET(装备属性!$G$1083,1+INT(COUNTA($Q$11:Q833)/5),0),L833)</f>
        <v>远程躲伤Ⅳ</v>
      </c>
      <c r="M834" s="89" t="str">
        <f ca="1">IF(MOD(COUNTIF($Q$11:Q833,Q833),5)=0,OFFSET(装备属性!$H$1083,1+INT(COUNTA($Q$11:Q833)/5),0),M833)</f>
        <v>hunter_dmg_red_rate</v>
      </c>
      <c r="N834" s="76">
        <f ca="1">IF(MOD(COUNTIF($Q$11:Q833,Q833),5)=0,OFFSET(装备属性!$K$1083,1+INT(COUNTA($Q$11:Q833)/5),0),N833)</f>
        <v>0.03</v>
      </c>
      <c r="O834" s="76">
        <f ca="1">IF(MOD(COUNTIF($Q$11:Q833,Q833),5)=0,OFFSET(装备属性!$L$1083,1+INT(COUNTA($Q$11:Q833)/5),0),O833)</f>
        <v>0.034</v>
      </c>
      <c r="Q834" s="89" t="str">
        <f ca="1">IF(MOD(COUNTIF($Q$11:Q833,Q833),5)=0,OFFSET(装备属性!$M$1083,1+INT(COUNTA($Q$11:Q833)/5),0),Q833)</f>
        <v>通用属性</v>
      </c>
      <c r="R834" s="83">
        <f ca="1">IF(MOD(COUNTIF($Q$11:Q833,Q833),5)=0,10000*SUBSTITUTE(SUBSTITUTE(OFFSET(装备属性!$F$1083,1+INT(COUNTA($Q$11:Q833)/5),0),"[",""),"]","")+_xlfn.XLOOKUP(C834,$M$3:$M$7,$N$3:$N$7)*100,R833)</f>
        <v>30700</v>
      </c>
    </row>
    <row r="835" customHeight="1" spans="1:18">
      <c r="A835" s="78">
        <f ca="1" t="shared" si="36"/>
        <v>30701</v>
      </c>
      <c r="B835" s="82">
        <f ca="1">IFERROR(R835+COUNTIFS($R$11:$R835,R835),"")</f>
        <v>30730</v>
      </c>
      <c r="C835" s="83" t="str">
        <f ca="1">IF(MOD(COUNTIF($Q$11:Q834,Q834),5)=0,OFFSET(装备属性!$D$1083,1+INT(COUNTA($Q$11:Q834)/5),0),C834)</f>
        <v>粉</v>
      </c>
      <c r="D835" s="82">
        <f t="shared" si="38"/>
        <v>1000</v>
      </c>
      <c r="F835" s="82">
        <f ca="1" t="shared" si="37"/>
        <v>30705</v>
      </c>
      <c r="G835" s="78" t="str">
        <f ca="1">IF(AND(LEFT("[{"&amp;M835&amp;","&amp;CEILING(N835*10000+(O835-N835)/4*(COUNTIF($F$11:F835,F835)-1)*10000,10)&amp;"}]",7)="[{equip",MID("[{"&amp;M835&amp;","&amp;CEILING(N835*10000+(O835-N835)/4*(COUNTIF($F$11:F835,F835)-1)*10000,10)&amp;"}]",8,1)&lt;&gt;"_"),"[{"&amp;M835&amp;","&amp;1&amp;"}]","[{"&amp;M835&amp;","&amp;CEILING(N835*10000+(O835-N835)/4*(COUNTIF($F$11:F835,F835)-1)*10000,10)&amp;"}]")</f>
        <v>[{hunter_dmg_red_rate,340}]</v>
      </c>
      <c r="H835" s="82" t="s">
        <v>563</v>
      </c>
      <c r="J835" s="78">
        <f ca="1">IF(MOD(COUNTIF($Q$11:Q834,Q834),5)=0,OFFSET(装备属性!$P$1083,1+INT(COUNTA($Q$11:Q834)/5),0),J834)</f>
        <v>5</v>
      </c>
      <c r="K835" s="83" t="str">
        <f ca="1">IF(RIGHT(G835,13)="rune_slot,1}]",_xlfn.XLOOKUP(LEFT(SUBSTITUTE(G835,"[{",""),FIND(",",SUBSTITUTE(G835,"[{",""))-1),Sheet2!B:B,Sheet2!C:C)&amp;"+"&amp;1,_xlfn.XLOOKUP(LEFT(SUBSTITUTE(G835,"[{",""),FIND(",",SUBSTITUTE(G835,"[{",""))-1),Sheet2!B:B,Sheet2!C:C)&amp;"+"&amp;SUBSTITUTE(RIGHT(G835,LEN(G835)-FIND(",",G835)),"}]","")/100&amp;"%")</f>
        <v>射手伤害减免+3.4%</v>
      </c>
      <c r="L835" s="83" t="str">
        <f ca="1">IF(MOD(COUNTIF($Q$11:Q834,Q834),5)=0,OFFSET(装备属性!$G$1083,1+INT(COUNTA($Q$11:Q834)/5),0),L834)</f>
        <v>远程躲伤Ⅳ</v>
      </c>
      <c r="M835" s="89" t="str">
        <f ca="1">IF(MOD(COUNTIF($Q$11:Q834,Q834),5)=0,OFFSET(装备属性!$H$1083,1+INT(COUNTA($Q$11:Q834)/5),0),M834)</f>
        <v>hunter_dmg_red_rate</v>
      </c>
      <c r="N835" s="76">
        <f ca="1">IF(MOD(COUNTIF($Q$11:Q834,Q834),5)=0,OFFSET(装备属性!$K$1083,1+INT(COUNTA($Q$11:Q834)/5),0),N834)</f>
        <v>0.03</v>
      </c>
      <c r="O835" s="76">
        <f ca="1">IF(MOD(COUNTIF($Q$11:Q834,Q834),5)=0,OFFSET(装备属性!$L$1083,1+INT(COUNTA($Q$11:Q834)/5),0),O834)</f>
        <v>0.034</v>
      </c>
      <c r="Q835" s="89" t="str">
        <f ca="1">IF(MOD(COUNTIF($Q$11:Q834,Q834),5)=0,OFFSET(装备属性!$M$1083,1+INT(COUNTA($Q$11:Q834)/5),0),Q834)</f>
        <v>通用属性</v>
      </c>
      <c r="R835" s="83">
        <f ca="1">IF(MOD(COUNTIF($Q$11:Q834,Q834),5)=0,10000*SUBSTITUTE(SUBSTITUTE(OFFSET(装备属性!$F$1083,1+INT(COUNTA($Q$11:Q834)/5),0),"[",""),"]","")+_xlfn.XLOOKUP(C835,$M$3:$M$7,$N$3:$N$7)*100,R834)</f>
        <v>30700</v>
      </c>
    </row>
    <row r="836" customHeight="1" spans="1:18">
      <c r="A836" s="78">
        <f ca="1" t="shared" si="36"/>
        <v>30701</v>
      </c>
      <c r="B836" s="82">
        <f ca="1">IFERROR(R836+COUNTIFS($R$11:$R836,R836),"")</f>
        <v>30731</v>
      </c>
      <c r="C836" s="83" t="str">
        <f ca="1">IF(MOD(COUNTIF($Q$11:Q835,Q835),5)=0,OFFSET(装备属性!$D$1083,1+INT(COUNTA($Q$11:Q835)/5),0),C835)</f>
        <v>粉</v>
      </c>
      <c r="D836" s="82">
        <f t="shared" si="38"/>
        <v>3000</v>
      </c>
      <c r="F836" s="82">
        <f ca="1" t="shared" si="37"/>
        <v>30706</v>
      </c>
      <c r="G836" s="78" t="str">
        <f ca="1">IF(AND(LEFT("[{"&amp;M836&amp;","&amp;CEILING(N836*10000+(O836-N836)/4*(COUNTIF($F$11:F836,F836)-1)*10000,10)&amp;"}]",7)="[{equip",MID("[{"&amp;M836&amp;","&amp;CEILING(N836*10000+(O836-N836)/4*(COUNTIF($F$11:F836,F836)-1)*10000,10)&amp;"}]",8,1)&lt;&gt;"_"),"[{"&amp;M836&amp;","&amp;1&amp;"}]","[{"&amp;M836&amp;","&amp;CEILING(N836*10000+(O836-N836)/4*(COUNTIF($F$11:F836,F836)-1)*10000,10)&amp;"}]")</f>
        <v>[{hunter_dmg_rate,800}]</v>
      </c>
      <c r="H836" s="82" t="s">
        <v>563</v>
      </c>
      <c r="J836" s="78">
        <f ca="1">IF(MOD(COUNTIF($Q$11:Q835,Q835),5)=0,OFFSET(装备属性!$P$1083,1+INT(COUNTA($Q$11:Q835)/5),0),J835)</f>
        <v>3</v>
      </c>
      <c r="K836" s="83" t="str">
        <f ca="1">IF(RIGHT(G836,13)="rune_slot,1}]",_xlfn.XLOOKUP(LEFT(SUBSTITUTE(G836,"[{",""),FIND(",",SUBSTITUTE(G836,"[{",""))-1),Sheet2!B:B,Sheet2!C:C)&amp;"+"&amp;1,_xlfn.XLOOKUP(LEFT(SUBSTITUTE(G836,"[{",""),FIND(",",SUBSTITUTE(G836,"[{",""))-1),Sheet2!B:B,Sheet2!C:C)&amp;"+"&amp;SUBSTITUTE(RIGHT(G836,LEN(G836)-FIND(",",G836)),"}]","")/100&amp;"%")</f>
        <v>射手伤害+8%</v>
      </c>
      <c r="L836" s="83" t="str">
        <f ca="1">IF(MOD(COUNTIF($Q$11:Q835,Q835),5)=0,OFFSET(装备属性!$G$1083,1+INT(COUNTA($Q$11:Q835)/5),0),L835)</f>
        <v>远程喂饭Ⅳ</v>
      </c>
      <c r="M836" s="89" t="str">
        <f ca="1">IF(MOD(COUNTIF($Q$11:Q835,Q835),5)=0,OFFSET(装备属性!$H$1083,1+INT(COUNTA($Q$11:Q835)/5),0),M835)</f>
        <v>hunter_dmg_rate</v>
      </c>
      <c r="N836" s="76">
        <f ca="1">IF(MOD(COUNTIF($Q$11:Q835,Q835),5)=0,OFFSET(装备属性!$K$1083,1+INT(COUNTA($Q$11:Q835)/5),0),N835)</f>
        <v>0.08</v>
      </c>
      <c r="O836" s="76">
        <f ca="1">IF(MOD(COUNTIF($Q$11:Q835,Q835),5)=0,OFFSET(装备属性!$L$1083,1+INT(COUNTA($Q$11:Q835)/5),0),O835)</f>
        <v>0.09</v>
      </c>
      <c r="Q836" s="89" t="str">
        <f ca="1">IF(MOD(COUNTIF($Q$11:Q835,Q835),5)=0,OFFSET(装备属性!$M$1083,1+INT(COUNTA($Q$11:Q835)/5),0),Q835)</f>
        <v>通用属性</v>
      </c>
      <c r="R836" s="83">
        <f ca="1">IF(MOD(COUNTIF($Q$11:Q835,Q835),5)=0,10000*SUBSTITUTE(SUBSTITUTE(OFFSET(装备属性!$F$1083,1+INT(COUNTA($Q$11:Q835)/5),0),"[",""),"]","")+_xlfn.XLOOKUP(C836,$M$3:$M$7,$N$3:$N$7)*100,R835)</f>
        <v>30700</v>
      </c>
    </row>
    <row r="837" customHeight="1" spans="1:18">
      <c r="A837" s="78">
        <f ca="1" t="shared" si="36"/>
        <v>30701</v>
      </c>
      <c r="B837" s="82">
        <f ca="1">IFERROR(R837+COUNTIFS($R$11:$R837,R837),"")</f>
        <v>30732</v>
      </c>
      <c r="C837" s="83" t="str">
        <f ca="1">IF(MOD(COUNTIF($Q$11:Q836,Q836),5)=0,OFFSET(装备属性!$D$1083,1+INT(COUNTA($Q$11:Q836)/5),0),C836)</f>
        <v>粉</v>
      </c>
      <c r="D837" s="82">
        <f t="shared" si="38"/>
        <v>2500</v>
      </c>
      <c r="F837" s="82">
        <f ca="1" t="shared" si="37"/>
        <v>30706</v>
      </c>
      <c r="G837" s="78" t="str">
        <f ca="1">IF(AND(LEFT("[{"&amp;M837&amp;","&amp;CEILING(N837*10000+(O837-N837)/4*(COUNTIF($F$11:F837,F837)-1)*10000,10)&amp;"}]",7)="[{equip",MID("[{"&amp;M837&amp;","&amp;CEILING(N837*10000+(O837-N837)/4*(COUNTIF($F$11:F837,F837)-1)*10000,10)&amp;"}]",8,1)&lt;&gt;"_"),"[{"&amp;M837&amp;","&amp;1&amp;"}]","[{"&amp;M837&amp;","&amp;CEILING(N837*10000+(O837-N837)/4*(COUNTIF($F$11:F837,F837)-1)*10000,10)&amp;"}]")</f>
        <v>[{hunter_dmg_rate,830}]</v>
      </c>
      <c r="H837" s="82" t="s">
        <v>563</v>
      </c>
      <c r="J837" s="78">
        <f ca="1">IF(MOD(COUNTIF($Q$11:Q836,Q836),5)=0,OFFSET(装备属性!$P$1083,1+INT(COUNTA($Q$11:Q836)/5),0),J836)</f>
        <v>3</v>
      </c>
      <c r="K837" s="83" t="str">
        <f ca="1">IF(RIGHT(G837,13)="rune_slot,1}]",_xlfn.XLOOKUP(LEFT(SUBSTITUTE(G837,"[{",""),FIND(",",SUBSTITUTE(G837,"[{",""))-1),Sheet2!B:B,Sheet2!C:C)&amp;"+"&amp;1,_xlfn.XLOOKUP(LEFT(SUBSTITUTE(G837,"[{",""),FIND(",",SUBSTITUTE(G837,"[{",""))-1),Sheet2!B:B,Sheet2!C:C)&amp;"+"&amp;SUBSTITUTE(RIGHT(G837,LEN(G837)-FIND(",",G837)),"}]","")/100&amp;"%")</f>
        <v>射手伤害+8.3%</v>
      </c>
      <c r="L837" s="83" t="str">
        <f ca="1">IF(MOD(COUNTIF($Q$11:Q836,Q836),5)=0,OFFSET(装备属性!$G$1083,1+INT(COUNTA($Q$11:Q836)/5),0),L836)</f>
        <v>远程喂饭Ⅳ</v>
      </c>
      <c r="M837" s="89" t="str">
        <f ca="1">IF(MOD(COUNTIF($Q$11:Q836,Q836),5)=0,OFFSET(装备属性!$H$1083,1+INT(COUNTA($Q$11:Q836)/5),0),M836)</f>
        <v>hunter_dmg_rate</v>
      </c>
      <c r="N837" s="76">
        <f ca="1">IF(MOD(COUNTIF($Q$11:Q836,Q836),5)=0,OFFSET(装备属性!$K$1083,1+INT(COUNTA($Q$11:Q836)/5),0),N836)</f>
        <v>0.08</v>
      </c>
      <c r="O837" s="76">
        <f ca="1">IF(MOD(COUNTIF($Q$11:Q836,Q836),5)=0,OFFSET(装备属性!$L$1083,1+INT(COUNTA($Q$11:Q836)/5),0),O836)</f>
        <v>0.09</v>
      </c>
      <c r="Q837" s="89" t="str">
        <f ca="1">IF(MOD(COUNTIF($Q$11:Q836,Q836),5)=0,OFFSET(装备属性!$M$1083,1+INT(COUNTA($Q$11:Q836)/5),0),Q836)</f>
        <v>通用属性</v>
      </c>
      <c r="R837" s="83">
        <f ca="1">IF(MOD(COUNTIF($Q$11:Q836,Q836),5)=0,10000*SUBSTITUTE(SUBSTITUTE(OFFSET(装备属性!$F$1083,1+INT(COUNTA($Q$11:Q836)/5),0),"[",""),"]","")+_xlfn.XLOOKUP(C837,$M$3:$M$7,$N$3:$N$7)*100,R836)</f>
        <v>30700</v>
      </c>
    </row>
    <row r="838" customHeight="1" spans="1:18">
      <c r="A838" s="78">
        <f ca="1" t="shared" si="36"/>
        <v>30701</v>
      </c>
      <c r="B838" s="82">
        <f ca="1">IFERROR(R838+COUNTIFS($R$11:$R838,R838),"")</f>
        <v>30733</v>
      </c>
      <c r="C838" s="83" t="str">
        <f ca="1">IF(MOD(COUNTIF($Q$11:Q837,Q837),5)=0,OFFSET(装备属性!$D$1083,1+INT(COUNTA($Q$11:Q837)/5),0),C837)</f>
        <v>粉</v>
      </c>
      <c r="D838" s="82">
        <f t="shared" si="38"/>
        <v>2000</v>
      </c>
      <c r="F838" s="82">
        <f ca="1" t="shared" si="37"/>
        <v>30706</v>
      </c>
      <c r="G838" s="78" t="str">
        <f ca="1">IF(AND(LEFT("[{"&amp;M838&amp;","&amp;CEILING(N838*10000+(O838-N838)/4*(COUNTIF($F$11:F838,F838)-1)*10000,10)&amp;"}]",7)="[{equip",MID("[{"&amp;M838&amp;","&amp;CEILING(N838*10000+(O838-N838)/4*(COUNTIF($F$11:F838,F838)-1)*10000,10)&amp;"}]",8,1)&lt;&gt;"_"),"[{"&amp;M838&amp;","&amp;1&amp;"}]","[{"&amp;M838&amp;","&amp;CEILING(N838*10000+(O838-N838)/4*(COUNTIF($F$11:F838,F838)-1)*10000,10)&amp;"}]")</f>
        <v>[{hunter_dmg_rate,850}]</v>
      </c>
      <c r="H838" s="82" t="s">
        <v>563</v>
      </c>
      <c r="J838" s="78">
        <f ca="1">IF(MOD(COUNTIF($Q$11:Q837,Q837),5)=0,OFFSET(装备属性!$P$1083,1+INT(COUNTA($Q$11:Q837)/5),0),J837)</f>
        <v>3</v>
      </c>
      <c r="K838" s="83" t="str">
        <f ca="1">IF(RIGHT(G838,13)="rune_slot,1}]",_xlfn.XLOOKUP(LEFT(SUBSTITUTE(G838,"[{",""),FIND(",",SUBSTITUTE(G838,"[{",""))-1),Sheet2!B:B,Sheet2!C:C)&amp;"+"&amp;1,_xlfn.XLOOKUP(LEFT(SUBSTITUTE(G838,"[{",""),FIND(",",SUBSTITUTE(G838,"[{",""))-1),Sheet2!B:B,Sheet2!C:C)&amp;"+"&amp;SUBSTITUTE(RIGHT(G838,LEN(G838)-FIND(",",G838)),"}]","")/100&amp;"%")</f>
        <v>射手伤害+8.5%</v>
      </c>
      <c r="L838" s="83" t="str">
        <f ca="1">IF(MOD(COUNTIF($Q$11:Q837,Q837),5)=0,OFFSET(装备属性!$G$1083,1+INT(COUNTA($Q$11:Q837)/5),0),L837)</f>
        <v>远程喂饭Ⅳ</v>
      </c>
      <c r="M838" s="89" t="str">
        <f ca="1">IF(MOD(COUNTIF($Q$11:Q837,Q837),5)=0,OFFSET(装备属性!$H$1083,1+INT(COUNTA($Q$11:Q837)/5),0),M837)</f>
        <v>hunter_dmg_rate</v>
      </c>
      <c r="N838" s="76">
        <f ca="1">IF(MOD(COUNTIF($Q$11:Q837,Q837),5)=0,OFFSET(装备属性!$K$1083,1+INT(COUNTA($Q$11:Q837)/5),0),N837)</f>
        <v>0.08</v>
      </c>
      <c r="O838" s="76">
        <f ca="1">IF(MOD(COUNTIF($Q$11:Q837,Q837),5)=0,OFFSET(装备属性!$L$1083,1+INT(COUNTA($Q$11:Q837)/5),0),O837)</f>
        <v>0.09</v>
      </c>
      <c r="Q838" s="89" t="str">
        <f ca="1">IF(MOD(COUNTIF($Q$11:Q837,Q837),5)=0,OFFSET(装备属性!$M$1083,1+INT(COUNTA($Q$11:Q837)/5),0),Q837)</f>
        <v>通用属性</v>
      </c>
      <c r="R838" s="83">
        <f ca="1">IF(MOD(COUNTIF($Q$11:Q837,Q837),5)=0,10000*SUBSTITUTE(SUBSTITUTE(OFFSET(装备属性!$F$1083,1+INT(COUNTA($Q$11:Q837)/5),0),"[",""),"]","")+_xlfn.XLOOKUP(C838,$M$3:$M$7,$N$3:$N$7)*100,R837)</f>
        <v>30700</v>
      </c>
    </row>
    <row r="839" customHeight="1" spans="1:18">
      <c r="A839" s="78">
        <f ca="1" t="shared" si="36"/>
        <v>30701</v>
      </c>
      <c r="B839" s="82">
        <f ca="1">IFERROR(R839+COUNTIFS($R$11:$R839,R839),"")</f>
        <v>30734</v>
      </c>
      <c r="C839" s="83" t="str">
        <f ca="1">IF(MOD(COUNTIF($Q$11:Q838,Q838),5)=0,OFFSET(装备属性!$D$1083,1+INT(COUNTA($Q$11:Q838)/5),0),C838)</f>
        <v>粉</v>
      </c>
      <c r="D839" s="82">
        <f t="shared" si="38"/>
        <v>1500</v>
      </c>
      <c r="F839" s="82">
        <f ca="1" t="shared" si="37"/>
        <v>30706</v>
      </c>
      <c r="G839" s="78" t="str">
        <f ca="1">IF(AND(LEFT("[{"&amp;M839&amp;","&amp;CEILING(N839*10000+(O839-N839)/4*(COUNTIF($F$11:F839,F839)-1)*10000,10)&amp;"}]",7)="[{equip",MID("[{"&amp;M839&amp;","&amp;CEILING(N839*10000+(O839-N839)/4*(COUNTIF($F$11:F839,F839)-1)*10000,10)&amp;"}]",8,1)&lt;&gt;"_"),"[{"&amp;M839&amp;","&amp;1&amp;"}]","[{"&amp;M839&amp;","&amp;CEILING(N839*10000+(O839-N839)/4*(COUNTIF($F$11:F839,F839)-1)*10000,10)&amp;"}]")</f>
        <v>[{hunter_dmg_rate,880}]</v>
      </c>
      <c r="H839" s="82" t="s">
        <v>563</v>
      </c>
      <c r="J839" s="78">
        <f ca="1">IF(MOD(COUNTIF($Q$11:Q838,Q838),5)=0,OFFSET(装备属性!$P$1083,1+INT(COUNTA($Q$11:Q838)/5),0),J838)</f>
        <v>3</v>
      </c>
      <c r="K839" s="83" t="str">
        <f ca="1">IF(RIGHT(G839,13)="rune_slot,1}]",_xlfn.XLOOKUP(LEFT(SUBSTITUTE(G839,"[{",""),FIND(",",SUBSTITUTE(G839,"[{",""))-1),Sheet2!B:B,Sheet2!C:C)&amp;"+"&amp;1,_xlfn.XLOOKUP(LEFT(SUBSTITUTE(G839,"[{",""),FIND(",",SUBSTITUTE(G839,"[{",""))-1),Sheet2!B:B,Sheet2!C:C)&amp;"+"&amp;SUBSTITUTE(RIGHT(G839,LEN(G839)-FIND(",",G839)),"}]","")/100&amp;"%")</f>
        <v>射手伤害+8.8%</v>
      </c>
      <c r="L839" s="83" t="str">
        <f ca="1">IF(MOD(COUNTIF($Q$11:Q838,Q838),5)=0,OFFSET(装备属性!$G$1083,1+INT(COUNTA($Q$11:Q838)/5),0),L838)</f>
        <v>远程喂饭Ⅳ</v>
      </c>
      <c r="M839" s="89" t="str">
        <f ca="1">IF(MOD(COUNTIF($Q$11:Q838,Q838),5)=0,OFFSET(装备属性!$H$1083,1+INT(COUNTA($Q$11:Q838)/5),0),M838)</f>
        <v>hunter_dmg_rate</v>
      </c>
      <c r="N839" s="76">
        <f ca="1">IF(MOD(COUNTIF($Q$11:Q838,Q838),5)=0,OFFSET(装备属性!$K$1083,1+INT(COUNTA($Q$11:Q838)/5),0),N838)</f>
        <v>0.08</v>
      </c>
      <c r="O839" s="76">
        <f ca="1">IF(MOD(COUNTIF($Q$11:Q838,Q838),5)=0,OFFSET(装备属性!$L$1083,1+INT(COUNTA($Q$11:Q838)/5),0),O838)</f>
        <v>0.09</v>
      </c>
      <c r="Q839" s="89" t="str">
        <f ca="1">IF(MOD(COUNTIF($Q$11:Q838,Q838),5)=0,OFFSET(装备属性!$M$1083,1+INT(COUNTA($Q$11:Q838)/5),0),Q838)</f>
        <v>通用属性</v>
      </c>
      <c r="R839" s="83">
        <f ca="1">IF(MOD(COUNTIF($Q$11:Q838,Q838),5)=0,10000*SUBSTITUTE(SUBSTITUTE(OFFSET(装备属性!$F$1083,1+INT(COUNTA($Q$11:Q838)/5),0),"[",""),"]","")+_xlfn.XLOOKUP(C839,$M$3:$M$7,$N$3:$N$7)*100,R838)</f>
        <v>30700</v>
      </c>
    </row>
    <row r="840" customHeight="1" spans="1:18">
      <c r="A840" s="78">
        <f ca="1" t="shared" si="36"/>
        <v>30701</v>
      </c>
      <c r="B840" s="82">
        <f ca="1">IFERROR(R840+COUNTIFS($R$11:$R840,R840),"")</f>
        <v>30735</v>
      </c>
      <c r="C840" s="83" t="str">
        <f ca="1">IF(MOD(COUNTIF($Q$11:Q839,Q839),5)=0,OFFSET(装备属性!$D$1083,1+INT(COUNTA($Q$11:Q839)/5),0),C839)</f>
        <v>粉</v>
      </c>
      <c r="D840" s="82">
        <f t="shared" si="38"/>
        <v>1000</v>
      </c>
      <c r="F840" s="82">
        <f ca="1" t="shared" si="37"/>
        <v>30706</v>
      </c>
      <c r="G840" s="78" t="str">
        <f ca="1">IF(AND(LEFT("[{"&amp;M840&amp;","&amp;CEILING(N840*10000+(O840-N840)/4*(COUNTIF($F$11:F840,F840)-1)*10000,10)&amp;"}]",7)="[{equip",MID("[{"&amp;M840&amp;","&amp;CEILING(N840*10000+(O840-N840)/4*(COUNTIF($F$11:F840,F840)-1)*10000,10)&amp;"}]",8,1)&lt;&gt;"_"),"[{"&amp;M840&amp;","&amp;1&amp;"}]","[{"&amp;M840&amp;","&amp;CEILING(N840*10000+(O840-N840)/4*(COUNTIF($F$11:F840,F840)-1)*10000,10)&amp;"}]")</f>
        <v>[{hunter_dmg_rate,900}]</v>
      </c>
      <c r="H840" s="82" t="s">
        <v>563</v>
      </c>
      <c r="J840" s="78">
        <f ca="1">IF(MOD(COUNTIF($Q$11:Q839,Q839),5)=0,OFFSET(装备属性!$P$1083,1+INT(COUNTA($Q$11:Q839)/5),0),J839)</f>
        <v>3</v>
      </c>
      <c r="K840" s="83" t="str">
        <f ca="1">IF(RIGHT(G840,13)="rune_slot,1}]",_xlfn.XLOOKUP(LEFT(SUBSTITUTE(G840,"[{",""),FIND(",",SUBSTITUTE(G840,"[{",""))-1),Sheet2!B:B,Sheet2!C:C)&amp;"+"&amp;1,_xlfn.XLOOKUP(LEFT(SUBSTITUTE(G840,"[{",""),FIND(",",SUBSTITUTE(G840,"[{",""))-1),Sheet2!B:B,Sheet2!C:C)&amp;"+"&amp;SUBSTITUTE(RIGHT(G840,LEN(G840)-FIND(",",G840)),"}]","")/100&amp;"%")</f>
        <v>射手伤害+9%</v>
      </c>
      <c r="L840" s="83" t="str">
        <f ca="1">IF(MOD(COUNTIF($Q$11:Q839,Q839),5)=0,OFFSET(装备属性!$G$1083,1+INT(COUNTA($Q$11:Q839)/5),0),L839)</f>
        <v>远程喂饭Ⅳ</v>
      </c>
      <c r="M840" s="89" t="str">
        <f ca="1">IF(MOD(COUNTIF($Q$11:Q839,Q839),5)=0,OFFSET(装备属性!$H$1083,1+INT(COUNTA($Q$11:Q839)/5),0),M839)</f>
        <v>hunter_dmg_rate</v>
      </c>
      <c r="N840" s="76">
        <f ca="1">IF(MOD(COUNTIF($Q$11:Q839,Q839),5)=0,OFFSET(装备属性!$K$1083,1+INT(COUNTA($Q$11:Q839)/5),0),N839)</f>
        <v>0.08</v>
      </c>
      <c r="O840" s="76">
        <f ca="1">IF(MOD(COUNTIF($Q$11:Q839,Q839),5)=0,OFFSET(装备属性!$L$1083,1+INT(COUNTA($Q$11:Q839)/5),0),O839)</f>
        <v>0.09</v>
      </c>
      <c r="Q840" s="89" t="str">
        <f ca="1">IF(MOD(COUNTIF($Q$11:Q839,Q839),5)=0,OFFSET(装备属性!$M$1083,1+INT(COUNTA($Q$11:Q839)/5),0),Q839)</f>
        <v>通用属性</v>
      </c>
      <c r="R840" s="83">
        <f ca="1">IF(MOD(COUNTIF($Q$11:Q839,Q839),5)=0,10000*SUBSTITUTE(SUBSTITUTE(OFFSET(装备属性!$F$1083,1+INT(COUNTA($Q$11:Q839)/5),0),"[",""),"]","")+_xlfn.XLOOKUP(C840,$M$3:$M$7,$N$3:$N$7)*100,R839)</f>
        <v>30700</v>
      </c>
    </row>
    <row r="841" customHeight="1" spans="1:18">
      <c r="A841" s="78">
        <f ca="1" t="shared" si="36"/>
        <v>30701</v>
      </c>
      <c r="B841" s="82">
        <f ca="1">IFERROR(R841+COUNTIFS($R$11:$R841,R841),"")</f>
        <v>30736</v>
      </c>
      <c r="C841" s="83" t="str">
        <f ca="1">IF(MOD(COUNTIF($Q$11:Q840,Q840),5)=0,OFFSET(装备属性!$D$1083,1+INT(COUNTA($Q$11:Q840)/5),0),C840)</f>
        <v>粉</v>
      </c>
      <c r="D841" s="82">
        <f t="shared" si="38"/>
        <v>3000</v>
      </c>
      <c r="F841" s="82">
        <f ca="1" t="shared" si="37"/>
        <v>30707</v>
      </c>
      <c r="G841" s="78" t="str">
        <f ca="1">IF(AND(LEFT("[{"&amp;M841&amp;","&amp;CEILING(N841*10000+(O841-N841)/4*(COUNTIF($F$11:F841,F841)-1)*10000,10)&amp;"}]",7)="[{equip",MID("[{"&amp;M841&amp;","&amp;CEILING(N841*10000+(O841-N841)/4*(COUNTIF($F$11:F841,F841)-1)*10000,10)&amp;"}]",8,1)&lt;&gt;"_"),"[{"&amp;M841&amp;","&amp;1&amp;"}]","[{"&amp;M841&amp;","&amp;CEILING(N841*10000+(O841-N841)/4*(COUNTIF($F$11:F841,F841)-1)*10000,10)&amp;"}]")</f>
        <v>[{hunter_class_dmg_rate,1100}]</v>
      </c>
      <c r="H841" s="82" t="s">
        <v>563</v>
      </c>
      <c r="J841" s="78">
        <f ca="1">IF(MOD(COUNTIF($Q$11:Q840,Q840),5)=0,OFFSET(装备属性!$P$1083,1+INT(COUNTA($Q$11:Q840)/5),0),J840)</f>
        <v>4</v>
      </c>
      <c r="K841" s="83" t="str">
        <f ca="1">IF(RIGHT(G841,13)="rune_slot,1}]",_xlfn.XLOOKUP(LEFT(SUBSTITUTE(G841,"[{",""),FIND(",",SUBSTITUTE(G841,"[{",""))-1),Sheet2!B:B,Sheet2!C:C)&amp;"+"&amp;1,_xlfn.XLOOKUP(LEFT(SUBSTITUTE(G841,"[{",""),FIND(",",SUBSTITUTE(G841,"[{",""))-1),Sheet2!B:B,Sheet2!C:C)&amp;"+"&amp;SUBSTITUTE(RIGHT(G841,LEN(G841)-FIND(",",G841)),"}]","")/100&amp;"%")</f>
        <v>上阵两个射手职业增伤+11%</v>
      </c>
      <c r="L841" s="83" t="str">
        <f ca="1">IF(MOD(COUNTIF($Q$11:Q840,Q840),5)=0,OFFSET(装备属性!$G$1083,1+INT(COUNTA($Q$11:Q840)/5),0),L840)</f>
        <v>远程小队Ⅳ</v>
      </c>
      <c r="M841" s="89" t="str">
        <f ca="1">IF(MOD(COUNTIF($Q$11:Q840,Q840),5)=0,OFFSET(装备属性!$H$1083,1+INT(COUNTA($Q$11:Q840)/5),0),M840)</f>
        <v>hunter_class_dmg_rate</v>
      </c>
      <c r="N841" s="76">
        <f ca="1">IF(MOD(COUNTIF($Q$11:Q840,Q840),5)=0,OFFSET(装备属性!$K$1083,1+INT(COUNTA($Q$11:Q840)/5),0),N840)</f>
        <v>0.11</v>
      </c>
      <c r="O841" s="76">
        <f ca="1">IF(MOD(COUNTIF($Q$11:Q840,Q840),5)=0,OFFSET(装备属性!$L$1083,1+INT(COUNTA($Q$11:Q840)/5),0),O840)</f>
        <v>0.13</v>
      </c>
      <c r="Q841" s="89" t="str">
        <f ca="1">IF(MOD(COUNTIF($Q$11:Q840,Q840),5)=0,OFFSET(装备属性!$M$1083,1+INT(COUNTA($Q$11:Q840)/5),0),Q840)</f>
        <v>通用属性</v>
      </c>
      <c r="R841" s="83">
        <f ca="1">IF(MOD(COUNTIF($Q$11:Q840,Q840),5)=0,10000*SUBSTITUTE(SUBSTITUTE(OFFSET(装备属性!$F$1083,1+INT(COUNTA($Q$11:Q840)/5),0),"[",""),"]","")+_xlfn.XLOOKUP(C841,$M$3:$M$7,$N$3:$N$7)*100,R840)</f>
        <v>30700</v>
      </c>
    </row>
    <row r="842" customHeight="1" spans="1:18">
      <c r="A842" s="78">
        <f ca="1" t="shared" si="36"/>
        <v>30701</v>
      </c>
      <c r="B842" s="82">
        <f ca="1">IFERROR(R842+COUNTIFS($R$11:$R842,R842),"")</f>
        <v>30737</v>
      </c>
      <c r="C842" s="83" t="str">
        <f ca="1">IF(MOD(COUNTIF($Q$11:Q841,Q841),5)=0,OFFSET(装备属性!$D$1083,1+INT(COUNTA($Q$11:Q841)/5),0),C841)</f>
        <v>粉</v>
      </c>
      <c r="D842" s="82">
        <f t="shared" si="38"/>
        <v>2500</v>
      </c>
      <c r="F842" s="82">
        <f ca="1" t="shared" si="37"/>
        <v>30707</v>
      </c>
      <c r="G842" s="78" t="str">
        <f ca="1">IF(AND(LEFT("[{"&amp;M842&amp;","&amp;CEILING(N842*10000+(O842-N842)/4*(COUNTIF($F$11:F842,F842)-1)*10000,10)&amp;"}]",7)="[{equip",MID("[{"&amp;M842&amp;","&amp;CEILING(N842*10000+(O842-N842)/4*(COUNTIF($F$11:F842,F842)-1)*10000,10)&amp;"}]",8,1)&lt;&gt;"_"),"[{"&amp;M842&amp;","&amp;1&amp;"}]","[{"&amp;M842&amp;","&amp;CEILING(N842*10000+(O842-N842)/4*(COUNTIF($F$11:F842,F842)-1)*10000,10)&amp;"}]")</f>
        <v>[{hunter_class_dmg_rate,1150}]</v>
      </c>
      <c r="H842" s="82" t="s">
        <v>563</v>
      </c>
      <c r="J842" s="78">
        <f ca="1">IF(MOD(COUNTIF($Q$11:Q841,Q841),5)=0,OFFSET(装备属性!$P$1083,1+INT(COUNTA($Q$11:Q841)/5),0),J841)</f>
        <v>4</v>
      </c>
      <c r="K842" s="83" t="str">
        <f ca="1">IF(RIGHT(G842,13)="rune_slot,1}]",_xlfn.XLOOKUP(LEFT(SUBSTITUTE(G842,"[{",""),FIND(",",SUBSTITUTE(G842,"[{",""))-1),Sheet2!B:B,Sheet2!C:C)&amp;"+"&amp;1,_xlfn.XLOOKUP(LEFT(SUBSTITUTE(G842,"[{",""),FIND(",",SUBSTITUTE(G842,"[{",""))-1),Sheet2!B:B,Sheet2!C:C)&amp;"+"&amp;SUBSTITUTE(RIGHT(G842,LEN(G842)-FIND(",",G842)),"}]","")/100&amp;"%")</f>
        <v>上阵两个射手职业增伤+11.5%</v>
      </c>
      <c r="L842" s="83" t="str">
        <f ca="1">IF(MOD(COUNTIF($Q$11:Q841,Q841),5)=0,OFFSET(装备属性!$G$1083,1+INT(COUNTA($Q$11:Q841)/5),0),L841)</f>
        <v>远程小队Ⅳ</v>
      </c>
      <c r="M842" s="89" t="str">
        <f ca="1">IF(MOD(COUNTIF($Q$11:Q841,Q841),5)=0,OFFSET(装备属性!$H$1083,1+INT(COUNTA($Q$11:Q841)/5),0),M841)</f>
        <v>hunter_class_dmg_rate</v>
      </c>
      <c r="N842" s="76">
        <f ca="1">IF(MOD(COUNTIF($Q$11:Q841,Q841),5)=0,OFFSET(装备属性!$K$1083,1+INT(COUNTA($Q$11:Q841)/5),0),N841)</f>
        <v>0.11</v>
      </c>
      <c r="O842" s="76">
        <f ca="1">IF(MOD(COUNTIF($Q$11:Q841,Q841),5)=0,OFFSET(装备属性!$L$1083,1+INT(COUNTA($Q$11:Q841)/5),0),O841)</f>
        <v>0.13</v>
      </c>
      <c r="Q842" s="89" t="str">
        <f ca="1">IF(MOD(COUNTIF($Q$11:Q841,Q841),5)=0,OFFSET(装备属性!$M$1083,1+INT(COUNTA($Q$11:Q841)/5),0),Q841)</f>
        <v>通用属性</v>
      </c>
      <c r="R842" s="83">
        <f ca="1">IF(MOD(COUNTIF($Q$11:Q841,Q841),5)=0,10000*SUBSTITUTE(SUBSTITUTE(OFFSET(装备属性!$F$1083,1+INT(COUNTA($Q$11:Q841)/5),0),"[",""),"]","")+_xlfn.XLOOKUP(C842,$M$3:$M$7,$N$3:$N$7)*100,R841)</f>
        <v>30700</v>
      </c>
    </row>
    <row r="843" customHeight="1" spans="1:18">
      <c r="A843" s="78">
        <f ca="1" t="shared" si="36"/>
        <v>30701</v>
      </c>
      <c r="B843" s="82">
        <f ca="1">IFERROR(R843+COUNTIFS($R$11:$R843,R843),"")</f>
        <v>30738</v>
      </c>
      <c r="C843" s="83" t="str">
        <f ca="1">IF(MOD(COUNTIF($Q$11:Q842,Q842),5)=0,OFFSET(装备属性!$D$1083,1+INT(COUNTA($Q$11:Q842)/5),0),C842)</f>
        <v>粉</v>
      </c>
      <c r="D843" s="82">
        <f t="shared" si="38"/>
        <v>2000</v>
      </c>
      <c r="F843" s="82">
        <f ca="1" t="shared" si="37"/>
        <v>30707</v>
      </c>
      <c r="G843" s="78" t="str">
        <f ca="1">IF(AND(LEFT("[{"&amp;M843&amp;","&amp;CEILING(N843*10000+(O843-N843)/4*(COUNTIF($F$11:F843,F843)-1)*10000,10)&amp;"}]",7)="[{equip",MID("[{"&amp;M843&amp;","&amp;CEILING(N843*10000+(O843-N843)/4*(COUNTIF($F$11:F843,F843)-1)*10000,10)&amp;"}]",8,1)&lt;&gt;"_"),"[{"&amp;M843&amp;","&amp;1&amp;"}]","[{"&amp;M843&amp;","&amp;CEILING(N843*10000+(O843-N843)/4*(COUNTIF($F$11:F843,F843)-1)*10000,10)&amp;"}]")</f>
        <v>[{hunter_class_dmg_rate,1200}]</v>
      </c>
      <c r="H843" s="82" t="s">
        <v>563</v>
      </c>
      <c r="J843" s="78">
        <f ca="1">IF(MOD(COUNTIF($Q$11:Q842,Q842),5)=0,OFFSET(装备属性!$P$1083,1+INT(COUNTA($Q$11:Q842)/5),0),J842)</f>
        <v>4</v>
      </c>
      <c r="K843" s="83" t="str">
        <f ca="1">IF(RIGHT(G843,13)="rune_slot,1}]",_xlfn.XLOOKUP(LEFT(SUBSTITUTE(G843,"[{",""),FIND(",",SUBSTITUTE(G843,"[{",""))-1),Sheet2!B:B,Sheet2!C:C)&amp;"+"&amp;1,_xlfn.XLOOKUP(LEFT(SUBSTITUTE(G843,"[{",""),FIND(",",SUBSTITUTE(G843,"[{",""))-1),Sheet2!B:B,Sheet2!C:C)&amp;"+"&amp;SUBSTITUTE(RIGHT(G843,LEN(G843)-FIND(",",G843)),"}]","")/100&amp;"%")</f>
        <v>上阵两个射手职业增伤+12%</v>
      </c>
      <c r="L843" s="83" t="str">
        <f ca="1">IF(MOD(COUNTIF($Q$11:Q842,Q842),5)=0,OFFSET(装备属性!$G$1083,1+INT(COUNTA($Q$11:Q842)/5),0),L842)</f>
        <v>远程小队Ⅳ</v>
      </c>
      <c r="M843" s="89" t="str">
        <f ca="1">IF(MOD(COUNTIF($Q$11:Q842,Q842),5)=0,OFFSET(装备属性!$H$1083,1+INT(COUNTA($Q$11:Q842)/5),0),M842)</f>
        <v>hunter_class_dmg_rate</v>
      </c>
      <c r="N843" s="76">
        <f ca="1">IF(MOD(COUNTIF($Q$11:Q842,Q842),5)=0,OFFSET(装备属性!$K$1083,1+INT(COUNTA($Q$11:Q842)/5),0),N842)</f>
        <v>0.11</v>
      </c>
      <c r="O843" s="76">
        <f ca="1">IF(MOD(COUNTIF($Q$11:Q842,Q842),5)=0,OFFSET(装备属性!$L$1083,1+INT(COUNTA($Q$11:Q842)/5),0),O842)</f>
        <v>0.13</v>
      </c>
      <c r="Q843" s="89" t="str">
        <f ca="1">IF(MOD(COUNTIF($Q$11:Q842,Q842),5)=0,OFFSET(装备属性!$M$1083,1+INT(COUNTA($Q$11:Q842)/5),0),Q842)</f>
        <v>通用属性</v>
      </c>
      <c r="R843" s="83">
        <f ca="1">IF(MOD(COUNTIF($Q$11:Q842,Q842),5)=0,10000*SUBSTITUTE(SUBSTITUTE(OFFSET(装备属性!$F$1083,1+INT(COUNTA($Q$11:Q842)/5),0),"[",""),"]","")+_xlfn.XLOOKUP(C843,$M$3:$M$7,$N$3:$N$7)*100,R842)</f>
        <v>30700</v>
      </c>
    </row>
    <row r="844" customHeight="1" spans="1:18">
      <c r="A844" s="78">
        <f ca="1" t="shared" ref="A844:A907" si="39">IFERROR(R844+IF(Q844="通用属性",1,IF(Q844="玩法类",2,IF(Q844="稀有词条",3,0))),"")</f>
        <v>30701</v>
      </c>
      <c r="B844" s="82">
        <f ca="1">IFERROR(R844+COUNTIFS($R$11:$R844,R844),"")</f>
        <v>30739</v>
      </c>
      <c r="C844" s="83" t="str">
        <f ca="1">IF(MOD(COUNTIF($Q$11:Q843,Q843),5)=0,OFFSET(装备属性!$D$1083,1+INT(COUNTA($Q$11:Q843)/5),0),C843)</f>
        <v>粉</v>
      </c>
      <c r="D844" s="82">
        <f t="shared" si="38"/>
        <v>1500</v>
      </c>
      <c r="F844" s="82">
        <f ca="1" t="shared" ref="F844:F907" si="40">IFERROR(R844+INT((B844-R844-1)/5),"")</f>
        <v>30707</v>
      </c>
      <c r="G844" s="78" t="str">
        <f ca="1">IF(AND(LEFT("[{"&amp;M844&amp;","&amp;CEILING(N844*10000+(O844-N844)/4*(COUNTIF($F$11:F844,F844)-1)*10000,10)&amp;"}]",7)="[{equip",MID("[{"&amp;M844&amp;","&amp;CEILING(N844*10000+(O844-N844)/4*(COUNTIF($F$11:F844,F844)-1)*10000,10)&amp;"}]",8,1)&lt;&gt;"_"),"[{"&amp;M844&amp;","&amp;1&amp;"}]","[{"&amp;M844&amp;","&amp;CEILING(N844*10000+(O844-N844)/4*(COUNTIF($F$11:F844,F844)-1)*10000,10)&amp;"}]")</f>
        <v>[{hunter_class_dmg_rate,1250}]</v>
      </c>
      <c r="H844" s="82" t="s">
        <v>563</v>
      </c>
      <c r="J844" s="78">
        <f ca="1">IF(MOD(COUNTIF($Q$11:Q843,Q843),5)=0,OFFSET(装备属性!$P$1083,1+INT(COUNTA($Q$11:Q843)/5),0),J843)</f>
        <v>4</v>
      </c>
      <c r="K844" s="83" t="str">
        <f ca="1">IF(RIGHT(G844,13)="rune_slot,1}]",_xlfn.XLOOKUP(LEFT(SUBSTITUTE(G844,"[{",""),FIND(",",SUBSTITUTE(G844,"[{",""))-1),Sheet2!B:B,Sheet2!C:C)&amp;"+"&amp;1,_xlfn.XLOOKUP(LEFT(SUBSTITUTE(G844,"[{",""),FIND(",",SUBSTITUTE(G844,"[{",""))-1),Sheet2!B:B,Sheet2!C:C)&amp;"+"&amp;SUBSTITUTE(RIGHT(G844,LEN(G844)-FIND(",",G844)),"}]","")/100&amp;"%")</f>
        <v>上阵两个射手职业增伤+12.5%</v>
      </c>
      <c r="L844" s="83" t="str">
        <f ca="1">IF(MOD(COUNTIF($Q$11:Q843,Q843),5)=0,OFFSET(装备属性!$G$1083,1+INT(COUNTA($Q$11:Q843)/5),0),L843)</f>
        <v>远程小队Ⅳ</v>
      </c>
      <c r="M844" s="89" t="str">
        <f ca="1">IF(MOD(COUNTIF($Q$11:Q843,Q843),5)=0,OFFSET(装备属性!$H$1083,1+INT(COUNTA($Q$11:Q843)/5),0),M843)</f>
        <v>hunter_class_dmg_rate</v>
      </c>
      <c r="N844" s="76">
        <f ca="1">IF(MOD(COUNTIF($Q$11:Q843,Q843),5)=0,OFFSET(装备属性!$K$1083,1+INT(COUNTA($Q$11:Q843)/5),0),N843)</f>
        <v>0.11</v>
      </c>
      <c r="O844" s="76">
        <f ca="1">IF(MOD(COUNTIF($Q$11:Q843,Q843),5)=0,OFFSET(装备属性!$L$1083,1+INT(COUNTA($Q$11:Q843)/5),0),O843)</f>
        <v>0.13</v>
      </c>
      <c r="Q844" s="89" t="str">
        <f ca="1">IF(MOD(COUNTIF($Q$11:Q843,Q843),5)=0,OFFSET(装备属性!$M$1083,1+INT(COUNTA($Q$11:Q843)/5),0),Q843)</f>
        <v>通用属性</v>
      </c>
      <c r="R844" s="83">
        <f ca="1">IF(MOD(COUNTIF($Q$11:Q843,Q843),5)=0,10000*SUBSTITUTE(SUBSTITUTE(OFFSET(装备属性!$F$1083,1+INT(COUNTA($Q$11:Q843)/5),0),"[",""),"]","")+_xlfn.XLOOKUP(C844,$M$3:$M$7,$N$3:$N$7)*100,R843)</f>
        <v>30700</v>
      </c>
    </row>
    <row r="845" customHeight="1" spans="1:18">
      <c r="A845" s="78">
        <f ca="1" t="shared" si="39"/>
        <v>30701</v>
      </c>
      <c r="B845" s="82">
        <f ca="1">IFERROR(R845+COUNTIFS($R$11:$R845,R845),"")</f>
        <v>30740</v>
      </c>
      <c r="C845" s="83" t="str">
        <f ca="1">IF(MOD(COUNTIF($Q$11:Q844,Q844),5)=0,OFFSET(装备属性!$D$1083,1+INT(COUNTA($Q$11:Q844)/5),0),C844)</f>
        <v>粉</v>
      </c>
      <c r="D845" s="82">
        <f t="shared" si="38"/>
        <v>1000</v>
      </c>
      <c r="F845" s="82">
        <f ca="1" t="shared" si="40"/>
        <v>30707</v>
      </c>
      <c r="G845" s="78" t="str">
        <f ca="1">IF(AND(LEFT("[{"&amp;M845&amp;","&amp;CEILING(N845*10000+(O845-N845)/4*(COUNTIF($F$11:F845,F845)-1)*10000,10)&amp;"}]",7)="[{equip",MID("[{"&amp;M845&amp;","&amp;CEILING(N845*10000+(O845-N845)/4*(COUNTIF($F$11:F845,F845)-1)*10000,10)&amp;"}]",8,1)&lt;&gt;"_"),"[{"&amp;M845&amp;","&amp;1&amp;"}]","[{"&amp;M845&amp;","&amp;CEILING(N845*10000+(O845-N845)/4*(COUNTIF($F$11:F845,F845)-1)*10000,10)&amp;"}]")</f>
        <v>[{hunter_class_dmg_rate,1300}]</v>
      </c>
      <c r="H845" s="82" t="s">
        <v>563</v>
      </c>
      <c r="J845" s="78">
        <f ca="1">IF(MOD(COUNTIF($Q$11:Q844,Q844),5)=0,OFFSET(装备属性!$P$1083,1+INT(COUNTA($Q$11:Q844)/5),0),J844)</f>
        <v>4</v>
      </c>
      <c r="K845" s="83" t="str">
        <f ca="1">IF(RIGHT(G845,13)="rune_slot,1}]",_xlfn.XLOOKUP(LEFT(SUBSTITUTE(G845,"[{",""),FIND(",",SUBSTITUTE(G845,"[{",""))-1),Sheet2!B:B,Sheet2!C:C)&amp;"+"&amp;1,_xlfn.XLOOKUP(LEFT(SUBSTITUTE(G845,"[{",""),FIND(",",SUBSTITUTE(G845,"[{",""))-1),Sheet2!B:B,Sheet2!C:C)&amp;"+"&amp;SUBSTITUTE(RIGHT(G845,LEN(G845)-FIND(",",G845)),"}]","")/100&amp;"%")</f>
        <v>上阵两个射手职业增伤+13%</v>
      </c>
      <c r="L845" s="83" t="str">
        <f ca="1">IF(MOD(COUNTIF($Q$11:Q844,Q844),5)=0,OFFSET(装备属性!$G$1083,1+INT(COUNTA($Q$11:Q844)/5),0),L844)</f>
        <v>远程小队Ⅳ</v>
      </c>
      <c r="M845" s="89" t="str">
        <f ca="1">IF(MOD(COUNTIF($Q$11:Q844,Q844),5)=0,OFFSET(装备属性!$H$1083,1+INT(COUNTA($Q$11:Q844)/5),0),M844)</f>
        <v>hunter_class_dmg_rate</v>
      </c>
      <c r="N845" s="76">
        <f ca="1">IF(MOD(COUNTIF($Q$11:Q844,Q844),5)=0,OFFSET(装备属性!$K$1083,1+INT(COUNTA($Q$11:Q844)/5),0),N844)</f>
        <v>0.11</v>
      </c>
      <c r="O845" s="76">
        <f ca="1">IF(MOD(COUNTIF($Q$11:Q844,Q844),5)=0,OFFSET(装备属性!$L$1083,1+INT(COUNTA($Q$11:Q844)/5),0),O844)</f>
        <v>0.13</v>
      </c>
      <c r="Q845" s="89" t="str">
        <f ca="1">IF(MOD(COUNTIF($Q$11:Q844,Q844),5)=0,OFFSET(装备属性!$M$1083,1+INT(COUNTA($Q$11:Q844)/5),0),Q844)</f>
        <v>通用属性</v>
      </c>
      <c r="R845" s="83">
        <f ca="1">IF(MOD(COUNTIF($Q$11:Q844,Q844),5)=0,10000*SUBSTITUTE(SUBSTITUTE(OFFSET(装备属性!$F$1083,1+INT(COUNTA($Q$11:Q844)/5),0),"[",""),"]","")+_xlfn.XLOOKUP(C845,$M$3:$M$7,$N$3:$N$7)*100,R844)</f>
        <v>30700</v>
      </c>
    </row>
    <row r="846" customHeight="1" spans="1:18">
      <c r="A846" s="78">
        <f ca="1" t="shared" si="39"/>
        <v>30701</v>
      </c>
      <c r="B846" s="82">
        <f ca="1">IFERROR(R846+COUNTIFS($R$11:$R846,R846),"")</f>
        <v>30741</v>
      </c>
      <c r="C846" s="83" t="str">
        <f ca="1">IF(MOD(COUNTIF($Q$11:Q845,Q845),5)=0,OFFSET(装备属性!$D$1083,1+INT(COUNTA($Q$11:Q845)/5),0),C845)</f>
        <v>粉</v>
      </c>
      <c r="D846" s="82">
        <f t="shared" si="38"/>
        <v>3000</v>
      </c>
      <c r="F846" s="82">
        <f ca="1" t="shared" si="40"/>
        <v>30708</v>
      </c>
      <c r="G846" s="78" t="str">
        <f ca="1">IF(AND(LEFT("[{"&amp;M846&amp;","&amp;CEILING(N846*10000+(O846-N846)/4*(COUNTIF($F$11:F846,F846)-1)*10000,10)&amp;"}]",7)="[{equip",MID("[{"&amp;M846&amp;","&amp;CEILING(N846*10000+(O846-N846)/4*(COUNTIF($F$11:F846,F846)-1)*10000,10)&amp;"}]",8,1)&lt;&gt;"_"),"[{"&amp;M846&amp;","&amp;1&amp;"}]","[{"&amp;M846&amp;","&amp;CEILING(N846*10000+(O846-N846)/4*(COUNTIF($F$11:F846,F846)-1)*10000,10)&amp;"}]")</f>
        <v>[{hunter_crit_dmg,3300}]</v>
      </c>
      <c r="H846" s="82" t="s">
        <v>563</v>
      </c>
      <c r="J846" s="78">
        <f ca="1">IF(MOD(COUNTIF($Q$11:Q845,Q845),5)=0,OFFSET(装备属性!$P$1083,1+INT(COUNTA($Q$11:Q845)/5),0),J845)</f>
        <v>10</v>
      </c>
      <c r="K846" s="83" t="str">
        <f ca="1">IF(RIGHT(G846,13)="rune_slot,1}]",_xlfn.XLOOKUP(LEFT(SUBSTITUTE(G846,"[{",""),FIND(",",SUBSTITUTE(G846,"[{",""))-1),Sheet2!B:B,Sheet2!C:C)&amp;"+"&amp;1,_xlfn.XLOOKUP(LEFT(SUBSTITUTE(G846,"[{",""),FIND(",",SUBSTITUTE(G846,"[{",""))-1),Sheet2!B:B,Sheet2!C:C)&amp;"+"&amp;SUBSTITUTE(RIGHT(G846,LEN(G846)-FIND(",",G846)),"}]","")/100&amp;"%")</f>
        <v>射手暴击伤害+33%</v>
      </c>
      <c r="L846" s="83" t="str">
        <f ca="1">IF(MOD(COUNTIF($Q$11:Q845,Q845),5)=0,OFFSET(装备属性!$G$1083,1+INT(COUNTA($Q$11:Q845)/5),0),L845)</f>
        <v>暴走远程Ⅳ</v>
      </c>
      <c r="M846" s="89" t="str">
        <f ca="1">IF(MOD(COUNTIF($Q$11:Q845,Q845),5)=0,OFFSET(装备属性!$H$1083,1+INT(COUNTA($Q$11:Q845)/5),0),M845)</f>
        <v>hunter_crit_dmg</v>
      </c>
      <c r="N846" s="76">
        <f ca="1">IF(MOD(COUNTIF($Q$11:Q845,Q845),5)=0,OFFSET(装备属性!$K$1083,1+INT(COUNTA($Q$11:Q845)/5),0),N845)</f>
        <v>0.33</v>
      </c>
      <c r="O846" s="76">
        <f ca="1">IF(MOD(COUNTIF($Q$11:Q845,Q845),5)=0,OFFSET(装备属性!$L$1083,1+INT(COUNTA($Q$11:Q845)/5),0),O845)</f>
        <v>0.39</v>
      </c>
      <c r="Q846" s="89" t="str">
        <f ca="1">IF(MOD(COUNTIF($Q$11:Q845,Q845),5)=0,OFFSET(装备属性!$M$1083,1+INT(COUNTA($Q$11:Q845)/5),0),Q845)</f>
        <v>通用属性</v>
      </c>
      <c r="R846" s="83">
        <f ca="1">IF(MOD(COUNTIF($Q$11:Q845,Q845),5)=0,10000*SUBSTITUTE(SUBSTITUTE(OFFSET(装备属性!$F$1083,1+INT(COUNTA($Q$11:Q845)/5),0),"[",""),"]","")+_xlfn.XLOOKUP(C846,$M$3:$M$7,$N$3:$N$7)*100,R845)</f>
        <v>30700</v>
      </c>
    </row>
    <row r="847" customHeight="1" spans="1:18">
      <c r="A847" s="78">
        <f ca="1" t="shared" si="39"/>
        <v>30701</v>
      </c>
      <c r="B847" s="82">
        <f ca="1">IFERROR(R847+COUNTIFS($R$11:$R847,R847),"")</f>
        <v>30742</v>
      </c>
      <c r="C847" s="83" t="str">
        <f ca="1">IF(MOD(COUNTIF($Q$11:Q846,Q846),5)=0,OFFSET(装备属性!$D$1083,1+INT(COUNTA($Q$11:Q846)/5),0),C846)</f>
        <v>粉</v>
      </c>
      <c r="D847" s="82">
        <f t="shared" si="38"/>
        <v>2500</v>
      </c>
      <c r="F847" s="82">
        <f ca="1" t="shared" si="40"/>
        <v>30708</v>
      </c>
      <c r="G847" s="78" t="str">
        <f ca="1">IF(AND(LEFT("[{"&amp;M847&amp;","&amp;CEILING(N847*10000+(O847-N847)/4*(COUNTIF($F$11:F847,F847)-1)*10000,10)&amp;"}]",7)="[{equip",MID("[{"&amp;M847&amp;","&amp;CEILING(N847*10000+(O847-N847)/4*(COUNTIF($F$11:F847,F847)-1)*10000,10)&amp;"}]",8,1)&lt;&gt;"_"),"[{"&amp;M847&amp;","&amp;1&amp;"}]","[{"&amp;M847&amp;","&amp;CEILING(N847*10000+(O847-N847)/4*(COUNTIF($F$11:F847,F847)-1)*10000,10)&amp;"}]")</f>
        <v>[{hunter_crit_dmg,3450}]</v>
      </c>
      <c r="H847" s="82" t="s">
        <v>563</v>
      </c>
      <c r="J847" s="78">
        <f ca="1">IF(MOD(COUNTIF($Q$11:Q846,Q846),5)=0,OFFSET(装备属性!$P$1083,1+INT(COUNTA($Q$11:Q846)/5),0),J846)</f>
        <v>10</v>
      </c>
      <c r="K847" s="83" t="str">
        <f ca="1">IF(RIGHT(G847,13)="rune_slot,1}]",_xlfn.XLOOKUP(LEFT(SUBSTITUTE(G847,"[{",""),FIND(",",SUBSTITUTE(G847,"[{",""))-1),Sheet2!B:B,Sheet2!C:C)&amp;"+"&amp;1,_xlfn.XLOOKUP(LEFT(SUBSTITUTE(G847,"[{",""),FIND(",",SUBSTITUTE(G847,"[{",""))-1),Sheet2!B:B,Sheet2!C:C)&amp;"+"&amp;SUBSTITUTE(RIGHT(G847,LEN(G847)-FIND(",",G847)),"}]","")/100&amp;"%")</f>
        <v>射手暴击伤害+34.5%</v>
      </c>
      <c r="L847" s="83" t="str">
        <f ca="1">IF(MOD(COUNTIF($Q$11:Q846,Q846),5)=0,OFFSET(装备属性!$G$1083,1+INT(COUNTA($Q$11:Q846)/5),0),L846)</f>
        <v>暴走远程Ⅳ</v>
      </c>
      <c r="M847" s="89" t="str">
        <f ca="1">IF(MOD(COUNTIF($Q$11:Q846,Q846),5)=0,OFFSET(装备属性!$H$1083,1+INT(COUNTA($Q$11:Q846)/5),0),M846)</f>
        <v>hunter_crit_dmg</v>
      </c>
      <c r="N847" s="76">
        <f ca="1">IF(MOD(COUNTIF($Q$11:Q846,Q846),5)=0,OFFSET(装备属性!$K$1083,1+INT(COUNTA($Q$11:Q846)/5),0),N846)</f>
        <v>0.33</v>
      </c>
      <c r="O847" s="76">
        <f ca="1">IF(MOD(COUNTIF($Q$11:Q846,Q846),5)=0,OFFSET(装备属性!$L$1083,1+INT(COUNTA($Q$11:Q846)/5),0),O846)</f>
        <v>0.39</v>
      </c>
      <c r="Q847" s="89" t="str">
        <f ca="1">IF(MOD(COUNTIF($Q$11:Q846,Q846),5)=0,OFFSET(装备属性!$M$1083,1+INT(COUNTA($Q$11:Q846)/5),0),Q846)</f>
        <v>通用属性</v>
      </c>
      <c r="R847" s="83">
        <f ca="1">IF(MOD(COUNTIF($Q$11:Q846,Q846),5)=0,10000*SUBSTITUTE(SUBSTITUTE(OFFSET(装备属性!$F$1083,1+INT(COUNTA($Q$11:Q846)/5),0),"[",""),"]","")+_xlfn.XLOOKUP(C847,$M$3:$M$7,$N$3:$N$7)*100,R846)</f>
        <v>30700</v>
      </c>
    </row>
    <row r="848" customHeight="1" spans="1:18">
      <c r="A848" s="78">
        <f ca="1" t="shared" si="39"/>
        <v>30701</v>
      </c>
      <c r="B848" s="82">
        <f ca="1">IFERROR(R848+COUNTIFS($R$11:$R848,R848),"")</f>
        <v>30743</v>
      </c>
      <c r="C848" s="83" t="str">
        <f ca="1">IF(MOD(COUNTIF($Q$11:Q847,Q847),5)=0,OFFSET(装备属性!$D$1083,1+INT(COUNTA($Q$11:Q847)/5),0),C847)</f>
        <v>粉</v>
      </c>
      <c r="D848" s="82">
        <f t="shared" si="38"/>
        <v>2000</v>
      </c>
      <c r="F848" s="82">
        <f ca="1" t="shared" si="40"/>
        <v>30708</v>
      </c>
      <c r="G848" s="78" t="str">
        <f ca="1">IF(AND(LEFT("[{"&amp;M848&amp;","&amp;CEILING(N848*10000+(O848-N848)/4*(COUNTIF($F$11:F848,F848)-1)*10000,10)&amp;"}]",7)="[{equip",MID("[{"&amp;M848&amp;","&amp;CEILING(N848*10000+(O848-N848)/4*(COUNTIF($F$11:F848,F848)-1)*10000,10)&amp;"}]",8,1)&lt;&gt;"_"),"[{"&amp;M848&amp;","&amp;1&amp;"}]","[{"&amp;M848&amp;","&amp;CEILING(N848*10000+(O848-N848)/4*(COUNTIF($F$11:F848,F848)-1)*10000,10)&amp;"}]")</f>
        <v>[{hunter_crit_dmg,3600}]</v>
      </c>
      <c r="H848" s="82" t="s">
        <v>563</v>
      </c>
      <c r="J848" s="78">
        <f ca="1">IF(MOD(COUNTIF($Q$11:Q847,Q847),5)=0,OFFSET(装备属性!$P$1083,1+INT(COUNTA($Q$11:Q847)/5),0),J847)</f>
        <v>10</v>
      </c>
      <c r="K848" s="83" t="str">
        <f ca="1">IF(RIGHT(G848,13)="rune_slot,1}]",_xlfn.XLOOKUP(LEFT(SUBSTITUTE(G848,"[{",""),FIND(",",SUBSTITUTE(G848,"[{",""))-1),Sheet2!B:B,Sheet2!C:C)&amp;"+"&amp;1,_xlfn.XLOOKUP(LEFT(SUBSTITUTE(G848,"[{",""),FIND(",",SUBSTITUTE(G848,"[{",""))-1),Sheet2!B:B,Sheet2!C:C)&amp;"+"&amp;SUBSTITUTE(RIGHT(G848,LEN(G848)-FIND(",",G848)),"}]","")/100&amp;"%")</f>
        <v>射手暴击伤害+36%</v>
      </c>
      <c r="L848" s="83" t="str">
        <f ca="1">IF(MOD(COUNTIF($Q$11:Q847,Q847),5)=0,OFFSET(装备属性!$G$1083,1+INT(COUNTA($Q$11:Q847)/5),0),L847)</f>
        <v>暴走远程Ⅳ</v>
      </c>
      <c r="M848" s="89" t="str">
        <f ca="1">IF(MOD(COUNTIF($Q$11:Q847,Q847),5)=0,OFFSET(装备属性!$H$1083,1+INT(COUNTA($Q$11:Q847)/5),0),M847)</f>
        <v>hunter_crit_dmg</v>
      </c>
      <c r="N848" s="76">
        <f ca="1">IF(MOD(COUNTIF($Q$11:Q847,Q847),5)=0,OFFSET(装备属性!$K$1083,1+INT(COUNTA($Q$11:Q847)/5),0),N847)</f>
        <v>0.33</v>
      </c>
      <c r="O848" s="76">
        <f ca="1">IF(MOD(COUNTIF($Q$11:Q847,Q847),5)=0,OFFSET(装备属性!$L$1083,1+INT(COUNTA($Q$11:Q847)/5),0),O847)</f>
        <v>0.39</v>
      </c>
      <c r="Q848" s="89" t="str">
        <f ca="1">IF(MOD(COUNTIF($Q$11:Q847,Q847),5)=0,OFFSET(装备属性!$M$1083,1+INT(COUNTA($Q$11:Q847)/5),0),Q847)</f>
        <v>通用属性</v>
      </c>
      <c r="R848" s="83">
        <f ca="1">IF(MOD(COUNTIF($Q$11:Q847,Q847),5)=0,10000*SUBSTITUTE(SUBSTITUTE(OFFSET(装备属性!$F$1083,1+INT(COUNTA($Q$11:Q847)/5),0),"[",""),"]","")+_xlfn.XLOOKUP(C848,$M$3:$M$7,$N$3:$N$7)*100,R847)</f>
        <v>30700</v>
      </c>
    </row>
    <row r="849" customHeight="1" spans="1:18">
      <c r="A849" s="78">
        <f ca="1" t="shared" si="39"/>
        <v>30701</v>
      </c>
      <c r="B849" s="82">
        <f ca="1">IFERROR(R849+COUNTIFS($R$11:$R849,R849),"")</f>
        <v>30744</v>
      </c>
      <c r="C849" s="83" t="str">
        <f ca="1">IF(MOD(COUNTIF($Q$11:Q848,Q848),5)=0,OFFSET(装备属性!$D$1083,1+INT(COUNTA($Q$11:Q848)/5),0),C848)</f>
        <v>粉</v>
      </c>
      <c r="D849" s="82">
        <f t="shared" ref="D849:D912" si="41">D844</f>
        <v>1500</v>
      </c>
      <c r="F849" s="82">
        <f ca="1" t="shared" si="40"/>
        <v>30708</v>
      </c>
      <c r="G849" s="78" t="str">
        <f ca="1">IF(AND(LEFT("[{"&amp;M849&amp;","&amp;CEILING(N849*10000+(O849-N849)/4*(COUNTIF($F$11:F849,F849)-1)*10000,10)&amp;"}]",7)="[{equip",MID("[{"&amp;M849&amp;","&amp;CEILING(N849*10000+(O849-N849)/4*(COUNTIF($F$11:F849,F849)-1)*10000,10)&amp;"}]",8,1)&lt;&gt;"_"),"[{"&amp;M849&amp;","&amp;1&amp;"}]","[{"&amp;M849&amp;","&amp;CEILING(N849*10000+(O849-N849)/4*(COUNTIF($F$11:F849,F849)-1)*10000,10)&amp;"}]")</f>
        <v>[{hunter_crit_dmg,3750}]</v>
      </c>
      <c r="H849" s="82" t="s">
        <v>563</v>
      </c>
      <c r="J849" s="78">
        <f ca="1">IF(MOD(COUNTIF($Q$11:Q848,Q848),5)=0,OFFSET(装备属性!$P$1083,1+INT(COUNTA($Q$11:Q848)/5),0),J848)</f>
        <v>10</v>
      </c>
      <c r="K849" s="83" t="str">
        <f ca="1">IF(RIGHT(G849,13)="rune_slot,1}]",_xlfn.XLOOKUP(LEFT(SUBSTITUTE(G849,"[{",""),FIND(",",SUBSTITUTE(G849,"[{",""))-1),Sheet2!B:B,Sheet2!C:C)&amp;"+"&amp;1,_xlfn.XLOOKUP(LEFT(SUBSTITUTE(G849,"[{",""),FIND(",",SUBSTITUTE(G849,"[{",""))-1),Sheet2!B:B,Sheet2!C:C)&amp;"+"&amp;SUBSTITUTE(RIGHT(G849,LEN(G849)-FIND(",",G849)),"}]","")/100&amp;"%")</f>
        <v>射手暴击伤害+37.5%</v>
      </c>
      <c r="L849" s="83" t="str">
        <f ca="1">IF(MOD(COUNTIF($Q$11:Q848,Q848),5)=0,OFFSET(装备属性!$G$1083,1+INT(COUNTA($Q$11:Q848)/5),0),L848)</f>
        <v>暴走远程Ⅳ</v>
      </c>
      <c r="M849" s="89" t="str">
        <f ca="1">IF(MOD(COUNTIF($Q$11:Q848,Q848),5)=0,OFFSET(装备属性!$H$1083,1+INT(COUNTA($Q$11:Q848)/5),0),M848)</f>
        <v>hunter_crit_dmg</v>
      </c>
      <c r="N849" s="76">
        <f ca="1">IF(MOD(COUNTIF($Q$11:Q848,Q848),5)=0,OFFSET(装备属性!$K$1083,1+INT(COUNTA($Q$11:Q848)/5),0),N848)</f>
        <v>0.33</v>
      </c>
      <c r="O849" s="76">
        <f ca="1">IF(MOD(COUNTIF($Q$11:Q848,Q848),5)=0,OFFSET(装备属性!$L$1083,1+INT(COUNTA($Q$11:Q848)/5),0),O848)</f>
        <v>0.39</v>
      </c>
      <c r="Q849" s="89" t="str">
        <f ca="1">IF(MOD(COUNTIF($Q$11:Q848,Q848),5)=0,OFFSET(装备属性!$M$1083,1+INT(COUNTA($Q$11:Q848)/5),0),Q848)</f>
        <v>通用属性</v>
      </c>
      <c r="R849" s="83">
        <f ca="1">IF(MOD(COUNTIF($Q$11:Q848,Q848),5)=0,10000*SUBSTITUTE(SUBSTITUTE(OFFSET(装备属性!$F$1083,1+INT(COUNTA($Q$11:Q848)/5),0),"[",""),"]","")+_xlfn.XLOOKUP(C849,$M$3:$M$7,$N$3:$N$7)*100,R848)</f>
        <v>30700</v>
      </c>
    </row>
    <row r="850" customHeight="1" spans="1:18">
      <c r="A850" s="78">
        <f ca="1" t="shared" si="39"/>
        <v>30701</v>
      </c>
      <c r="B850" s="82">
        <f ca="1">IFERROR(R850+COUNTIFS($R$11:$R850,R850),"")</f>
        <v>30745</v>
      </c>
      <c r="C850" s="83" t="str">
        <f ca="1">IF(MOD(COUNTIF($Q$11:Q849,Q849),5)=0,OFFSET(装备属性!$D$1083,1+INT(COUNTA($Q$11:Q849)/5),0),C849)</f>
        <v>粉</v>
      </c>
      <c r="D850" s="82">
        <f t="shared" si="41"/>
        <v>1000</v>
      </c>
      <c r="F850" s="82">
        <f ca="1" t="shared" si="40"/>
        <v>30708</v>
      </c>
      <c r="G850" s="78" t="str">
        <f ca="1">IF(AND(LEFT("[{"&amp;M850&amp;","&amp;CEILING(N850*10000+(O850-N850)/4*(COUNTIF($F$11:F850,F850)-1)*10000,10)&amp;"}]",7)="[{equip",MID("[{"&amp;M850&amp;","&amp;CEILING(N850*10000+(O850-N850)/4*(COUNTIF($F$11:F850,F850)-1)*10000,10)&amp;"}]",8,1)&lt;&gt;"_"),"[{"&amp;M850&amp;","&amp;1&amp;"}]","[{"&amp;M850&amp;","&amp;CEILING(N850*10000+(O850-N850)/4*(COUNTIF($F$11:F850,F850)-1)*10000,10)&amp;"}]")</f>
        <v>[{hunter_crit_dmg,3900}]</v>
      </c>
      <c r="H850" s="82" t="s">
        <v>563</v>
      </c>
      <c r="J850" s="78">
        <f ca="1">IF(MOD(COUNTIF($Q$11:Q849,Q849),5)=0,OFFSET(装备属性!$P$1083,1+INT(COUNTA($Q$11:Q849)/5),0),J849)</f>
        <v>10</v>
      </c>
      <c r="K850" s="83" t="str">
        <f ca="1">IF(RIGHT(G850,13)="rune_slot,1}]",_xlfn.XLOOKUP(LEFT(SUBSTITUTE(G850,"[{",""),FIND(",",SUBSTITUTE(G850,"[{",""))-1),Sheet2!B:B,Sheet2!C:C)&amp;"+"&amp;1,_xlfn.XLOOKUP(LEFT(SUBSTITUTE(G850,"[{",""),FIND(",",SUBSTITUTE(G850,"[{",""))-1),Sheet2!B:B,Sheet2!C:C)&amp;"+"&amp;SUBSTITUTE(RIGHT(G850,LEN(G850)-FIND(",",G850)),"}]","")/100&amp;"%")</f>
        <v>射手暴击伤害+39%</v>
      </c>
      <c r="L850" s="83" t="str">
        <f ca="1">IF(MOD(COUNTIF($Q$11:Q849,Q849),5)=0,OFFSET(装备属性!$G$1083,1+INT(COUNTA($Q$11:Q849)/5),0),L849)</f>
        <v>暴走远程Ⅳ</v>
      </c>
      <c r="M850" s="89" t="str">
        <f ca="1">IF(MOD(COUNTIF($Q$11:Q849,Q849),5)=0,OFFSET(装备属性!$H$1083,1+INT(COUNTA($Q$11:Q849)/5),0),M849)</f>
        <v>hunter_crit_dmg</v>
      </c>
      <c r="N850" s="76">
        <f ca="1">IF(MOD(COUNTIF($Q$11:Q849,Q849),5)=0,OFFSET(装备属性!$K$1083,1+INT(COUNTA($Q$11:Q849)/5),0),N849)</f>
        <v>0.33</v>
      </c>
      <c r="O850" s="76">
        <f ca="1">IF(MOD(COUNTIF($Q$11:Q849,Q849),5)=0,OFFSET(装备属性!$L$1083,1+INT(COUNTA($Q$11:Q849)/5),0),O849)</f>
        <v>0.39</v>
      </c>
      <c r="Q850" s="89" t="str">
        <f ca="1">IF(MOD(COUNTIF($Q$11:Q849,Q849),5)=0,OFFSET(装备属性!$M$1083,1+INT(COUNTA($Q$11:Q849)/5),0),Q849)</f>
        <v>通用属性</v>
      </c>
      <c r="R850" s="83">
        <f ca="1">IF(MOD(COUNTIF($Q$11:Q849,Q849),5)=0,10000*SUBSTITUTE(SUBSTITUTE(OFFSET(装备属性!$F$1083,1+INT(COUNTA($Q$11:Q849)/5),0),"[",""),"]","")+_xlfn.XLOOKUP(C850,$M$3:$M$7,$N$3:$N$7)*100,R849)</f>
        <v>30700</v>
      </c>
    </row>
    <row r="851" customHeight="1" spans="1:18">
      <c r="A851" s="78" t="str">
        <f ca="1" t="shared" si="39"/>
        <v/>
      </c>
      <c r="B851" s="82" t="str">
        <f ca="1">IFERROR(R851+COUNTIFS($R$11:$R851,R851),"")</f>
        <v/>
      </c>
      <c r="C851" s="83">
        <f ca="1">IF(MOD(COUNTIF($Q$11:Q850,Q850),5)=0,OFFSET(装备属性!$D$1083,1+INT(COUNTA($Q$11:Q850)/5),0),C850)</f>
        <v>0</v>
      </c>
      <c r="D851" s="82">
        <f t="shared" si="41"/>
        <v>3000</v>
      </c>
      <c r="F851" s="82" t="str">
        <f ca="1" t="shared" si="40"/>
        <v/>
      </c>
      <c r="G851" s="78" t="str">
        <f ca="1">IF(AND(LEFT("[{"&amp;M851&amp;","&amp;CEILING(N851*10000+(O851-N851)/4*(COUNTIF($F$11:F851,F851)-1)*10000,10)&amp;"}]",7)="[{equip",MID("[{"&amp;M851&amp;","&amp;CEILING(N851*10000+(O851-N851)/4*(COUNTIF($F$11:F851,F851)-1)*10000,10)&amp;"}]",8,1)&lt;&gt;"_"),"[{"&amp;M851&amp;","&amp;1&amp;"}]","[{"&amp;M851&amp;","&amp;CEILING(N851*10000+(O851-N851)/4*(COUNTIF($F$11:F851,F851)-1)*10000,10)&amp;"}]")</f>
        <v>[{global_dmg_rate,12800}]</v>
      </c>
      <c r="H851" s="82" t="s">
        <v>563</v>
      </c>
      <c r="J851" s="78">
        <f ca="1">IF(MOD(COUNTIF($Q$11:Q850,Q850),5)=0,OFFSET(装备属性!$P$1083,1+INT(COUNTA($Q$11:Q850)/5),0),J850)</f>
        <v>2</v>
      </c>
      <c r="K851" s="83" t="str">
        <f ca="1">IF(RIGHT(G851,13)="rune_slot,1}]",_xlfn.XLOOKUP(LEFT(SUBSTITUTE(G851,"[{",""),FIND(",",SUBSTITUTE(G851,"[{",""))-1),Sheet2!B:B,Sheet2!C:C)&amp;"+"&amp;1,_xlfn.XLOOKUP(LEFT(SUBSTITUTE(G851,"[{",""),FIND(",",SUBSTITUTE(G851,"[{",""))-1),Sheet2!B:B,Sheet2!C:C)&amp;"+"&amp;SUBSTITUTE(RIGHT(G851,LEN(G851)-FIND(",",G851)),"}]","")/100&amp;"%")</f>
        <v>伤害加成+128%</v>
      </c>
      <c r="L851" s="83" t="str">
        <f ca="1">IF(MOD(COUNTIF($Q$11:Q850,Q850),5)=0,OFFSET(装备属性!$G$1083,1+INT(COUNTA($Q$11:Q850)/5),0),L850)</f>
        <v>全职小队Ⅴ</v>
      </c>
      <c r="M851" s="89" t="str">
        <f ca="1">IF(MOD(COUNTIF($Q$11:Q850,Q850),5)=0,OFFSET(装备属性!$H$1083,1+INT(COUNTA($Q$11:Q850)/5),0),M850)</f>
        <v>global_dmg_rate</v>
      </c>
      <c r="N851" s="76">
        <f ca="1">IF(MOD(COUNTIF($Q$11:Q850,Q850),5)=0,OFFSET(装备属性!$K$1083,1+INT(COUNTA($Q$11:Q850)/5),0),N850)</f>
        <v>0.072</v>
      </c>
      <c r="O851" s="76">
        <f ca="1">IF(MOD(COUNTIF($Q$11:Q850,Q850),5)=0,OFFSET(装备属性!$L$1083,1+INT(COUNTA($Q$11:Q850)/5),0),O850)</f>
        <v>0.086</v>
      </c>
      <c r="Q851" s="89" t="str">
        <f ca="1">IF(MOD(COUNTIF($Q$11:Q850,Q850),5)=0,OFFSET(装备属性!$M$1083,1+INT(COUNTA($Q$11:Q850)/5),0),Q850)</f>
        <v>通用属性</v>
      </c>
      <c r="R851" s="83" t="e">
        <f ca="1">IF(MOD(COUNTIF($Q$11:Q850,Q850),5)=0,10000*SUBSTITUTE(SUBSTITUTE(OFFSET(装备属性!$F$1083,1+INT(COUNTA($Q$11:Q850)/5),0),"[",""),"]","")+_xlfn.XLOOKUP(C851,$M$3:$M$7,$N$3:$N$7)*100,R850)</f>
        <v>#N/A</v>
      </c>
    </row>
    <row r="852" customHeight="1" spans="1:18">
      <c r="A852" s="78" t="str">
        <f ca="1" t="shared" si="39"/>
        <v/>
      </c>
      <c r="B852" s="82" t="str">
        <f ca="1">IFERROR(R852+COUNTIFS($R$11:$R852,R852),"")</f>
        <v/>
      </c>
      <c r="C852" s="83">
        <f ca="1">IF(MOD(COUNTIF($Q$11:Q851,Q851),5)=0,OFFSET(装备属性!$D$1083,1+INT(COUNTA($Q$11:Q851)/5),0),C851)</f>
        <v>0</v>
      </c>
      <c r="D852" s="82">
        <f t="shared" si="41"/>
        <v>2500</v>
      </c>
      <c r="F852" s="82" t="str">
        <f ca="1" t="shared" si="40"/>
        <v/>
      </c>
      <c r="G852" s="78" t="str">
        <f ca="1">IF(AND(LEFT("[{"&amp;M852&amp;","&amp;CEILING(N852*10000+(O852-N852)/4*(COUNTIF($F$11:F852,F852)-1)*10000,10)&amp;"}]",7)="[{equip",MID("[{"&amp;M852&amp;","&amp;CEILING(N852*10000+(O852-N852)/4*(COUNTIF($F$11:F852,F852)-1)*10000,10)&amp;"}]",8,1)&lt;&gt;"_"),"[{"&amp;M852&amp;","&amp;1&amp;"}]","[{"&amp;M852&amp;","&amp;CEILING(N852*10000+(O852-N852)/4*(COUNTIF($F$11:F852,F852)-1)*10000,10)&amp;"}]")</f>
        <v>[{global_dmg_rate,12830}]</v>
      </c>
      <c r="H852" s="82" t="s">
        <v>563</v>
      </c>
      <c r="J852" s="78">
        <f ca="1">IF(MOD(COUNTIF($Q$11:Q851,Q851),5)=0,OFFSET(装备属性!$P$1083,1+INT(COUNTA($Q$11:Q851)/5),0),J851)</f>
        <v>2</v>
      </c>
      <c r="K852" s="83" t="str">
        <f ca="1">IF(RIGHT(G852,13)="rune_slot,1}]",_xlfn.XLOOKUP(LEFT(SUBSTITUTE(G852,"[{",""),FIND(",",SUBSTITUTE(G852,"[{",""))-1),Sheet2!B:B,Sheet2!C:C)&amp;"+"&amp;1,_xlfn.XLOOKUP(LEFT(SUBSTITUTE(G852,"[{",""),FIND(",",SUBSTITUTE(G852,"[{",""))-1),Sheet2!B:B,Sheet2!C:C)&amp;"+"&amp;SUBSTITUTE(RIGHT(G852,LEN(G852)-FIND(",",G852)),"}]","")/100&amp;"%")</f>
        <v>伤害加成+128.3%</v>
      </c>
      <c r="L852" s="83" t="str">
        <f ca="1">IF(MOD(COUNTIF($Q$11:Q851,Q851),5)=0,OFFSET(装备属性!$G$1083,1+INT(COUNTA($Q$11:Q851)/5),0),L851)</f>
        <v>全职小队Ⅴ</v>
      </c>
      <c r="M852" s="89" t="str">
        <f ca="1">IF(MOD(COUNTIF($Q$11:Q851,Q851),5)=0,OFFSET(装备属性!$H$1083,1+INT(COUNTA($Q$11:Q851)/5),0),M851)</f>
        <v>global_dmg_rate</v>
      </c>
      <c r="N852" s="76">
        <f ca="1">IF(MOD(COUNTIF($Q$11:Q851,Q851),5)=0,OFFSET(装备属性!$K$1083,1+INT(COUNTA($Q$11:Q851)/5),0),N851)</f>
        <v>0.072</v>
      </c>
      <c r="O852" s="76">
        <f ca="1">IF(MOD(COUNTIF($Q$11:Q851,Q851),5)=0,OFFSET(装备属性!$L$1083,1+INT(COUNTA($Q$11:Q851)/5),0),O851)</f>
        <v>0.086</v>
      </c>
      <c r="Q852" s="89" t="str">
        <f ca="1">IF(MOD(COUNTIF($Q$11:Q851,Q851),5)=0,OFFSET(装备属性!$M$1083,1+INT(COUNTA($Q$11:Q851)/5),0),Q851)</f>
        <v>通用属性</v>
      </c>
      <c r="R852" s="83" t="e">
        <f ca="1">IF(MOD(COUNTIF($Q$11:Q851,Q851),5)=0,10000*SUBSTITUTE(SUBSTITUTE(OFFSET(装备属性!$F$1083,1+INT(COUNTA($Q$11:Q851)/5),0),"[",""),"]","")+_xlfn.XLOOKUP(C852,$M$3:$M$7,$N$3:$N$7)*100,R851)</f>
        <v>#N/A</v>
      </c>
    </row>
    <row r="853" customHeight="1" spans="1:18">
      <c r="A853" s="78" t="str">
        <f ca="1" t="shared" si="39"/>
        <v/>
      </c>
      <c r="B853" s="82" t="str">
        <f ca="1">IFERROR(R853+COUNTIFS($R$11:$R853,R853),"")</f>
        <v/>
      </c>
      <c r="C853" s="83">
        <f ca="1">IF(MOD(COUNTIF($Q$11:Q852,Q852),5)=0,OFFSET(装备属性!$D$1083,1+INT(COUNTA($Q$11:Q852)/5),0),C852)</f>
        <v>0</v>
      </c>
      <c r="D853" s="82">
        <f t="shared" si="41"/>
        <v>2000</v>
      </c>
      <c r="F853" s="82" t="str">
        <f ca="1" t="shared" si="40"/>
        <v/>
      </c>
      <c r="G853" s="78" t="str">
        <f ca="1">IF(AND(LEFT("[{"&amp;M853&amp;","&amp;CEILING(N853*10000+(O853-N853)/4*(COUNTIF($F$11:F853,F853)-1)*10000,10)&amp;"}]",7)="[{equip",MID("[{"&amp;M853&amp;","&amp;CEILING(N853*10000+(O853-N853)/4*(COUNTIF($F$11:F853,F853)-1)*10000,10)&amp;"}]",8,1)&lt;&gt;"_"),"[{"&amp;M853&amp;","&amp;1&amp;"}]","[{"&amp;M853&amp;","&amp;CEILING(N853*10000+(O853-N853)/4*(COUNTIF($F$11:F853,F853)-1)*10000,10)&amp;"}]")</f>
        <v>[{global_dmg_rate,12870}]</v>
      </c>
      <c r="H853" s="82" t="s">
        <v>563</v>
      </c>
      <c r="J853" s="78">
        <f ca="1">IF(MOD(COUNTIF($Q$11:Q852,Q852),5)=0,OFFSET(装备属性!$P$1083,1+INT(COUNTA($Q$11:Q852)/5),0),J852)</f>
        <v>2</v>
      </c>
      <c r="K853" s="83" t="str">
        <f ca="1">IF(RIGHT(G853,13)="rune_slot,1}]",_xlfn.XLOOKUP(LEFT(SUBSTITUTE(G853,"[{",""),FIND(",",SUBSTITUTE(G853,"[{",""))-1),Sheet2!B:B,Sheet2!C:C)&amp;"+"&amp;1,_xlfn.XLOOKUP(LEFT(SUBSTITUTE(G853,"[{",""),FIND(",",SUBSTITUTE(G853,"[{",""))-1),Sheet2!B:B,Sheet2!C:C)&amp;"+"&amp;SUBSTITUTE(RIGHT(G853,LEN(G853)-FIND(",",G853)),"}]","")/100&amp;"%")</f>
        <v>伤害加成+128.7%</v>
      </c>
      <c r="L853" s="83" t="str">
        <f ca="1">IF(MOD(COUNTIF($Q$11:Q852,Q852),5)=0,OFFSET(装备属性!$G$1083,1+INT(COUNTA($Q$11:Q852)/5),0),L852)</f>
        <v>全职小队Ⅴ</v>
      </c>
      <c r="M853" s="89" t="str">
        <f ca="1">IF(MOD(COUNTIF($Q$11:Q852,Q852),5)=0,OFFSET(装备属性!$H$1083,1+INT(COUNTA($Q$11:Q852)/5),0),M852)</f>
        <v>global_dmg_rate</v>
      </c>
      <c r="N853" s="76">
        <f ca="1">IF(MOD(COUNTIF($Q$11:Q852,Q852),5)=0,OFFSET(装备属性!$K$1083,1+INT(COUNTA($Q$11:Q852)/5),0),N852)</f>
        <v>0.072</v>
      </c>
      <c r="O853" s="76">
        <f ca="1">IF(MOD(COUNTIF($Q$11:Q852,Q852),5)=0,OFFSET(装备属性!$L$1083,1+INT(COUNTA($Q$11:Q852)/5),0),O852)</f>
        <v>0.086</v>
      </c>
      <c r="Q853" s="89" t="str">
        <f ca="1">IF(MOD(COUNTIF($Q$11:Q852,Q852),5)=0,OFFSET(装备属性!$M$1083,1+INT(COUNTA($Q$11:Q852)/5),0),Q852)</f>
        <v>通用属性</v>
      </c>
      <c r="R853" s="83" t="e">
        <f ca="1">IF(MOD(COUNTIF($Q$11:Q852,Q852),5)=0,10000*SUBSTITUTE(SUBSTITUTE(OFFSET(装备属性!$F$1083,1+INT(COUNTA($Q$11:Q852)/5),0),"[",""),"]","")+_xlfn.XLOOKUP(C853,$M$3:$M$7,$N$3:$N$7)*100,R852)</f>
        <v>#N/A</v>
      </c>
    </row>
    <row r="854" customHeight="1" spans="1:18">
      <c r="A854" s="78" t="str">
        <f ca="1" t="shared" si="39"/>
        <v/>
      </c>
      <c r="B854" s="82" t="str">
        <f ca="1">IFERROR(R854+COUNTIFS($R$11:$R854,R854),"")</f>
        <v/>
      </c>
      <c r="C854" s="83">
        <f ca="1">IF(MOD(COUNTIF($Q$11:Q853,Q853),5)=0,OFFSET(装备属性!$D$1083,1+INT(COUNTA($Q$11:Q853)/5),0),C853)</f>
        <v>0</v>
      </c>
      <c r="D854" s="82">
        <f t="shared" si="41"/>
        <v>1500</v>
      </c>
      <c r="F854" s="82" t="str">
        <f ca="1" t="shared" si="40"/>
        <v/>
      </c>
      <c r="G854" s="78" t="str">
        <f ca="1">IF(AND(LEFT("[{"&amp;M854&amp;","&amp;CEILING(N854*10000+(O854-N854)/4*(COUNTIF($F$11:F854,F854)-1)*10000,10)&amp;"}]",7)="[{equip",MID("[{"&amp;M854&amp;","&amp;CEILING(N854*10000+(O854-N854)/4*(COUNTIF($F$11:F854,F854)-1)*10000,10)&amp;"}]",8,1)&lt;&gt;"_"),"[{"&amp;M854&amp;","&amp;1&amp;"}]","[{"&amp;M854&amp;","&amp;CEILING(N854*10000+(O854-N854)/4*(COUNTIF($F$11:F854,F854)-1)*10000,10)&amp;"}]")</f>
        <v>[{global_dmg_rate,12900}]</v>
      </c>
      <c r="H854" s="82" t="s">
        <v>563</v>
      </c>
      <c r="J854" s="78">
        <f ca="1">IF(MOD(COUNTIF($Q$11:Q853,Q853),5)=0,OFFSET(装备属性!$P$1083,1+INT(COUNTA($Q$11:Q853)/5),0),J853)</f>
        <v>2</v>
      </c>
      <c r="K854" s="83" t="str">
        <f ca="1">IF(RIGHT(G854,13)="rune_slot,1}]",_xlfn.XLOOKUP(LEFT(SUBSTITUTE(G854,"[{",""),FIND(",",SUBSTITUTE(G854,"[{",""))-1),Sheet2!B:B,Sheet2!C:C)&amp;"+"&amp;1,_xlfn.XLOOKUP(LEFT(SUBSTITUTE(G854,"[{",""),FIND(",",SUBSTITUTE(G854,"[{",""))-1),Sheet2!B:B,Sheet2!C:C)&amp;"+"&amp;SUBSTITUTE(RIGHT(G854,LEN(G854)-FIND(",",G854)),"}]","")/100&amp;"%")</f>
        <v>伤害加成+129%</v>
      </c>
      <c r="L854" s="83" t="str">
        <f ca="1">IF(MOD(COUNTIF($Q$11:Q853,Q853),5)=0,OFFSET(装备属性!$G$1083,1+INT(COUNTA($Q$11:Q853)/5),0),L853)</f>
        <v>全职小队Ⅴ</v>
      </c>
      <c r="M854" s="89" t="str">
        <f ca="1">IF(MOD(COUNTIF($Q$11:Q853,Q853),5)=0,OFFSET(装备属性!$H$1083,1+INT(COUNTA($Q$11:Q853)/5),0),M853)</f>
        <v>global_dmg_rate</v>
      </c>
      <c r="N854" s="76">
        <f ca="1">IF(MOD(COUNTIF($Q$11:Q853,Q853),5)=0,OFFSET(装备属性!$K$1083,1+INT(COUNTA($Q$11:Q853)/5),0),N853)</f>
        <v>0.072</v>
      </c>
      <c r="O854" s="76">
        <f ca="1">IF(MOD(COUNTIF($Q$11:Q853,Q853),5)=0,OFFSET(装备属性!$L$1083,1+INT(COUNTA($Q$11:Q853)/5),0),O853)</f>
        <v>0.086</v>
      </c>
      <c r="Q854" s="89" t="str">
        <f ca="1">IF(MOD(COUNTIF($Q$11:Q853,Q853),5)=0,OFFSET(装备属性!$M$1083,1+INT(COUNTA($Q$11:Q853)/5),0),Q853)</f>
        <v>通用属性</v>
      </c>
      <c r="R854" s="83" t="e">
        <f ca="1">IF(MOD(COUNTIF($Q$11:Q853,Q853),5)=0,10000*SUBSTITUTE(SUBSTITUTE(OFFSET(装备属性!$F$1083,1+INT(COUNTA($Q$11:Q853)/5),0),"[",""),"]","")+_xlfn.XLOOKUP(C854,$M$3:$M$7,$N$3:$N$7)*100,R853)</f>
        <v>#N/A</v>
      </c>
    </row>
    <row r="855" customHeight="1" spans="1:18">
      <c r="A855" s="78" t="str">
        <f ca="1" t="shared" si="39"/>
        <v/>
      </c>
      <c r="B855" s="82" t="str">
        <f ca="1">IFERROR(R855+COUNTIFS($R$11:$R855,R855),"")</f>
        <v/>
      </c>
      <c r="C855" s="83">
        <f ca="1">IF(MOD(COUNTIF($Q$11:Q854,Q854),5)=0,OFFSET(装备属性!$D$1083,1+INT(COUNTA($Q$11:Q854)/5),0),C854)</f>
        <v>0</v>
      </c>
      <c r="D855" s="82">
        <f t="shared" si="41"/>
        <v>1000</v>
      </c>
      <c r="F855" s="82" t="str">
        <f ca="1" t="shared" si="40"/>
        <v/>
      </c>
      <c r="G855" s="78" t="str">
        <f ca="1">IF(AND(LEFT("[{"&amp;M855&amp;","&amp;CEILING(N855*10000+(O855-N855)/4*(COUNTIF($F$11:F855,F855)-1)*10000,10)&amp;"}]",7)="[{equip",MID("[{"&amp;M855&amp;","&amp;CEILING(N855*10000+(O855-N855)/4*(COUNTIF($F$11:F855,F855)-1)*10000,10)&amp;"}]",8,1)&lt;&gt;"_"),"[{"&amp;M855&amp;","&amp;1&amp;"}]","[{"&amp;M855&amp;","&amp;CEILING(N855*10000+(O855-N855)/4*(COUNTIF($F$11:F855,F855)-1)*10000,10)&amp;"}]")</f>
        <v>[{global_dmg_rate,12940}]</v>
      </c>
      <c r="H855" s="82" t="s">
        <v>563</v>
      </c>
      <c r="J855" s="78">
        <f ca="1">IF(MOD(COUNTIF($Q$11:Q854,Q854),5)=0,OFFSET(装备属性!$P$1083,1+INT(COUNTA($Q$11:Q854)/5),0),J854)</f>
        <v>2</v>
      </c>
      <c r="K855" s="83" t="str">
        <f ca="1">IF(RIGHT(G855,13)="rune_slot,1}]",_xlfn.XLOOKUP(LEFT(SUBSTITUTE(G855,"[{",""),FIND(",",SUBSTITUTE(G855,"[{",""))-1),Sheet2!B:B,Sheet2!C:C)&amp;"+"&amp;1,_xlfn.XLOOKUP(LEFT(SUBSTITUTE(G855,"[{",""),FIND(",",SUBSTITUTE(G855,"[{",""))-1),Sheet2!B:B,Sheet2!C:C)&amp;"+"&amp;SUBSTITUTE(RIGHT(G855,LEN(G855)-FIND(",",G855)),"}]","")/100&amp;"%")</f>
        <v>伤害加成+129.4%</v>
      </c>
      <c r="L855" s="83" t="str">
        <f ca="1">IF(MOD(COUNTIF($Q$11:Q854,Q854),5)=0,OFFSET(装备属性!$G$1083,1+INT(COUNTA($Q$11:Q854)/5),0),L854)</f>
        <v>全职小队Ⅴ</v>
      </c>
      <c r="M855" s="89" t="str">
        <f ca="1">IF(MOD(COUNTIF($Q$11:Q854,Q854),5)=0,OFFSET(装备属性!$H$1083,1+INT(COUNTA($Q$11:Q854)/5),0),M854)</f>
        <v>global_dmg_rate</v>
      </c>
      <c r="N855" s="76">
        <f ca="1">IF(MOD(COUNTIF($Q$11:Q854,Q854),5)=0,OFFSET(装备属性!$K$1083,1+INT(COUNTA($Q$11:Q854)/5),0),N854)</f>
        <v>0.072</v>
      </c>
      <c r="O855" s="76">
        <f ca="1">IF(MOD(COUNTIF($Q$11:Q854,Q854),5)=0,OFFSET(装备属性!$L$1083,1+INT(COUNTA($Q$11:Q854)/5),0),O854)</f>
        <v>0.086</v>
      </c>
      <c r="Q855" s="89" t="str">
        <f ca="1">IF(MOD(COUNTIF($Q$11:Q854,Q854),5)=0,OFFSET(装备属性!$M$1083,1+INT(COUNTA($Q$11:Q854)/5),0),Q854)</f>
        <v>通用属性</v>
      </c>
      <c r="R855" s="83" t="e">
        <f ca="1">IF(MOD(COUNTIF($Q$11:Q854,Q854),5)=0,10000*SUBSTITUTE(SUBSTITUTE(OFFSET(装备属性!$F$1083,1+INT(COUNTA($Q$11:Q854)/5),0),"[",""),"]","")+_xlfn.XLOOKUP(C855,$M$3:$M$7,$N$3:$N$7)*100,R854)</f>
        <v>#N/A</v>
      </c>
    </row>
    <row r="856" customHeight="1" spans="1:18">
      <c r="A856" s="78">
        <f ca="1" t="shared" si="39"/>
        <v>30801</v>
      </c>
      <c r="B856" s="82">
        <f ca="1">IFERROR(R856+COUNTIFS($R$11:$R856,R856),"")</f>
        <v>30801</v>
      </c>
      <c r="C856" s="83" t="str">
        <f ca="1">IF(MOD(COUNTIF($Q$11:Q855,Q855),5)=0,OFFSET(装备属性!$D$1083,1+INT(COUNTA($Q$11:Q855)/5),0),C855)</f>
        <v>彩</v>
      </c>
      <c r="D856" s="82">
        <f t="shared" si="41"/>
        <v>3000</v>
      </c>
      <c r="F856" s="82">
        <f ca="1" t="shared" si="40"/>
        <v>30800</v>
      </c>
      <c r="G856" s="78" t="str">
        <f ca="1">IF(AND(LEFT("[{"&amp;M856&amp;","&amp;CEILING(N856*10000+(O856-N856)/4*(COUNTIF($F$11:F856,F856)-1)*10000,10)&amp;"}]",7)="[{equip",MID("[{"&amp;M856&amp;","&amp;CEILING(N856*10000+(O856-N856)/4*(COUNTIF($F$11:F856,F856)-1)*10000,10)&amp;"}]",8,1)&lt;&gt;"_"),"[{"&amp;M856&amp;","&amp;1&amp;"}]","[{"&amp;M856&amp;","&amp;CEILING(N856*10000+(O856-N856)/4*(COUNTIF($F$11:F856,F856)-1)*10000,10)&amp;"}]")</f>
        <v>[{dmg_red_rate,300}]</v>
      </c>
      <c r="H856" s="82" t="s">
        <v>563</v>
      </c>
      <c r="J856" s="78">
        <f ca="1">IF(MOD(COUNTIF($Q$11:Q855,Q855),5)=0,OFFSET(装备属性!$P$1083,1+INT(COUNTA($Q$11:Q855)/5),0),J855)</f>
        <v>6</v>
      </c>
      <c r="K856" s="83" t="str">
        <f ca="1">IF(RIGHT(G856,13)="rune_slot,1}]",_xlfn.XLOOKUP(LEFT(SUBSTITUTE(G856,"[{",""),FIND(",",SUBSTITUTE(G856,"[{",""))-1),Sheet2!B:B,Sheet2!C:C)&amp;"+"&amp;1,_xlfn.XLOOKUP(LEFT(SUBSTITUTE(G856,"[{",""),FIND(",",SUBSTITUTE(G856,"[{",""))-1),Sheet2!B:B,Sheet2!C:C)&amp;"+"&amp;SUBSTITUTE(RIGHT(G856,LEN(G856)-FIND(",",G856)),"}]","")/100&amp;"%")</f>
        <v>伤害减免+3%</v>
      </c>
      <c r="L856" s="83" t="str">
        <f ca="1">IF(MOD(COUNTIF($Q$11:Q855,Q855),5)=0,OFFSET(装备属性!$G$1083,1+INT(COUNTA($Q$11:Q855)/5),0),L855)</f>
        <v>全员抗揍Ⅴ</v>
      </c>
      <c r="M856" s="89" t="str">
        <f ca="1">IF(MOD(COUNTIF($Q$11:Q855,Q855),5)=0,OFFSET(装备属性!$H$1083,1+INT(COUNTA($Q$11:Q855)/5),0),M855)</f>
        <v>dmg_red_rate</v>
      </c>
      <c r="N856" s="76">
        <f ca="1">IF(MOD(COUNTIF($Q$11:Q855,Q855),5)=0,OFFSET(装备属性!$K$1083,1+INT(COUNTA($Q$11:Q855)/5),0),N855)</f>
        <v>0.03</v>
      </c>
      <c r="O856" s="76">
        <f ca="1">IF(MOD(COUNTIF($Q$11:Q855,Q855),5)=0,OFFSET(装备属性!$L$1083,1+INT(COUNTA($Q$11:Q855)/5),0),O855)</f>
        <v>0.034</v>
      </c>
      <c r="Q856" s="89" t="str">
        <f ca="1">IF(MOD(COUNTIF($Q$11:Q855,Q855),5)=0,OFFSET(装备属性!$M$1083,1+INT(COUNTA($Q$11:Q855)/5),0),Q855)</f>
        <v>通用属性</v>
      </c>
      <c r="R856" s="83">
        <f ca="1">IF(MOD(COUNTIF($Q$11:Q855,Q855),5)=0,10000*SUBSTITUTE(SUBSTITUTE(OFFSET(装备属性!$F$1083,1+INT(COUNTA($Q$11:Q855)/5),0),"[",""),"]","")+_xlfn.XLOOKUP(C856,$M$3:$M$7,$N$3:$N$7)*100,R855)</f>
        <v>30800</v>
      </c>
    </row>
    <row r="857" customHeight="1" spans="1:18">
      <c r="A857" s="78">
        <f ca="1" t="shared" si="39"/>
        <v>30801</v>
      </c>
      <c r="B857" s="82">
        <f ca="1">IFERROR(R857+COUNTIFS($R$11:$R857,R857),"")</f>
        <v>30802</v>
      </c>
      <c r="C857" s="83" t="str">
        <f ca="1">IF(MOD(COUNTIF($Q$11:Q856,Q856),5)=0,OFFSET(装备属性!$D$1083,1+INT(COUNTA($Q$11:Q856)/5),0),C856)</f>
        <v>彩</v>
      </c>
      <c r="D857" s="82">
        <f t="shared" si="41"/>
        <v>2500</v>
      </c>
      <c r="F857" s="82">
        <f ca="1" t="shared" si="40"/>
        <v>30800</v>
      </c>
      <c r="G857" s="78" t="str">
        <f ca="1">IF(AND(LEFT("[{"&amp;M857&amp;","&amp;CEILING(N857*10000+(O857-N857)/4*(COUNTIF($F$11:F857,F857)-1)*10000,10)&amp;"}]",7)="[{equip",MID("[{"&amp;M857&amp;","&amp;CEILING(N857*10000+(O857-N857)/4*(COUNTIF($F$11:F857,F857)-1)*10000,10)&amp;"}]",8,1)&lt;&gt;"_"),"[{"&amp;M857&amp;","&amp;1&amp;"}]","[{"&amp;M857&amp;","&amp;CEILING(N857*10000+(O857-N857)/4*(COUNTIF($F$11:F857,F857)-1)*10000,10)&amp;"}]")</f>
        <v>[{dmg_red_rate,310}]</v>
      </c>
      <c r="H857" s="82" t="s">
        <v>563</v>
      </c>
      <c r="J857" s="78">
        <f ca="1">IF(MOD(COUNTIF($Q$11:Q856,Q856),5)=0,OFFSET(装备属性!$P$1083,1+INT(COUNTA($Q$11:Q856)/5),0),J856)</f>
        <v>6</v>
      </c>
      <c r="K857" s="83" t="str">
        <f ca="1">IF(RIGHT(G857,13)="rune_slot,1}]",_xlfn.XLOOKUP(LEFT(SUBSTITUTE(G857,"[{",""),FIND(",",SUBSTITUTE(G857,"[{",""))-1),Sheet2!B:B,Sheet2!C:C)&amp;"+"&amp;1,_xlfn.XLOOKUP(LEFT(SUBSTITUTE(G857,"[{",""),FIND(",",SUBSTITUTE(G857,"[{",""))-1),Sheet2!B:B,Sheet2!C:C)&amp;"+"&amp;SUBSTITUTE(RIGHT(G857,LEN(G857)-FIND(",",G857)),"}]","")/100&amp;"%")</f>
        <v>伤害减免+3.1%</v>
      </c>
      <c r="L857" s="83" t="str">
        <f ca="1">IF(MOD(COUNTIF($Q$11:Q856,Q856),5)=0,OFFSET(装备属性!$G$1083,1+INT(COUNTA($Q$11:Q856)/5),0),L856)</f>
        <v>全员抗揍Ⅴ</v>
      </c>
      <c r="M857" s="89" t="str">
        <f ca="1">IF(MOD(COUNTIF($Q$11:Q856,Q856),5)=0,OFFSET(装备属性!$H$1083,1+INT(COUNTA($Q$11:Q856)/5),0),M856)</f>
        <v>dmg_red_rate</v>
      </c>
      <c r="N857" s="76">
        <f ca="1">IF(MOD(COUNTIF($Q$11:Q856,Q856),5)=0,OFFSET(装备属性!$K$1083,1+INT(COUNTA($Q$11:Q856)/5),0),N856)</f>
        <v>0.03</v>
      </c>
      <c r="O857" s="76">
        <f ca="1">IF(MOD(COUNTIF($Q$11:Q856,Q856),5)=0,OFFSET(装备属性!$L$1083,1+INT(COUNTA($Q$11:Q856)/5),0),O856)</f>
        <v>0.034</v>
      </c>
      <c r="Q857" s="89" t="str">
        <f ca="1">IF(MOD(COUNTIF($Q$11:Q856,Q856),5)=0,OFFSET(装备属性!$M$1083,1+INT(COUNTA($Q$11:Q856)/5),0),Q856)</f>
        <v>通用属性</v>
      </c>
      <c r="R857" s="83">
        <f ca="1">IF(MOD(COUNTIF($Q$11:Q856,Q856),5)=0,10000*SUBSTITUTE(SUBSTITUTE(OFFSET(装备属性!$F$1083,1+INT(COUNTA($Q$11:Q856)/5),0),"[",""),"]","")+_xlfn.XLOOKUP(C857,$M$3:$M$7,$N$3:$N$7)*100,R856)</f>
        <v>30800</v>
      </c>
    </row>
    <row r="858" customHeight="1" spans="1:18">
      <c r="A858" s="78">
        <f ca="1" t="shared" si="39"/>
        <v>30801</v>
      </c>
      <c r="B858" s="82">
        <f ca="1">IFERROR(R858+COUNTIFS($R$11:$R858,R858),"")</f>
        <v>30803</v>
      </c>
      <c r="C858" s="83" t="str">
        <f ca="1">IF(MOD(COUNTIF($Q$11:Q857,Q857),5)=0,OFFSET(装备属性!$D$1083,1+INT(COUNTA($Q$11:Q857)/5),0),C857)</f>
        <v>彩</v>
      </c>
      <c r="D858" s="82">
        <f t="shared" si="41"/>
        <v>2000</v>
      </c>
      <c r="F858" s="82">
        <f ca="1" t="shared" si="40"/>
        <v>30800</v>
      </c>
      <c r="G858" s="78" t="str">
        <f ca="1">IF(AND(LEFT("[{"&amp;M858&amp;","&amp;CEILING(N858*10000+(O858-N858)/4*(COUNTIF($F$11:F858,F858)-1)*10000,10)&amp;"}]",7)="[{equip",MID("[{"&amp;M858&amp;","&amp;CEILING(N858*10000+(O858-N858)/4*(COUNTIF($F$11:F858,F858)-1)*10000,10)&amp;"}]",8,1)&lt;&gt;"_"),"[{"&amp;M858&amp;","&amp;1&amp;"}]","[{"&amp;M858&amp;","&amp;CEILING(N858*10000+(O858-N858)/4*(COUNTIF($F$11:F858,F858)-1)*10000,10)&amp;"}]")</f>
        <v>[{dmg_red_rate,320}]</v>
      </c>
      <c r="H858" s="82" t="s">
        <v>563</v>
      </c>
      <c r="J858" s="78">
        <f ca="1">IF(MOD(COUNTIF($Q$11:Q857,Q857),5)=0,OFFSET(装备属性!$P$1083,1+INT(COUNTA($Q$11:Q857)/5),0),J857)</f>
        <v>6</v>
      </c>
      <c r="K858" s="83" t="str">
        <f ca="1">IF(RIGHT(G858,13)="rune_slot,1}]",_xlfn.XLOOKUP(LEFT(SUBSTITUTE(G858,"[{",""),FIND(",",SUBSTITUTE(G858,"[{",""))-1),Sheet2!B:B,Sheet2!C:C)&amp;"+"&amp;1,_xlfn.XLOOKUP(LEFT(SUBSTITUTE(G858,"[{",""),FIND(",",SUBSTITUTE(G858,"[{",""))-1),Sheet2!B:B,Sheet2!C:C)&amp;"+"&amp;SUBSTITUTE(RIGHT(G858,LEN(G858)-FIND(",",G858)),"}]","")/100&amp;"%")</f>
        <v>伤害减免+3.2%</v>
      </c>
      <c r="L858" s="83" t="str">
        <f ca="1">IF(MOD(COUNTIF($Q$11:Q857,Q857),5)=0,OFFSET(装备属性!$G$1083,1+INT(COUNTA($Q$11:Q857)/5),0),L857)</f>
        <v>全员抗揍Ⅴ</v>
      </c>
      <c r="M858" s="89" t="str">
        <f ca="1">IF(MOD(COUNTIF($Q$11:Q857,Q857),5)=0,OFFSET(装备属性!$H$1083,1+INT(COUNTA($Q$11:Q857)/5),0),M857)</f>
        <v>dmg_red_rate</v>
      </c>
      <c r="N858" s="76">
        <f ca="1">IF(MOD(COUNTIF($Q$11:Q857,Q857),5)=0,OFFSET(装备属性!$K$1083,1+INT(COUNTA($Q$11:Q857)/5),0),N857)</f>
        <v>0.03</v>
      </c>
      <c r="O858" s="76">
        <f ca="1">IF(MOD(COUNTIF($Q$11:Q857,Q857),5)=0,OFFSET(装备属性!$L$1083,1+INT(COUNTA($Q$11:Q857)/5),0),O857)</f>
        <v>0.034</v>
      </c>
      <c r="Q858" s="89" t="str">
        <f ca="1">IF(MOD(COUNTIF($Q$11:Q857,Q857),5)=0,OFFSET(装备属性!$M$1083,1+INT(COUNTA($Q$11:Q857)/5),0),Q857)</f>
        <v>通用属性</v>
      </c>
      <c r="R858" s="83">
        <f ca="1">IF(MOD(COUNTIF($Q$11:Q857,Q857),5)=0,10000*SUBSTITUTE(SUBSTITUTE(OFFSET(装备属性!$F$1083,1+INT(COUNTA($Q$11:Q857)/5),0),"[",""),"]","")+_xlfn.XLOOKUP(C858,$M$3:$M$7,$N$3:$N$7)*100,R857)</f>
        <v>30800</v>
      </c>
    </row>
    <row r="859" customHeight="1" spans="1:18">
      <c r="A859" s="78">
        <f ca="1" t="shared" si="39"/>
        <v>30801</v>
      </c>
      <c r="B859" s="82">
        <f ca="1">IFERROR(R859+COUNTIFS($R$11:$R859,R859),"")</f>
        <v>30804</v>
      </c>
      <c r="C859" s="83" t="str">
        <f ca="1">IF(MOD(COUNTIF($Q$11:Q858,Q858),5)=0,OFFSET(装备属性!$D$1083,1+INT(COUNTA($Q$11:Q858)/5),0),C858)</f>
        <v>彩</v>
      </c>
      <c r="D859" s="82">
        <f t="shared" si="41"/>
        <v>1500</v>
      </c>
      <c r="F859" s="82">
        <f ca="1" t="shared" si="40"/>
        <v>30800</v>
      </c>
      <c r="G859" s="78" t="str">
        <f ca="1">IF(AND(LEFT("[{"&amp;M859&amp;","&amp;CEILING(N859*10000+(O859-N859)/4*(COUNTIF($F$11:F859,F859)-1)*10000,10)&amp;"}]",7)="[{equip",MID("[{"&amp;M859&amp;","&amp;CEILING(N859*10000+(O859-N859)/4*(COUNTIF($F$11:F859,F859)-1)*10000,10)&amp;"}]",8,1)&lt;&gt;"_"),"[{"&amp;M859&amp;","&amp;1&amp;"}]","[{"&amp;M859&amp;","&amp;CEILING(N859*10000+(O859-N859)/4*(COUNTIF($F$11:F859,F859)-1)*10000,10)&amp;"}]")</f>
        <v>[{dmg_red_rate,330}]</v>
      </c>
      <c r="H859" s="82" t="s">
        <v>563</v>
      </c>
      <c r="J859" s="78">
        <f ca="1">IF(MOD(COUNTIF($Q$11:Q858,Q858),5)=0,OFFSET(装备属性!$P$1083,1+INT(COUNTA($Q$11:Q858)/5),0),J858)</f>
        <v>6</v>
      </c>
      <c r="K859" s="83" t="str">
        <f ca="1">IF(RIGHT(G859,13)="rune_slot,1}]",_xlfn.XLOOKUP(LEFT(SUBSTITUTE(G859,"[{",""),FIND(",",SUBSTITUTE(G859,"[{",""))-1),Sheet2!B:B,Sheet2!C:C)&amp;"+"&amp;1,_xlfn.XLOOKUP(LEFT(SUBSTITUTE(G859,"[{",""),FIND(",",SUBSTITUTE(G859,"[{",""))-1),Sheet2!B:B,Sheet2!C:C)&amp;"+"&amp;SUBSTITUTE(RIGHT(G859,LEN(G859)-FIND(",",G859)),"}]","")/100&amp;"%")</f>
        <v>伤害减免+3.3%</v>
      </c>
      <c r="L859" s="83" t="str">
        <f ca="1">IF(MOD(COUNTIF($Q$11:Q858,Q858),5)=0,OFFSET(装备属性!$G$1083,1+INT(COUNTA($Q$11:Q858)/5),0),L858)</f>
        <v>全员抗揍Ⅴ</v>
      </c>
      <c r="M859" s="89" t="str">
        <f ca="1">IF(MOD(COUNTIF($Q$11:Q858,Q858),5)=0,OFFSET(装备属性!$H$1083,1+INT(COUNTA($Q$11:Q858)/5),0),M858)</f>
        <v>dmg_red_rate</v>
      </c>
      <c r="N859" s="76">
        <f ca="1">IF(MOD(COUNTIF($Q$11:Q858,Q858),5)=0,OFFSET(装备属性!$K$1083,1+INT(COUNTA($Q$11:Q858)/5),0),N858)</f>
        <v>0.03</v>
      </c>
      <c r="O859" s="76">
        <f ca="1">IF(MOD(COUNTIF($Q$11:Q858,Q858),5)=0,OFFSET(装备属性!$L$1083,1+INT(COUNTA($Q$11:Q858)/5),0),O858)</f>
        <v>0.034</v>
      </c>
      <c r="Q859" s="89" t="str">
        <f ca="1">IF(MOD(COUNTIF($Q$11:Q858,Q858),5)=0,OFFSET(装备属性!$M$1083,1+INT(COUNTA($Q$11:Q858)/5),0),Q858)</f>
        <v>通用属性</v>
      </c>
      <c r="R859" s="83">
        <f ca="1">IF(MOD(COUNTIF($Q$11:Q858,Q858),5)=0,10000*SUBSTITUTE(SUBSTITUTE(OFFSET(装备属性!$F$1083,1+INT(COUNTA($Q$11:Q858)/5),0),"[",""),"]","")+_xlfn.XLOOKUP(C859,$M$3:$M$7,$N$3:$N$7)*100,R858)</f>
        <v>30800</v>
      </c>
    </row>
    <row r="860" customHeight="1" spans="1:18">
      <c r="A860" s="78">
        <f ca="1" t="shared" si="39"/>
        <v>30801</v>
      </c>
      <c r="B860" s="82">
        <f ca="1">IFERROR(R860+COUNTIFS($R$11:$R860,R860),"")</f>
        <v>30805</v>
      </c>
      <c r="C860" s="83" t="str">
        <f ca="1">IF(MOD(COUNTIF($Q$11:Q859,Q859),5)=0,OFFSET(装备属性!$D$1083,1+INT(COUNTA($Q$11:Q859)/5),0),C859)</f>
        <v>彩</v>
      </c>
      <c r="D860" s="82">
        <f t="shared" si="41"/>
        <v>1000</v>
      </c>
      <c r="F860" s="82">
        <f ca="1" t="shared" si="40"/>
        <v>30800</v>
      </c>
      <c r="G860" s="78" t="str">
        <f ca="1">IF(AND(LEFT("[{"&amp;M860&amp;","&amp;CEILING(N860*10000+(O860-N860)/4*(COUNTIF($F$11:F860,F860)-1)*10000,10)&amp;"}]",7)="[{equip",MID("[{"&amp;M860&amp;","&amp;CEILING(N860*10000+(O860-N860)/4*(COUNTIF($F$11:F860,F860)-1)*10000,10)&amp;"}]",8,1)&lt;&gt;"_"),"[{"&amp;M860&amp;","&amp;1&amp;"}]","[{"&amp;M860&amp;","&amp;CEILING(N860*10000+(O860-N860)/4*(COUNTIF($F$11:F860,F860)-1)*10000,10)&amp;"}]")</f>
        <v>[{dmg_red_rate,340}]</v>
      </c>
      <c r="H860" s="82" t="s">
        <v>563</v>
      </c>
      <c r="J860" s="78">
        <f ca="1">IF(MOD(COUNTIF($Q$11:Q859,Q859),5)=0,OFFSET(装备属性!$P$1083,1+INT(COUNTA($Q$11:Q859)/5),0),J859)</f>
        <v>6</v>
      </c>
      <c r="K860" s="83" t="str">
        <f ca="1">IF(RIGHT(G860,13)="rune_slot,1}]",_xlfn.XLOOKUP(LEFT(SUBSTITUTE(G860,"[{",""),FIND(",",SUBSTITUTE(G860,"[{",""))-1),Sheet2!B:B,Sheet2!C:C)&amp;"+"&amp;1,_xlfn.XLOOKUP(LEFT(SUBSTITUTE(G860,"[{",""),FIND(",",SUBSTITUTE(G860,"[{",""))-1),Sheet2!B:B,Sheet2!C:C)&amp;"+"&amp;SUBSTITUTE(RIGHT(G860,LEN(G860)-FIND(",",G860)),"}]","")/100&amp;"%")</f>
        <v>伤害减免+3.4%</v>
      </c>
      <c r="L860" s="83" t="str">
        <f ca="1">IF(MOD(COUNTIF($Q$11:Q859,Q859),5)=0,OFFSET(装备属性!$G$1083,1+INT(COUNTA($Q$11:Q859)/5),0),L859)</f>
        <v>全员抗揍Ⅴ</v>
      </c>
      <c r="M860" s="89" t="str">
        <f ca="1">IF(MOD(COUNTIF($Q$11:Q859,Q859),5)=0,OFFSET(装备属性!$H$1083,1+INT(COUNTA($Q$11:Q859)/5),0),M859)</f>
        <v>dmg_red_rate</v>
      </c>
      <c r="N860" s="76">
        <f ca="1">IF(MOD(COUNTIF($Q$11:Q859,Q859),5)=0,OFFSET(装备属性!$K$1083,1+INT(COUNTA($Q$11:Q859)/5),0),N859)</f>
        <v>0.03</v>
      </c>
      <c r="O860" s="76">
        <f ca="1">IF(MOD(COUNTIF($Q$11:Q859,Q859),5)=0,OFFSET(装备属性!$L$1083,1+INT(COUNTA($Q$11:Q859)/5),0),O859)</f>
        <v>0.034</v>
      </c>
      <c r="Q860" s="89" t="str">
        <f ca="1">IF(MOD(COUNTIF($Q$11:Q859,Q859),5)=0,OFFSET(装备属性!$M$1083,1+INT(COUNTA($Q$11:Q859)/5),0),Q859)</f>
        <v>通用属性</v>
      </c>
      <c r="R860" s="83">
        <f ca="1">IF(MOD(COUNTIF($Q$11:Q859,Q859),5)=0,10000*SUBSTITUTE(SUBSTITUTE(OFFSET(装备属性!$F$1083,1+INT(COUNTA($Q$11:Q859)/5),0),"[",""),"]","")+_xlfn.XLOOKUP(C860,$M$3:$M$7,$N$3:$N$7)*100,R859)</f>
        <v>30800</v>
      </c>
    </row>
    <row r="861" customHeight="1" spans="1:18">
      <c r="A861" s="78">
        <f ca="1" t="shared" si="39"/>
        <v>30801</v>
      </c>
      <c r="B861" s="82">
        <f ca="1">IFERROR(R861+COUNTIFS($R$11:$R861,R861),"")</f>
        <v>30806</v>
      </c>
      <c r="C861" s="83" t="str">
        <f ca="1">IF(MOD(COUNTIF($Q$11:Q860,Q860),5)=0,OFFSET(装备属性!$D$1083,1+INT(COUNTA($Q$11:Q860)/5),0),C860)</f>
        <v>彩</v>
      </c>
      <c r="D861" s="82">
        <f t="shared" si="41"/>
        <v>3000</v>
      </c>
      <c r="F861" s="82">
        <f ca="1" t="shared" si="40"/>
        <v>30801</v>
      </c>
      <c r="G861" s="78" t="str">
        <f ca="1">IF(AND(LEFT("[{"&amp;M861&amp;","&amp;CEILING(N861*10000+(O861-N861)/4*(COUNTIF($F$11:F861,F861)-1)*10000,10)&amp;"}]",7)="[{equip",MID("[{"&amp;M861&amp;","&amp;CEILING(N861*10000+(O861-N861)/4*(COUNTIF($F$11:F861,F861)-1)*10000,10)&amp;"}]",8,1)&lt;&gt;"_"),"[{"&amp;M861&amp;","&amp;1&amp;"}]","[{"&amp;M861&amp;","&amp;CEILING(N861*10000+(O861-N861)/4*(COUNTIF($F$11:F861,F861)-1)*10000,10)&amp;"}]")</f>
        <v>[{all_class_dmg,720}]</v>
      </c>
      <c r="H861" s="82" t="s">
        <v>563</v>
      </c>
      <c r="J861" s="78">
        <f ca="1">IF(MOD(COUNTIF($Q$11:Q860,Q860),5)=0,OFFSET(装备属性!$P$1083,1+INT(COUNTA($Q$11:Q860)/5),0),J860)</f>
        <v>2</v>
      </c>
      <c r="K861" s="83" t="str">
        <f ca="1">IF(RIGHT(G861,13)="rune_slot,1}]",_xlfn.XLOOKUP(LEFT(SUBSTITUTE(G861,"[{",""),FIND(",",SUBSTITUTE(G861,"[{",""))-1),Sheet2!B:B,Sheet2!C:C)&amp;"+"&amp;1,_xlfn.XLOOKUP(LEFT(SUBSTITUTE(G861,"[{",""),FIND(",",SUBSTITUTE(G861,"[{",""))-1),Sheet2!B:B,Sheet2!C:C)&amp;"+"&amp;SUBSTITUTE(RIGHT(G861,LEN(G861)-FIND(",",G861)),"}]","")/100&amp;"%")</f>
        <v>上阵五个不同职业增伤+7.2%</v>
      </c>
      <c r="L861" s="83" t="str">
        <f ca="1">IF(MOD(COUNTIF($Q$11:Q860,Q860),5)=0,OFFSET(装备属性!$G$1083,1+INT(COUNTA($Q$11:Q860)/5),0),L860)</f>
        <v>全员出力Ⅴ</v>
      </c>
      <c r="M861" s="89" t="str">
        <f ca="1">IF(MOD(COUNTIF($Q$11:Q860,Q860),5)=0,OFFSET(装备属性!$H$1083,1+INT(COUNTA($Q$11:Q860)/5),0),M860)</f>
        <v>all_class_dmg</v>
      </c>
      <c r="N861" s="76">
        <f ca="1">IF(MOD(COUNTIF($Q$11:Q860,Q860),5)=0,OFFSET(装备属性!$K$1083,1+INT(COUNTA($Q$11:Q860)/5),0),N860)</f>
        <v>0.072</v>
      </c>
      <c r="O861" s="76">
        <f ca="1">IF(MOD(COUNTIF($Q$11:Q860,Q860),5)=0,OFFSET(装备属性!$L$1083,1+INT(COUNTA($Q$11:Q860)/5),0),O860)</f>
        <v>0.086</v>
      </c>
      <c r="Q861" s="89" t="str">
        <f ca="1">IF(MOD(COUNTIF($Q$11:Q860,Q860),5)=0,OFFSET(装备属性!$M$1083,1+INT(COUNTA($Q$11:Q860)/5),0),Q860)</f>
        <v>通用属性</v>
      </c>
      <c r="R861" s="83">
        <f ca="1">IF(MOD(COUNTIF($Q$11:Q860,Q860),5)=0,10000*SUBSTITUTE(SUBSTITUTE(OFFSET(装备属性!$F$1083,1+INT(COUNTA($Q$11:Q860)/5),0),"[",""),"]","")+_xlfn.XLOOKUP(C861,$M$3:$M$7,$N$3:$N$7)*100,R860)</f>
        <v>30800</v>
      </c>
    </row>
    <row r="862" customHeight="1" spans="1:18">
      <c r="A862" s="78">
        <f ca="1" t="shared" si="39"/>
        <v>30801</v>
      </c>
      <c r="B862" s="82">
        <f ca="1">IFERROR(R862+COUNTIFS($R$11:$R862,R862),"")</f>
        <v>30807</v>
      </c>
      <c r="C862" s="83" t="str">
        <f ca="1">IF(MOD(COUNTIF($Q$11:Q861,Q861),5)=0,OFFSET(装备属性!$D$1083,1+INT(COUNTA($Q$11:Q861)/5),0),C861)</f>
        <v>彩</v>
      </c>
      <c r="D862" s="82">
        <f t="shared" si="41"/>
        <v>2500</v>
      </c>
      <c r="F862" s="82">
        <f ca="1" t="shared" si="40"/>
        <v>30801</v>
      </c>
      <c r="G862" s="78" t="str">
        <f ca="1">IF(AND(LEFT("[{"&amp;M862&amp;","&amp;CEILING(N862*10000+(O862-N862)/4*(COUNTIF($F$11:F862,F862)-1)*10000,10)&amp;"}]",7)="[{equip",MID("[{"&amp;M862&amp;","&amp;CEILING(N862*10000+(O862-N862)/4*(COUNTIF($F$11:F862,F862)-1)*10000,10)&amp;"}]",8,1)&lt;&gt;"_"),"[{"&amp;M862&amp;","&amp;1&amp;"}]","[{"&amp;M862&amp;","&amp;CEILING(N862*10000+(O862-N862)/4*(COUNTIF($F$11:F862,F862)-1)*10000,10)&amp;"}]")</f>
        <v>[{all_class_dmg,760}]</v>
      </c>
      <c r="H862" s="82" t="s">
        <v>563</v>
      </c>
      <c r="J862" s="78">
        <f ca="1">IF(MOD(COUNTIF($Q$11:Q861,Q861),5)=0,OFFSET(装备属性!$P$1083,1+INT(COUNTA($Q$11:Q861)/5),0),J861)</f>
        <v>2</v>
      </c>
      <c r="K862" s="83" t="str">
        <f ca="1">IF(RIGHT(G862,13)="rune_slot,1}]",_xlfn.XLOOKUP(LEFT(SUBSTITUTE(G862,"[{",""),FIND(",",SUBSTITUTE(G862,"[{",""))-1),Sheet2!B:B,Sheet2!C:C)&amp;"+"&amp;1,_xlfn.XLOOKUP(LEFT(SUBSTITUTE(G862,"[{",""),FIND(",",SUBSTITUTE(G862,"[{",""))-1),Sheet2!B:B,Sheet2!C:C)&amp;"+"&amp;SUBSTITUTE(RIGHT(G862,LEN(G862)-FIND(",",G862)),"}]","")/100&amp;"%")</f>
        <v>上阵五个不同职业增伤+7.6%</v>
      </c>
      <c r="L862" s="83" t="str">
        <f ca="1">IF(MOD(COUNTIF($Q$11:Q861,Q861),5)=0,OFFSET(装备属性!$G$1083,1+INT(COUNTA($Q$11:Q861)/5),0),L861)</f>
        <v>全员出力Ⅴ</v>
      </c>
      <c r="M862" s="89" t="str">
        <f ca="1">IF(MOD(COUNTIF($Q$11:Q861,Q861),5)=0,OFFSET(装备属性!$H$1083,1+INT(COUNTA($Q$11:Q861)/5),0),M861)</f>
        <v>all_class_dmg</v>
      </c>
      <c r="N862" s="76">
        <f ca="1">IF(MOD(COUNTIF($Q$11:Q861,Q861),5)=0,OFFSET(装备属性!$K$1083,1+INT(COUNTA($Q$11:Q861)/5),0),N861)</f>
        <v>0.072</v>
      </c>
      <c r="O862" s="76">
        <f ca="1">IF(MOD(COUNTIF($Q$11:Q861,Q861),5)=0,OFFSET(装备属性!$L$1083,1+INT(COUNTA($Q$11:Q861)/5),0),O861)</f>
        <v>0.086</v>
      </c>
      <c r="Q862" s="89" t="str">
        <f ca="1">IF(MOD(COUNTIF($Q$11:Q861,Q861),5)=0,OFFSET(装备属性!$M$1083,1+INT(COUNTA($Q$11:Q861)/5),0),Q861)</f>
        <v>通用属性</v>
      </c>
      <c r="R862" s="83">
        <f ca="1">IF(MOD(COUNTIF($Q$11:Q861,Q861),5)=0,10000*SUBSTITUTE(SUBSTITUTE(OFFSET(装备属性!$F$1083,1+INT(COUNTA($Q$11:Q861)/5),0),"[",""),"]","")+_xlfn.XLOOKUP(C862,$M$3:$M$7,$N$3:$N$7)*100,R861)</f>
        <v>30800</v>
      </c>
    </row>
    <row r="863" customHeight="1" spans="1:18">
      <c r="A863" s="78">
        <f ca="1" t="shared" si="39"/>
        <v>30801</v>
      </c>
      <c r="B863" s="82">
        <f ca="1">IFERROR(R863+COUNTIFS($R$11:$R863,R863),"")</f>
        <v>30808</v>
      </c>
      <c r="C863" s="83" t="str">
        <f ca="1">IF(MOD(COUNTIF($Q$11:Q862,Q862),5)=0,OFFSET(装备属性!$D$1083,1+INT(COUNTA($Q$11:Q862)/5),0),C862)</f>
        <v>彩</v>
      </c>
      <c r="D863" s="82">
        <f t="shared" si="41"/>
        <v>2000</v>
      </c>
      <c r="F863" s="82">
        <f ca="1" t="shared" si="40"/>
        <v>30801</v>
      </c>
      <c r="G863" s="78" t="str">
        <f ca="1">IF(AND(LEFT("[{"&amp;M863&amp;","&amp;CEILING(N863*10000+(O863-N863)/4*(COUNTIF($F$11:F863,F863)-1)*10000,10)&amp;"}]",7)="[{equip",MID("[{"&amp;M863&amp;","&amp;CEILING(N863*10000+(O863-N863)/4*(COUNTIF($F$11:F863,F863)-1)*10000,10)&amp;"}]",8,1)&lt;&gt;"_"),"[{"&amp;M863&amp;","&amp;1&amp;"}]","[{"&amp;M863&amp;","&amp;CEILING(N863*10000+(O863-N863)/4*(COUNTIF($F$11:F863,F863)-1)*10000,10)&amp;"}]")</f>
        <v>[{all_class_dmg,790}]</v>
      </c>
      <c r="H863" s="82" t="s">
        <v>563</v>
      </c>
      <c r="J863" s="78">
        <f ca="1">IF(MOD(COUNTIF($Q$11:Q862,Q862),5)=0,OFFSET(装备属性!$P$1083,1+INT(COUNTA($Q$11:Q862)/5),0),J862)</f>
        <v>2</v>
      </c>
      <c r="K863" s="83" t="str">
        <f ca="1">IF(RIGHT(G863,13)="rune_slot,1}]",_xlfn.XLOOKUP(LEFT(SUBSTITUTE(G863,"[{",""),FIND(",",SUBSTITUTE(G863,"[{",""))-1),Sheet2!B:B,Sheet2!C:C)&amp;"+"&amp;1,_xlfn.XLOOKUP(LEFT(SUBSTITUTE(G863,"[{",""),FIND(",",SUBSTITUTE(G863,"[{",""))-1),Sheet2!B:B,Sheet2!C:C)&amp;"+"&amp;SUBSTITUTE(RIGHT(G863,LEN(G863)-FIND(",",G863)),"}]","")/100&amp;"%")</f>
        <v>上阵五个不同职业增伤+7.9%</v>
      </c>
      <c r="L863" s="83" t="str">
        <f ca="1">IF(MOD(COUNTIF($Q$11:Q862,Q862),5)=0,OFFSET(装备属性!$G$1083,1+INT(COUNTA($Q$11:Q862)/5),0),L862)</f>
        <v>全员出力Ⅴ</v>
      </c>
      <c r="M863" s="89" t="str">
        <f ca="1">IF(MOD(COUNTIF($Q$11:Q862,Q862),5)=0,OFFSET(装备属性!$H$1083,1+INT(COUNTA($Q$11:Q862)/5),0),M862)</f>
        <v>all_class_dmg</v>
      </c>
      <c r="N863" s="76">
        <f ca="1">IF(MOD(COUNTIF($Q$11:Q862,Q862),5)=0,OFFSET(装备属性!$K$1083,1+INT(COUNTA($Q$11:Q862)/5),0),N862)</f>
        <v>0.072</v>
      </c>
      <c r="O863" s="76">
        <f ca="1">IF(MOD(COUNTIF($Q$11:Q862,Q862),5)=0,OFFSET(装备属性!$L$1083,1+INT(COUNTA($Q$11:Q862)/5),0),O862)</f>
        <v>0.086</v>
      </c>
      <c r="Q863" s="89" t="str">
        <f ca="1">IF(MOD(COUNTIF($Q$11:Q862,Q862),5)=0,OFFSET(装备属性!$M$1083,1+INT(COUNTA($Q$11:Q862)/5),0),Q862)</f>
        <v>通用属性</v>
      </c>
      <c r="R863" s="83">
        <f ca="1">IF(MOD(COUNTIF($Q$11:Q862,Q862),5)=0,10000*SUBSTITUTE(SUBSTITUTE(OFFSET(装备属性!$F$1083,1+INT(COUNTA($Q$11:Q862)/5),0),"[",""),"]","")+_xlfn.XLOOKUP(C863,$M$3:$M$7,$N$3:$N$7)*100,R862)</f>
        <v>30800</v>
      </c>
    </row>
    <row r="864" customHeight="1" spans="1:18">
      <c r="A864" s="78">
        <f ca="1" t="shared" si="39"/>
        <v>30801</v>
      </c>
      <c r="B864" s="82">
        <f ca="1">IFERROR(R864+COUNTIFS($R$11:$R864,R864),"")</f>
        <v>30809</v>
      </c>
      <c r="C864" s="83" t="str">
        <f ca="1">IF(MOD(COUNTIF($Q$11:Q863,Q863),5)=0,OFFSET(装备属性!$D$1083,1+INT(COUNTA($Q$11:Q863)/5),0),C863)</f>
        <v>彩</v>
      </c>
      <c r="D864" s="82">
        <f t="shared" si="41"/>
        <v>1500</v>
      </c>
      <c r="F864" s="82">
        <f ca="1" t="shared" si="40"/>
        <v>30801</v>
      </c>
      <c r="G864" s="78" t="str">
        <f ca="1">IF(AND(LEFT("[{"&amp;M864&amp;","&amp;CEILING(N864*10000+(O864-N864)/4*(COUNTIF($F$11:F864,F864)-1)*10000,10)&amp;"}]",7)="[{equip",MID("[{"&amp;M864&amp;","&amp;CEILING(N864*10000+(O864-N864)/4*(COUNTIF($F$11:F864,F864)-1)*10000,10)&amp;"}]",8,1)&lt;&gt;"_"),"[{"&amp;M864&amp;","&amp;1&amp;"}]","[{"&amp;M864&amp;","&amp;CEILING(N864*10000+(O864-N864)/4*(COUNTIF($F$11:F864,F864)-1)*10000,10)&amp;"}]")</f>
        <v>[{all_class_dmg,830}]</v>
      </c>
      <c r="H864" s="82" t="s">
        <v>563</v>
      </c>
      <c r="J864" s="78">
        <f ca="1">IF(MOD(COUNTIF($Q$11:Q863,Q863),5)=0,OFFSET(装备属性!$P$1083,1+INT(COUNTA($Q$11:Q863)/5),0),J863)</f>
        <v>2</v>
      </c>
      <c r="K864" s="83" t="str">
        <f ca="1">IF(RIGHT(G864,13)="rune_slot,1}]",_xlfn.XLOOKUP(LEFT(SUBSTITUTE(G864,"[{",""),FIND(",",SUBSTITUTE(G864,"[{",""))-1),Sheet2!B:B,Sheet2!C:C)&amp;"+"&amp;1,_xlfn.XLOOKUP(LEFT(SUBSTITUTE(G864,"[{",""),FIND(",",SUBSTITUTE(G864,"[{",""))-1),Sheet2!B:B,Sheet2!C:C)&amp;"+"&amp;SUBSTITUTE(RIGHT(G864,LEN(G864)-FIND(",",G864)),"}]","")/100&amp;"%")</f>
        <v>上阵五个不同职业增伤+8.3%</v>
      </c>
      <c r="L864" s="83" t="str">
        <f ca="1">IF(MOD(COUNTIF($Q$11:Q863,Q863),5)=0,OFFSET(装备属性!$G$1083,1+INT(COUNTA($Q$11:Q863)/5),0),L863)</f>
        <v>全员出力Ⅴ</v>
      </c>
      <c r="M864" s="89" t="str">
        <f ca="1">IF(MOD(COUNTIF($Q$11:Q863,Q863),5)=0,OFFSET(装备属性!$H$1083,1+INT(COUNTA($Q$11:Q863)/5),0),M863)</f>
        <v>all_class_dmg</v>
      </c>
      <c r="N864" s="76">
        <f ca="1">IF(MOD(COUNTIF($Q$11:Q863,Q863),5)=0,OFFSET(装备属性!$K$1083,1+INT(COUNTA($Q$11:Q863)/5),0),N863)</f>
        <v>0.072</v>
      </c>
      <c r="O864" s="76">
        <f ca="1">IF(MOD(COUNTIF($Q$11:Q863,Q863),5)=0,OFFSET(装备属性!$L$1083,1+INT(COUNTA($Q$11:Q863)/5),0),O863)</f>
        <v>0.086</v>
      </c>
      <c r="Q864" s="89" t="str">
        <f ca="1">IF(MOD(COUNTIF($Q$11:Q863,Q863),5)=0,OFFSET(装备属性!$M$1083,1+INT(COUNTA($Q$11:Q863)/5),0),Q863)</f>
        <v>通用属性</v>
      </c>
      <c r="R864" s="83">
        <f ca="1">IF(MOD(COUNTIF($Q$11:Q863,Q863),5)=0,10000*SUBSTITUTE(SUBSTITUTE(OFFSET(装备属性!$F$1083,1+INT(COUNTA($Q$11:Q863)/5),0),"[",""),"]","")+_xlfn.XLOOKUP(C864,$M$3:$M$7,$N$3:$N$7)*100,R863)</f>
        <v>30800</v>
      </c>
    </row>
    <row r="865" customHeight="1" spans="1:18">
      <c r="A865" s="78">
        <f ca="1" t="shared" si="39"/>
        <v>30801</v>
      </c>
      <c r="B865" s="82">
        <f ca="1">IFERROR(R865+COUNTIFS($R$11:$R865,R865),"")</f>
        <v>30810</v>
      </c>
      <c r="C865" s="83" t="str">
        <f ca="1">IF(MOD(COUNTIF($Q$11:Q864,Q864),5)=0,OFFSET(装备属性!$D$1083,1+INT(COUNTA($Q$11:Q864)/5),0),C864)</f>
        <v>彩</v>
      </c>
      <c r="D865" s="82">
        <f t="shared" si="41"/>
        <v>1000</v>
      </c>
      <c r="F865" s="82">
        <f ca="1" t="shared" si="40"/>
        <v>30801</v>
      </c>
      <c r="G865" s="78" t="str">
        <f ca="1">IF(AND(LEFT("[{"&amp;M865&amp;","&amp;CEILING(N865*10000+(O865-N865)/4*(COUNTIF($F$11:F865,F865)-1)*10000,10)&amp;"}]",7)="[{equip",MID("[{"&amp;M865&amp;","&amp;CEILING(N865*10000+(O865-N865)/4*(COUNTIF($F$11:F865,F865)-1)*10000,10)&amp;"}]",8,1)&lt;&gt;"_"),"[{"&amp;M865&amp;","&amp;1&amp;"}]","[{"&amp;M865&amp;","&amp;CEILING(N865*10000+(O865-N865)/4*(COUNTIF($F$11:F865,F865)-1)*10000,10)&amp;"}]")</f>
        <v>[{all_class_dmg,860}]</v>
      </c>
      <c r="H865" s="82" t="s">
        <v>563</v>
      </c>
      <c r="J865" s="78">
        <f ca="1">IF(MOD(COUNTIF($Q$11:Q864,Q864),5)=0,OFFSET(装备属性!$P$1083,1+INT(COUNTA($Q$11:Q864)/5),0),J864)</f>
        <v>2</v>
      </c>
      <c r="K865" s="83" t="str">
        <f ca="1">IF(RIGHT(G865,13)="rune_slot,1}]",_xlfn.XLOOKUP(LEFT(SUBSTITUTE(G865,"[{",""),FIND(",",SUBSTITUTE(G865,"[{",""))-1),Sheet2!B:B,Sheet2!C:C)&amp;"+"&amp;1,_xlfn.XLOOKUP(LEFT(SUBSTITUTE(G865,"[{",""),FIND(",",SUBSTITUTE(G865,"[{",""))-1),Sheet2!B:B,Sheet2!C:C)&amp;"+"&amp;SUBSTITUTE(RIGHT(G865,LEN(G865)-FIND(",",G865)),"}]","")/100&amp;"%")</f>
        <v>上阵五个不同职业增伤+8.6%</v>
      </c>
      <c r="L865" s="83" t="str">
        <f ca="1">IF(MOD(COUNTIF($Q$11:Q864,Q864),5)=0,OFFSET(装备属性!$G$1083,1+INT(COUNTA($Q$11:Q864)/5),0),L864)</f>
        <v>全员出力Ⅴ</v>
      </c>
      <c r="M865" s="89" t="str">
        <f ca="1">IF(MOD(COUNTIF($Q$11:Q864,Q864),5)=0,OFFSET(装备属性!$H$1083,1+INT(COUNTA($Q$11:Q864)/5),0),M864)</f>
        <v>all_class_dmg</v>
      </c>
      <c r="N865" s="76">
        <f ca="1">IF(MOD(COUNTIF($Q$11:Q864,Q864),5)=0,OFFSET(装备属性!$K$1083,1+INT(COUNTA($Q$11:Q864)/5),0),N864)</f>
        <v>0.072</v>
      </c>
      <c r="O865" s="76">
        <f ca="1">IF(MOD(COUNTIF($Q$11:Q864,Q864),5)=0,OFFSET(装备属性!$L$1083,1+INT(COUNTA($Q$11:Q864)/5),0),O864)</f>
        <v>0.086</v>
      </c>
      <c r="Q865" s="89" t="str">
        <f ca="1">IF(MOD(COUNTIF($Q$11:Q864,Q864),5)=0,OFFSET(装备属性!$M$1083,1+INT(COUNTA($Q$11:Q864)/5),0),Q864)</f>
        <v>通用属性</v>
      </c>
      <c r="R865" s="83">
        <f ca="1">IF(MOD(COUNTIF($Q$11:Q864,Q864),5)=0,10000*SUBSTITUTE(SUBSTITUTE(OFFSET(装备属性!$F$1083,1+INT(COUNTA($Q$11:Q864)/5),0),"[",""),"]","")+_xlfn.XLOOKUP(C865,$M$3:$M$7,$N$3:$N$7)*100,R864)</f>
        <v>30800</v>
      </c>
    </row>
    <row r="866" customHeight="1" spans="1:18">
      <c r="A866" s="78" t="str">
        <f ca="1" t="shared" si="39"/>
        <v/>
      </c>
      <c r="B866" s="82" t="str">
        <f ca="1">IFERROR(R866+COUNTIFS($R$11:$R866,R866),"")</f>
        <v/>
      </c>
      <c r="C866" s="83">
        <f ca="1">IF(MOD(COUNTIF($Q$11:Q865,Q865),5)=0,OFFSET(装备属性!$D$1083,1+INT(COUNTA($Q$11:Q865)/5),0),C865)</f>
        <v>0</v>
      </c>
      <c r="D866" s="82">
        <f t="shared" si="41"/>
        <v>3000</v>
      </c>
      <c r="F866" s="82" t="str">
        <f ca="1" t="shared" si="40"/>
        <v/>
      </c>
      <c r="G866" s="78" t="str">
        <f ca="1">IF(AND(LEFT("[{"&amp;M866&amp;","&amp;CEILING(N866*10000+(O866-N866)/4*(COUNTIF($F$11:F866,F866)-1)*10000,10)&amp;"}]",7)="[{equip",MID("[{"&amp;M866&amp;","&amp;CEILING(N866*10000+(O866-N866)/4*(COUNTIF($F$11:F866,F866)-1)*10000,10)&amp;"}]",8,1)&lt;&gt;"_"),"[{"&amp;M866&amp;","&amp;1&amp;"}]","[{"&amp;M866&amp;","&amp;CEILING(N866*10000+(O866-N866)/4*(COUNTIF($F$11:F866,F866)-1)*10000,10)&amp;"}]")</f>
        <v>[{exp_boost,2000}]</v>
      </c>
      <c r="H866" s="82" t="s">
        <v>563</v>
      </c>
      <c r="J866" s="78">
        <f ca="1">IF(MOD(COUNTIF($Q$11:Q865,Q865),5)=0,OFFSET(装备属性!$P$1083,1+INT(COUNTA($Q$11:Q865)/5),0),J865)</f>
        <v>9</v>
      </c>
      <c r="K866" s="83" t="str">
        <f ca="1">IF(RIGHT(G866,13)="rune_slot,1}]",_xlfn.XLOOKUP(LEFT(SUBSTITUTE(G866,"[{",""),FIND(",",SUBSTITUTE(G866,"[{",""))-1),Sheet2!B:B,Sheet2!C:C)&amp;"+"&amp;1,_xlfn.XLOOKUP(LEFT(SUBSTITUTE(G866,"[{",""),FIND(",",SUBSTITUTE(G866,"[{",""))-1),Sheet2!B:B,Sheet2!C:C)&amp;"+"&amp;SUBSTITUTE(RIGHT(G866,LEN(G866)-FIND(",",G866)),"}]","")/100&amp;"%")</f>
        <v>经验加成+20%</v>
      </c>
      <c r="L866" s="83" t="str">
        <f ca="1">IF(MOD(COUNTIF($Q$11:Q865,Q865),5)=0,OFFSET(装备属性!$G$1083,1+INT(COUNTA($Q$11:Q865)/5),0),L865)</f>
        <v>涨见识</v>
      </c>
      <c r="M866" s="89" t="str">
        <f ca="1">IF(MOD(COUNTIF($Q$11:Q865,Q865),5)=0,OFFSET(装备属性!$H$1083,1+INT(COUNTA($Q$11:Q865)/5),0),M865)</f>
        <v>exp_boost</v>
      </c>
      <c r="N866" s="76">
        <f ca="1">IF(MOD(COUNTIF($Q$11:Q865,Q865),5)=0,OFFSET(装备属性!$K$1083,1+INT(COUNTA($Q$11:Q865)/5),0),N865)</f>
        <v>0.2</v>
      </c>
      <c r="O866" s="76">
        <f ca="1">IF(MOD(COUNTIF($Q$11:Q865,Q865),5)=0,OFFSET(装备属性!$L$1083,1+INT(COUNTA($Q$11:Q865)/5),0),O865)</f>
        <v>0.2</v>
      </c>
      <c r="Q866" s="89" t="str">
        <f ca="1">IF(MOD(COUNTIF($Q$11:Q865,Q865),5)=0,OFFSET(装备属性!$M$1083,1+INT(COUNTA($Q$11:Q865)/5),0),Q865)</f>
        <v>稀有词条</v>
      </c>
      <c r="R866" s="83" t="e">
        <f ca="1">IF(MOD(COUNTIF($Q$11:Q865,Q865),5)=0,10000*SUBSTITUTE(SUBSTITUTE(OFFSET(装备属性!$F$1083,1+INT(COUNTA($Q$11:Q865)/5),0),"[",""),"]","")+_xlfn.XLOOKUP(C866,$M$3:$M$7,$N$3:$N$7)*100,R865)</f>
        <v>#N/A</v>
      </c>
    </row>
    <row r="867" customHeight="1" spans="1:18">
      <c r="A867" s="78" t="str">
        <f ca="1" t="shared" si="39"/>
        <v/>
      </c>
      <c r="B867" s="82" t="str">
        <f ca="1">IFERROR(R867+COUNTIFS($R$11:$R867,R867),"")</f>
        <v/>
      </c>
      <c r="C867" s="83">
        <f ca="1">IF(MOD(COUNTIF($Q$11:Q866,Q866),5)=0,OFFSET(装备属性!$D$1083,1+INT(COUNTA($Q$11:Q866)/5),0),C866)</f>
        <v>0</v>
      </c>
      <c r="D867" s="82">
        <f t="shared" si="41"/>
        <v>2500</v>
      </c>
      <c r="F867" s="82" t="str">
        <f ca="1" t="shared" si="40"/>
        <v/>
      </c>
      <c r="G867" s="78" t="str">
        <f ca="1">IF(AND(LEFT("[{"&amp;M867&amp;","&amp;CEILING(N867*10000+(O867-N867)/4*(COUNTIF($F$11:F867,F867)-1)*10000,10)&amp;"}]",7)="[{equip",MID("[{"&amp;M867&amp;","&amp;CEILING(N867*10000+(O867-N867)/4*(COUNTIF($F$11:F867,F867)-1)*10000,10)&amp;"}]",8,1)&lt;&gt;"_"),"[{"&amp;M867&amp;","&amp;1&amp;"}]","[{"&amp;M867&amp;","&amp;CEILING(N867*10000+(O867-N867)/4*(COUNTIF($F$11:F867,F867)-1)*10000,10)&amp;"}]")</f>
        <v>[{exp_boost,2000}]</v>
      </c>
      <c r="H867" s="82" t="s">
        <v>563</v>
      </c>
      <c r="J867" s="78">
        <f ca="1">IF(MOD(COUNTIF($Q$11:Q866,Q866),5)=0,OFFSET(装备属性!$P$1083,1+INT(COUNTA($Q$11:Q866)/5),0),J866)</f>
        <v>9</v>
      </c>
      <c r="K867" s="83" t="str">
        <f ca="1">IF(RIGHT(G867,13)="rune_slot,1}]",_xlfn.XLOOKUP(LEFT(SUBSTITUTE(G867,"[{",""),FIND(",",SUBSTITUTE(G867,"[{",""))-1),Sheet2!B:B,Sheet2!C:C)&amp;"+"&amp;1,_xlfn.XLOOKUP(LEFT(SUBSTITUTE(G867,"[{",""),FIND(",",SUBSTITUTE(G867,"[{",""))-1),Sheet2!B:B,Sheet2!C:C)&amp;"+"&amp;SUBSTITUTE(RIGHT(G867,LEN(G867)-FIND(",",G867)),"}]","")/100&amp;"%")</f>
        <v>经验加成+20%</v>
      </c>
      <c r="L867" s="83" t="str">
        <f ca="1">IF(MOD(COUNTIF($Q$11:Q866,Q866),5)=0,OFFSET(装备属性!$G$1083,1+INT(COUNTA($Q$11:Q866)/5),0),L866)</f>
        <v>涨见识</v>
      </c>
      <c r="M867" s="89" t="str">
        <f ca="1">IF(MOD(COUNTIF($Q$11:Q866,Q866),5)=0,OFFSET(装备属性!$H$1083,1+INT(COUNTA($Q$11:Q866)/5),0),M866)</f>
        <v>exp_boost</v>
      </c>
      <c r="N867" s="76">
        <f ca="1">IF(MOD(COUNTIF($Q$11:Q866,Q866),5)=0,OFFSET(装备属性!$K$1083,1+INT(COUNTA($Q$11:Q866)/5),0),N866)</f>
        <v>0.2</v>
      </c>
      <c r="O867" s="76">
        <f ca="1">IF(MOD(COUNTIF($Q$11:Q866,Q866),5)=0,OFFSET(装备属性!$L$1083,1+INT(COUNTA($Q$11:Q866)/5),0),O866)</f>
        <v>0.2</v>
      </c>
      <c r="Q867" s="89" t="str">
        <f ca="1">IF(MOD(COUNTIF($Q$11:Q866,Q866),5)=0,OFFSET(装备属性!$M$1083,1+INT(COUNTA($Q$11:Q866)/5),0),Q866)</f>
        <v>稀有词条</v>
      </c>
      <c r="R867" s="83" t="e">
        <f ca="1">IF(MOD(COUNTIF($Q$11:Q866,Q866),5)=0,10000*SUBSTITUTE(SUBSTITUTE(OFFSET(装备属性!$F$1083,1+INT(COUNTA($Q$11:Q866)/5),0),"[",""),"]","")+_xlfn.XLOOKUP(C867,$M$3:$M$7,$N$3:$N$7)*100,R866)</f>
        <v>#N/A</v>
      </c>
    </row>
    <row r="868" customHeight="1" spans="1:18">
      <c r="A868" s="78" t="str">
        <f ca="1" t="shared" si="39"/>
        <v/>
      </c>
      <c r="B868" s="82" t="str">
        <f ca="1">IFERROR(R868+COUNTIFS($R$11:$R868,R868),"")</f>
        <v/>
      </c>
      <c r="C868" s="83">
        <f ca="1">IF(MOD(COUNTIF($Q$11:Q867,Q867),5)=0,OFFSET(装备属性!$D$1083,1+INT(COUNTA($Q$11:Q867)/5),0),C867)</f>
        <v>0</v>
      </c>
      <c r="D868" s="82">
        <f t="shared" si="41"/>
        <v>2000</v>
      </c>
      <c r="F868" s="82" t="str">
        <f ca="1" t="shared" si="40"/>
        <v/>
      </c>
      <c r="G868" s="78" t="str">
        <f ca="1">IF(AND(LEFT("[{"&amp;M868&amp;","&amp;CEILING(N868*10000+(O868-N868)/4*(COUNTIF($F$11:F868,F868)-1)*10000,10)&amp;"}]",7)="[{equip",MID("[{"&amp;M868&amp;","&amp;CEILING(N868*10000+(O868-N868)/4*(COUNTIF($F$11:F868,F868)-1)*10000,10)&amp;"}]",8,1)&lt;&gt;"_"),"[{"&amp;M868&amp;","&amp;1&amp;"}]","[{"&amp;M868&amp;","&amp;CEILING(N868*10000+(O868-N868)/4*(COUNTIF($F$11:F868,F868)-1)*10000,10)&amp;"}]")</f>
        <v>[{exp_boost,2000}]</v>
      </c>
      <c r="H868" s="82" t="s">
        <v>563</v>
      </c>
      <c r="J868" s="78">
        <f ca="1">IF(MOD(COUNTIF($Q$11:Q867,Q867),5)=0,OFFSET(装备属性!$P$1083,1+INT(COUNTA($Q$11:Q867)/5),0),J867)</f>
        <v>9</v>
      </c>
      <c r="K868" s="83" t="str">
        <f ca="1">IF(RIGHT(G868,13)="rune_slot,1}]",_xlfn.XLOOKUP(LEFT(SUBSTITUTE(G868,"[{",""),FIND(",",SUBSTITUTE(G868,"[{",""))-1),Sheet2!B:B,Sheet2!C:C)&amp;"+"&amp;1,_xlfn.XLOOKUP(LEFT(SUBSTITUTE(G868,"[{",""),FIND(",",SUBSTITUTE(G868,"[{",""))-1),Sheet2!B:B,Sheet2!C:C)&amp;"+"&amp;SUBSTITUTE(RIGHT(G868,LEN(G868)-FIND(",",G868)),"}]","")/100&amp;"%")</f>
        <v>经验加成+20%</v>
      </c>
      <c r="L868" s="83" t="str">
        <f ca="1">IF(MOD(COUNTIF($Q$11:Q867,Q867),5)=0,OFFSET(装备属性!$G$1083,1+INT(COUNTA($Q$11:Q867)/5),0),L867)</f>
        <v>涨见识</v>
      </c>
      <c r="M868" s="89" t="str">
        <f ca="1">IF(MOD(COUNTIF($Q$11:Q867,Q867),5)=0,OFFSET(装备属性!$H$1083,1+INT(COUNTA($Q$11:Q867)/5),0),M867)</f>
        <v>exp_boost</v>
      </c>
      <c r="N868" s="76">
        <f ca="1">IF(MOD(COUNTIF($Q$11:Q867,Q867),5)=0,OFFSET(装备属性!$K$1083,1+INT(COUNTA($Q$11:Q867)/5),0),N867)</f>
        <v>0.2</v>
      </c>
      <c r="O868" s="76">
        <f ca="1">IF(MOD(COUNTIF($Q$11:Q867,Q867),5)=0,OFFSET(装备属性!$L$1083,1+INT(COUNTA($Q$11:Q867)/5),0),O867)</f>
        <v>0.2</v>
      </c>
      <c r="Q868" s="89" t="str">
        <f ca="1">IF(MOD(COUNTIF($Q$11:Q867,Q867),5)=0,OFFSET(装备属性!$M$1083,1+INT(COUNTA($Q$11:Q867)/5),0),Q867)</f>
        <v>稀有词条</v>
      </c>
      <c r="R868" s="83" t="e">
        <f ca="1">IF(MOD(COUNTIF($Q$11:Q867,Q867),5)=0,10000*SUBSTITUTE(SUBSTITUTE(OFFSET(装备属性!$F$1083,1+INT(COUNTA($Q$11:Q867)/5),0),"[",""),"]","")+_xlfn.XLOOKUP(C868,$M$3:$M$7,$N$3:$N$7)*100,R867)</f>
        <v>#N/A</v>
      </c>
    </row>
    <row r="869" customHeight="1" spans="1:18">
      <c r="A869" s="78" t="str">
        <f ca="1" t="shared" si="39"/>
        <v/>
      </c>
      <c r="B869" s="82" t="str">
        <f ca="1">IFERROR(R869+COUNTIFS($R$11:$R869,R869),"")</f>
        <v/>
      </c>
      <c r="C869" s="83">
        <f ca="1">IF(MOD(COUNTIF($Q$11:Q868,Q868),5)=0,OFFSET(装备属性!$D$1083,1+INT(COUNTA($Q$11:Q868)/5),0),C868)</f>
        <v>0</v>
      </c>
      <c r="D869" s="82">
        <f t="shared" si="41"/>
        <v>1500</v>
      </c>
      <c r="F869" s="82" t="str">
        <f ca="1" t="shared" si="40"/>
        <v/>
      </c>
      <c r="G869" s="78" t="str">
        <f ca="1">IF(AND(LEFT("[{"&amp;M869&amp;","&amp;CEILING(N869*10000+(O869-N869)/4*(COUNTIF($F$11:F869,F869)-1)*10000,10)&amp;"}]",7)="[{equip",MID("[{"&amp;M869&amp;","&amp;CEILING(N869*10000+(O869-N869)/4*(COUNTIF($F$11:F869,F869)-1)*10000,10)&amp;"}]",8,1)&lt;&gt;"_"),"[{"&amp;M869&amp;","&amp;1&amp;"}]","[{"&amp;M869&amp;","&amp;CEILING(N869*10000+(O869-N869)/4*(COUNTIF($F$11:F869,F869)-1)*10000,10)&amp;"}]")</f>
        <v>[{exp_boost,2000}]</v>
      </c>
      <c r="H869" s="82" t="s">
        <v>563</v>
      </c>
      <c r="J869" s="78">
        <f ca="1">IF(MOD(COUNTIF($Q$11:Q868,Q868),5)=0,OFFSET(装备属性!$P$1083,1+INT(COUNTA($Q$11:Q868)/5),0),J868)</f>
        <v>9</v>
      </c>
      <c r="K869" s="83" t="str">
        <f ca="1">IF(RIGHT(G869,13)="rune_slot,1}]",_xlfn.XLOOKUP(LEFT(SUBSTITUTE(G869,"[{",""),FIND(",",SUBSTITUTE(G869,"[{",""))-1),Sheet2!B:B,Sheet2!C:C)&amp;"+"&amp;1,_xlfn.XLOOKUP(LEFT(SUBSTITUTE(G869,"[{",""),FIND(",",SUBSTITUTE(G869,"[{",""))-1),Sheet2!B:B,Sheet2!C:C)&amp;"+"&amp;SUBSTITUTE(RIGHT(G869,LEN(G869)-FIND(",",G869)),"}]","")/100&amp;"%")</f>
        <v>经验加成+20%</v>
      </c>
      <c r="L869" s="83" t="str">
        <f ca="1">IF(MOD(COUNTIF($Q$11:Q868,Q868),5)=0,OFFSET(装备属性!$G$1083,1+INT(COUNTA($Q$11:Q868)/5),0),L868)</f>
        <v>涨见识</v>
      </c>
      <c r="M869" s="89" t="str">
        <f ca="1">IF(MOD(COUNTIF($Q$11:Q868,Q868),5)=0,OFFSET(装备属性!$H$1083,1+INT(COUNTA($Q$11:Q868)/5),0),M868)</f>
        <v>exp_boost</v>
      </c>
      <c r="N869" s="76">
        <f ca="1">IF(MOD(COUNTIF($Q$11:Q868,Q868),5)=0,OFFSET(装备属性!$K$1083,1+INT(COUNTA($Q$11:Q868)/5),0),N868)</f>
        <v>0.2</v>
      </c>
      <c r="O869" s="76">
        <f ca="1">IF(MOD(COUNTIF($Q$11:Q868,Q868),5)=0,OFFSET(装备属性!$L$1083,1+INT(COUNTA($Q$11:Q868)/5),0),O868)</f>
        <v>0.2</v>
      </c>
      <c r="Q869" s="89" t="str">
        <f ca="1">IF(MOD(COUNTIF($Q$11:Q868,Q868),5)=0,OFFSET(装备属性!$M$1083,1+INT(COUNTA($Q$11:Q868)/5),0),Q868)</f>
        <v>稀有词条</v>
      </c>
      <c r="R869" s="83" t="e">
        <f ca="1">IF(MOD(COUNTIF($Q$11:Q868,Q868),5)=0,10000*SUBSTITUTE(SUBSTITUTE(OFFSET(装备属性!$F$1083,1+INT(COUNTA($Q$11:Q868)/5),0),"[",""),"]","")+_xlfn.XLOOKUP(C869,$M$3:$M$7,$N$3:$N$7)*100,R868)</f>
        <v>#N/A</v>
      </c>
    </row>
    <row r="870" customHeight="1" spans="1:18">
      <c r="A870" s="78" t="str">
        <f ca="1" t="shared" si="39"/>
        <v/>
      </c>
      <c r="B870" s="82" t="str">
        <f ca="1">IFERROR(R870+COUNTIFS($R$11:$R870,R870),"")</f>
        <v/>
      </c>
      <c r="C870" s="83">
        <f ca="1">IF(MOD(COUNTIF($Q$11:Q869,Q869),5)=0,OFFSET(装备属性!$D$1083,1+INT(COUNTA($Q$11:Q869)/5),0),C869)</f>
        <v>0</v>
      </c>
      <c r="D870" s="82">
        <f t="shared" si="41"/>
        <v>1000</v>
      </c>
      <c r="F870" s="82" t="str">
        <f ca="1" t="shared" si="40"/>
        <v/>
      </c>
      <c r="G870" s="78" t="str">
        <f ca="1">IF(AND(LEFT("[{"&amp;M870&amp;","&amp;CEILING(N870*10000+(O870-N870)/4*(COUNTIF($F$11:F870,F870)-1)*10000,10)&amp;"}]",7)="[{equip",MID("[{"&amp;M870&amp;","&amp;CEILING(N870*10000+(O870-N870)/4*(COUNTIF($F$11:F870,F870)-1)*10000,10)&amp;"}]",8,1)&lt;&gt;"_"),"[{"&amp;M870&amp;","&amp;1&amp;"}]","[{"&amp;M870&amp;","&amp;CEILING(N870*10000+(O870-N870)/4*(COUNTIF($F$11:F870,F870)-1)*10000,10)&amp;"}]")</f>
        <v>[{exp_boost,2000}]</v>
      </c>
      <c r="H870" s="82" t="s">
        <v>563</v>
      </c>
      <c r="J870" s="78">
        <f ca="1">IF(MOD(COUNTIF($Q$11:Q869,Q869),5)=0,OFFSET(装备属性!$P$1083,1+INT(COUNTA($Q$11:Q869)/5),0),J869)</f>
        <v>9</v>
      </c>
      <c r="K870" s="83" t="str">
        <f ca="1">IF(RIGHT(G870,13)="rune_slot,1}]",_xlfn.XLOOKUP(LEFT(SUBSTITUTE(G870,"[{",""),FIND(",",SUBSTITUTE(G870,"[{",""))-1),Sheet2!B:B,Sheet2!C:C)&amp;"+"&amp;1,_xlfn.XLOOKUP(LEFT(SUBSTITUTE(G870,"[{",""),FIND(",",SUBSTITUTE(G870,"[{",""))-1),Sheet2!B:B,Sheet2!C:C)&amp;"+"&amp;SUBSTITUTE(RIGHT(G870,LEN(G870)-FIND(",",G870)),"}]","")/100&amp;"%")</f>
        <v>经验加成+20%</v>
      </c>
      <c r="L870" s="83" t="str">
        <f ca="1">IF(MOD(COUNTIF($Q$11:Q869,Q869),5)=0,OFFSET(装备属性!$G$1083,1+INT(COUNTA($Q$11:Q869)/5),0),L869)</f>
        <v>涨见识</v>
      </c>
      <c r="M870" s="89" t="str">
        <f ca="1">IF(MOD(COUNTIF($Q$11:Q869,Q869),5)=0,OFFSET(装备属性!$H$1083,1+INT(COUNTA($Q$11:Q869)/5),0),M869)</f>
        <v>exp_boost</v>
      </c>
      <c r="N870" s="76">
        <f ca="1">IF(MOD(COUNTIF($Q$11:Q869,Q869),5)=0,OFFSET(装备属性!$K$1083,1+INT(COUNTA($Q$11:Q869)/5),0),N869)</f>
        <v>0.2</v>
      </c>
      <c r="O870" s="76">
        <f ca="1">IF(MOD(COUNTIF($Q$11:Q869,Q869),5)=0,OFFSET(装备属性!$L$1083,1+INT(COUNTA($Q$11:Q869)/5),0),O869)</f>
        <v>0.2</v>
      </c>
      <c r="Q870" s="89" t="str">
        <f ca="1">IF(MOD(COUNTIF($Q$11:Q869,Q869),5)=0,OFFSET(装备属性!$M$1083,1+INT(COUNTA($Q$11:Q869)/5),0),Q869)</f>
        <v>稀有词条</v>
      </c>
      <c r="R870" s="83" t="e">
        <f ca="1">IF(MOD(COUNTIF($Q$11:Q869,Q869),5)=0,10000*SUBSTITUTE(SUBSTITUTE(OFFSET(装备属性!$F$1083,1+INT(COUNTA($Q$11:Q869)/5),0),"[",""),"]","")+_xlfn.XLOOKUP(C870,$M$3:$M$7,$N$3:$N$7)*100,R869)</f>
        <v>#N/A</v>
      </c>
    </row>
    <row r="871" customHeight="1" spans="1:18">
      <c r="A871" s="78">
        <f ca="1" t="shared" si="39"/>
        <v>30803</v>
      </c>
      <c r="B871" s="82">
        <f ca="1">IFERROR(R871+COUNTIFS($R$11:$R871,R871),"")</f>
        <v>30811</v>
      </c>
      <c r="C871" s="83" t="str">
        <f ca="1">IF(MOD(COUNTIF($Q$11:Q870,Q870),5)=0,OFFSET(装备属性!$D$1083,1+INT(COUNTA($Q$11:Q870)/5),0),C870)</f>
        <v>彩</v>
      </c>
      <c r="D871" s="82">
        <f t="shared" si="41"/>
        <v>3000</v>
      </c>
      <c r="F871" s="82">
        <f ca="1" t="shared" si="40"/>
        <v>30802</v>
      </c>
      <c r="G871" s="78" t="str">
        <f ca="1">IF(AND(LEFT("[{"&amp;M871&amp;","&amp;CEILING(N871*10000+(O871-N871)/4*(COUNTIF($F$11:F871,F871)-1)*10000,10)&amp;"}]",7)="[{equip",MID("[{"&amp;M871&amp;","&amp;CEILING(N871*10000+(O871-N871)/4*(COUNTIF($F$11:F871,F871)-1)*10000,10)&amp;"}]",8,1)&lt;&gt;"_"),"[{"&amp;M871&amp;","&amp;1&amp;"}]","[{"&amp;M871&amp;","&amp;CEILING(N871*10000+(O871-N871)/4*(COUNTIF($F$11:F871,F871)-1)*10000,10)&amp;"}]")</f>
        <v>[{equip_base_attr,2500}]</v>
      </c>
      <c r="H871" s="82" t="s">
        <v>563</v>
      </c>
      <c r="J871" s="78">
        <f ca="1">IF(MOD(COUNTIF($Q$11:Q870,Q870),5)=0,OFFSET(装备属性!$P$1083,1+INT(COUNTA($Q$11:Q870)/5),0),J870)</f>
        <v>7</v>
      </c>
      <c r="K871" s="83" t="str">
        <f ca="1">IF(RIGHT(G871,13)="rune_slot,1}]",_xlfn.XLOOKUP(LEFT(SUBSTITUTE(G871,"[{",""),FIND(",",SUBSTITUTE(G871,"[{",""))-1),Sheet2!B:B,Sheet2!C:C)&amp;"+"&amp;1,_xlfn.XLOOKUP(LEFT(SUBSTITUTE(G871,"[{",""),FIND(",",SUBSTITUTE(G871,"[{",""))-1),Sheet2!B:B,Sheet2!C:C)&amp;"+"&amp;SUBSTITUTE(RIGHT(G871,LEN(G871)-FIND(",",G871)),"}]","")/100&amp;"%")</f>
        <v>装备基础属性加成+25%</v>
      </c>
      <c r="L871" s="83" t="str">
        <f ca="1">IF(MOD(COUNTIF($Q$11:Q870,Q870),5)=0,OFFSET(装备属性!$G$1083,1+INT(COUNTA($Q$11:Q870)/5),0),L870)</f>
        <v>厚底子</v>
      </c>
      <c r="M871" s="89" t="str">
        <f ca="1">IF(MOD(COUNTIF($Q$11:Q870,Q870),5)=0,OFFSET(装备属性!$H$1083,1+INT(COUNTA($Q$11:Q870)/5),0),M870)</f>
        <v>equip_base_attr</v>
      </c>
      <c r="N871" s="76">
        <f ca="1">IF(MOD(COUNTIF($Q$11:Q870,Q870),5)=0,OFFSET(装备属性!$K$1083,1+INT(COUNTA($Q$11:Q870)/5),0),N870)</f>
        <v>0.25</v>
      </c>
      <c r="O871" s="76">
        <f ca="1">IF(MOD(COUNTIF($Q$11:Q870,Q870),5)=0,OFFSET(装备属性!$L$1083,1+INT(COUNTA($Q$11:Q870)/5),0),O870)</f>
        <v>0.25</v>
      </c>
      <c r="Q871" s="89" t="str">
        <f ca="1">IF(MOD(COUNTIF($Q$11:Q870,Q870),5)=0,OFFSET(装备属性!$M$1083,1+INT(COUNTA($Q$11:Q870)/5),0),Q870)</f>
        <v>稀有词条</v>
      </c>
      <c r="R871" s="83">
        <f ca="1">IF(MOD(COUNTIF($Q$11:Q870,Q870),5)=0,10000*SUBSTITUTE(SUBSTITUTE(OFFSET(装备属性!$F$1083,1+INT(COUNTA($Q$11:Q870)/5),0),"[",""),"]","")+_xlfn.XLOOKUP(C871,$M$3:$M$7,$N$3:$N$7)*100,R870)</f>
        <v>30800</v>
      </c>
    </row>
    <row r="872" customHeight="1" spans="1:18">
      <c r="A872" s="78">
        <f ca="1" t="shared" si="39"/>
        <v>30803</v>
      </c>
      <c r="B872" s="82">
        <f ca="1">IFERROR(R872+COUNTIFS($R$11:$R872,R872),"")</f>
        <v>30812</v>
      </c>
      <c r="C872" s="83" t="str">
        <f ca="1">IF(MOD(COUNTIF($Q$11:Q871,Q871),5)=0,OFFSET(装备属性!$D$1083,1+INT(COUNTA($Q$11:Q871)/5),0),C871)</f>
        <v>彩</v>
      </c>
      <c r="D872" s="82">
        <f t="shared" si="41"/>
        <v>2500</v>
      </c>
      <c r="F872" s="82">
        <f ca="1" t="shared" si="40"/>
        <v>30802</v>
      </c>
      <c r="G872" s="78" t="str">
        <f ca="1">IF(AND(LEFT("[{"&amp;M872&amp;","&amp;CEILING(N872*10000+(O872-N872)/4*(COUNTIF($F$11:F872,F872)-1)*10000,10)&amp;"}]",7)="[{equip",MID("[{"&amp;M872&amp;","&amp;CEILING(N872*10000+(O872-N872)/4*(COUNTIF($F$11:F872,F872)-1)*10000,10)&amp;"}]",8,1)&lt;&gt;"_"),"[{"&amp;M872&amp;","&amp;1&amp;"}]","[{"&amp;M872&amp;","&amp;CEILING(N872*10000+(O872-N872)/4*(COUNTIF($F$11:F872,F872)-1)*10000,10)&amp;"}]")</f>
        <v>[{equip_base_attr,2500}]</v>
      </c>
      <c r="H872" s="82" t="s">
        <v>563</v>
      </c>
      <c r="J872" s="78">
        <f ca="1">IF(MOD(COUNTIF($Q$11:Q871,Q871),5)=0,OFFSET(装备属性!$P$1083,1+INT(COUNTA($Q$11:Q871)/5),0),J871)</f>
        <v>7</v>
      </c>
      <c r="K872" s="83" t="str">
        <f ca="1">IF(RIGHT(G872,13)="rune_slot,1}]",_xlfn.XLOOKUP(LEFT(SUBSTITUTE(G872,"[{",""),FIND(",",SUBSTITUTE(G872,"[{",""))-1),Sheet2!B:B,Sheet2!C:C)&amp;"+"&amp;1,_xlfn.XLOOKUP(LEFT(SUBSTITUTE(G872,"[{",""),FIND(",",SUBSTITUTE(G872,"[{",""))-1),Sheet2!B:B,Sheet2!C:C)&amp;"+"&amp;SUBSTITUTE(RIGHT(G872,LEN(G872)-FIND(",",G872)),"}]","")/100&amp;"%")</f>
        <v>装备基础属性加成+25%</v>
      </c>
      <c r="L872" s="83" t="str">
        <f ca="1">IF(MOD(COUNTIF($Q$11:Q871,Q871),5)=0,OFFSET(装备属性!$G$1083,1+INT(COUNTA($Q$11:Q871)/5),0),L871)</f>
        <v>厚底子</v>
      </c>
      <c r="M872" s="89" t="str">
        <f ca="1">IF(MOD(COUNTIF($Q$11:Q871,Q871),5)=0,OFFSET(装备属性!$H$1083,1+INT(COUNTA($Q$11:Q871)/5),0),M871)</f>
        <v>equip_base_attr</v>
      </c>
      <c r="N872" s="76">
        <f ca="1">IF(MOD(COUNTIF($Q$11:Q871,Q871),5)=0,OFFSET(装备属性!$K$1083,1+INT(COUNTA($Q$11:Q871)/5),0),N871)</f>
        <v>0.25</v>
      </c>
      <c r="O872" s="76">
        <f ca="1">IF(MOD(COUNTIF($Q$11:Q871,Q871),5)=0,OFFSET(装备属性!$L$1083,1+INT(COUNTA($Q$11:Q871)/5),0),O871)</f>
        <v>0.25</v>
      </c>
      <c r="Q872" s="89" t="str">
        <f ca="1">IF(MOD(COUNTIF($Q$11:Q871,Q871),5)=0,OFFSET(装备属性!$M$1083,1+INT(COUNTA($Q$11:Q871)/5),0),Q871)</f>
        <v>稀有词条</v>
      </c>
      <c r="R872" s="83">
        <f ca="1">IF(MOD(COUNTIF($Q$11:Q871,Q871),5)=0,10000*SUBSTITUTE(SUBSTITUTE(OFFSET(装备属性!$F$1083,1+INT(COUNTA($Q$11:Q871)/5),0),"[",""),"]","")+_xlfn.XLOOKUP(C872,$M$3:$M$7,$N$3:$N$7)*100,R871)</f>
        <v>30800</v>
      </c>
    </row>
    <row r="873" customHeight="1" spans="1:18">
      <c r="A873" s="78">
        <f ca="1" t="shared" si="39"/>
        <v>30803</v>
      </c>
      <c r="B873" s="82">
        <f ca="1">IFERROR(R873+COUNTIFS($R$11:$R873,R873),"")</f>
        <v>30813</v>
      </c>
      <c r="C873" s="83" t="str">
        <f ca="1">IF(MOD(COUNTIF($Q$11:Q872,Q872),5)=0,OFFSET(装备属性!$D$1083,1+INT(COUNTA($Q$11:Q872)/5),0),C872)</f>
        <v>彩</v>
      </c>
      <c r="D873" s="82">
        <f t="shared" si="41"/>
        <v>2000</v>
      </c>
      <c r="F873" s="82">
        <f ca="1" t="shared" si="40"/>
        <v>30802</v>
      </c>
      <c r="G873" s="78" t="str">
        <f ca="1">IF(AND(LEFT("[{"&amp;M873&amp;","&amp;CEILING(N873*10000+(O873-N873)/4*(COUNTIF($F$11:F873,F873)-1)*10000,10)&amp;"}]",7)="[{equip",MID("[{"&amp;M873&amp;","&amp;CEILING(N873*10000+(O873-N873)/4*(COUNTIF($F$11:F873,F873)-1)*10000,10)&amp;"}]",8,1)&lt;&gt;"_"),"[{"&amp;M873&amp;","&amp;1&amp;"}]","[{"&amp;M873&amp;","&amp;CEILING(N873*10000+(O873-N873)/4*(COUNTIF($F$11:F873,F873)-1)*10000,10)&amp;"}]")</f>
        <v>[{equip_base_attr,2500}]</v>
      </c>
      <c r="H873" s="82" t="s">
        <v>563</v>
      </c>
      <c r="J873" s="78">
        <f ca="1">IF(MOD(COUNTIF($Q$11:Q872,Q872),5)=0,OFFSET(装备属性!$P$1083,1+INT(COUNTA($Q$11:Q872)/5),0),J872)</f>
        <v>7</v>
      </c>
      <c r="K873" s="83" t="str">
        <f ca="1">IF(RIGHT(G873,13)="rune_slot,1}]",_xlfn.XLOOKUP(LEFT(SUBSTITUTE(G873,"[{",""),FIND(",",SUBSTITUTE(G873,"[{",""))-1),Sheet2!B:B,Sheet2!C:C)&amp;"+"&amp;1,_xlfn.XLOOKUP(LEFT(SUBSTITUTE(G873,"[{",""),FIND(",",SUBSTITUTE(G873,"[{",""))-1),Sheet2!B:B,Sheet2!C:C)&amp;"+"&amp;SUBSTITUTE(RIGHT(G873,LEN(G873)-FIND(",",G873)),"}]","")/100&amp;"%")</f>
        <v>装备基础属性加成+25%</v>
      </c>
      <c r="L873" s="83" t="str">
        <f ca="1">IF(MOD(COUNTIF($Q$11:Q872,Q872),5)=0,OFFSET(装备属性!$G$1083,1+INT(COUNTA($Q$11:Q872)/5),0),L872)</f>
        <v>厚底子</v>
      </c>
      <c r="M873" s="89" t="str">
        <f ca="1">IF(MOD(COUNTIF($Q$11:Q872,Q872),5)=0,OFFSET(装备属性!$H$1083,1+INT(COUNTA($Q$11:Q872)/5),0),M872)</f>
        <v>equip_base_attr</v>
      </c>
      <c r="N873" s="76">
        <f ca="1">IF(MOD(COUNTIF($Q$11:Q872,Q872),5)=0,OFFSET(装备属性!$K$1083,1+INT(COUNTA($Q$11:Q872)/5),0),N872)</f>
        <v>0.25</v>
      </c>
      <c r="O873" s="76">
        <f ca="1">IF(MOD(COUNTIF($Q$11:Q872,Q872),5)=0,OFFSET(装备属性!$L$1083,1+INT(COUNTA($Q$11:Q872)/5),0),O872)</f>
        <v>0.25</v>
      </c>
      <c r="Q873" s="89" t="str">
        <f ca="1">IF(MOD(COUNTIF($Q$11:Q872,Q872),5)=0,OFFSET(装备属性!$M$1083,1+INT(COUNTA($Q$11:Q872)/5),0),Q872)</f>
        <v>稀有词条</v>
      </c>
      <c r="R873" s="83">
        <f ca="1">IF(MOD(COUNTIF($Q$11:Q872,Q872),5)=0,10000*SUBSTITUTE(SUBSTITUTE(OFFSET(装备属性!$F$1083,1+INT(COUNTA($Q$11:Q872)/5),0),"[",""),"]","")+_xlfn.XLOOKUP(C873,$M$3:$M$7,$N$3:$N$7)*100,R872)</f>
        <v>30800</v>
      </c>
    </row>
    <row r="874" customHeight="1" spans="1:18">
      <c r="A874" s="78">
        <f ca="1" t="shared" si="39"/>
        <v>30803</v>
      </c>
      <c r="B874" s="82">
        <f ca="1">IFERROR(R874+COUNTIFS($R$11:$R874,R874),"")</f>
        <v>30814</v>
      </c>
      <c r="C874" s="83" t="str">
        <f ca="1">IF(MOD(COUNTIF($Q$11:Q873,Q873),5)=0,OFFSET(装备属性!$D$1083,1+INT(COUNTA($Q$11:Q873)/5),0),C873)</f>
        <v>彩</v>
      </c>
      <c r="D874" s="82">
        <f t="shared" si="41"/>
        <v>1500</v>
      </c>
      <c r="F874" s="82">
        <f ca="1" t="shared" si="40"/>
        <v>30802</v>
      </c>
      <c r="G874" s="78" t="str">
        <f ca="1">IF(AND(LEFT("[{"&amp;M874&amp;","&amp;CEILING(N874*10000+(O874-N874)/4*(COUNTIF($F$11:F874,F874)-1)*10000,10)&amp;"}]",7)="[{equip",MID("[{"&amp;M874&amp;","&amp;CEILING(N874*10000+(O874-N874)/4*(COUNTIF($F$11:F874,F874)-1)*10000,10)&amp;"}]",8,1)&lt;&gt;"_"),"[{"&amp;M874&amp;","&amp;1&amp;"}]","[{"&amp;M874&amp;","&amp;CEILING(N874*10000+(O874-N874)/4*(COUNTIF($F$11:F874,F874)-1)*10000,10)&amp;"}]")</f>
        <v>[{equip_base_attr,2500}]</v>
      </c>
      <c r="H874" s="82" t="s">
        <v>563</v>
      </c>
      <c r="J874" s="78">
        <f ca="1">IF(MOD(COUNTIF($Q$11:Q873,Q873),5)=0,OFFSET(装备属性!$P$1083,1+INT(COUNTA($Q$11:Q873)/5),0),J873)</f>
        <v>7</v>
      </c>
      <c r="K874" s="83" t="str">
        <f ca="1">IF(RIGHT(G874,13)="rune_slot,1}]",_xlfn.XLOOKUP(LEFT(SUBSTITUTE(G874,"[{",""),FIND(",",SUBSTITUTE(G874,"[{",""))-1),Sheet2!B:B,Sheet2!C:C)&amp;"+"&amp;1,_xlfn.XLOOKUP(LEFT(SUBSTITUTE(G874,"[{",""),FIND(",",SUBSTITUTE(G874,"[{",""))-1),Sheet2!B:B,Sheet2!C:C)&amp;"+"&amp;SUBSTITUTE(RIGHT(G874,LEN(G874)-FIND(",",G874)),"}]","")/100&amp;"%")</f>
        <v>装备基础属性加成+25%</v>
      </c>
      <c r="L874" s="83" t="str">
        <f ca="1">IF(MOD(COUNTIF($Q$11:Q873,Q873),5)=0,OFFSET(装备属性!$G$1083,1+INT(COUNTA($Q$11:Q873)/5),0),L873)</f>
        <v>厚底子</v>
      </c>
      <c r="M874" s="89" t="str">
        <f ca="1">IF(MOD(COUNTIF($Q$11:Q873,Q873),5)=0,OFFSET(装备属性!$H$1083,1+INT(COUNTA($Q$11:Q873)/5),0),M873)</f>
        <v>equip_base_attr</v>
      </c>
      <c r="N874" s="76">
        <f ca="1">IF(MOD(COUNTIF($Q$11:Q873,Q873),5)=0,OFFSET(装备属性!$K$1083,1+INT(COUNTA($Q$11:Q873)/5),0),N873)</f>
        <v>0.25</v>
      </c>
      <c r="O874" s="76">
        <f ca="1">IF(MOD(COUNTIF($Q$11:Q873,Q873),5)=0,OFFSET(装备属性!$L$1083,1+INT(COUNTA($Q$11:Q873)/5),0),O873)</f>
        <v>0.25</v>
      </c>
      <c r="Q874" s="89" t="str">
        <f ca="1">IF(MOD(COUNTIF($Q$11:Q873,Q873),5)=0,OFFSET(装备属性!$M$1083,1+INT(COUNTA($Q$11:Q873)/5),0),Q873)</f>
        <v>稀有词条</v>
      </c>
      <c r="R874" s="83">
        <f ca="1">IF(MOD(COUNTIF($Q$11:Q873,Q873),5)=0,10000*SUBSTITUTE(SUBSTITUTE(OFFSET(装备属性!$F$1083,1+INT(COUNTA($Q$11:Q873)/5),0),"[",""),"]","")+_xlfn.XLOOKUP(C874,$M$3:$M$7,$N$3:$N$7)*100,R873)</f>
        <v>30800</v>
      </c>
    </row>
    <row r="875" customHeight="1" spans="1:18">
      <c r="A875" s="78">
        <f ca="1" t="shared" si="39"/>
        <v>30803</v>
      </c>
      <c r="B875" s="82">
        <f ca="1">IFERROR(R875+COUNTIFS($R$11:$R875,R875),"")</f>
        <v>30815</v>
      </c>
      <c r="C875" s="83" t="str">
        <f ca="1">IF(MOD(COUNTIF($Q$11:Q874,Q874),5)=0,OFFSET(装备属性!$D$1083,1+INT(COUNTA($Q$11:Q874)/5),0),C874)</f>
        <v>彩</v>
      </c>
      <c r="D875" s="82">
        <f t="shared" si="41"/>
        <v>1000</v>
      </c>
      <c r="F875" s="82">
        <f ca="1" t="shared" si="40"/>
        <v>30802</v>
      </c>
      <c r="G875" s="78" t="str">
        <f ca="1">IF(AND(LEFT("[{"&amp;M875&amp;","&amp;CEILING(N875*10000+(O875-N875)/4*(COUNTIF($F$11:F875,F875)-1)*10000,10)&amp;"}]",7)="[{equip",MID("[{"&amp;M875&amp;","&amp;CEILING(N875*10000+(O875-N875)/4*(COUNTIF($F$11:F875,F875)-1)*10000,10)&amp;"}]",8,1)&lt;&gt;"_"),"[{"&amp;M875&amp;","&amp;1&amp;"}]","[{"&amp;M875&amp;","&amp;CEILING(N875*10000+(O875-N875)/4*(COUNTIF($F$11:F875,F875)-1)*10000,10)&amp;"}]")</f>
        <v>[{equip_base_attr,2500}]</v>
      </c>
      <c r="H875" s="82" t="s">
        <v>563</v>
      </c>
      <c r="J875" s="78">
        <f ca="1">IF(MOD(COUNTIF($Q$11:Q874,Q874),5)=0,OFFSET(装备属性!$P$1083,1+INT(COUNTA($Q$11:Q874)/5),0),J874)</f>
        <v>7</v>
      </c>
      <c r="K875" s="83" t="str">
        <f ca="1">IF(RIGHT(G875,13)="rune_slot,1}]",_xlfn.XLOOKUP(LEFT(SUBSTITUTE(G875,"[{",""),FIND(",",SUBSTITUTE(G875,"[{",""))-1),Sheet2!B:B,Sheet2!C:C)&amp;"+"&amp;1,_xlfn.XLOOKUP(LEFT(SUBSTITUTE(G875,"[{",""),FIND(",",SUBSTITUTE(G875,"[{",""))-1),Sheet2!B:B,Sheet2!C:C)&amp;"+"&amp;SUBSTITUTE(RIGHT(G875,LEN(G875)-FIND(",",G875)),"}]","")/100&amp;"%")</f>
        <v>装备基础属性加成+25%</v>
      </c>
      <c r="L875" s="83" t="str">
        <f ca="1">IF(MOD(COUNTIF($Q$11:Q874,Q874),5)=0,OFFSET(装备属性!$G$1083,1+INT(COUNTA($Q$11:Q874)/5),0),L874)</f>
        <v>厚底子</v>
      </c>
      <c r="M875" s="89" t="str">
        <f ca="1">IF(MOD(COUNTIF($Q$11:Q874,Q874),5)=0,OFFSET(装备属性!$H$1083,1+INT(COUNTA($Q$11:Q874)/5),0),M874)</f>
        <v>equip_base_attr</v>
      </c>
      <c r="N875" s="76">
        <f ca="1">IF(MOD(COUNTIF($Q$11:Q874,Q874),5)=0,OFFSET(装备属性!$K$1083,1+INT(COUNTA($Q$11:Q874)/5),0),N874)</f>
        <v>0.25</v>
      </c>
      <c r="O875" s="76">
        <f ca="1">IF(MOD(COUNTIF($Q$11:Q874,Q874),5)=0,OFFSET(装备属性!$L$1083,1+INT(COUNTA($Q$11:Q874)/5),0),O874)</f>
        <v>0.25</v>
      </c>
      <c r="Q875" s="89" t="str">
        <f ca="1">IF(MOD(COUNTIF($Q$11:Q874,Q874),5)=0,OFFSET(装备属性!$M$1083,1+INT(COUNTA($Q$11:Q874)/5),0),Q874)</f>
        <v>稀有词条</v>
      </c>
      <c r="R875" s="83">
        <f ca="1">IF(MOD(COUNTIF($Q$11:Q874,Q874),5)=0,10000*SUBSTITUTE(SUBSTITUTE(OFFSET(装备属性!$F$1083,1+INT(COUNTA($Q$11:Q874)/5),0),"[",""),"]","")+_xlfn.XLOOKUP(C875,$M$3:$M$7,$N$3:$N$7)*100,R874)</f>
        <v>30800</v>
      </c>
    </row>
    <row r="876" customHeight="1" spans="1:18">
      <c r="A876" s="78">
        <f ca="1" t="shared" si="39"/>
        <v>30803</v>
      </c>
      <c r="B876" s="82">
        <f ca="1">IFERROR(R876+COUNTIFS($R$11:$R876,R876),"")</f>
        <v>30816</v>
      </c>
      <c r="C876" s="83" t="str">
        <f ca="1">IF(MOD(COUNTIF($Q$11:Q875,Q875),5)=0,OFFSET(装备属性!$D$1083,1+INT(COUNTA($Q$11:Q875)/5),0),C875)</f>
        <v>彩</v>
      </c>
      <c r="D876" s="82">
        <f t="shared" si="41"/>
        <v>3000</v>
      </c>
      <c r="F876" s="82">
        <f ca="1" t="shared" si="40"/>
        <v>30803</v>
      </c>
      <c r="G876" s="78" t="str">
        <f ca="1">IF(AND(LEFT("[{"&amp;M876&amp;","&amp;CEILING(N876*10000+(O876-N876)/4*(COUNTIF($F$11:F876,F876)-1)*10000,10)&amp;"}]",7)="[{equip",MID("[{"&amp;M876&amp;","&amp;CEILING(N876*10000+(O876-N876)/4*(COUNTIF($F$11:F876,F876)-1)*10000,10)&amp;"}]",8,1)&lt;&gt;"_"),"[{"&amp;M876&amp;","&amp;1&amp;"}]","[{"&amp;M876&amp;","&amp;CEILING(N876*10000+(O876-N876)/4*(COUNTIF($F$11:F876,F876)-1)*10000,10)&amp;"}]")</f>
        <v>[{equip_extra_attr,5000}]</v>
      </c>
      <c r="H876" s="82" t="s">
        <v>563</v>
      </c>
      <c r="J876" s="78">
        <f ca="1">IF(MOD(COUNTIF($Q$11:Q875,Q875),5)=0,OFFSET(装备属性!$P$1083,1+INT(COUNTA($Q$11:Q875)/5),0),J875)</f>
        <v>8</v>
      </c>
      <c r="K876" s="83" t="str">
        <f ca="1">IF(RIGHT(G876,13)="rune_slot,1}]",_xlfn.XLOOKUP(LEFT(SUBSTITUTE(G876,"[{",""),FIND(",",SUBSTITUTE(G876,"[{",""))-1),Sheet2!B:B,Sheet2!C:C)&amp;"+"&amp;1,_xlfn.XLOOKUP(LEFT(SUBSTITUTE(G876,"[{",""),FIND(",",SUBSTITUTE(G876,"[{",""))-1),Sheet2!B:B,Sheet2!C:C)&amp;"+"&amp;SUBSTITUTE(RIGHT(G876,LEN(G876)-FIND(",",G876)),"}]","")/100&amp;"%")</f>
        <v>装备附加属性加成+50%</v>
      </c>
      <c r="L876" s="83" t="str">
        <f ca="1">IF(MOD(COUNTIF($Q$11:Q875,Q875),5)=0,OFFSET(装备属性!$G$1083,1+INT(COUNTA($Q$11:Q875)/5),0),L875)</f>
        <v>提成色</v>
      </c>
      <c r="M876" s="89" t="str">
        <f ca="1">IF(MOD(COUNTIF($Q$11:Q875,Q875),5)=0,OFFSET(装备属性!$H$1083,1+INT(COUNTA($Q$11:Q875)/5),0),M875)</f>
        <v>equip_extra_attr</v>
      </c>
      <c r="N876" s="76">
        <f ca="1">IF(MOD(COUNTIF($Q$11:Q875,Q875),5)=0,OFFSET(装备属性!$K$1083,1+INT(COUNTA($Q$11:Q875)/5),0),N875)</f>
        <v>0.5</v>
      </c>
      <c r="O876" s="76">
        <f ca="1">IF(MOD(COUNTIF($Q$11:Q875,Q875),5)=0,OFFSET(装备属性!$L$1083,1+INT(COUNTA($Q$11:Q875)/5),0),O875)</f>
        <v>0.5</v>
      </c>
      <c r="Q876" s="89" t="str">
        <f ca="1">IF(MOD(COUNTIF($Q$11:Q875,Q875),5)=0,OFFSET(装备属性!$M$1083,1+INT(COUNTA($Q$11:Q875)/5),0),Q875)</f>
        <v>稀有词条</v>
      </c>
      <c r="R876" s="83">
        <f ca="1">IF(MOD(COUNTIF($Q$11:Q875,Q875),5)=0,10000*SUBSTITUTE(SUBSTITUTE(OFFSET(装备属性!$F$1083,1+INT(COUNTA($Q$11:Q875)/5),0),"[",""),"]","")+_xlfn.XLOOKUP(C876,$M$3:$M$7,$N$3:$N$7)*100,R875)</f>
        <v>30800</v>
      </c>
    </row>
    <row r="877" customHeight="1" spans="1:18">
      <c r="A877" s="78">
        <f ca="1" t="shared" si="39"/>
        <v>30803</v>
      </c>
      <c r="B877" s="82">
        <f ca="1">IFERROR(R877+COUNTIFS($R$11:$R877,R877),"")</f>
        <v>30817</v>
      </c>
      <c r="C877" s="83" t="str">
        <f ca="1">IF(MOD(COUNTIF($Q$11:Q876,Q876),5)=0,OFFSET(装备属性!$D$1083,1+INT(COUNTA($Q$11:Q876)/5),0),C876)</f>
        <v>彩</v>
      </c>
      <c r="D877" s="82">
        <f t="shared" si="41"/>
        <v>2500</v>
      </c>
      <c r="F877" s="82">
        <f ca="1" t="shared" si="40"/>
        <v>30803</v>
      </c>
      <c r="G877" s="78" t="str">
        <f ca="1">IF(AND(LEFT("[{"&amp;M877&amp;","&amp;CEILING(N877*10000+(O877-N877)/4*(COUNTIF($F$11:F877,F877)-1)*10000,10)&amp;"}]",7)="[{equip",MID("[{"&amp;M877&amp;","&amp;CEILING(N877*10000+(O877-N877)/4*(COUNTIF($F$11:F877,F877)-1)*10000,10)&amp;"}]",8,1)&lt;&gt;"_"),"[{"&amp;M877&amp;","&amp;1&amp;"}]","[{"&amp;M877&amp;","&amp;CEILING(N877*10000+(O877-N877)/4*(COUNTIF($F$11:F877,F877)-1)*10000,10)&amp;"}]")</f>
        <v>[{equip_extra_attr,5000}]</v>
      </c>
      <c r="H877" s="82" t="s">
        <v>563</v>
      </c>
      <c r="J877" s="78">
        <f ca="1">IF(MOD(COUNTIF($Q$11:Q876,Q876),5)=0,OFFSET(装备属性!$P$1083,1+INT(COUNTA($Q$11:Q876)/5),0),J876)</f>
        <v>8</v>
      </c>
      <c r="K877" s="83" t="str">
        <f ca="1">IF(RIGHT(G877,13)="rune_slot,1}]",_xlfn.XLOOKUP(LEFT(SUBSTITUTE(G877,"[{",""),FIND(",",SUBSTITUTE(G877,"[{",""))-1),Sheet2!B:B,Sheet2!C:C)&amp;"+"&amp;1,_xlfn.XLOOKUP(LEFT(SUBSTITUTE(G877,"[{",""),FIND(",",SUBSTITUTE(G877,"[{",""))-1),Sheet2!B:B,Sheet2!C:C)&amp;"+"&amp;SUBSTITUTE(RIGHT(G877,LEN(G877)-FIND(",",G877)),"}]","")/100&amp;"%")</f>
        <v>装备附加属性加成+50%</v>
      </c>
      <c r="L877" s="83" t="str">
        <f ca="1">IF(MOD(COUNTIF($Q$11:Q876,Q876),5)=0,OFFSET(装备属性!$G$1083,1+INT(COUNTA($Q$11:Q876)/5),0),L876)</f>
        <v>提成色</v>
      </c>
      <c r="M877" s="89" t="str">
        <f ca="1">IF(MOD(COUNTIF($Q$11:Q876,Q876),5)=0,OFFSET(装备属性!$H$1083,1+INT(COUNTA($Q$11:Q876)/5),0),M876)</f>
        <v>equip_extra_attr</v>
      </c>
      <c r="N877" s="76">
        <f ca="1">IF(MOD(COUNTIF($Q$11:Q876,Q876),5)=0,OFFSET(装备属性!$K$1083,1+INT(COUNTA($Q$11:Q876)/5),0),N876)</f>
        <v>0.5</v>
      </c>
      <c r="O877" s="76">
        <f ca="1">IF(MOD(COUNTIF($Q$11:Q876,Q876),5)=0,OFFSET(装备属性!$L$1083,1+INT(COUNTA($Q$11:Q876)/5),0),O876)</f>
        <v>0.5</v>
      </c>
      <c r="Q877" s="89" t="str">
        <f ca="1">IF(MOD(COUNTIF($Q$11:Q876,Q876),5)=0,OFFSET(装备属性!$M$1083,1+INT(COUNTA($Q$11:Q876)/5),0),Q876)</f>
        <v>稀有词条</v>
      </c>
      <c r="R877" s="83">
        <f ca="1">IF(MOD(COUNTIF($Q$11:Q876,Q876),5)=0,10000*SUBSTITUTE(SUBSTITUTE(OFFSET(装备属性!$F$1083,1+INT(COUNTA($Q$11:Q876)/5),0),"[",""),"]","")+_xlfn.XLOOKUP(C877,$M$3:$M$7,$N$3:$N$7)*100,R876)</f>
        <v>30800</v>
      </c>
    </row>
    <row r="878" customHeight="1" spans="1:18">
      <c r="A878" s="78">
        <f ca="1" t="shared" si="39"/>
        <v>30803</v>
      </c>
      <c r="B878" s="82">
        <f ca="1">IFERROR(R878+COUNTIFS($R$11:$R878,R878),"")</f>
        <v>30818</v>
      </c>
      <c r="C878" s="83" t="str">
        <f ca="1">IF(MOD(COUNTIF($Q$11:Q877,Q877),5)=0,OFFSET(装备属性!$D$1083,1+INT(COUNTA($Q$11:Q877)/5),0),C877)</f>
        <v>彩</v>
      </c>
      <c r="D878" s="82">
        <f t="shared" si="41"/>
        <v>2000</v>
      </c>
      <c r="F878" s="82">
        <f ca="1" t="shared" si="40"/>
        <v>30803</v>
      </c>
      <c r="G878" s="78" t="str">
        <f ca="1">IF(AND(LEFT("[{"&amp;M878&amp;","&amp;CEILING(N878*10000+(O878-N878)/4*(COUNTIF($F$11:F878,F878)-1)*10000,10)&amp;"}]",7)="[{equip",MID("[{"&amp;M878&amp;","&amp;CEILING(N878*10000+(O878-N878)/4*(COUNTIF($F$11:F878,F878)-1)*10000,10)&amp;"}]",8,1)&lt;&gt;"_"),"[{"&amp;M878&amp;","&amp;1&amp;"}]","[{"&amp;M878&amp;","&amp;CEILING(N878*10000+(O878-N878)/4*(COUNTIF($F$11:F878,F878)-1)*10000,10)&amp;"}]")</f>
        <v>[{equip_extra_attr,5000}]</v>
      </c>
      <c r="H878" s="82" t="s">
        <v>563</v>
      </c>
      <c r="J878" s="78">
        <f ca="1">IF(MOD(COUNTIF($Q$11:Q877,Q877),5)=0,OFFSET(装备属性!$P$1083,1+INT(COUNTA($Q$11:Q877)/5),0),J877)</f>
        <v>8</v>
      </c>
      <c r="K878" s="83" t="str">
        <f ca="1">IF(RIGHT(G878,13)="rune_slot,1}]",_xlfn.XLOOKUP(LEFT(SUBSTITUTE(G878,"[{",""),FIND(",",SUBSTITUTE(G878,"[{",""))-1),Sheet2!B:B,Sheet2!C:C)&amp;"+"&amp;1,_xlfn.XLOOKUP(LEFT(SUBSTITUTE(G878,"[{",""),FIND(",",SUBSTITUTE(G878,"[{",""))-1),Sheet2!B:B,Sheet2!C:C)&amp;"+"&amp;SUBSTITUTE(RIGHT(G878,LEN(G878)-FIND(",",G878)),"}]","")/100&amp;"%")</f>
        <v>装备附加属性加成+50%</v>
      </c>
      <c r="L878" s="83" t="str">
        <f ca="1">IF(MOD(COUNTIF($Q$11:Q877,Q877),5)=0,OFFSET(装备属性!$G$1083,1+INT(COUNTA($Q$11:Q877)/5),0),L877)</f>
        <v>提成色</v>
      </c>
      <c r="M878" s="89" t="str">
        <f ca="1">IF(MOD(COUNTIF($Q$11:Q877,Q877),5)=0,OFFSET(装备属性!$H$1083,1+INT(COUNTA($Q$11:Q877)/5),0),M877)</f>
        <v>equip_extra_attr</v>
      </c>
      <c r="N878" s="76">
        <f ca="1">IF(MOD(COUNTIF($Q$11:Q877,Q877),5)=0,OFFSET(装备属性!$K$1083,1+INT(COUNTA($Q$11:Q877)/5),0),N877)</f>
        <v>0.5</v>
      </c>
      <c r="O878" s="76">
        <f ca="1">IF(MOD(COUNTIF($Q$11:Q877,Q877),5)=0,OFFSET(装备属性!$L$1083,1+INT(COUNTA($Q$11:Q877)/5),0),O877)</f>
        <v>0.5</v>
      </c>
      <c r="Q878" s="89" t="str">
        <f ca="1">IF(MOD(COUNTIF($Q$11:Q877,Q877),5)=0,OFFSET(装备属性!$M$1083,1+INT(COUNTA($Q$11:Q877)/5),0),Q877)</f>
        <v>稀有词条</v>
      </c>
      <c r="R878" s="83">
        <f ca="1">IF(MOD(COUNTIF($Q$11:Q877,Q877),5)=0,10000*SUBSTITUTE(SUBSTITUTE(OFFSET(装备属性!$F$1083,1+INT(COUNTA($Q$11:Q877)/5),0),"[",""),"]","")+_xlfn.XLOOKUP(C878,$M$3:$M$7,$N$3:$N$7)*100,R877)</f>
        <v>30800</v>
      </c>
    </row>
    <row r="879" customHeight="1" spans="1:18">
      <c r="A879" s="78">
        <f ca="1" t="shared" si="39"/>
        <v>30803</v>
      </c>
      <c r="B879" s="82">
        <f ca="1">IFERROR(R879+COUNTIFS($R$11:$R879,R879),"")</f>
        <v>30819</v>
      </c>
      <c r="C879" s="83" t="str">
        <f ca="1">IF(MOD(COUNTIF($Q$11:Q878,Q878),5)=0,OFFSET(装备属性!$D$1083,1+INT(COUNTA($Q$11:Q878)/5),0),C878)</f>
        <v>彩</v>
      </c>
      <c r="D879" s="82">
        <f t="shared" si="41"/>
        <v>1500</v>
      </c>
      <c r="F879" s="82">
        <f ca="1" t="shared" si="40"/>
        <v>30803</v>
      </c>
      <c r="G879" s="78" t="str">
        <f ca="1">IF(AND(LEFT("[{"&amp;M879&amp;","&amp;CEILING(N879*10000+(O879-N879)/4*(COUNTIF($F$11:F879,F879)-1)*10000,10)&amp;"}]",7)="[{equip",MID("[{"&amp;M879&amp;","&amp;CEILING(N879*10000+(O879-N879)/4*(COUNTIF($F$11:F879,F879)-1)*10000,10)&amp;"}]",8,1)&lt;&gt;"_"),"[{"&amp;M879&amp;","&amp;1&amp;"}]","[{"&amp;M879&amp;","&amp;CEILING(N879*10000+(O879-N879)/4*(COUNTIF($F$11:F879,F879)-1)*10000,10)&amp;"}]")</f>
        <v>[{equip_extra_attr,5000}]</v>
      </c>
      <c r="H879" s="82" t="s">
        <v>563</v>
      </c>
      <c r="J879" s="78">
        <f ca="1">IF(MOD(COUNTIF($Q$11:Q878,Q878),5)=0,OFFSET(装备属性!$P$1083,1+INT(COUNTA($Q$11:Q878)/5),0),J878)</f>
        <v>8</v>
      </c>
      <c r="K879" s="83" t="str">
        <f ca="1">IF(RIGHT(G879,13)="rune_slot,1}]",_xlfn.XLOOKUP(LEFT(SUBSTITUTE(G879,"[{",""),FIND(",",SUBSTITUTE(G879,"[{",""))-1),Sheet2!B:B,Sheet2!C:C)&amp;"+"&amp;1,_xlfn.XLOOKUP(LEFT(SUBSTITUTE(G879,"[{",""),FIND(",",SUBSTITUTE(G879,"[{",""))-1),Sheet2!B:B,Sheet2!C:C)&amp;"+"&amp;SUBSTITUTE(RIGHT(G879,LEN(G879)-FIND(",",G879)),"}]","")/100&amp;"%")</f>
        <v>装备附加属性加成+50%</v>
      </c>
      <c r="L879" s="83" t="str">
        <f ca="1">IF(MOD(COUNTIF($Q$11:Q878,Q878),5)=0,OFFSET(装备属性!$G$1083,1+INT(COUNTA($Q$11:Q878)/5),0),L878)</f>
        <v>提成色</v>
      </c>
      <c r="M879" s="89" t="str">
        <f ca="1">IF(MOD(COUNTIF($Q$11:Q878,Q878),5)=0,OFFSET(装备属性!$H$1083,1+INT(COUNTA($Q$11:Q878)/5),0),M878)</f>
        <v>equip_extra_attr</v>
      </c>
      <c r="N879" s="76">
        <f ca="1">IF(MOD(COUNTIF($Q$11:Q878,Q878),5)=0,OFFSET(装备属性!$K$1083,1+INT(COUNTA($Q$11:Q878)/5),0),N878)</f>
        <v>0.5</v>
      </c>
      <c r="O879" s="76">
        <f ca="1">IF(MOD(COUNTIF($Q$11:Q878,Q878),5)=0,OFFSET(装备属性!$L$1083,1+INT(COUNTA($Q$11:Q878)/5),0),O878)</f>
        <v>0.5</v>
      </c>
      <c r="Q879" s="89" t="str">
        <f ca="1">IF(MOD(COUNTIF($Q$11:Q878,Q878),5)=0,OFFSET(装备属性!$M$1083,1+INT(COUNTA($Q$11:Q878)/5),0),Q878)</f>
        <v>稀有词条</v>
      </c>
      <c r="R879" s="83">
        <f ca="1">IF(MOD(COUNTIF($Q$11:Q878,Q878),5)=0,10000*SUBSTITUTE(SUBSTITUTE(OFFSET(装备属性!$F$1083,1+INT(COUNTA($Q$11:Q878)/5),0),"[",""),"]","")+_xlfn.XLOOKUP(C879,$M$3:$M$7,$N$3:$N$7)*100,R878)</f>
        <v>30800</v>
      </c>
    </row>
    <row r="880" customHeight="1" spans="1:18">
      <c r="A880" s="78">
        <f ca="1" t="shared" si="39"/>
        <v>30803</v>
      </c>
      <c r="B880" s="82">
        <f ca="1">IFERROR(R880+COUNTIFS($R$11:$R880,R880),"")</f>
        <v>30820</v>
      </c>
      <c r="C880" s="83" t="str">
        <f ca="1">IF(MOD(COUNTIF($Q$11:Q879,Q879),5)=0,OFFSET(装备属性!$D$1083,1+INT(COUNTA($Q$11:Q879)/5),0),C879)</f>
        <v>彩</v>
      </c>
      <c r="D880" s="82">
        <f t="shared" si="41"/>
        <v>1000</v>
      </c>
      <c r="F880" s="82">
        <f ca="1" t="shared" si="40"/>
        <v>30803</v>
      </c>
      <c r="G880" s="78" t="str">
        <f ca="1">IF(AND(LEFT("[{"&amp;M880&amp;","&amp;CEILING(N880*10000+(O880-N880)/4*(COUNTIF($F$11:F880,F880)-1)*10000,10)&amp;"}]",7)="[{equip",MID("[{"&amp;M880&amp;","&amp;CEILING(N880*10000+(O880-N880)/4*(COUNTIF($F$11:F880,F880)-1)*10000,10)&amp;"}]",8,1)&lt;&gt;"_"),"[{"&amp;M880&amp;","&amp;1&amp;"}]","[{"&amp;M880&amp;","&amp;CEILING(N880*10000+(O880-N880)/4*(COUNTIF($F$11:F880,F880)-1)*10000,10)&amp;"}]")</f>
        <v>[{equip_extra_attr,5000}]</v>
      </c>
      <c r="H880" s="82" t="s">
        <v>563</v>
      </c>
      <c r="J880" s="78">
        <f ca="1">IF(MOD(COUNTIF($Q$11:Q879,Q879),5)=0,OFFSET(装备属性!$P$1083,1+INT(COUNTA($Q$11:Q879)/5),0),J879)</f>
        <v>8</v>
      </c>
      <c r="K880" s="83" t="str">
        <f ca="1">IF(RIGHT(G880,13)="rune_slot,1}]",_xlfn.XLOOKUP(LEFT(SUBSTITUTE(G880,"[{",""),FIND(",",SUBSTITUTE(G880,"[{",""))-1),Sheet2!B:B,Sheet2!C:C)&amp;"+"&amp;1,_xlfn.XLOOKUP(LEFT(SUBSTITUTE(G880,"[{",""),FIND(",",SUBSTITUTE(G880,"[{",""))-1),Sheet2!B:B,Sheet2!C:C)&amp;"+"&amp;SUBSTITUTE(RIGHT(G880,LEN(G880)-FIND(",",G880)),"}]","")/100&amp;"%")</f>
        <v>装备附加属性加成+50%</v>
      </c>
      <c r="L880" s="83" t="str">
        <f ca="1">IF(MOD(COUNTIF($Q$11:Q879,Q879),5)=0,OFFSET(装备属性!$G$1083,1+INT(COUNTA($Q$11:Q879)/5),0),L879)</f>
        <v>提成色</v>
      </c>
      <c r="M880" s="89" t="str">
        <f ca="1">IF(MOD(COUNTIF($Q$11:Q879,Q879),5)=0,OFFSET(装备属性!$H$1083,1+INT(COUNTA($Q$11:Q879)/5),0),M879)</f>
        <v>equip_extra_attr</v>
      </c>
      <c r="N880" s="76">
        <f ca="1">IF(MOD(COUNTIF($Q$11:Q879,Q879),5)=0,OFFSET(装备属性!$K$1083,1+INT(COUNTA($Q$11:Q879)/5),0),N879)</f>
        <v>0.5</v>
      </c>
      <c r="O880" s="76">
        <f ca="1">IF(MOD(COUNTIF($Q$11:Q879,Q879),5)=0,OFFSET(装备属性!$L$1083,1+INT(COUNTA($Q$11:Q879)/5),0),O879)</f>
        <v>0.5</v>
      </c>
      <c r="Q880" s="89" t="str">
        <f ca="1">IF(MOD(COUNTIF($Q$11:Q879,Q879),5)=0,OFFSET(装备属性!$M$1083,1+INT(COUNTA($Q$11:Q879)/5),0),Q879)</f>
        <v>稀有词条</v>
      </c>
      <c r="R880" s="83">
        <f ca="1">IF(MOD(COUNTIF($Q$11:Q879,Q879),5)=0,10000*SUBSTITUTE(SUBSTITUTE(OFFSET(装备属性!$F$1083,1+INT(COUNTA($Q$11:Q879)/5),0),"[",""),"]","")+_xlfn.XLOOKUP(C880,$M$3:$M$7,$N$3:$N$7)*100,R879)</f>
        <v>30800</v>
      </c>
    </row>
    <row r="881" customHeight="1" spans="1:18">
      <c r="A881" s="78">
        <f ca="1" t="shared" si="39"/>
        <v>30802</v>
      </c>
      <c r="B881" s="82">
        <f ca="1">IFERROR(R881+COUNTIFS($R$11:$R881,R881),"")</f>
        <v>30821</v>
      </c>
      <c r="C881" s="83" t="str">
        <f ca="1">IF(MOD(COUNTIF($Q$11:Q880,Q880),5)=0,OFFSET(装备属性!$D$1083,1+INT(COUNTA($Q$11:Q880)/5),0),C880)</f>
        <v>彩</v>
      </c>
      <c r="D881" s="82">
        <f t="shared" si="41"/>
        <v>3000</v>
      </c>
      <c r="F881" s="82">
        <f ca="1" t="shared" si="40"/>
        <v>30804</v>
      </c>
      <c r="G881" s="78" t="str">
        <f ca="1">IF(AND(LEFT("[{"&amp;M881&amp;","&amp;CEILING(N881*10000+(O881-N881)/4*(COUNTIF($F$11:F881,F881)-1)*10000,10)&amp;"}]",7)="[{equip",MID("[{"&amp;M881&amp;","&amp;CEILING(N881*10000+(O881-N881)/4*(COUNTIF($F$11:F881,F881)-1)*10000,10)&amp;"}]",8,1)&lt;&gt;"_"),"[{"&amp;M881&amp;","&amp;1&amp;"}]","[{"&amp;M881&amp;","&amp;CEILING(N881*10000+(O881-N881)/4*(COUNTIF($F$11:F881,F881)-1)*10000,10)&amp;"}]")</f>
        <v>[{arena_pve_hit_rare,900}]</v>
      </c>
      <c r="H881" s="82" t="s">
        <v>563</v>
      </c>
      <c r="J881" s="78">
        <f ca="1">IF(MOD(COUNTIF($Q$11:Q880,Q880),5)=0,OFFSET(装备属性!$P$1083,1+INT(COUNTA($Q$11:Q880)/5),0),J880)</f>
        <v>1</v>
      </c>
      <c r="K881" s="83" t="str">
        <f ca="1">IF(RIGHT(G881,13)="rune_slot,1}]",_xlfn.XLOOKUP(LEFT(SUBSTITUTE(G881,"[{",""),FIND(",",SUBSTITUTE(G881,"[{",""))-1),Sheet2!B:B,Sheet2!C:C)&amp;"+"&amp;1,_xlfn.XLOOKUP(LEFT(SUBSTITUTE(G881,"[{",""),FIND(",",SUBSTITUTE(G881,"[{",""))-1),Sheet2!B:B,Sheet2!C:C)&amp;"+"&amp;SUBSTITUTE(RIGHT(G881,LEN(G881)-FIND(",",G881)),"}]","")/100&amp;"%")</f>
        <v>荧幕争锋增伤+9%</v>
      </c>
      <c r="L881" s="83" t="str">
        <f ca="1">IF(MOD(COUNTIF($Q$11:Q880,Q880),5)=0,OFFSET(装备属性!$G$1083,1+INT(COUNTA($Q$11:Q880)/5),0),L880)</f>
        <v>关键开团Ⅴ</v>
      </c>
      <c r="M881" s="89" t="str">
        <f ca="1">IF(MOD(COUNTIF($Q$11:Q880,Q880),5)=0,OFFSET(装备属性!$H$1083,1+INT(COUNTA($Q$11:Q880)/5),0),M880)</f>
        <v>arena_pve_hit_rare</v>
      </c>
      <c r="N881" s="76">
        <f ca="1">IF(MOD(COUNTIF($Q$11:Q880,Q880),5)=0,OFFSET(装备属性!$K$1083,1+INT(COUNTA($Q$11:Q880)/5),0),N880)</f>
        <v>0.09</v>
      </c>
      <c r="O881" s="76">
        <f ca="1">IF(MOD(COUNTIF($Q$11:Q880,Q880),5)=0,OFFSET(装备属性!$L$1083,1+INT(COUNTA($Q$11:Q880)/5),0),O880)</f>
        <v>0.1</v>
      </c>
      <c r="Q881" s="89" t="str">
        <f ca="1">IF(MOD(COUNTIF($Q$11:Q880,Q880),5)=0,OFFSET(装备属性!$M$1083,1+INT(COUNTA($Q$11:Q880)/5),0),Q880)</f>
        <v>玩法类</v>
      </c>
      <c r="R881" s="83">
        <f ca="1">IF(MOD(COUNTIF($Q$11:Q880,Q880),5)=0,10000*SUBSTITUTE(SUBSTITUTE(OFFSET(装备属性!$F$1083,1+INT(COUNTA($Q$11:Q880)/5),0),"[",""),"]","")+_xlfn.XLOOKUP(C881,$M$3:$M$7,$N$3:$N$7)*100,R880)</f>
        <v>30800</v>
      </c>
    </row>
    <row r="882" customHeight="1" spans="1:18">
      <c r="A882" s="78">
        <f ca="1" t="shared" si="39"/>
        <v>30802</v>
      </c>
      <c r="B882" s="82">
        <f ca="1">IFERROR(R882+COUNTIFS($R$11:$R882,R882),"")</f>
        <v>30822</v>
      </c>
      <c r="C882" s="83" t="str">
        <f ca="1">IF(MOD(COUNTIF($Q$11:Q881,Q881),5)=0,OFFSET(装备属性!$D$1083,1+INT(COUNTA($Q$11:Q881)/5),0),C881)</f>
        <v>彩</v>
      </c>
      <c r="D882" s="82">
        <f t="shared" si="41"/>
        <v>2500</v>
      </c>
      <c r="F882" s="82">
        <f ca="1" t="shared" si="40"/>
        <v>30804</v>
      </c>
      <c r="G882" s="78" t="str">
        <f ca="1">IF(AND(LEFT("[{"&amp;M882&amp;","&amp;CEILING(N882*10000+(O882-N882)/4*(COUNTIF($F$11:F882,F882)-1)*10000,10)&amp;"}]",7)="[{equip",MID("[{"&amp;M882&amp;","&amp;CEILING(N882*10000+(O882-N882)/4*(COUNTIF($F$11:F882,F882)-1)*10000,10)&amp;"}]",8,1)&lt;&gt;"_"),"[{"&amp;M882&amp;","&amp;1&amp;"}]","[{"&amp;M882&amp;","&amp;CEILING(N882*10000+(O882-N882)/4*(COUNTIF($F$11:F882,F882)-1)*10000,10)&amp;"}]")</f>
        <v>[{arena_pve_hit_rare,930}]</v>
      </c>
      <c r="H882" s="82" t="s">
        <v>563</v>
      </c>
      <c r="J882" s="78">
        <f ca="1">IF(MOD(COUNTIF($Q$11:Q881,Q881),5)=0,OFFSET(装备属性!$P$1083,1+INT(COUNTA($Q$11:Q881)/5),0),J881)</f>
        <v>1</v>
      </c>
      <c r="K882" s="83" t="str">
        <f ca="1">IF(RIGHT(G882,13)="rune_slot,1}]",_xlfn.XLOOKUP(LEFT(SUBSTITUTE(G882,"[{",""),FIND(",",SUBSTITUTE(G882,"[{",""))-1),Sheet2!B:B,Sheet2!C:C)&amp;"+"&amp;1,_xlfn.XLOOKUP(LEFT(SUBSTITUTE(G882,"[{",""),FIND(",",SUBSTITUTE(G882,"[{",""))-1),Sheet2!B:B,Sheet2!C:C)&amp;"+"&amp;SUBSTITUTE(RIGHT(G882,LEN(G882)-FIND(",",G882)),"}]","")/100&amp;"%")</f>
        <v>荧幕争锋增伤+9.3%</v>
      </c>
      <c r="L882" s="83" t="str">
        <f ca="1">IF(MOD(COUNTIF($Q$11:Q881,Q881),5)=0,OFFSET(装备属性!$G$1083,1+INT(COUNTA($Q$11:Q881)/5),0),L881)</f>
        <v>关键开团Ⅴ</v>
      </c>
      <c r="M882" s="89" t="str">
        <f ca="1">IF(MOD(COUNTIF($Q$11:Q881,Q881),5)=0,OFFSET(装备属性!$H$1083,1+INT(COUNTA($Q$11:Q881)/5),0),M881)</f>
        <v>arena_pve_hit_rare</v>
      </c>
      <c r="N882" s="76">
        <f ca="1">IF(MOD(COUNTIF($Q$11:Q881,Q881),5)=0,OFFSET(装备属性!$K$1083,1+INT(COUNTA($Q$11:Q881)/5),0),N881)</f>
        <v>0.09</v>
      </c>
      <c r="O882" s="76">
        <f ca="1">IF(MOD(COUNTIF($Q$11:Q881,Q881),5)=0,OFFSET(装备属性!$L$1083,1+INT(COUNTA($Q$11:Q881)/5),0),O881)</f>
        <v>0.1</v>
      </c>
      <c r="Q882" s="89" t="str">
        <f ca="1">IF(MOD(COUNTIF($Q$11:Q881,Q881),5)=0,OFFSET(装备属性!$M$1083,1+INT(COUNTA($Q$11:Q881)/5),0),Q881)</f>
        <v>玩法类</v>
      </c>
      <c r="R882" s="83">
        <f ca="1">IF(MOD(COUNTIF($Q$11:Q881,Q881),5)=0,10000*SUBSTITUTE(SUBSTITUTE(OFFSET(装备属性!$F$1083,1+INT(COUNTA($Q$11:Q881)/5),0),"[",""),"]","")+_xlfn.XLOOKUP(C882,$M$3:$M$7,$N$3:$N$7)*100,R881)</f>
        <v>30800</v>
      </c>
    </row>
    <row r="883" customHeight="1" spans="1:18">
      <c r="A883" s="78">
        <f ca="1" t="shared" si="39"/>
        <v>30802</v>
      </c>
      <c r="B883" s="82">
        <f ca="1">IFERROR(R883+COUNTIFS($R$11:$R883,R883),"")</f>
        <v>30823</v>
      </c>
      <c r="C883" s="83" t="str">
        <f ca="1">IF(MOD(COUNTIF($Q$11:Q882,Q882),5)=0,OFFSET(装备属性!$D$1083,1+INT(COUNTA($Q$11:Q882)/5),0),C882)</f>
        <v>彩</v>
      </c>
      <c r="D883" s="82">
        <f t="shared" si="41"/>
        <v>2000</v>
      </c>
      <c r="F883" s="82">
        <f ca="1" t="shared" si="40"/>
        <v>30804</v>
      </c>
      <c r="G883" s="78" t="str">
        <f ca="1">IF(AND(LEFT("[{"&amp;M883&amp;","&amp;CEILING(N883*10000+(O883-N883)/4*(COUNTIF($F$11:F883,F883)-1)*10000,10)&amp;"}]",7)="[{equip",MID("[{"&amp;M883&amp;","&amp;CEILING(N883*10000+(O883-N883)/4*(COUNTIF($F$11:F883,F883)-1)*10000,10)&amp;"}]",8,1)&lt;&gt;"_"),"[{"&amp;M883&amp;","&amp;1&amp;"}]","[{"&amp;M883&amp;","&amp;CEILING(N883*10000+(O883-N883)/4*(COUNTIF($F$11:F883,F883)-1)*10000,10)&amp;"}]")</f>
        <v>[{arena_pve_hit_rare,950}]</v>
      </c>
      <c r="H883" s="82" t="s">
        <v>563</v>
      </c>
      <c r="J883" s="78">
        <f ca="1">IF(MOD(COUNTIF($Q$11:Q882,Q882),5)=0,OFFSET(装备属性!$P$1083,1+INT(COUNTA($Q$11:Q882)/5),0),J882)</f>
        <v>1</v>
      </c>
      <c r="K883" s="83" t="str">
        <f ca="1">IF(RIGHT(G883,13)="rune_slot,1}]",_xlfn.XLOOKUP(LEFT(SUBSTITUTE(G883,"[{",""),FIND(",",SUBSTITUTE(G883,"[{",""))-1),Sheet2!B:B,Sheet2!C:C)&amp;"+"&amp;1,_xlfn.XLOOKUP(LEFT(SUBSTITUTE(G883,"[{",""),FIND(",",SUBSTITUTE(G883,"[{",""))-1),Sheet2!B:B,Sheet2!C:C)&amp;"+"&amp;SUBSTITUTE(RIGHT(G883,LEN(G883)-FIND(",",G883)),"}]","")/100&amp;"%")</f>
        <v>荧幕争锋增伤+9.5%</v>
      </c>
      <c r="L883" s="83" t="str">
        <f ca="1">IF(MOD(COUNTIF($Q$11:Q882,Q882),5)=0,OFFSET(装备属性!$G$1083,1+INT(COUNTA($Q$11:Q882)/5),0),L882)</f>
        <v>关键开团Ⅴ</v>
      </c>
      <c r="M883" s="89" t="str">
        <f ca="1">IF(MOD(COUNTIF($Q$11:Q882,Q882),5)=0,OFFSET(装备属性!$H$1083,1+INT(COUNTA($Q$11:Q882)/5),0),M882)</f>
        <v>arena_pve_hit_rare</v>
      </c>
      <c r="N883" s="76">
        <f ca="1">IF(MOD(COUNTIF($Q$11:Q882,Q882),5)=0,OFFSET(装备属性!$K$1083,1+INT(COUNTA($Q$11:Q882)/5),0),N882)</f>
        <v>0.09</v>
      </c>
      <c r="O883" s="76">
        <f ca="1">IF(MOD(COUNTIF($Q$11:Q882,Q882),5)=0,OFFSET(装备属性!$L$1083,1+INT(COUNTA($Q$11:Q882)/5),0),O882)</f>
        <v>0.1</v>
      </c>
      <c r="Q883" s="89" t="str">
        <f ca="1">IF(MOD(COUNTIF($Q$11:Q882,Q882),5)=0,OFFSET(装备属性!$M$1083,1+INT(COUNTA($Q$11:Q882)/5),0),Q882)</f>
        <v>玩法类</v>
      </c>
      <c r="R883" s="83">
        <f ca="1">IF(MOD(COUNTIF($Q$11:Q882,Q882),5)=0,10000*SUBSTITUTE(SUBSTITUTE(OFFSET(装备属性!$F$1083,1+INT(COUNTA($Q$11:Q882)/5),0),"[",""),"]","")+_xlfn.XLOOKUP(C883,$M$3:$M$7,$N$3:$N$7)*100,R882)</f>
        <v>30800</v>
      </c>
    </row>
    <row r="884" customHeight="1" spans="1:18">
      <c r="A884" s="78">
        <f ca="1" t="shared" si="39"/>
        <v>30802</v>
      </c>
      <c r="B884" s="82">
        <f ca="1">IFERROR(R884+COUNTIFS($R$11:$R884,R884),"")</f>
        <v>30824</v>
      </c>
      <c r="C884" s="83" t="str">
        <f ca="1">IF(MOD(COUNTIF($Q$11:Q883,Q883),5)=0,OFFSET(装备属性!$D$1083,1+INT(COUNTA($Q$11:Q883)/5),0),C883)</f>
        <v>彩</v>
      </c>
      <c r="D884" s="82">
        <f t="shared" si="41"/>
        <v>1500</v>
      </c>
      <c r="F884" s="82">
        <f ca="1" t="shared" si="40"/>
        <v>30804</v>
      </c>
      <c r="G884" s="78" t="str">
        <f ca="1">IF(AND(LEFT("[{"&amp;M884&amp;","&amp;CEILING(N884*10000+(O884-N884)/4*(COUNTIF($F$11:F884,F884)-1)*10000,10)&amp;"}]",7)="[{equip",MID("[{"&amp;M884&amp;","&amp;CEILING(N884*10000+(O884-N884)/4*(COUNTIF($F$11:F884,F884)-1)*10000,10)&amp;"}]",8,1)&lt;&gt;"_"),"[{"&amp;M884&amp;","&amp;1&amp;"}]","[{"&amp;M884&amp;","&amp;CEILING(N884*10000+(O884-N884)/4*(COUNTIF($F$11:F884,F884)-1)*10000,10)&amp;"}]")</f>
        <v>[{arena_pve_hit_rare,980}]</v>
      </c>
      <c r="H884" s="82" t="s">
        <v>563</v>
      </c>
      <c r="J884" s="78">
        <f ca="1">IF(MOD(COUNTIF($Q$11:Q883,Q883),5)=0,OFFSET(装备属性!$P$1083,1+INT(COUNTA($Q$11:Q883)/5),0),J883)</f>
        <v>1</v>
      </c>
      <c r="K884" s="83" t="str">
        <f ca="1">IF(RIGHT(G884,13)="rune_slot,1}]",_xlfn.XLOOKUP(LEFT(SUBSTITUTE(G884,"[{",""),FIND(",",SUBSTITUTE(G884,"[{",""))-1),Sheet2!B:B,Sheet2!C:C)&amp;"+"&amp;1,_xlfn.XLOOKUP(LEFT(SUBSTITUTE(G884,"[{",""),FIND(",",SUBSTITUTE(G884,"[{",""))-1),Sheet2!B:B,Sheet2!C:C)&amp;"+"&amp;SUBSTITUTE(RIGHT(G884,LEN(G884)-FIND(",",G884)),"}]","")/100&amp;"%")</f>
        <v>荧幕争锋增伤+9.8%</v>
      </c>
      <c r="L884" s="83" t="str">
        <f ca="1">IF(MOD(COUNTIF($Q$11:Q883,Q883),5)=0,OFFSET(装备属性!$G$1083,1+INT(COUNTA($Q$11:Q883)/5),0),L883)</f>
        <v>关键开团Ⅴ</v>
      </c>
      <c r="M884" s="89" t="str">
        <f ca="1">IF(MOD(COUNTIF($Q$11:Q883,Q883),5)=0,OFFSET(装备属性!$H$1083,1+INT(COUNTA($Q$11:Q883)/5),0),M883)</f>
        <v>arena_pve_hit_rare</v>
      </c>
      <c r="N884" s="76">
        <f ca="1">IF(MOD(COUNTIF($Q$11:Q883,Q883),5)=0,OFFSET(装备属性!$K$1083,1+INT(COUNTA($Q$11:Q883)/5),0),N883)</f>
        <v>0.09</v>
      </c>
      <c r="O884" s="76">
        <f ca="1">IF(MOD(COUNTIF($Q$11:Q883,Q883),5)=0,OFFSET(装备属性!$L$1083,1+INT(COUNTA($Q$11:Q883)/5),0),O883)</f>
        <v>0.1</v>
      </c>
      <c r="Q884" s="89" t="str">
        <f ca="1">IF(MOD(COUNTIF($Q$11:Q883,Q883),5)=0,OFFSET(装备属性!$M$1083,1+INT(COUNTA($Q$11:Q883)/5),0),Q883)</f>
        <v>玩法类</v>
      </c>
      <c r="R884" s="83">
        <f ca="1">IF(MOD(COUNTIF($Q$11:Q883,Q883),5)=0,10000*SUBSTITUTE(SUBSTITUTE(OFFSET(装备属性!$F$1083,1+INT(COUNTA($Q$11:Q883)/5),0),"[",""),"]","")+_xlfn.XLOOKUP(C884,$M$3:$M$7,$N$3:$N$7)*100,R883)</f>
        <v>30800</v>
      </c>
    </row>
    <row r="885" customHeight="1" spans="1:18">
      <c r="A885" s="78">
        <f ca="1" t="shared" si="39"/>
        <v>30802</v>
      </c>
      <c r="B885" s="82">
        <f ca="1">IFERROR(R885+COUNTIFS($R$11:$R885,R885),"")</f>
        <v>30825</v>
      </c>
      <c r="C885" s="83" t="str">
        <f ca="1">IF(MOD(COUNTIF($Q$11:Q884,Q884),5)=0,OFFSET(装备属性!$D$1083,1+INT(COUNTA($Q$11:Q884)/5),0),C884)</f>
        <v>彩</v>
      </c>
      <c r="D885" s="82">
        <f t="shared" si="41"/>
        <v>1000</v>
      </c>
      <c r="F885" s="82">
        <f ca="1" t="shared" si="40"/>
        <v>30804</v>
      </c>
      <c r="G885" s="78" t="str">
        <f ca="1">IF(AND(LEFT("[{"&amp;M885&amp;","&amp;CEILING(N885*10000+(O885-N885)/4*(COUNTIF($F$11:F885,F885)-1)*10000,10)&amp;"}]",7)="[{equip",MID("[{"&amp;M885&amp;","&amp;CEILING(N885*10000+(O885-N885)/4*(COUNTIF($F$11:F885,F885)-1)*10000,10)&amp;"}]",8,1)&lt;&gt;"_"),"[{"&amp;M885&amp;","&amp;1&amp;"}]","[{"&amp;M885&amp;","&amp;CEILING(N885*10000+(O885-N885)/4*(COUNTIF($F$11:F885,F885)-1)*10000,10)&amp;"}]")</f>
        <v>[{arena_pve_hit_rare,1000}]</v>
      </c>
      <c r="H885" s="82" t="s">
        <v>563</v>
      </c>
      <c r="J885" s="78">
        <f ca="1">IF(MOD(COUNTIF($Q$11:Q884,Q884),5)=0,OFFSET(装备属性!$P$1083,1+INT(COUNTA($Q$11:Q884)/5),0),J884)</f>
        <v>1</v>
      </c>
      <c r="K885" s="83" t="str">
        <f ca="1">IF(RIGHT(G885,13)="rune_slot,1}]",_xlfn.XLOOKUP(LEFT(SUBSTITUTE(G885,"[{",""),FIND(",",SUBSTITUTE(G885,"[{",""))-1),Sheet2!B:B,Sheet2!C:C)&amp;"+"&amp;1,_xlfn.XLOOKUP(LEFT(SUBSTITUTE(G885,"[{",""),FIND(",",SUBSTITUTE(G885,"[{",""))-1),Sheet2!B:B,Sheet2!C:C)&amp;"+"&amp;SUBSTITUTE(RIGHT(G885,LEN(G885)-FIND(",",G885)),"}]","")/100&amp;"%")</f>
        <v>荧幕争锋增伤+10%</v>
      </c>
      <c r="L885" s="83" t="str">
        <f ca="1">IF(MOD(COUNTIF($Q$11:Q884,Q884),5)=0,OFFSET(装备属性!$G$1083,1+INT(COUNTA($Q$11:Q884)/5),0),L884)</f>
        <v>关键开团Ⅴ</v>
      </c>
      <c r="M885" s="89" t="str">
        <f ca="1">IF(MOD(COUNTIF($Q$11:Q884,Q884),5)=0,OFFSET(装备属性!$H$1083,1+INT(COUNTA($Q$11:Q884)/5),0),M884)</f>
        <v>arena_pve_hit_rare</v>
      </c>
      <c r="N885" s="76">
        <f ca="1">IF(MOD(COUNTIF($Q$11:Q884,Q884),5)=0,OFFSET(装备属性!$K$1083,1+INT(COUNTA($Q$11:Q884)/5),0),N884)</f>
        <v>0.09</v>
      </c>
      <c r="O885" s="76">
        <f ca="1">IF(MOD(COUNTIF($Q$11:Q884,Q884),5)=0,OFFSET(装备属性!$L$1083,1+INT(COUNTA($Q$11:Q884)/5),0),O884)</f>
        <v>0.1</v>
      </c>
      <c r="Q885" s="89" t="str">
        <f ca="1">IF(MOD(COUNTIF($Q$11:Q884,Q884),5)=0,OFFSET(装备属性!$M$1083,1+INT(COUNTA($Q$11:Q884)/5),0),Q884)</f>
        <v>玩法类</v>
      </c>
      <c r="R885" s="83">
        <f ca="1">IF(MOD(COUNTIF($Q$11:Q884,Q884),5)=0,10000*SUBSTITUTE(SUBSTITUTE(OFFSET(装备属性!$F$1083,1+INT(COUNTA($Q$11:Q884)/5),0),"[",""),"]","")+_xlfn.XLOOKUP(C885,$M$3:$M$7,$N$3:$N$7)*100,R884)</f>
        <v>30800</v>
      </c>
    </row>
    <row r="886" customHeight="1" spans="1:18">
      <c r="A886" s="78">
        <f ca="1" t="shared" si="39"/>
        <v>30803</v>
      </c>
      <c r="B886" s="82">
        <f ca="1">IFERROR(R886+COUNTIFS($R$11:$R886,R886),"")</f>
        <v>30826</v>
      </c>
      <c r="C886" s="83" t="str">
        <f ca="1">IF(MOD(COUNTIF($Q$11:Q885,Q885),5)=0,OFFSET(装备属性!$D$1083,1+INT(COUNTA($Q$11:Q885)/5),0),C885)</f>
        <v>彩</v>
      </c>
      <c r="D886" s="82">
        <f t="shared" si="41"/>
        <v>3000</v>
      </c>
      <c r="F886" s="82">
        <f ca="1" t="shared" si="40"/>
        <v>30805</v>
      </c>
      <c r="G886" s="78" t="str">
        <f ca="1">IF(AND(LEFT("[{"&amp;M886&amp;","&amp;CEILING(N886*10000+(O886-N886)/4*(COUNTIF($F$11:F886,F886)-1)*10000,10)&amp;"}]",7)="[{equip",MID("[{"&amp;M886&amp;","&amp;CEILING(N886*10000+(O886-N886)/4*(COUNTIF($F$11:F886,F886)-1)*10000,10)&amp;"}]",8,1)&lt;&gt;"_"),"[{"&amp;M886&amp;","&amp;1&amp;"}]","[{"&amp;M886&amp;","&amp;CEILING(N886*10000+(O886-N886)/4*(COUNTIF($F$11:F886,F886)-1)*10000,10)&amp;"}]")</f>
        <v>[{equip3_rune_slot,1}]</v>
      </c>
      <c r="H886" s="82" t="s">
        <v>563</v>
      </c>
      <c r="J886" s="78">
        <f ca="1">IF(MOD(COUNTIF($Q$11:Q885,Q885),5)=0,OFFSET(装备属性!$P$1083,1+INT(COUNTA($Q$11:Q885)/5),0),J885)</f>
        <v>6</v>
      </c>
      <c r="K886" s="83" t="str">
        <f ca="1">IF(RIGHT(G886,13)="rune_slot,1}]",_xlfn.XLOOKUP(LEFT(SUBSTITUTE(G886,"[{",""),FIND(",",SUBSTITUTE(G886,"[{",""))-1),Sheet2!B:B,Sheet2!C:C)&amp;"+"&amp;1,_xlfn.XLOOKUP(LEFT(SUBSTITUTE(G886,"[{",""),FIND(",",SUBSTITUTE(G886,"[{",""))-1),Sheet2!B:B,Sheet2!C:C)&amp;"+"&amp;SUBSTITUTE(RIGHT(G886,LEN(G886)-FIND(",",G886)),"}]","")/100&amp;"%")</f>
        <v>饰品符文孔位+1</v>
      </c>
      <c r="L886" s="83" t="str">
        <f ca="1">IF(MOD(COUNTIF($Q$11:Q885,Q885),5)=0,OFFSET(装备属性!$G$1083,1+INT(COUNTA($Q$11:Q885)/5),0),L885)</f>
        <v>扩符槽</v>
      </c>
      <c r="M886" s="89" t="str">
        <f ca="1">IF(MOD(COUNTIF($Q$11:Q885,Q885),5)=0,OFFSET(装备属性!$H$1083,1+INT(COUNTA($Q$11:Q885)/5),0),M885)</f>
        <v>equip3_rune_slot</v>
      </c>
      <c r="N886" s="76">
        <f ca="1">IF(MOD(COUNTIF($Q$11:Q885,Q885),5)=0,OFFSET(装备属性!$K$1083,1+INT(COUNTA($Q$11:Q885)/5),0),N885)</f>
        <v>1</v>
      </c>
      <c r="O886" s="76">
        <f ca="1">IF(MOD(COUNTIF($Q$11:Q885,Q885),5)=0,OFFSET(装备属性!$L$1083,1+INT(COUNTA($Q$11:Q885)/5),0),O885)</f>
        <v>1</v>
      </c>
      <c r="Q886" s="89" t="str">
        <f ca="1">IF(MOD(COUNTIF($Q$11:Q885,Q885),5)=0,OFFSET(装备属性!$M$1083,1+INT(COUNTA($Q$11:Q885)/5),0),Q885)</f>
        <v>稀有词条</v>
      </c>
      <c r="R886" s="83">
        <f ca="1">IF(MOD(COUNTIF($Q$11:Q885,Q885),5)=0,10000*SUBSTITUTE(SUBSTITUTE(OFFSET(装备属性!$F$1083,1+INT(COUNTA($Q$11:Q885)/5),0),"[",""),"]","")+_xlfn.XLOOKUP(C886,$M$3:$M$7,$N$3:$N$7)*100,R885)</f>
        <v>30800</v>
      </c>
    </row>
    <row r="887" customHeight="1" spans="1:18">
      <c r="A887" s="78">
        <f ca="1" t="shared" si="39"/>
        <v>30803</v>
      </c>
      <c r="B887" s="82">
        <f ca="1">IFERROR(R887+COUNTIFS($R$11:$R887,R887),"")</f>
        <v>30827</v>
      </c>
      <c r="C887" s="83" t="str">
        <f ca="1">IF(MOD(COUNTIF($Q$11:Q886,Q886),5)=0,OFFSET(装备属性!$D$1083,1+INT(COUNTA($Q$11:Q886)/5),0),C886)</f>
        <v>彩</v>
      </c>
      <c r="D887" s="82">
        <f t="shared" si="41"/>
        <v>2500</v>
      </c>
      <c r="F887" s="82">
        <f ca="1" t="shared" si="40"/>
        <v>30805</v>
      </c>
      <c r="G887" s="78" t="str">
        <f ca="1">IF(AND(LEFT("[{"&amp;M887&amp;","&amp;CEILING(N887*10000+(O887-N887)/4*(COUNTIF($F$11:F887,F887)-1)*10000,10)&amp;"}]",7)="[{equip",MID("[{"&amp;M887&amp;","&amp;CEILING(N887*10000+(O887-N887)/4*(COUNTIF($F$11:F887,F887)-1)*10000,10)&amp;"}]",8,1)&lt;&gt;"_"),"[{"&amp;M887&amp;","&amp;1&amp;"}]","[{"&amp;M887&amp;","&amp;CEILING(N887*10000+(O887-N887)/4*(COUNTIF($F$11:F887,F887)-1)*10000,10)&amp;"}]")</f>
        <v>[{equip3_rune_slot,1}]</v>
      </c>
      <c r="H887" s="82" t="s">
        <v>563</v>
      </c>
      <c r="J887" s="78">
        <f ca="1">IF(MOD(COUNTIF($Q$11:Q886,Q886),5)=0,OFFSET(装备属性!$P$1083,1+INT(COUNTA($Q$11:Q886)/5),0),J886)</f>
        <v>6</v>
      </c>
      <c r="K887" s="83" t="str">
        <f ca="1">IF(RIGHT(G887,13)="rune_slot,1}]",_xlfn.XLOOKUP(LEFT(SUBSTITUTE(G887,"[{",""),FIND(",",SUBSTITUTE(G887,"[{",""))-1),Sheet2!B:B,Sheet2!C:C)&amp;"+"&amp;1,_xlfn.XLOOKUP(LEFT(SUBSTITUTE(G887,"[{",""),FIND(",",SUBSTITUTE(G887,"[{",""))-1),Sheet2!B:B,Sheet2!C:C)&amp;"+"&amp;SUBSTITUTE(RIGHT(G887,LEN(G887)-FIND(",",G887)),"}]","")/100&amp;"%")</f>
        <v>饰品符文孔位+1</v>
      </c>
      <c r="L887" s="83" t="str">
        <f ca="1">IF(MOD(COUNTIF($Q$11:Q886,Q886),5)=0,OFFSET(装备属性!$G$1083,1+INT(COUNTA($Q$11:Q886)/5),0),L886)</f>
        <v>扩符槽</v>
      </c>
      <c r="M887" s="89" t="str">
        <f ca="1">IF(MOD(COUNTIF($Q$11:Q886,Q886),5)=0,OFFSET(装备属性!$H$1083,1+INT(COUNTA($Q$11:Q886)/5),0),M886)</f>
        <v>equip3_rune_slot</v>
      </c>
      <c r="N887" s="76">
        <f ca="1">IF(MOD(COUNTIF($Q$11:Q886,Q886),5)=0,OFFSET(装备属性!$K$1083,1+INT(COUNTA($Q$11:Q886)/5),0),N886)</f>
        <v>1</v>
      </c>
      <c r="O887" s="76">
        <f ca="1">IF(MOD(COUNTIF($Q$11:Q886,Q886),5)=0,OFFSET(装备属性!$L$1083,1+INT(COUNTA($Q$11:Q886)/5),0),O886)</f>
        <v>1</v>
      </c>
      <c r="Q887" s="89" t="str">
        <f ca="1">IF(MOD(COUNTIF($Q$11:Q886,Q886),5)=0,OFFSET(装备属性!$M$1083,1+INT(COUNTA($Q$11:Q886)/5),0),Q886)</f>
        <v>稀有词条</v>
      </c>
      <c r="R887" s="83">
        <f ca="1">IF(MOD(COUNTIF($Q$11:Q886,Q886),5)=0,10000*SUBSTITUTE(SUBSTITUTE(OFFSET(装备属性!$F$1083,1+INT(COUNTA($Q$11:Q886)/5),0),"[",""),"]","")+_xlfn.XLOOKUP(C887,$M$3:$M$7,$N$3:$N$7)*100,R886)</f>
        <v>30800</v>
      </c>
    </row>
    <row r="888" customHeight="1" spans="1:18">
      <c r="A888" s="78">
        <f ca="1" t="shared" si="39"/>
        <v>30803</v>
      </c>
      <c r="B888" s="82">
        <f ca="1">IFERROR(R888+COUNTIFS($R$11:$R888,R888),"")</f>
        <v>30828</v>
      </c>
      <c r="C888" s="83" t="str">
        <f ca="1">IF(MOD(COUNTIF($Q$11:Q887,Q887),5)=0,OFFSET(装备属性!$D$1083,1+INT(COUNTA($Q$11:Q887)/5),0),C887)</f>
        <v>彩</v>
      </c>
      <c r="D888" s="82">
        <f t="shared" si="41"/>
        <v>2000</v>
      </c>
      <c r="F888" s="82">
        <f ca="1" t="shared" si="40"/>
        <v>30805</v>
      </c>
      <c r="G888" s="78" t="str">
        <f ca="1">IF(AND(LEFT("[{"&amp;M888&amp;","&amp;CEILING(N888*10000+(O888-N888)/4*(COUNTIF($F$11:F888,F888)-1)*10000,10)&amp;"}]",7)="[{equip",MID("[{"&amp;M888&amp;","&amp;CEILING(N888*10000+(O888-N888)/4*(COUNTIF($F$11:F888,F888)-1)*10000,10)&amp;"}]",8,1)&lt;&gt;"_"),"[{"&amp;M888&amp;","&amp;1&amp;"}]","[{"&amp;M888&amp;","&amp;CEILING(N888*10000+(O888-N888)/4*(COUNTIF($F$11:F888,F888)-1)*10000,10)&amp;"}]")</f>
        <v>[{equip3_rune_slot,1}]</v>
      </c>
      <c r="H888" s="82" t="s">
        <v>563</v>
      </c>
      <c r="J888" s="78">
        <f ca="1">IF(MOD(COUNTIF($Q$11:Q887,Q887),5)=0,OFFSET(装备属性!$P$1083,1+INT(COUNTA($Q$11:Q887)/5),0),J887)</f>
        <v>6</v>
      </c>
      <c r="K888" s="83" t="str">
        <f ca="1">IF(RIGHT(G888,13)="rune_slot,1}]",_xlfn.XLOOKUP(LEFT(SUBSTITUTE(G888,"[{",""),FIND(",",SUBSTITUTE(G888,"[{",""))-1),Sheet2!B:B,Sheet2!C:C)&amp;"+"&amp;1,_xlfn.XLOOKUP(LEFT(SUBSTITUTE(G888,"[{",""),FIND(",",SUBSTITUTE(G888,"[{",""))-1),Sheet2!B:B,Sheet2!C:C)&amp;"+"&amp;SUBSTITUTE(RIGHT(G888,LEN(G888)-FIND(",",G888)),"}]","")/100&amp;"%")</f>
        <v>饰品符文孔位+1</v>
      </c>
      <c r="L888" s="83" t="str">
        <f ca="1">IF(MOD(COUNTIF($Q$11:Q887,Q887),5)=0,OFFSET(装备属性!$G$1083,1+INT(COUNTA($Q$11:Q887)/5),0),L887)</f>
        <v>扩符槽</v>
      </c>
      <c r="M888" s="89" t="str">
        <f ca="1">IF(MOD(COUNTIF($Q$11:Q887,Q887),5)=0,OFFSET(装备属性!$H$1083,1+INT(COUNTA($Q$11:Q887)/5),0),M887)</f>
        <v>equip3_rune_slot</v>
      </c>
      <c r="N888" s="76">
        <f ca="1">IF(MOD(COUNTIF($Q$11:Q887,Q887),5)=0,OFFSET(装备属性!$K$1083,1+INT(COUNTA($Q$11:Q887)/5),0),N887)</f>
        <v>1</v>
      </c>
      <c r="O888" s="76">
        <f ca="1">IF(MOD(COUNTIF($Q$11:Q887,Q887),5)=0,OFFSET(装备属性!$L$1083,1+INT(COUNTA($Q$11:Q887)/5),0),O887)</f>
        <v>1</v>
      </c>
      <c r="Q888" s="89" t="str">
        <f ca="1">IF(MOD(COUNTIF($Q$11:Q887,Q887),5)=0,OFFSET(装备属性!$M$1083,1+INT(COUNTA($Q$11:Q887)/5),0),Q887)</f>
        <v>稀有词条</v>
      </c>
      <c r="R888" s="83">
        <f ca="1">IF(MOD(COUNTIF($Q$11:Q887,Q887),5)=0,10000*SUBSTITUTE(SUBSTITUTE(OFFSET(装备属性!$F$1083,1+INT(COUNTA($Q$11:Q887)/5),0),"[",""),"]","")+_xlfn.XLOOKUP(C888,$M$3:$M$7,$N$3:$N$7)*100,R887)</f>
        <v>30800</v>
      </c>
    </row>
    <row r="889" customHeight="1" spans="1:18">
      <c r="A889" s="78">
        <f ca="1" t="shared" si="39"/>
        <v>30803</v>
      </c>
      <c r="B889" s="82">
        <f ca="1">IFERROR(R889+COUNTIFS($R$11:$R889,R889),"")</f>
        <v>30829</v>
      </c>
      <c r="C889" s="83" t="str">
        <f ca="1">IF(MOD(COUNTIF($Q$11:Q888,Q888),5)=0,OFFSET(装备属性!$D$1083,1+INT(COUNTA($Q$11:Q888)/5),0),C888)</f>
        <v>彩</v>
      </c>
      <c r="D889" s="82">
        <f t="shared" si="41"/>
        <v>1500</v>
      </c>
      <c r="F889" s="82">
        <f ca="1" t="shared" si="40"/>
        <v>30805</v>
      </c>
      <c r="G889" s="78" t="str">
        <f ca="1">IF(AND(LEFT("[{"&amp;M889&amp;","&amp;CEILING(N889*10000+(O889-N889)/4*(COUNTIF($F$11:F889,F889)-1)*10000,10)&amp;"}]",7)="[{equip",MID("[{"&amp;M889&amp;","&amp;CEILING(N889*10000+(O889-N889)/4*(COUNTIF($F$11:F889,F889)-1)*10000,10)&amp;"}]",8,1)&lt;&gt;"_"),"[{"&amp;M889&amp;","&amp;1&amp;"}]","[{"&amp;M889&amp;","&amp;CEILING(N889*10000+(O889-N889)/4*(COUNTIF($F$11:F889,F889)-1)*10000,10)&amp;"}]")</f>
        <v>[{equip3_rune_slot,1}]</v>
      </c>
      <c r="H889" s="82" t="s">
        <v>563</v>
      </c>
      <c r="J889" s="78">
        <f ca="1">IF(MOD(COUNTIF($Q$11:Q888,Q888),5)=0,OFFSET(装备属性!$P$1083,1+INT(COUNTA($Q$11:Q888)/5),0),J888)</f>
        <v>6</v>
      </c>
      <c r="K889" s="83" t="str">
        <f ca="1">IF(RIGHT(G889,13)="rune_slot,1}]",_xlfn.XLOOKUP(LEFT(SUBSTITUTE(G889,"[{",""),FIND(",",SUBSTITUTE(G889,"[{",""))-1),Sheet2!B:B,Sheet2!C:C)&amp;"+"&amp;1,_xlfn.XLOOKUP(LEFT(SUBSTITUTE(G889,"[{",""),FIND(",",SUBSTITUTE(G889,"[{",""))-1),Sheet2!B:B,Sheet2!C:C)&amp;"+"&amp;SUBSTITUTE(RIGHT(G889,LEN(G889)-FIND(",",G889)),"}]","")/100&amp;"%")</f>
        <v>饰品符文孔位+1</v>
      </c>
      <c r="L889" s="83" t="str">
        <f ca="1">IF(MOD(COUNTIF($Q$11:Q888,Q888),5)=0,OFFSET(装备属性!$G$1083,1+INT(COUNTA($Q$11:Q888)/5),0),L888)</f>
        <v>扩符槽</v>
      </c>
      <c r="M889" s="89" t="str">
        <f ca="1">IF(MOD(COUNTIF($Q$11:Q888,Q888),5)=0,OFFSET(装备属性!$H$1083,1+INT(COUNTA($Q$11:Q888)/5),0),M888)</f>
        <v>equip3_rune_slot</v>
      </c>
      <c r="N889" s="76">
        <f ca="1">IF(MOD(COUNTIF($Q$11:Q888,Q888),5)=0,OFFSET(装备属性!$K$1083,1+INT(COUNTA($Q$11:Q888)/5),0),N888)</f>
        <v>1</v>
      </c>
      <c r="O889" s="76">
        <f ca="1">IF(MOD(COUNTIF($Q$11:Q888,Q888),5)=0,OFFSET(装备属性!$L$1083,1+INT(COUNTA($Q$11:Q888)/5),0),O888)</f>
        <v>1</v>
      </c>
      <c r="Q889" s="89" t="str">
        <f ca="1">IF(MOD(COUNTIF($Q$11:Q888,Q888),5)=0,OFFSET(装备属性!$M$1083,1+INT(COUNTA($Q$11:Q888)/5),0),Q888)</f>
        <v>稀有词条</v>
      </c>
      <c r="R889" s="83">
        <f ca="1">IF(MOD(COUNTIF($Q$11:Q888,Q888),5)=0,10000*SUBSTITUTE(SUBSTITUTE(OFFSET(装备属性!$F$1083,1+INT(COUNTA($Q$11:Q888)/5),0),"[",""),"]","")+_xlfn.XLOOKUP(C889,$M$3:$M$7,$N$3:$N$7)*100,R888)</f>
        <v>30800</v>
      </c>
    </row>
    <row r="890" customHeight="1" spans="1:18">
      <c r="A890" s="78">
        <f ca="1" t="shared" si="39"/>
        <v>30803</v>
      </c>
      <c r="B890" s="82">
        <f ca="1">IFERROR(R890+COUNTIFS($R$11:$R890,R890),"")</f>
        <v>30830</v>
      </c>
      <c r="C890" s="83" t="str">
        <f ca="1">IF(MOD(COUNTIF($Q$11:Q889,Q889),5)=0,OFFSET(装备属性!$D$1083,1+INT(COUNTA($Q$11:Q889)/5),0),C889)</f>
        <v>彩</v>
      </c>
      <c r="D890" s="82">
        <f t="shared" si="41"/>
        <v>1000</v>
      </c>
      <c r="F890" s="82">
        <f ca="1" t="shared" si="40"/>
        <v>30805</v>
      </c>
      <c r="G890" s="78" t="str">
        <f ca="1">IF(AND(LEFT("[{"&amp;M890&amp;","&amp;CEILING(N890*10000+(O890-N890)/4*(COUNTIF($F$11:F890,F890)-1)*10000,10)&amp;"}]",7)="[{equip",MID("[{"&amp;M890&amp;","&amp;CEILING(N890*10000+(O890-N890)/4*(COUNTIF($F$11:F890,F890)-1)*10000,10)&amp;"}]",8,1)&lt;&gt;"_"),"[{"&amp;M890&amp;","&amp;1&amp;"}]","[{"&amp;M890&amp;","&amp;CEILING(N890*10000+(O890-N890)/4*(COUNTIF($F$11:F890,F890)-1)*10000,10)&amp;"}]")</f>
        <v>[{equip3_rune_slot,1}]</v>
      </c>
      <c r="H890" s="82" t="s">
        <v>563</v>
      </c>
      <c r="J890" s="78">
        <f ca="1">IF(MOD(COUNTIF($Q$11:Q889,Q889),5)=0,OFFSET(装备属性!$P$1083,1+INT(COUNTA($Q$11:Q889)/5),0),J889)</f>
        <v>6</v>
      </c>
      <c r="K890" s="83" t="str">
        <f ca="1">IF(RIGHT(G890,13)="rune_slot,1}]",_xlfn.XLOOKUP(LEFT(SUBSTITUTE(G890,"[{",""),FIND(",",SUBSTITUTE(G890,"[{",""))-1),Sheet2!B:B,Sheet2!C:C)&amp;"+"&amp;1,_xlfn.XLOOKUP(LEFT(SUBSTITUTE(G890,"[{",""),FIND(",",SUBSTITUTE(G890,"[{",""))-1),Sheet2!B:B,Sheet2!C:C)&amp;"+"&amp;SUBSTITUTE(RIGHT(G890,LEN(G890)-FIND(",",G890)),"}]","")/100&amp;"%")</f>
        <v>饰品符文孔位+1</v>
      </c>
      <c r="L890" s="83" t="str">
        <f ca="1">IF(MOD(COUNTIF($Q$11:Q889,Q889),5)=0,OFFSET(装备属性!$G$1083,1+INT(COUNTA($Q$11:Q889)/5),0),L889)</f>
        <v>扩符槽</v>
      </c>
      <c r="M890" s="89" t="str">
        <f ca="1">IF(MOD(COUNTIF($Q$11:Q889,Q889),5)=0,OFFSET(装备属性!$H$1083,1+INT(COUNTA($Q$11:Q889)/5),0),M889)</f>
        <v>equip3_rune_slot</v>
      </c>
      <c r="N890" s="76">
        <f ca="1">IF(MOD(COUNTIF($Q$11:Q889,Q889),5)=0,OFFSET(装备属性!$K$1083,1+INT(COUNTA($Q$11:Q889)/5),0),N889)</f>
        <v>1</v>
      </c>
      <c r="O890" s="76">
        <f ca="1">IF(MOD(COUNTIF($Q$11:Q889,Q889),5)=0,OFFSET(装备属性!$L$1083,1+INT(COUNTA($Q$11:Q889)/5),0),O889)</f>
        <v>1</v>
      </c>
      <c r="Q890" s="89" t="str">
        <f ca="1">IF(MOD(COUNTIF($Q$11:Q889,Q889),5)=0,OFFSET(装备属性!$M$1083,1+INT(COUNTA($Q$11:Q889)/5),0),Q889)</f>
        <v>稀有词条</v>
      </c>
      <c r="R890" s="83">
        <f ca="1">IF(MOD(COUNTIF($Q$11:Q889,Q889),5)=0,10000*SUBSTITUTE(SUBSTITUTE(OFFSET(装备属性!$F$1083,1+INT(COUNTA($Q$11:Q889)/5),0),"[",""),"]","")+_xlfn.XLOOKUP(C890,$M$3:$M$7,$N$3:$N$7)*100,R889)</f>
        <v>30800</v>
      </c>
    </row>
    <row r="891" customHeight="1" spans="1:18">
      <c r="A891" s="78">
        <f ca="1" t="shared" si="39"/>
        <v>30801</v>
      </c>
      <c r="B891" s="82">
        <f ca="1">IFERROR(R891+COUNTIFS($R$11:$R891,R891),"")</f>
        <v>30831</v>
      </c>
      <c r="C891" s="83" t="str">
        <f ca="1">IF(MOD(COUNTIF($Q$11:Q890,Q890),5)=0,OFFSET(装备属性!$D$1083,1+INT(COUNTA($Q$11:Q890)/5),0),C890)</f>
        <v>彩</v>
      </c>
      <c r="D891" s="82">
        <f t="shared" si="41"/>
        <v>3000</v>
      </c>
      <c r="F891" s="82">
        <f ca="1" t="shared" si="40"/>
        <v>30806</v>
      </c>
      <c r="G891" s="78" t="str">
        <f ca="1">IF(AND(LEFT("[{"&amp;M891&amp;","&amp;CEILING(N891*10000+(O891-N891)/4*(COUNTIF($F$11:F891,F891)-1)*10000,10)&amp;"}]",7)="[{equip",MID("[{"&amp;M891&amp;","&amp;CEILING(N891*10000+(O891-N891)/4*(COUNTIF($F$11:F891,F891)-1)*10000,10)&amp;"}]",8,1)&lt;&gt;"_"),"[{"&amp;M891&amp;","&amp;1&amp;"}]","[{"&amp;M891&amp;","&amp;CEILING(N891*10000+(O891-N891)/4*(COUNTIF($F$11:F891,F891)-1)*10000,10)&amp;"}]")</f>
        <v>[{hunter_dmg_red_rate,350}]</v>
      </c>
      <c r="H891" s="82" t="s">
        <v>563</v>
      </c>
      <c r="J891" s="78">
        <f ca="1">IF(MOD(COUNTIF($Q$11:Q890,Q890),5)=0,OFFSET(装备属性!$P$1083,1+INT(COUNTA($Q$11:Q890)/5),0),J890)</f>
        <v>5</v>
      </c>
      <c r="K891" s="83" t="str">
        <f ca="1">IF(RIGHT(G891,13)="rune_slot,1}]",_xlfn.XLOOKUP(LEFT(SUBSTITUTE(G891,"[{",""),FIND(",",SUBSTITUTE(G891,"[{",""))-1),Sheet2!B:B,Sheet2!C:C)&amp;"+"&amp;1,_xlfn.XLOOKUP(LEFT(SUBSTITUTE(G891,"[{",""),FIND(",",SUBSTITUTE(G891,"[{",""))-1),Sheet2!B:B,Sheet2!C:C)&amp;"+"&amp;SUBSTITUTE(RIGHT(G891,LEN(G891)-FIND(",",G891)),"}]","")/100&amp;"%")</f>
        <v>射手伤害减免+3.5%</v>
      </c>
      <c r="L891" s="83" t="str">
        <f ca="1">IF(MOD(COUNTIF($Q$11:Q890,Q890),5)=0,OFFSET(装备属性!$G$1083,1+INT(COUNTA($Q$11:Q890)/5),0),L890)</f>
        <v>远程躲伤Ⅴ</v>
      </c>
      <c r="M891" s="89" t="str">
        <f ca="1">IF(MOD(COUNTIF($Q$11:Q890,Q890),5)=0,OFFSET(装备属性!$H$1083,1+INT(COUNTA($Q$11:Q890)/5),0),M890)</f>
        <v>hunter_dmg_red_rate</v>
      </c>
      <c r="N891" s="76">
        <f ca="1">IF(MOD(COUNTIF($Q$11:Q890,Q890),5)=0,OFFSET(装备属性!$K$1083,1+INT(COUNTA($Q$11:Q890)/5),0),N890)</f>
        <v>0.035</v>
      </c>
      <c r="O891" s="76">
        <f ca="1">IF(MOD(COUNTIF($Q$11:Q890,Q890),5)=0,OFFSET(装备属性!$L$1083,1+INT(COUNTA($Q$11:Q890)/5),0),O890)</f>
        <v>0.039</v>
      </c>
      <c r="Q891" s="89" t="str">
        <f ca="1">IF(MOD(COUNTIF($Q$11:Q890,Q890),5)=0,OFFSET(装备属性!$M$1083,1+INT(COUNTA($Q$11:Q890)/5),0),Q890)</f>
        <v>通用属性</v>
      </c>
      <c r="R891" s="83">
        <f ca="1">IF(MOD(COUNTIF($Q$11:Q890,Q890),5)=0,10000*SUBSTITUTE(SUBSTITUTE(OFFSET(装备属性!$F$1083,1+INT(COUNTA($Q$11:Q890)/5),0),"[",""),"]","")+_xlfn.XLOOKUP(C891,$M$3:$M$7,$N$3:$N$7)*100,R890)</f>
        <v>30800</v>
      </c>
    </row>
    <row r="892" customHeight="1" spans="1:18">
      <c r="A892" s="78">
        <f ca="1" t="shared" si="39"/>
        <v>30801</v>
      </c>
      <c r="B892" s="82">
        <f ca="1">IFERROR(R892+COUNTIFS($R$11:$R892,R892),"")</f>
        <v>30832</v>
      </c>
      <c r="C892" s="83" t="str">
        <f ca="1">IF(MOD(COUNTIF($Q$11:Q891,Q891),5)=0,OFFSET(装备属性!$D$1083,1+INT(COUNTA($Q$11:Q891)/5),0),C891)</f>
        <v>彩</v>
      </c>
      <c r="D892" s="82">
        <f t="shared" si="41"/>
        <v>2500</v>
      </c>
      <c r="F892" s="82">
        <f ca="1" t="shared" si="40"/>
        <v>30806</v>
      </c>
      <c r="G892" s="78" t="str">
        <f ca="1">IF(AND(LEFT("[{"&amp;M892&amp;","&amp;CEILING(N892*10000+(O892-N892)/4*(COUNTIF($F$11:F892,F892)-1)*10000,10)&amp;"}]",7)="[{equip",MID("[{"&amp;M892&amp;","&amp;CEILING(N892*10000+(O892-N892)/4*(COUNTIF($F$11:F892,F892)-1)*10000,10)&amp;"}]",8,1)&lt;&gt;"_"),"[{"&amp;M892&amp;","&amp;1&amp;"}]","[{"&amp;M892&amp;","&amp;CEILING(N892*10000+(O892-N892)/4*(COUNTIF($F$11:F892,F892)-1)*10000,10)&amp;"}]")</f>
        <v>[{hunter_dmg_red_rate,360}]</v>
      </c>
      <c r="H892" s="82" t="s">
        <v>563</v>
      </c>
      <c r="J892" s="78">
        <f ca="1">IF(MOD(COUNTIF($Q$11:Q891,Q891),5)=0,OFFSET(装备属性!$P$1083,1+INT(COUNTA($Q$11:Q891)/5),0),J891)</f>
        <v>5</v>
      </c>
      <c r="K892" s="83" t="str">
        <f ca="1">IF(RIGHT(G892,13)="rune_slot,1}]",_xlfn.XLOOKUP(LEFT(SUBSTITUTE(G892,"[{",""),FIND(",",SUBSTITUTE(G892,"[{",""))-1),Sheet2!B:B,Sheet2!C:C)&amp;"+"&amp;1,_xlfn.XLOOKUP(LEFT(SUBSTITUTE(G892,"[{",""),FIND(",",SUBSTITUTE(G892,"[{",""))-1),Sheet2!B:B,Sheet2!C:C)&amp;"+"&amp;SUBSTITUTE(RIGHT(G892,LEN(G892)-FIND(",",G892)),"}]","")/100&amp;"%")</f>
        <v>射手伤害减免+3.6%</v>
      </c>
      <c r="L892" s="83" t="str">
        <f ca="1">IF(MOD(COUNTIF($Q$11:Q891,Q891),5)=0,OFFSET(装备属性!$G$1083,1+INT(COUNTA($Q$11:Q891)/5),0),L891)</f>
        <v>远程躲伤Ⅴ</v>
      </c>
      <c r="M892" s="89" t="str">
        <f ca="1">IF(MOD(COUNTIF($Q$11:Q891,Q891),5)=0,OFFSET(装备属性!$H$1083,1+INT(COUNTA($Q$11:Q891)/5),0),M891)</f>
        <v>hunter_dmg_red_rate</v>
      </c>
      <c r="N892" s="76">
        <f ca="1">IF(MOD(COUNTIF($Q$11:Q891,Q891),5)=0,OFFSET(装备属性!$K$1083,1+INT(COUNTA($Q$11:Q891)/5),0),N891)</f>
        <v>0.035</v>
      </c>
      <c r="O892" s="76">
        <f ca="1">IF(MOD(COUNTIF($Q$11:Q891,Q891),5)=0,OFFSET(装备属性!$L$1083,1+INT(COUNTA($Q$11:Q891)/5),0),O891)</f>
        <v>0.039</v>
      </c>
      <c r="Q892" s="89" t="str">
        <f ca="1">IF(MOD(COUNTIF($Q$11:Q891,Q891),5)=0,OFFSET(装备属性!$M$1083,1+INT(COUNTA($Q$11:Q891)/5),0),Q891)</f>
        <v>通用属性</v>
      </c>
      <c r="R892" s="83">
        <f ca="1">IF(MOD(COUNTIF($Q$11:Q891,Q891),5)=0,10000*SUBSTITUTE(SUBSTITUTE(OFFSET(装备属性!$F$1083,1+INT(COUNTA($Q$11:Q891)/5),0),"[",""),"]","")+_xlfn.XLOOKUP(C892,$M$3:$M$7,$N$3:$N$7)*100,R891)</f>
        <v>30800</v>
      </c>
    </row>
    <row r="893" customHeight="1" spans="1:18">
      <c r="A893" s="78">
        <f ca="1" t="shared" si="39"/>
        <v>30801</v>
      </c>
      <c r="B893" s="82">
        <f ca="1">IFERROR(R893+COUNTIFS($R$11:$R893,R893),"")</f>
        <v>30833</v>
      </c>
      <c r="C893" s="83" t="str">
        <f ca="1">IF(MOD(COUNTIF($Q$11:Q892,Q892),5)=0,OFFSET(装备属性!$D$1083,1+INT(COUNTA($Q$11:Q892)/5),0),C892)</f>
        <v>彩</v>
      </c>
      <c r="D893" s="82">
        <f t="shared" si="41"/>
        <v>2000</v>
      </c>
      <c r="F893" s="82">
        <f ca="1" t="shared" si="40"/>
        <v>30806</v>
      </c>
      <c r="G893" s="78" t="str">
        <f ca="1">IF(AND(LEFT("[{"&amp;M893&amp;","&amp;CEILING(N893*10000+(O893-N893)/4*(COUNTIF($F$11:F893,F893)-1)*10000,10)&amp;"}]",7)="[{equip",MID("[{"&amp;M893&amp;","&amp;CEILING(N893*10000+(O893-N893)/4*(COUNTIF($F$11:F893,F893)-1)*10000,10)&amp;"}]",8,1)&lt;&gt;"_"),"[{"&amp;M893&amp;","&amp;1&amp;"}]","[{"&amp;M893&amp;","&amp;CEILING(N893*10000+(O893-N893)/4*(COUNTIF($F$11:F893,F893)-1)*10000,10)&amp;"}]")</f>
        <v>[{hunter_dmg_red_rate,370}]</v>
      </c>
      <c r="H893" s="82" t="s">
        <v>563</v>
      </c>
      <c r="J893" s="78">
        <f ca="1">IF(MOD(COUNTIF($Q$11:Q892,Q892),5)=0,OFFSET(装备属性!$P$1083,1+INT(COUNTA($Q$11:Q892)/5),0),J892)</f>
        <v>5</v>
      </c>
      <c r="K893" s="83" t="str">
        <f ca="1">IF(RIGHT(G893,13)="rune_slot,1}]",_xlfn.XLOOKUP(LEFT(SUBSTITUTE(G893,"[{",""),FIND(",",SUBSTITUTE(G893,"[{",""))-1),Sheet2!B:B,Sheet2!C:C)&amp;"+"&amp;1,_xlfn.XLOOKUP(LEFT(SUBSTITUTE(G893,"[{",""),FIND(",",SUBSTITUTE(G893,"[{",""))-1),Sheet2!B:B,Sheet2!C:C)&amp;"+"&amp;SUBSTITUTE(RIGHT(G893,LEN(G893)-FIND(",",G893)),"}]","")/100&amp;"%")</f>
        <v>射手伤害减免+3.7%</v>
      </c>
      <c r="L893" s="83" t="str">
        <f ca="1">IF(MOD(COUNTIF($Q$11:Q892,Q892),5)=0,OFFSET(装备属性!$G$1083,1+INT(COUNTA($Q$11:Q892)/5),0),L892)</f>
        <v>远程躲伤Ⅴ</v>
      </c>
      <c r="M893" s="89" t="str">
        <f ca="1">IF(MOD(COUNTIF($Q$11:Q892,Q892),5)=0,OFFSET(装备属性!$H$1083,1+INT(COUNTA($Q$11:Q892)/5),0),M892)</f>
        <v>hunter_dmg_red_rate</v>
      </c>
      <c r="N893" s="76">
        <f ca="1">IF(MOD(COUNTIF($Q$11:Q892,Q892),5)=0,OFFSET(装备属性!$K$1083,1+INT(COUNTA($Q$11:Q892)/5),0),N892)</f>
        <v>0.035</v>
      </c>
      <c r="O893" s="76">
        <f ca="1">IF(MOD(COUNTIF($Q$11:Q892,Q892),5)=0,OFFSET(装备属性!$L$1083,1+INT(COUNTA($Q$11:Q892)/5),0),O892)</f>
        <v>0.039</v>
      </c>
      <c r="Q893" s="89" t="str">
        <f ca="1">IF(MOD(COUNTIF($Q$11:Q892,Q892),5)=0,OFFSET(装备属性!$M$1083,1+INT(COUNTA($Q$11:Q892)/5),0),Q892)</f>
        <v>通用属性</v>
      </c>
      <c r="R893" s="83">
        <f ca="1">IF(MOD(COUNTIF($Q$11:Q892,Q892),5)=0,10000*SUBSTITUTE(SUBSTITUTE(OFFSET(装备属性!$F$1083,1+INT(COUNTA($Q$11:Q892)/5),0),"[",""),"]","")+_xlfn.XLOOKUP(C893,$M$3:$M$7,$N$3:$N$7)*100,R892)</f>
        <v>30800</v>
      </c>
    </row>
    <row r="894" customHeight="1" spans="1:18">
      <c r="A894" s="78">
        <f ca="1" t="shared" si="39"/>
        <v>30801</v>
      </c>
      <c r="B894" s="82">
        <f ca="1">IFERROR(R894+COUNTIFS($R$11:$R894,R894),"")</f>
        <v>30834</v>
      </c>
      <c r="C894" s="83" t="str">
        <f ca="1">IF(MOD(COUNTIF($Q$11:Q893,Q893),5)=0,OFFSET(装备属性!$D$1083,1+INT(COUNTA($Q$11:Q893)/5),0),C893)</f>
        <v>彩</v>
      </c>
      <c r="D894" s="82">
        <f t="shared" si="41"/>
        <v>1500</v>
      </c>
      <c r="F894" s="82">
        <f ca="1" t="shared" si="40"/>
        <v>30806</v>
      </c>
      <c r="G894" s="78" t="str">
        <f ca="1">IF(AND(LEFT("[{"&amp;M894&amp;","&amp;CEILING(N894*10000+(O894-N894)/4*(COUNTIF($F$11:F894,F894)-1)*10000,10)&amp;"}]",7)="[{equip",MID("[{"&amp;M894&amp;","&amp;CEILING(N894*10000+(O894-N894)/4*(COUNTIF($F$11:F894,F894)-1)*10000,10)&amp;"}]",8,1)&lt;&gt;"_"),"[{"&amp;M894&amp;","&amp;1&amp;"}]","[{"&amp;M894&amp;","&amp;CEILING(N894*10000+(O894-N894)/4*(COUNTIF($F$11:F894,F894)-1)*10000,10)&amp;"}]")</f>
        <v>[{hunter_dmg_red_rate,380}]</v>
      </c>
      <c r="H894" s="82" t="s">
        <v>563</v>
      </c>
      <c r="J894" s="78">
        <f ca="1">IF(MOD(COUNTIF($Q$11:Q893,Q893),5)=0,OFFSET(装备属性!$P$1083,1+INT(COUNTA($Q$11:Q893)/5),0),J893)</f>
        <v>5</v>
      </c>
      <c r="K894" s="83" t="str">
        <f ca="1">IF(RIGHT(G894,13)="rune_slot,1}]",_xlfn.XLOOKUP(LEFT(SUBSTITUTE(G894,"[{",""),FIND(",",SUBSTITUTE(G894,"[{",""))-1),Sheet2!B:B,Sheet2!C:C)&amp;"+"&amp;1,_xlfn.XLOOKUP(LEFT(SUBSTITUTE(G894,"[{",""),FIND(",",SUBSTITUTE(G894,"[{",""))-1),Sheet2!B:B,Sheet2!C:C)&amp;"+"&amp;SUBSTITUTE(RIGHT(G894,LEN(G894)-FIND(",",G894)),"}]","")/100&amp;"%")</f>
        <v>射手伤害减免+3.8%</v>
      </c>
      <c r="L894" s="83" t="str">
        <f ca="1">IF(MOD(COUNTIF($Q$11:Q893,Q893),5)=0,OFFSET(装备属性!$G$1083,1+INT(COUNTA($Q$11:Q893)/5),0),L893)</f>
        <v>远程躲伤Ⅴ</v>
      </c>
      <c r="M894" s="89" t="str">
        <f ca="1">IF(MOD(COUNTIF($Q$11:Q893,Q893),5)=0,OFFSET(装备属性!$H$1083,1+INT(COUNTA($Q$11:Q893)/5),0),M893)</f>
        <v>hunter_dmg_red_rate</v>
      </c>
      <c r="N894" s="76">
        <f ca="1">IF(MOD(COUNTIF($Q$11:Q893,Q893),5)=0,OFFSET(装备属性!$K$1083,1+INT(COUNTA($Q$11:Q893)/5),0),N893)</f>
        <v>0.035</v>
      </c>
      <c r="O894" s="76">
        <f ca="1">IF(MOD(COUNTIF($Q$11:Q893,Q893),5)=0,OFFSET(装备属性!$L$1083,1+INT(COUNTA($Q$11:Q893)/5),0),O893)</f>
        <v>0.039</v>
      </c>
      <c r="Q894" s="89" t="str">
        <f ca="1">IF(MOD(COUNTIF($Q$11:Q893,Q893),5)=0,OFFSET(装备属性!$M$1083,1+INT(COUNTA($Q$11:Q893)/5),0),Q893)</f>
        <v>通用属性</v>
      </c>
      <c r="R894" s="83">
        <f ca="1">IF(MOD(COUNTIF($Q$11:Q893,Q893),5)=0,10000*SUBSTITUTE(SUBSTITUTE(OFFSET(装备属性!$F$1083,1+INT(COUNTA($Q$11:Q893)/5),0),"[",""),"]","")+_xlfn.XLOOKUP(C894,$M$3:$M$7,$N$3:$N$7)*100,R893)</f>
        <v>30800</v>
      </c>
    </row>
    <row r="895" customHeight="1" spans="1:18">
      <c r="A895" s="78">
        <f ca="1" t="shared" si="39"/>
        <v>30801</v>
      </c>
      <c r="B895" s="82">
        <f ca="1">IFERROR(R895+COUNTIFS($R$11:$R895,R895),"")</f>
        <v>30835</v>
      </c>
      <c r="C895" s="83" t="str">
        <f ca="1">IF(MOD(COUNTIF($Q$11:Q894,Q894),5)=0,OFFSET(装备属性!$D$1083,1+INT(COUNTA($Q$11:Q894)/5),0),C894)</f>
        <v>彩</v>
      </c>
      <c r="D895" s="82">
        <f t="shared" si="41"/>
        <v>1000</v>
      </c>
      <c r="F895" s="82">
        <f ca="1" t="shared" si="40"/>
        <v>30806</v>
      </c>
      <c r="G895" s="78" t="str">
        <f ca="1">IF(AND(LEFT("[{"&amp;M895&amp;","&amp;CEILING(N895*10000+(O895-N895)/4*(COUNTIF($F$11:F895,F895)-1)*10000,10)&amp;"}]",7)="[{equip",MID("[{"&amp;M895&amp;","&amp;CEILING(N895*10000+(O895-N895)/4*(COUNTIF($F$11:F895,F895)-1)*10000,10)&amp;"}]",8,1)&lt;&gt;"_"),"[{"&amp;M895&amp;","&amp;1&amp;"}]","[{"&amp;M895&amp;","&amp;CEILING(N895*10000+(O895-N895)/4*(COUNTIF($F$11:F895,F895)-1)*10000,10)&amp;"}]")</f>
        <v>[{hunter_dmg_red_rate,390}]</v>
      </c>
      <c r="H895" s="82" t="s">
        <v>563</v>
      </c>
      <c r="J895" s="78">
        <f ca="1">IF(MOD(COUNTIF($Q$11:Q894,Q894),5)=0,OFFSET(装备属性!$P$1083,1+INT(COUNTA($Q$11:Q894)/5),0),J894)</f>
        <v>5</v>
      </c>
      <c r="K895" s="83" t="str">
        <f ca="1">IF(RIGHT(G895,13)="rune_slot,1}]",_xlfn.XLOOKUP(LEFT(SUBSTITUTE(G895,"[{",""),FIND(",",SUBSTITUTE(G895,"[{",""))-1),Sheet2!B:B,Sheet2!C:C)&amp;"+"&amp;1,_xlfn.XLOOKUP(LEFT(SUBSTITUTE(G895,"[{",""),FIND(",",SUBSTITUTE(G895,"[{",""))-1),Sheet2!B:B,Sheet2!C:C)&amp;"+"&amp;SUBSTITUTE(RIGHT(G895,LEN(G895)-FIND(",",G895)),"}]","")/100&amp;"%")</f>
        <v>射手伤害减免+3.9%</v>
      </c>
      <c r="L895" s="83" t="str">
        <f ca="1">IF(MOD(COUNTIF($Q$11:Q894,Q894),5)=0,OFFSET(装备属性!$G$1083,1+INT(COUNTA($Q$11:Q894)/5),0),L894)</f>
        <v>远程躲伤Ⅴ</v>
      </c>
      <c r="M895" s="89" t="str">
        <f ca="1">IF(MOD(COUNTIF($Q$11:Q894,Q894),5)=0,OFFSET(装备属性!$H$1083,1+INT(COUNTA($Q$11:Q894)/5),0),M894)</f>
        <v>hunter_dmg_red_rate</v>
      </c>
      <c r="N895" s="76">
        <f ca="1">IF(MOD(COUNTIF($Q$11:Q894,Q894),5)=0,OFFSET(装备属性!$K$1083,1+INT(COUNTA($Q$11:Q894)/5),0),N894)</f>
        <v>0.035</v>
      </c>
      <c r="O895" s="76">
        <f ca="1">IF(MOD(COUNTIF($Q$11:Q894,Q894),5)=0,OFFSET(装备属性!$L$1083,1+INT(COUNTA($Q$11:Q894)/5),0),O894)</f>
        <v>0.039</v>
      </c>
      <c r="Q895" s="89" t="str">
        <f ca="1">IF(MOD(COUNTIF($Q$11:Q894,Q894),5)=0,OFFSET(装备属性!$M$1083,1+INT(COUNTA($Q$11:Q894)/5),0),Q894)</f>
        <v>通用属性</v>
      </c>
      <c r="R895" s="83">
        <f ca="1">IF(MOD(COUNTIF($Q$11:Q894,Q894),5)=0,10000*SUBSTITUTE(SUBSTITUTE(OFFSET(装备属性!$F$1083,1+INT(COUNTA($Q$11:Q894)/5),0),"[",""),"]","")+_xlfn.XLOOKUP(C895,$M$3:$M$7,$N$3:$N$7)*100,R894)</f>
        <v>30800</v>
      </c>
    </row>
    <row r="896" customHeight="1" spans="1:18">
      <c r="A896" s="78">
        <f ca="1" t="shared" si="39"/>
        <v>30801</v>
      </c>
      <c r="B896" s="82">
        <f ca="1">IFERROR(R896+COUNTIFS($R$11:$R896,R896),"")</f>
        <v>30836</v>
      </c>
      <c r="C896" s="83" t="str">
        <f ca="1">IF(MOD(COUNTIF($Q$11:Q895,Q895),5)=0,OFFSET(装备属性!$D$1083,1+INT(COUNTA($Q$11:Q895)/5),0),C895)</f>
        <v>彩</v>
      </c>
      <c r="D896" s="82">
        <f t="shared" si="41"/>
        <v>3000</v>
      </c>
      <c r="F896" s="82">
        <f ca="1" t="shared" si="40"/>
        <v>30807</v>
      </c>
      <c r="G896" s="78" t="str">
        <f ca="1">IF(AND(LEFT("[{"&amp;M896&amp;","&amp;CEILING(N896*10000+(O896-N896)/4*(COUNTIF($F$11:F896,F896)-1)*10000,10)&amp;"}]",7)="[{equip",MID("[{"&amp;M896&amp;","&amp;CEILING(N896*10000+(O896-N896)/4*(COUNTIF($F$11:F896,F896)-1)*10000,10)&amp;"}]",8,1)&lt;&gt;"_"),"[{"&amp;M896&amp;","&amp;1&amp;"}]","[{"&amp;M896&amp;","&amp;CEILING(N896*10000+(O896-N896)/4*(COUNTIF($F$11:F896,F896)-1)*10000,10)&amp;"}]")</f>
        <v>[{hunter_dmg_rate,900}]</v>
      </c>
      <c r="H896" s="82" t="s">
        <v>563</v>
      </c>
      <c r="J896" s="78">
        <f ca="1">IF(MOD(COUNTIF($Q$11:Q895,Q895),5)=0,OFFSET(装备属性!$P$1083,1+INT(COUNTA($Q$11:Q895)/5),0),J895)</f>
        <v>3</v>
      </c>
      <c r="K896" s="83" t="str">
        <f ca="1">IF(RIGHT(G896,13)="rune_slot,1}]",_xlfn.XLOOKUP(LEFT(SUBSTITUTE(G896,"[{",""),FIND(",",SUBSTITUTE(G896,"[{",""))-1),Sheet2!B:B,Sheet2!C:C)&amp;"+"&amp;1,_xlfn.XLOOKUP(LEFT(SUBSTITUTE(G896,"[{",""),FIND(",",SUBSTITUTE(G896,"[{",""))-1),Sheet2!B:B,Sheet2!C:C)&amp;"+"&amp;SUBSTITUTE(RIGHT(G896,LEN(G896)-FIND(",",G896)),"}]","")/100&amp;"%")</f>
        <v>射手伤害+9%</v>
      </c>
      <c r="L896" s="83" t="str">
        <f ca="1">IF(MOD(COUNTIF($Q$11:Q895,Q895),5)=0,OFFSET(装备属性!$G$1083,1+INT(COUNTA($Q$11:Q895)/5),0),L895)</f>
        <v>远程喂饭Ⅴ</v>
      </c>
      <c r="M896" s="89" t="str">
        <f ca="1">IF(MOD(COUNTIF($Q$11:Q895,Q895),5)=0,OFFSET(装备属性!$H$1083,1+INT(COUNTA($Q$11:Q895)/5),0),M895)</f>
        <v>hunter_dmg_rate</v>
      </c>
      <c r="N896" s="76">
        <f ca="1">IF(MOD(COUNTIF($Q$11:Q895,Q895),5)=0,OFFSET(装备属性!$K$1083,1+INT(COUNTA($Q$11:Q895)/5),0),N895)</f>
        <v>0.09</v>
      </c>
      <c r="O896" s="76">
        <f ca="1">IF(MOD(COUNTIF($Q$11:Q895,Q895),5)=0,OFFSET(装备属性!$L$1083,1+INT(COUNTA($Q$11:Q895)/5),0),O895)</f>
        <v>0.1</v>
      </c>
      <c r="Q896" s="89" t="str">
        <f ca="1">IF(MOD(COUNTIF($Q$11:Q895,Q895),5)=0,OFFSET(装备属性!$M$1083,1+INT(COUNTA($Q$11:Q895)/5),0),Q895)</f>
        <v>通用属性</v>
      </c>
      <c r="R896" s="83">
        <f ca="1">IF(MOD(COUNTIF($Q$11:Q895,Q895),5)=0,10000*SUBSTITUTE(SUBSTITUTE(OFFSET(装备属性!$F$1083,1+INT(COUNTA($Q$11:Q895)/5),0),"[",""),"]","")+_xlfn.XLOOKUP(C896,$M$3:$M$7,$N$3:$N$7)*100,R895)</f>
        <v>30800</v>
      </c>
    </row>
    <row r="897" customHeight="1" spans="1:18">
      <c r="A897" s="78">
        <f ca="1" t="shared" si="39"/>
        <v>30801</v>
      </c>
      <c r="B897" s="82">
        <f ca="1">IFERROR(R897+COUNTIFS($R$11:$R897,R897),"")</f>
        <v>30837</v>
      </c>
      <c r="C897" s="83" t="str">
        <f ca="1">IF(MOD(COUNTIF($Q$11:Q896,Q896),5)=0,OFFSET(装备属性!$D$1083,1+INT(COUNTA($Q$11:Q896)/5),0),C896)</f>
        <v>彩</v>
      </c>
      <c r="D897" s="82">
        <f t="shared" si="41"/>
        <v>2500</v>
      </c>
      <c r="F897" s="82">
        <f ca="1" t="shared" si="40"/>
        <v>30807</v>
      </c>
      <c r="G897" s="78" t="str">
        <f ca="1">IF(AND(LEFT("[{"&amp;M897&amp;","&amp;CEILING(N897*10000+(O897-N897)/4*(COUNTIF($F$11:F897,F897)-1)*10000,10)&amp;"}]",7)="[{equip",MID("[{"&amp;M897&amp;","&amp;CEILING(N897*10000+(O897-N897)/4*(COUNTIF($F$11:F897,F897)-1)*10000,10)&amp;"}]",8,1)&lt;&gt;"_"),"[{"&amp;M897&amp;","&amp;1&amp;"}]","[{"&amp;M897&amp;","&amp;CEILING(N897*10000+(O897-N897)/4*(COUNTIF($F$11:F897,F897)-1)*10000,10)&amp;"}]")</f>
        <v>[{hunter_dmg_rate,930}]</v>
      </c>
      <c r="H897" s="82" t="s">
        <v>563</v>
      </c>
      <c r="J897" s="78">
        <f ca="1">IF(MOD(COUNTIF($Q$11:Q896,Q896),5)=0,OFFSET(装备属性!$P$1083,1+INT(COUNTA($Q$11:Q896)/5),0),J896)</f>
        <v>3</v>
      </c>
      <c r="K897" s="83" t="str">
        <f ca="1">IF(RIGHT(G897,13)="rune_slot,1}]",_xlfn.XLOOKUP(LEFT(SUBSTITUTE(G897,"[{",""),FIND(",",SUBSTITUTE(G897,"[{",""))-1),Sheet2!B:B,Sheet2!C:C)&amp;"+"&amp;1,_xlfn.XLOOKUP(LEFT(SUBSTITUTE(G897,"[{",""),FIND(",",SUBSTITUTE(G897,"[{",""))-1),Sheet2!B:B,Sheet2!C:C)&amp;"+"&amp;SUBSTITUTE(RIGHT(G897,LEN(G897)-FIND(",",G897)),"}]","")/100&amp;"%")</f>
        <v>射手伤害+9.3%</v>
      </c>
      <c r="L897" s="83" t="str">
        <f ca="1">IF(MOD(COUNTIF($Q$11:Q896,Q896),5)=0,OFFSET(装备属性!$G$1083,1+INT(COUNTA($Q$11:Q896)/5),0),L896)</f>
        <v>远程喂饭Ⅴ</v>
      </c>
      <c r="M897" s="89" t="str">
        <f ca="1">IF(MOD(COUNTIF($Q$11:Q896,Q896),5)=0,OFFSET(装备属性!$H$1083,1+INT(COUNTA($Q$11:Q896)/5),0),M896)</f>
        <v>hunter_dmg_rate</v>
      </c>
      <c r="N897" s="76">
        <f ca="1">IF(MOD(COUNTIF($Q$11:Q896,Q896),5)=0,OFFSET(装备属性!$K$1083,1+INT(COUNTA($Q$11:Q896)/5),0),N896)</f>
        <v>0.09</v>
      </c>
      <c r="O897" s="76">
        <f ca="1">IF(MOD(COUNTIF($Q$11:Q896,Q896),5)=0,OFFSET(装备属性!$L$1083,1+INT(COUNTA($Q$11:Q896)/5),0),O896)</f>
        <v>0.1</v>
      </c>
      <c r="Q897" s="89" t="str">
        <f ca="1">IF(MOD(COUNTIF($Q$11:Q896,Q896),5)=0,OFFSET(装备属性!$M$1083,1+INT(COUNTA($Q$11:Q896)/5),0),Q896)</f>
        <v>通用属性</v>
      </c>
      <c r="R897" s="83">
        <f ca="1">IF(MOD(COUNTIF($Q$11:Q896,Q896),5)=0,10000*SUBSTITUTE(SUBSTITUTE(OFFSET(装备属性!$F$1083,1+INT(COUNTA($Q$11:Q896)/5),0),"[",""),"]","")+_xlfn.XLOOKUP(C897,$M$3:$M$7,$N$3:$N$7)*100,R896)</f>
        <v>30800</v>
      </c>
    </row>
    <row r="898" customHeight="1" spans="1:18">
      <c r="A898" s="78">
        <f ca="1" t="shared" si="39"/>
        <v>30801</v>
      </c>
      <c r="B898" s="82">
        <f ca="1">IFERROR(R898+COUNTIFS($R$11:$R898,R898),"")</f>
        <v>30838</v>
      </c>
      <c r="C898" s="83" t="str">
        <f ca="1">IF(MOD(COUNTIF($Q$11:Q897,Q897),5)=0,OFFSET(装备属性!$D$1083,1+INT(COUNTA($Q$11:Q897)/5),0),C897)</f>
        <v>彩</v>
      </c>
      <c r="D898" s="82">
        <f t="shared" si="41"/>
        <v>2000</v>
      </c>
      <c r="F898" s="82">
        <f ca="1" t="shared" si="40"/>
        <v>30807</v>
      </c>
      <c r="G898" s="78" t="str">
        <f ca="1">IF(AND(LEFT("[{"&amp;M898&amp;","&amp;CEILING(N898*10000+(O898-N898)/4*(COUNTIF($F$11:F898,F898)-1)*10000,10)&amp;"}]",7)="[{equip",MID("[{"&amp;M898&amp;","&amp;CEILING(N898*10000+(O898-N898)/4*(COUNTIF($F$11:F898,F898)-1)*10000,10)&amp;"}]",8,1)&lt;&gt;"_"),"[{"&amp;M898&amp;","&amp;1&amp;"}]","[{"&amp;M898&amp;","&amp;CEILING(N898*10000+(O898-N898)/4*(COUNTIF($F$11:F898,F898)-1)*10000,10)&amp;"}]")</f>
        <v>[{hunter_dmg_rate,950}]</v>
      </c>
      <c r="H898" s="82" t="s">
        <v>563</v>
      </c>
      <c r="J898" s="78">
        <f ca="1">IF(MOD(COUNTIF($Q$11:Q897,Q897),5)=0,OFFSET(装备属性!$P$1083,1+INT(COUNTA($Q$11:Q897)/5),0),J897)</f>
        <v>3</v>
      </c>
      <c r="K898" s="83" t="str">
        <f ca="1">IF(RIGHT(G898,13)="rune_slot,1}]",_xlfn.XLOOKUP(LEFT(SUBSTITUTE(G898,"[{",""),FIND(",",SUBSTITUTE(G898,"[{",""))-1),Sheet2!B:B,Sheet2!C:C)&amp;"+"&amp;1,_xlfn.XLOOKUP(LEFT(SUBSTITUTE(G898,"[{",""),FIND(",",SUBSTITUTE(G898,"[{",""))-1),Sheet2!B:B,Sheet2!C:C)&amp;"+"&amp;SUBSTITUTE(RIGHT(G898,LEN(G898)-FIND(",",G898)),"}]","")/100&amp;"%")</f>
        <v>射手伤害+9.5%</v>
      </c>
      <c r="L898" s="83" t="str">
        <f ca="1">IF(MOD(COUNTIF($Q$11:Q897,Q897),5)=0,OFFSET(装备属性!$G$1083,1+INT(COUNTA($Q$11:Q897)/5),0),L897)</f>
        <v>远程喂饭Ⅴ</v>
      </c>
      <c r="M898" s="89" t="str">
        <f ca="1">IF(MOD(COUNTIF($Q$11:Q897,Q897),5)=0,OFFSET(装备属性!$H$1083,1+INT(COUNTA($Q$11:Q897)/5),0),M897)</f>
        <v>hunter_dmg_rate</v>
      </c>
      <c r="N898" s="76">
        <f ca="1">IF(MOD(COUNTIF($Q$11:Q897,Q897),5)=0,OFFSET(装备属性!$K$1083,1+INT(COUNTA($Q$11:Q897)/5),0),N897)</f>
        <v>0.09</v>
      </c>
      <c r="O898" s="76">
        <f ca="1">IF(MOD(COUNTIF($Q$11:Q897,Q897),5)=0,OFFSET(装备属性!$L$1083,1+INT(COUNTA($Q$11:Q897)/5),0),O897)</f>
        <v>0.1</v>
      </c>
      <c r="Q898" s="89" t="str">
        <f ca="1">IF(MOD(COUNTIF($Q$11:Q897,Q897),5)=0,OFFSET(装备属性!$M$1083,1+INT(COUNTA($Q$11:Q897)/5),0),Q897)</f>
        <v>通用属性</v>
      </c>
      <c r="R898" s="83">
        <f ca="1">IF(MOD(COUNTIF($Q$11:Q897,Q897),5)=0,10000*SUBSTITUTE(SUBSTITUTE(OFFSET(装备属性!$F$1083,1+INT(COUNTA($Q$11:Q897)/5),0),"[",""),"]","")+_xlfn.XLOOKUP(C898,$M$3:$M$7,$N$3:$N$7)*100,R897)</f>
        <v>30800</v>
      </c>
    </row>
    <row r="899" customHeight="1" spans="1:18">
      <c r="A899" s="78">
        <f ca="1" t="shared" si="39"/>
        <v>30801</v>
      </c>
      <c r="B899" s="82">
        <f ca="1">IFERROR(R899+COUNTIFS($R$11:$R899,R899),"")</f>
        <v>30839</v>
      </c>
      <c r="C899" s="83" t="str">
        <f ca="1">IF(MOD(COUNTIF($Q$11:Q898,Q898),5)=0,OFFSET(装备属性!$D$1083,1+INT(COUNTA($Q$11:Q898)/5),0),C898)</f>
        <v>彩</v>
      </c>
      <c r="D899" s="82">
        <f t="shared" si="41"/>
        <v>1500</v>
      </c>
      <c r="F899" s="82">
        <f ca="1" t="shared" si="40"/>
        <v>30807</v>
      </c>
      <c r="G899" s="78" t="str">
        <f ca="1">IF(AND(LEFT("[{"&amp;M899&amp;","&amp;CEILING(N899*10000+(O899-N899)/4*(COUNTIF($F$11:F899,F899)-1)*10000,10)&amp;"}]",7)="[{equip",MID("[{"&amp;M899&amp;","&amp;CEILING(N899*10000+(O899-N899)/4*(COUNTIF($F$11:F899,F899)-1)*10000,10)&amp;"}]",8,1)&lt;&gt;"_"),"[{"&amp;M899&amp;","&amp;1&amp;"}]","[{"&amp;M899&amp;","&amp;CEILING(N899*10000+(O899-N899)/4*(COUNTIF($F$11:F899,F899)-1)*10000,10)&amp;"}]")</f>
        <v>[{hunter_dmg_rate,980}]</v>
      </c>
      <c r="H899" s="82" t="s">
        <v>563</v>
      </c>
      <c r="J899" s="78">
        <f ca="1">IF(MOD(COUNTIF($Q$11:Q898,Q898),5)=0,OFFSET(装备属性!$P$1083,1+INT(COUNTA($Q$11:Q898)/5),0),J898)</f>
        <v>3</v>
      </c>
      <c r="K899" s="83" t="str">
        <f ca="1">IF(RIGHT(G899,13)="rune_slot,1}]",_xlfn.XLOOKUP(LEFT(SUBSTITUTE(G899,"[{",""),FIND(",",SUBSTITUTE(G899,"[{",""))-1),Sheet2!B:B,Sheet2!C:C)&amp;"+"&amp;1,_xlfn.XLOOKUP(LEFT(SUBSTITUTE(G899,"[{",""),FIND(",",SUBSTITUTE(G899,"[{",""))-1),Sheet2!B:B,Sheet2!C:C)&amp;"+"&amp;SUBSTITUTE(RIGHT(G899,LEN(G899)-FIND(",",G899)),"}]","")/100&amp;"%")</f>
        <v>射手伤害+9.8%</v>
      </c>
      <c r="L899" s="83" t="str">
        <f ca="1">IF(MOD(COUNTIF($Q$11:Q898,Q898),5)=0,OFFSET(装备属性!$G$1083,1+INT(COUNTA($Q$11:Q898)/5),0),L898)</f>
        <v>远程喂饭Ⅴ</v>
      </c>
      <c r="M899" s="89" t="str">
        <f ca="1">IF(MOD(COUNTIF($Q$11:Q898,Q898),5)=0,OFFSET(装备属性!$H$1083,1+INT(COUNTA($Q$11:Q898)/5),0),M898)</f>
        <v>hunter_dmg_rate</v>
      </c>
      <c r="N899" s="76">
        <f ca="1">IF(MOD(COUNTIF($Q$11:Q898,Q898),5)=0,OFFSET(装备属性!$K$1083,1+INT(COUNTA($Q$11:Q898)/5),0),N898)</f>
        <v>0.09</v>
      </c>
      <c r="O899" s="76">
        <f ca="1">IF(MOD(COUNTIF($Q$11:Q898,Q898),5)=0,OFFSET(装备属性!$L$1083,1+INT(COUNTA($Q$11:Q898)/5),0),O898)</f>
        <v>0.1</v>
      </c>
      <c r="Q899" s="89" t="str">
        <f ca="1">IF(MOD(COUNTIF($Q$11:Q898,Q898),5)=0,OFFSET(装备属性!$M$1083,1+INT(COUNTA($Q$11:Q898)/5),0),Q898)</f>
        <v>通用属性</v>
      </c>
      <c r="R899" s="83">
        <f ca="1">IF(MOD(COUNTIF($Q$11:Q898,Q898),5)=0,10000*SUBSTITUTE(SUBSTITUTE(OFFSET(装备属性!$F$1083,1+INT(COUNTA($Q$11:Q898)/5),0),"[",""),"]","")+_xlfn.XLOOKUP(C899,$M$3:$M$7,$N$3:$N$7)*100,R898)</f>
        <v>30800</v>
      </c>
    </row>
    <row r="900" customHeight="1" spans="1:18">
      <c r="A900" s="78">
        <f ca="1" t="shared" si="39"/>
        <v>30801</v>
      </c>
      <c r="B900" s="82">
        <f ca="1">IFERROR(R900+COUNTIFS($R$11:$R900,R900),"")</f>
        <v>30840</v>
      </c>
      <c r="C900" s="83" t="str">
        <f ca="1">IF(MOD(COUNTIF($Q$11:Q899,Q899),5)=0,OFFSET(装备属性!$D$1083,1+INT(COUNTA($Q$11:Q899)/5),0),C899)</f>
        <v>彩</v>
      </c>
      <c r="D900" s="82">
        <f t="shared" si="41"/>
        <v>1000</v>
      </c>
      <c r="F900" s="82">
        <f ca="1" t="shared" si="40"/>
        <v>30807</v>
      </c>
      <c r="G900" s="78" t="str">
        <f ca="1">IF(AND(LEFT("[{"&amp;M900&amp;","&amp;CEILING(N900*10000+(O900-N900)/4*(COUNTIF($F$11:F900,F900)-1)*10000,10)&amp;"}]",7)="[{equip",MID("[{"&amp;M900&amp;","&amp;CEILING(N900*10000+(O900-N900)/4*(COUNTIF($F$11:F900,F900)-1)*10000,10)&amp;"}]",8,1)&lt;&gt;"_"),"[{"&amp;M900&amp;","&amp;1&amp;"}]","[{"&amp;M900&amp;","&amp;CEILING(N900*10000+(O900-N900)/4*(COUNTIF($F$11:F900,F900)-1)*10000,10)&amp;"}]")</f>
        <v>[{hunter_dmg_rate,1000}]</v>
      </c>
      <c r="H900" s="82" t="s">
        <v>563</v>
      </c>
      <c r="J900" s="78">
        <f ca="1">IF(MOD(COUNTIF($Q$11:Q899,Q899),5)=0,OFFSET(装备属性!$P$1083,1+INT(COUNTA($Q$11:Q899)/5),0),J899)</f>
        <v>3</v>
      </c>
      <c r="K900" s="83" t="str">
        <f ca="1">IF(RIGHT(G900,13)="rune_slot,1}]",_xlfn.XLOOKUP(LEFT(SUBSTITUTE(G900,"[{",""),FIND(",",SUBSTITUTE(G900,"[{",""))-1),Sheet2!B:B,Sheet2!C:C)&amp;"+"&amp;1,_xlfn.XLOOKUP(LEFT(SUBSTITUTE(G900,"[{",""),FIND(",",SUBSTITUTE(G900,"[{",""))-1),Sheet2!B:B,Sheet2!C:C)&amp;"+"&amp;SUBSTITUTE(RIGHT(G900,LEN(G900)-FIND(",",G900)),"}]","")/100&amp;"%")</f>
        <v>射手伤害+10%</v>
      </c>
      <c r="L900" s="83" t="str">
        <f ca="1">IF(MOD(COUNTIF($Q$11:Q899,Q899),5)=0,OFFSET(装备属性!$G$1083,1+INT(COUNTA($Q$11:Q899)/5),0),L899)</f>
        <v>远程喂饭Ⅴ</v>
      </c>
      <c r="M900" s="89" t="str">
        <f ca="1">IF(MOD(COUNTIF($Q$11:Q899,Q899),5)=0,OFFSET(装备属性!$H$1083,1+INT(COUNTA($Q$11:Q899)/5),0),M899)</f>
        <v>hunter_dmg_rate</v>
      </c>
      <c r="N900" s="76">
        <f ca="1">IF(MOD(COUNTIF($Q$11:Q899,Q899),5)=0,OFFSET(装备属性!$K$1083,1+INT(COUNTA($Q$11:Q899)/5),0),N899)</f>
        <v>0.09</v>
      </c>
      <c r="O900" s="76">
        <f ca="1">IF(MOD(COUNTIF($Q$11:Q899,Q899),5)=0,OFFSET(装备属性!$L$1083,1+INT(COUNTA($Q$11:Q899)/5),0),O899)</f>
        <v>0.1</v>
      </c>
      <c r="Q900" s="89" t="str">
        <f ca="1">IF(MOD(COUNTIF($Q$11:Q899,Q899),5)=0,OFFSET(装备属性!$M$1083,1+INT(COUNTA($Q$11:Q899)/5),0),Q899)</f>
        <v>通用属性</v>
      </c>
      <c r="R900" s="83">
        <f ca="1">IF(MOD(COUNTIF($Q$11:Q899,Q899),5)=0,10000*SUBSTITUTE(SUBSTITUTE(OFFSET(装备属性!$F$1083,1+INT(COUNTA($Q$11:Q899)/5),0),"[",""),"]","")+_xlfn.XLOOKUP(C900,$M$3:$M$7,$N$3:$N$7)*100,R899)</f>
        <v>30800</v>
      </c>
    </row>
    <row r="901" customHeight="1" spans="1:18">
      <c r="A901" s="78">
        <f ca="1" t="shared" si="39"/>
        <v>30801</v>
      </c>
      <c r="B901" s="82">
        <f ca="1">IFERROR(R901+COUNTIFS($R$11:$R901,R901),"")</f>
        <v>30841</v>
      </c>
      <c r="C901" s="83" t="str">
        <f ca="1">IF(MOD(COUNTIF($Q$11:Q900,Q900),5)=0,OFFSET(装备属性!$D$1083,1+INT(COUNTA($Q$11:Q900)/5),0),C900)</f>
        <v>彩</v>
      </c>
      <c r="D901" s="82">
        <f t="shared" si="41"/>
        <v>3000</v>
      </c>
      <c r="F901" s="82">
        <f ca="1" t="shared" si="40"/>
        <v>30808</v>
      </c>
      <c r="G901" s="78" t="str">
        <f ca="1">IF(AND(LEFT("[{"&amp;M901&amp;","&amp;CEILING(N901*10000+(O901-N901)/4*(COUNTIF($F$11:F901,F901)-1)*10000,10)&amp;"}]",7)="[{equip",MID("[{"&amp;M901&amp;","&amp;CEILING(N901*10000+(O901-N901)/4*(COUNTIF($F$11:F901,F901)-1)*10000,10)&amp;"}]",8,1)&lt;&gt;"_"),"[{"&amp;M901&amp;","&amp;1&amp;"}]","[{"&amp;M901&amp;","&amp;CEILING(N901*10000+(O901-N901)/4*(COUNTIF($F$11:F901,F901)-1)*10000,10)&amp;"}]")</f>
        <v>[{hunter_class_dmg_rate,1300}]</v>
      </c>
      <c r="H901" s="82" t="s">
        <v>563</v>
      </c>
      <c r="J901" s="78">
        <f ca="1">IF(MOD(COUNTIF($Q$11:Q900,Q900),5)=0,OFFSET(装备属性!$P$1083,1+INT(COUNTA($Q$11:Q900)/5),0),J900)</f>
        <v>4</v>
      </c>
      <c r="K901" s="83" t="str">
        <f ca="1">IF(RIGHT(G901,13)="rune_slot,1}]",_xlfn.XLOOKUP(LEFT(SUBSTITUTE(G901,"[{",""),FIND(",",SUBSTITUTE(G901,"[{",""))-1),Sheet2!B:B,Sheet2!C:C)&amp;"+"&amp;1,_xlfn.XLOOKUP(LEFT(SUBSTITUTE(G901,"[{",""),FIND(",",SUBSTITUTE(G901,"[{",""))-1),Sheet2!B:B,Sheet2!C:C)&amp;"+"&amp;SUBSTITUTE(RIGHT(G901,LEN(G901)-FIND(",",G901)),"}]","")/100&amp;"%")</f>
        <v>上阵两个射手职业增伤+13%</v>
      </c>
      <c r="L901" s="83" t="str">
        <f ca="1">IF(MOD(COUNTIF($Q$11:Q900,Q900),5)=0,OFFSET(装备属性!$G$1083,1+INT(COUNTA($Q$11:Q900)/5),0),L900)</f>
        <v>远程小队Ⅴ</v>
      </c>
      <c r="M901" s="89" t="str">
        <f ca="1">IF(MOD(COUNTIF($Q$11:Q900,Q900),5)=0,OFFSET(装备属性!$H$1083,1+INT(COUNTA($Q$11:Q900)/5),0),M900)</f>
        <v>hunter_class_dmg_rate</v>
      </c>
      <c r="N901" s="76">
        <f ca="1">IF(MOD(COUNTIF($Q$11:Q900,Q900),5)=0,OFFSET(装备属性!$K$1083,1+INT(COUNTA($Q$11:Q900)/5),0),N900)</f>
        <v>0.13</v>
      </c>
      <c r="O901" s="76">
        <f ca="1">IF(MOD(COUNTIF($Q$11:Q900,Q900),5)=0,OFFSET(装备属性!$L$1083,1+INT(COUNTA($Q$11:Q900)/5),0),O900)</f>
        <v>0.15</v>
      </c>
      <c r="Q901" s="89" t="str">
        <f ca="1">IF(MOD(COUNTIF($Q$11:Q900,Q900),5)=0,OFFSET(装备属性!$M$1083,1+INT(COUNTA($Q$11:Q900)/5),0),Q900)</f>
        <v>通用属性</v>
      </c>
      <c r="R901" s="83">
        <f ca="1">IF(MOD(COUNTIF($Q$11:Q900,Q900),5)=0,10000*SUBSTITUTE(SUBSTITUTE(OFFSET(装备属性!$F$1083,1+INT(COUNTA($Q$11:Q900)/5),0),"[",""),"]","")+_xlfn.XLOOKUP(C901,$M$3:$M$7,$N$3:$N$7)*100,R900)</f>
        <v>30800</v>
      </c>
    </row>
    <row r="902" customHeight="1" spans="1:18">
      <c r="A902" s="78">
        <f ca="1" t="shared" si="39"/>
        <v>30801</v>
      </c>
      <c r="B902" s="82">
        <f ca="1">IFERROR(R902+COUNTIFS($R$11:$R902,R902),"")</f>
        <v>30842</v>
      </c>
      <c r="C902" s="83" t="str">
        <f ca="1">IF(MOD(COUNTIF($Q$11:Q901,Q901),5)=0,OFFSET(装备属性!$D$1083,1+INT(COUNTA($Q$11:Q901)/5),0),C901)</f>
        <v>彩</v>
      </c>
      <c r="D902" s="82">
        <f t="shared" si="41"/>
        <v>2500</v>
      </c>
      <c r="F902" s="82">
        <f ca="1" t="shared" si="40"/>
        <v>30808</v>
      </c>
      <c r="G902" s="78" t="str">
        <f ca="1">IF(AND(LEFT("[{"&amp;M902&amp;","&amp;CEILING(N902*10000+(O902-N902)/4*(COUNTIF($F$11:F902,F902)-1)*10000,10)&amp;"}]",7)="[{equip",MID("[{"&amp;M902&amp;","&amp;CEILING(N902*10000+(O902-N902)/4*(COUNTIF($F$11:F902,F902)-1)*10000,10)&amp;"}]",8,1)&lt;&gt;"_"),"[{"&amp;M902&amp;","&amp;1&amp;"}]","[{"&amp;M902&amp;","&amp;CEILING(N902*10000+(O902-N902)/4*(COUNTIF($F$11:F902,F902)-1)*10000,10)&amp;"}]")</f>
        <v>[{hunter_class_dmg_rate,1350}]</v>
      </c>
      <c r="H902" s="82" t="s">
        <v>563</v>
      </c>
      <c r="J902" s="78">
        <f ca="1">IF(MOD(COUNTIF($Q$11:Q901,Q901),5)=0,OFFSET(装备属性!$P$1083,1+INT(COUNTA($Q$11:Q901)/5),0),J901)</f>
        <v>4</v>
      </c>
      <c r="K902" s="83" t="str">
        <f ca="1">IF(RIGHT(G902,13)="rune_slot,1}]",_xlfn.XLOOKUP(LEFT(SUBSTITUTE(G902,"[{",""),FIND(",",SUBSTITUTE(G902,"[{",""))-1),Sheet2!B:B,Sheet2!C:C)&amp;"+"&amp;1,_xlfn.XLOOKUP(LEFT(SUBSTITUTE(G902,"[{",""),FIND(",",SUBSTITUTE(G902,"[{",""))-1),Sheet2!B:B,Sheet2!C:C)&amp;"+"&amp;SUBSTITUTE(RIGHT(G902,LEN(G902)-FIND(",",G902)),"}]","")/100&amp;"%")</f>
        <v>上阵两个射手职业增伤+13.5%</v>
      </c>
      <c r="L902" s="83" t="str">
        <f ca="1">IF(MOD(COUNTIF($Q$11:Q901,Q901),5)=0,OFFSET(装备属性!$G$1083,1+INT(COUNTA($Q$11:Q901)/5),0),L901)</f>
        <v>远程小队Ⅴ</v>
      </c>
      <c r="M902" s="89" t="str">
        <f ca="1">IF(MOD(COUNTIF($Q$11:Q901,Q901),5)=0,OFFSET(装备属性!$H$1083,1+INT(COUNTA($Q$11:Q901)/5),0),M901)</f>
        <v>hunter_class_dmg_rate</v>
      </c>
      <c r="N902" s="76">
        <f ca="1">IF(MOD(COUNTIF($Q$11:Q901,Q901),5)=0,OFFSET(装备属性!$K$1083,1+INT(COUNTA($Q$11:Q901)/5),0),N901)</f>
        <v>0.13</v>
      </c>
      <c r="O902" s="76">
        <f ca="1">IF(MOD(COUNTIF($Q$11:Q901,Q901),5)=0,OFFSET(装备属性!$L$1083,1+INT(COUNTA($Q$11:Q901)/5),0),O901)</f>
        <v>0.15</v>
      </c>
      <c r="Q902" s="89" t="str">
        <f ca="1">IF(MOD(COUNTIF($Q$11:Q901,Q901),5)=0,OFFSET(装备属性!$M$1083,1+INT(COUNTA($Q$11:Q901)/5),0),Q901)</f>
        <v>通用属性</v>
      </c>
      <c r="R902" s="83">
        <f ca="1">IF(MOD(COUNTIF($Q$11:Q901,Q901),5)=0,10000*SUBSTITUTE(SUBSTITUTE(OFFSET(装备属性!$F$1083,1+INT(COUNTA($Q$11:Q901)/5),0),"[",""),"]","")+_xlfn.XLOOKUP(C902,$M$3:$M$7,$N$3:$N$7)*100,R901)</f>
        <v>30800</v>
      </c>
    </row>
    <row r="903" customHeight="1" spans="1:18">
      <c r="A903" s="78">
        <f ca="1" t="shared" si="39"/>
        <v>30801</v>
      </c>
      <c r="B903" s="82">
        <f ca="1">IFERROR(R903+COUNTIFS($R$11:$R903,R903),"")</f>
        <v>30843</v>
      </c>
      <c r="C903" s="83" t="str">
        <f ca="1">IF(MOD(COUNTIF($Q$11:Q902,Q902),5)=0,OFFSET(装备属性!$D$1083,1+INT(COUNTA($Q$11:Q902)/5),0),C902)</f>
        <v>彩</v>
      </c>
      <c r="D903" s="82">
        <f t="shared" si="41"/>
        <v>2000</v>
      </c>
      <c r="F903" s="82">
        <f ca="1" t="shared" si="40"/>
        <v>30808</v>
      </c>
      <c r="G903" s="78" t="str">
        <f ca="1">IF(AND(LEFT("[{"&amp;M903&amp;","&amp;CEILING(N903*10000+(O903-N903)/4*(COUNTIF($F$11:F903,F903)-1)*10000,10)&amp;"}]",7)="[{equip",MID("[{"&amp;M903&amp;","&amp;CEILING(N903*10000+(O903-N903)/4*(COUNTIF($F$11:F903,F903)-1)*10000,10)&amp;"}]",8,1)&lt;&gt;"_"),"[{"&amp;M903&amp;","&amp;1&amp;"}]","[{"&amp;M903&amp;","&amp;CEILING(N903*10000+(O903-N903)/4*(COUNTIF($F$11:F903,F903)-1)*10000,10)&amp;"}]")</f>
        <v>[{hunter_class_dmg_rate,1400}]</v>
      </c>
      <c r="H903" s="82" t="s">
        <v>563</v>
      </c>
      <c r="J903" s="78">
        <f ca="1">IF(MOD(COUNTIF($Q$11:Q902,Q902),5)=0,OFFSET(装备属性!$P$1083,1+INT(COUNTA($Q$11:Q902)/5),0),J902)</f>
        <v>4</v>
      </c>
      <c r="K903" s="83" t="str">
        <f ca="1">IF(RIGHT(G903,13)="rune_slot,1}]",_xlfn.XLOOKUP(LEFT(SUBSTITUTE(G903,"[{",""),FIND(",",SUBSTITUTE(G903,"[{",""))-1),Sheet2!B:B,Sheet2!C:C)&amp;"+"&amp;1,_xlfn.XLOOKUP(LEFT(SUBSTITUTE(G903,"[{",""),FIND(",",SUBSTITUTE(G903,"[{",""))-1),Sheet2!B:B,Sheet2!C:C)&amp;"+"&amp;SUBSTITUTE(RIGHT(G903,LEN(G903)-FIND(",",G903)),"}]","")/100&amp;"%")</f>
        <v>上阵两个射手职业增伤+14%</v>
      </c>
      <c r="L903" s="83" t="str">
        <f ca="1">IF(MOD(COUNTIF($Q$11:Q902,Q902),5)=0,OFFSET(装备属性!$G$1083,1+INT(COUNTA($Q$11:Q902)/5),0),L902)</f>
        <v>远程小队Ⅴ</v>
      </c>
      <c r="M903" s="89" t="str">
        <f ca="1">IF(MOD(COUNTIF($Q$11:Q902,Q902),5)=0,OFFSET(装备属性!$H$1083,1+INT(COUNTA($Q$11:Q902)/5),0),M902)</f>
        <v>hunter_class_dmg_rate</v>
      </c>
      <c r="N903" s="76">
        <f ca="1">IF(MOD(COUNTIF($Q$11:Q902,Q902),5)=0,OFFSET(装备属性!$K$1083,1+INT(COUNTA($Q$11:Q902)/5),0),N902)</f>
        <v>0.13</v>
      </c>
      <c r="O903" s="76">
        <f ca="1">IF(MOD(COUNTIF($Q$11:Q902,Q902),5)=0,OFFSET(装备属性!$L$1083,1+INT(COUNTA($Q$11:Q902)/5),0),O902)</f>
        <v>0.15</v>
      </c>
      <c r="Q903" s="89" t="str">
        <f ca="1">IF(MOD(COUNTIF($Q$11:Q902,Q902),5)=0,OFFSET(装备属性!$M$1083,1+INT(COUNTA($Q$11:Q902)/5),0),Q902)</f>
        <v>通用属性</v>
      </c>
      <c r="R903" s="83">
        <f ca="1">IF(MOD(COUNTIF($Q$11:Q902,Q902),5)=0,10000*SUBSTITUTE(SUBSTITUTE(OFFSET(装备属性!$F$1083,1+INT(COUNTA($Q$11:Q902)/5),0),"[",""),"]","")+_xlfn.XLOOKUP(C903,$M$3:$M$7,$N$3:$N$7)*100,R902)</f>
        <v>30800</v>
      </c>
    </row>
    <row r="904" customHeight="1" spans="1:18">
      <c r="A904" s="78">
        <f ca="1" t="shared" si="39"/>
        <v>30801</v>
      </c>
      <c r="B904" s="82">
        <f ca="1">IFERROR(R904+COUNTIFS($R$11:$R904,R904),"")</f>
        <v>30844</v>
      </c>
      <c r="C904" s="83" t="str">
        <f ca="1">IF(MOD(COUNTIF($Q$11:Q903,Q903),5)=0,OFFSET(装备属性!$D$1083,1+INT(COUNTA($Q$11:Q903)/5),0),C903)</f>
        <v>彩</v>
      </c>
      <c r="D904" s="82">
        <f t="shared" si="41"/>
        <v>1500</v>
      </c>
      <c r="F904" s="82">
        <f ca="1" t="shared" si="40"/>
        <v>30808</v>
      </c>
      <c r="G904" s="78" t="str">
        <f ca="1">IF(AND(LEFT("[{"&amp;M904&amp;","&amp;CEILING(N904*10000+(O904-N904)/4*(COUNTIF($F$11:F904,F904)-1)*10000,10)&amp;"}]",7)="[{equip",MID("[{"&amp;M904&amp;","&amp;CEILING(N904*10000+(O904-N904)/4*(COUNTIF($F$11:F904,F904)-1)*10000,10)&amp;"}]",8,1)&lt;&gt;"_"),"[{"&amp;M904&amp;","&amp;1&amp;"}]","[{"&amp;M904&amp;","&amp;CEILING(N904*10000+(O904-N904)/4*(COUNTIF($F$11:F904,F904)-1)*10000,10)&amp;"}]")</f>
        <v>[{hunter_class_dmg_rate,1450}]</v>
      </c>
      <c r="H904" s="82" t="s">
        <v>563</v>
      </c>
      <c r="J904" s="78">
        <f ca="1">IF(MOD(COUNTIF($Q$11:Q903,Q903),5)=0,OFFSET(装备属性!$P$1083,1+INT(COUNTA($Q$11:Q903)/5),0),J903)</f>
        <v>4</v>
      </c>
      <c r="K904" s="83" t="str">
        <f ca="1">IF(RIGHT(G904,13)="rune_slot,1}]",_xlfn.XLOOKUP(LEFT(SUBSTITUTE(G904,"[{",""),FIND(",",SUBSTITUTE(G904,"[{",""))-1),Sheet2!B:B,Sheet2!C:C)&amp;"+"&amp;1,_xlfn.XLOOKUP(LEFT(SUBSTITUTE(G904,"[{",""),FIND(",",SUBSTITUTE(G904,"[{",""))-1),Sheet2!B:B,Sheet2!C:C)&amp;"+"&amp;SUBSTITUTE(RIGHT(G904,LEN(G904)-FIND(",",G904)),"}]","")/100&amp;"%")</f>
        <v>上阵两个射手职业增伤+14.5%</v>
      </c>
      <c r="L904" s="83" t="str">
        <f ca="1">IF(MOD(COUNTIF($Q$11:Q903,Q903),5)=0,OFFSET(装备属性!$G$1083,1+INT(COUNTA($Q$11:Q903)/5),0),L903)</f>
        <v>远程小队Ⅴ</v>
      </c>
      <c r="M904" s="89" t="str">
        <f ca="1">IF(MOD(COUNTIF($Q$11:Q903,Q903),5)=0,OFFSET(装备属性!$H$1083,1+INT(COUNTA($Q$11:Q903)/5),0),M903)</f>
        <v>hunter_class_dmg_rate</v>
      </c>
      <c r="N904" s="76">
        <f ca="1">IF(MOD(COUNTIF($Q$11:Q903,Q903),5)=0,OFFSET(装备属性!$K$1083,1+INT(COUNTA($Q$11:Q903)/5),0),N903)</f>
        <v>0.13</v>
      </c>
      <c r="O904" s="76">
        <f ca="1">IF(MOD(COUNTIF($Q$11:Q903,Q903),5)=0,OFFSET(装备属性!$L$1083,1+INT(COUNTA($Q$11:Q903)/5),0),O903)</f>
        <v>0.15</v>
      </c>
      <c r="Q904" s="89" t="str">
        <f ca="1">IF(MOD(COUNTIF($Q$11:Q903,Q903),5)=0,OFFSET(装备属性!$M$1083,1+INT(COUNTA($Q$11:Q903)/5),0),Q903)</f>
        <v>通用属性</v>
      </c>
      <c r="R904" s="83">
        <f ca="1">IF(MOD(COUNTIF($Q$11:Q903,Q903),5)=0,10000*SUBSTITUTE(SUBSTITUTE(OFFSET(装备属性!$F$1083,1+INT(COUNTA($Q$11:Q903)/5),0),"[",""),"]","")+_xlfn.XLOOKUP(C904,$M$3:$M$7,$N$3:$N$7)*100,R903)</f>
        <v>30800</v>
      </c>
    </row>
    <row r="905" customHeight="1" spans="1:18">
      <c r="A905" s="78">
        <f ca="1" t="shared" si="39"/>
        <v>30801</v>
      </c>
      <c r="B905" s="82">
        <f ca="1">IFERROR(R905+COUNTIFS($R$11:$R905,R905),"")</f>
        <v>30845</v>
      </c>
      <c r="C905" s="83" t="str">
        <f ca="1">IF(MOD(COUNTIF($Q$11:Q904,Q904),5)=0,OFFSET(装备属性!$D$1083,1+INT(COUNTA($Q$11:Q904)/5),0),C904)</f>
        <v>彩</v>
      </c>
      <c r="D905" s="82">
        <f t="shared" si="41"/>
        <v>1000</v>
      </c>
      <c r="F905" s="82">
        <f ca="1" t="shared" si="40"/>
        <v>30808</v>
      </c>
      <c r="G905" s="78" t="str">
        <f ca="1">IF(AND(LEFT("[{"&amp;M905&amp;","&amp;CEILING(N905*10000+(O905-N905)/4*(COUNTIF($F$11:F905,F905)-1)*10000,10)&amp;"}]",7)="[{equip",MID("[{"&amp;M905&amp;","&amp;CEILING(N905*10000+(O905-N905)/4*(COUNTIF($F$11:F905,F905)-1)*10000,10)&amp;"}]",8,1)&lt;&gt;"_"),"[{"&amp;M905&amp;","&amp;1&amp;"}]","[{"&amp;M905&amp;","&amp;CEILING(N905*10000+(O905-N905)/4*(COUNTIF($F$11:F905,F905)-1)*10000,10)&amp;"}]")</f>
        <v>[{hunter_class_dmg_rate,1500}]</v>
      </c>
      <c r="H905" s="82" t="s">
        <v>563</v>
      </c>
      <c r="J905" s="78">
        <f ca="1">IF(MOD(COUNTIF($Q$11:Q904,Q904),5)=0,OFFSET(装备属性!$P$1083,1+INT(COUNTA($Q$11:Q904)/5),0),J904)</f>
        <v>4</v>
      </c>
      <c r="K905" s="83" t="str">
        <f ca="1">IF(RIGHT(G905,13)="rune_slot,1}]",_xlfn.XLOOKUP(LEFT(SUBSTITUTE(G905,"[{",""),FIND(",",SUBSTITUTE(G905,"[{",""))-1),Sheet2!B:B,Sheet2!C:C)&amp;"+"&amp;1,_xlfn.XLOOKUP(LEFT(SUBSTITUTE(G905,"[{",""),FIND(",",SUBSTITUTE(G905,"[{",""))-1),Sheet2!B:B,Sheet2!C:C)&amp;"+"&amp;SUBSTITUTE(RIGHT(G905,LEN(G905)-FIND(",",G905)),"}]","")/100&amp;"%")</f>
        <v>上阵两个射手职业增伤+15%</v>
      </c>
      <c r="L905" s="83" t="str">
        <f ca="1">IF(MOD(COUNTIF($Q$11:Q904,Q904),5)=0,OFFSET(装备属性!$G$1083,1+INT(COUNTA($Q$11:Q904)/5),0),L904)</f>
        <v>远程小队Ⅴ</v>
      </c>
      <c r="M905" s="89" t="str">
        <f ca="1">IF(MOD(COUNTIF($Q$11:Q904,Q904),5)=0,OFFSET(装备属性!$H$1083,1+INT(COUNTA($Q$11:Q904)/5),0),M904)</f>
        <v>hunter_class_dmg_rate</v>
      </c>
      <c r="N905" s="76">
        <f ca="1">IF(MOD(COUNTIF($Q$11:Q904,Q904),5)=0,OFFSET(装备属性!$K$1083,1+INT(COUNTA($Q$11:Q904)/5),0),N904)</f>
        <v>0.13</v>
      </c>
      <c r="O905" s="76">
        <f ca="1">IF(MOD(COUNTIF($Q$11:Q904,Q904),5)=0,OFFSET(装备属性!$L$1083,1+INT(COUNTA($Q$11:Q904)/5),0),O904)</f>
        <v>0.15</v>
      </c>
      <c r="Q905" s="89" t="str">
        <f ca="1">IF(MOD(COUNTIF($Q$11:Q904,Q904),5)=0,OFFSET(装备属性!$M$1083,1+INT(COUNTA($Q$11:Q904)/5),0),Q904)</f>
        <v>通用属性</v>
      </c>
      <c r="R905" s="83">
        <f ca="1">IF(MOD(COUNTIF($Q$11:Q904,Q904),5)=0,10000*SUBSTITUTE(SUBSTITUTE(OFFSET(装备属性!$F$1083,1+INT(COUNTA($Q$11:Q904)/5),0),"[",""),"]","")+_xlfn.XLOOKUP(C905,$M$3:$M$7,$N$3:$N$7)*100,R904)</f>
        <v>30800</v>
      </c>
    </row>
    <row r="906" customHeight="1" spans="1:18">
      <c r="A906" s="78">
        <f ca="1" t="shared" si="39"/>
        <v>30801</v>
      </c>
      <c r="B906" s="82">
        <f ca="1">IFERROR(R906+COUNTIFS($R$11:$R906,R906),"")</f>
        <v>30846</v>
      </c>
      <c r="C906" s="83" t="str">
        <f ca="1">IF(MOD(COUNTIF($Q$11:Q905,Q905),5)=0,OFFSET(装备属性!$D$1083,1+INT(COUNTA($Q$11:Q905)/5),0),C905)</f>
        <v>彩</v>
      </c>
      <c r="D906" s="82">
        <f t="shared" si="41"/>
        <v>3000</v>
      </c>
      <c r="F906" s="82">
        <f ca="1" t="shared" si="40"/>
        <v>30809</v>
      </c>
      <c r="G906" s="78" t="str">
        <f ca="1">IF(AND(LEFT("[{"&amp;M906&amp;","&amp;CEILING(N906*10000+(O906-N906)/4*(COUNTIF($F$11:F906,F906)-1)*10000,10)&amp;"}]",7)="[{equip",MID("[{"&amp;M906&amp;","&amp;CEILING(N906*10000+(O906-N906)/4*(COUNTIF($F$11:F906,F906)-1)*10000,10)&amp;"}]",8,1)&lt;&gt;"_"),"[{"&amp;M906&amp;","&amp;1&amp;"}]","[{"&amp;M906&amp;","&amp;CEILING(N906*10000+(O906-N906)/4*(COUNTIF($F$11:F906,F906)-1)*10000,10)&amp;"}]")</f>
        <v>[{hunter_crit_dmg,3900}]</v>
      </c>
      <c r="H906" s="82" t="s">
        <v>563</v>
      </c>
      <c r="J906" s="78">
        <f ca="1">IF(MOD(COUNTIF($Q$11:Q905,Q905),5)=0,OFFSET(装备属性!$P$1083,1+INT(COUNTA($Q$11:Q905)/5),0),J905)</f>
        <v>10</v>
      </c>
      <c r="K906" s="83" t="str">
        <f ca="1">IF(RIGHT(G906,13)="rune_slot,1}]",_xlfn.XLOOKUP(LEFT(SUBSTITUTE(G906,"[{",""),FIND(",",SUBSTITUTE(G906,"[{",""))-1),Sheet2!B:B,Sheet2!C:C)&amp;"+"&amp;1,_xlfn.XLOOKUP(LEFT(SUBSTITUTE(G906,"[{",""),FIND(",",SUBSTITUTE(G906,"[{",""))-1),Sheet2!B:B,Sheet2!C:C)&amp;"+"&amp;SUBSTITUTE(RIGHT(G906,LEN(G906)-FIND(",",G906)),"}]","")/100&amp;"%")</f>
        <v>射手暴击伤害+39%</v>
      </c>
      <c r="L906" s="83" t="str">
        <f ca="1">IF(MOD(COUNTIF($Q$11:Q905,Q905),5)=0,OFFSET(装备属性!$G$1083,1+INT(COUNTA($Q$11:Q905)/5),0),L905)</f>
        <v>暴走远程Ⅴ</v>
      </c>
      <c r="M906" s="89" t="str">
        <f ca="1">IF(MOD(COUNTIF($Q$11:Q905,Q905),5)=0,OFFSET(装备属性!$H$1083,1+INT(COUNTA($Q$11:Q905)/5),0),M905)</f>
        <v>hunter_crit_dmg</v>
      </c>
      <c r="N906" s="76">
        <f ca="1">IF(MOD(COUNTIF($Q$11:Q905,Q905),5)=0,OFFSET(装备属性!$K$1083,1+INT(COUNTA($Q$11:Q905)/5),0),N905)</f>
        <v>0.39</v>
      </c>
      <c r="O906" s="76">
        <f ca="1">IF(MOD(COUNTIF($Q$11:Q905,Q905),5)=0,OFFSET(装备属性!$L$1083,1+INT(COUNTA($Q$11:Q905)/5),0),O905)</f>
        <v>0.45</v>
      </c>
      <c r="Q906" s="89" t="str">
        <f ca="1">IF(MOD(COUNTIF($Q$11:Q905,Q905),5)=0,OFFSET(装备属性!$M$1083,1+INT(COUNTA($Q$11:Q905)/5),0),Q905)</f>
        <v>通用属性</v>
      </c>
      <c r="R906" s="83">
        <f ca="1">IF(MOD(COUNTIF($Q$11:Q905,Q905),5)=0,10000*SUBSTITUTE(SUBSTITUTE(OFFSET(装备属性!$F$1083,1+INT(COUNTA($Q$11:Q905)/5),0),"[",""),"]","")+_xlfn.XLOOKUP(C906,$M$3:$M$7,$N$3:$N$7)*100,R905)</f>
        <v>30800</v>
      </c>
    </row>
    <row r="907" customHeight="1" spans="1:18">
      <c r="A907" s="78">
        <f ca="1" t="shared" si="39"/>
        <v>30801</v>
      </c>
      <c r="B907" s="82">
        <f ca="1">IFERROR(R907+COUNTIFS($R$11:$R907,R907),"")</f>
        <v>30847</v>
      </c>
      <c r="C907" s="83" t="str">
        <f ca="1">IF(MOD(COUNTIF($Q$11:Q906,Q906),5)=0,OFFSET(装备属性!$D$1083,1+INT(COUNTA($Q$11:Q906)/5),0),C906)</f>
        <v>彩</v>
      </c>
      <c r="D907" s="82">
        <f t="shared" si="41"/>
        <v>2500</v>
      </c>
      <c r="F907" s="82">
        <f ca="1" t="shared" si="40"/>
        <v>30809</v>
      </c>
      <c r="G907" s="78" t="str">
        <f ca="1">IF(AND(LEFT("[{"&amp;M907&amp;","&amp;CEILING(N907*10000+(O907-N907)/4*(COUNTIF($F$11:F907,F907)-1)*10000,10)&amp;"}]",7)="[{equip",MID("[{"&amp;M907&amp;","&amp;CEILING(N907*10000+(O907-N907)/4*(COUNTIF($F$11:F907,F907)-1)*10000,10)&amp;"}]",8,1)&lt;&gt;"_"),"[{"&amp;M907&amp;","&amp;1&amp;"}]","[{"&amp;M907&amp;","&amp;CEILING(N907*10000+(O907-N907)/4*(COUNTIF($F$11:F907,F907)-1)*10000,10)&amp;"}]")</f>
        <v>[{hunter_crit_dmg,4050}]</v>
      </c>
      <c r="H907" s="82" t="s">
        <v>563</v>
      </c>
      <c r="J907" s="78">
        <f ca="1">IF(MOD(COUNTIF($Q$11:Q906,Q906),5)=0,OFFSET(装备属性!$P$1083,1+INT(COUNTA($Q$11:Q906)/5),0),J906)</f>
        <v>10</v>
      </c>
      <c r="K907" s="83" t="str">
        <f ca="1">IF(RIGHT(G907,13)="rune_slot,1}]",_xlfn.XLOOKUP(LEFT(SUBSTITUTE(G907,"[{",""),FIND(",",SUBSTITUTE(G907,"[{",""))-1),Sheet2!B:B,Sheet2!C:C)&amp;"+"&amp;1,_xlfn.XLOOKUP(LEFT(SUBSTITUTE(G907,"[{",""),FIND(",",SUBSTITUTE(G907,"[{",""))-1),Sheet2!B:B,Sheet2!C:C)&amp;"+"&amp;SUBSTITUTE(RIGHT(G907,LEN(G907)-FIND(",",G907)),"}]","")/100&amp;"%")</f>
        <v>射手暴击伤害+40.5%</v>
      </c>
      <c r="L907" s="83" t="str">
        <f ca="1">IF(MOD(COUNTIF($Q$11:Q906,Q906),5)=0,OFFSET(装备属性!$G$1083,1+INT(COUNTA($Q$11:Q906)/5),0),L906)</f>
        <v>暴走远程Ⅴ</v>
      </c>
      <c r="M907" s="89" t="str">
        <f ca="1">IF(MOD(COUNTIF($Q$11:Q906,Q906),5)=0,OFFSET(装备属性!$H$1083,1+INT(COUNTA($Q$11:Q906)/5),0),M906)</f>
        <v>hunter_crit_dmg</v>
      </c>
      <c r="N907" s="76">
        <f ca="1">IF(MOD(COUNTIF($Q$11:Q906,Q906),5)=0,OFFSET(装备属性!$K$1083,1+INT(COUNTA($Q$11:Q906)/5),0),N906)</f>
        <v>0.39</v>
      </c>
      <c r="O907" s="76">
        <f ca="1">IF(MOD(COUNTIF($Q$11:Q906,Q906),5)=0,OFFSET(装备属性!$L$1083,1+INT(COUNTA($Q$11:Q906)/5),0),O906)</f>
        <v>0.45</v>
      </c>
      <c r="Q907" s="89" t="str">
        <f ca="1">IF(MOD(COUNTIF($Q$11:Q906,Q906),5)=0,OFFSET(装备属性!$M$1083,1+INT(COUNTA($Q$11:Q906)/5),0),Q906)</f>
        <v>通用属性</v>
      </c>
      <c r="R907" s="83">
        <f ca="1">IF(MOD(COUNTIF($Q$11:Q906,Q906),5)=0,10000*SUBSTITUTE(SUBSTITUTE(OFFSET(装备属性!$F$1083,1+INT(COUNTA($Q$11:Q906)/5),0),"[",""),"]","")+_xlfn.XLOOKUP(C907,$M$3:$M$7,$N$3:$N$7)*100,R906)</f>
        <v>30800</v>
      </c>
    </row>
    <row r="908" customHeight="1" spans="1:18">
      <c r="A908" s="78">
        <f ca="1" t="shared" ref="A908:A971" si="42">IFERROR(R908+IF(Q908="通用属性",1,IF(Q908="玩法类",2,IF(Q908="稀有词条",3,0))),"")</f>
        <v>30801</v>
      </c>
      <c r="B908" s="82">
        <f ca="1">IFERROR(R908+COUNTIFS($R$11:$R908,R908),"")</f>
        <v>30848</v>
      </c>
      <c r="C908" s="83" t="str">
        <f ca="1">IF(MOD(COUNTIF($Q$11:Q907,Q907),5)=0,OFFSET(装备属性!$D$1083,1+INT(COUNTA($Q$11:Q907)/5),0),C907)</f>
        <v>彩</v>
      </c>
      <c r="D908" s="82">
        <f t="shared" si="41"/>
        <v>2000</v>
      </c>
      <c r="F908" s="82">
        <f ca="1" t="shared" ref="F908:F971" si="43">IFERROR(R908+INT((B908-R908-1)/5),"")</f>
        <v>30809</v>
      </c>
      <c r="G908" s="78" t="str">
        <f ca="1">IF(AND(LEFT("[{"&amp;M908&amp;","&amp;CEILING(N908*10000+(O908-N908)/4*(COUNTIF($F$11:F908,F908)-1)*10000,10)&amp;"}]",7)="[{equip",MID("[{"&amp;M908&amp;","&amp;CEILING(N908*10000+(O908-N908)/4*(COUNTIF($F$11:F908,F908)-1)*10000,10)&amp;"}]",8,1)&lt;&gt;"_"),"[{"&amp;M908&amp;","&amp;1&amp;"}]","[{"&amp;M908&amp;","&amp;CEILING(N908*10000+(O908-N908)/4*(COUNTIF($F$11:F908,F908)-1)*10000,10)&amp;"}]")</f>
        <v>[{hunter_crit_dmg,4200}]</v>
      </c>
      <c r="H908" s="82" t="s">
        <v>563</v>
      </c>
      <c r="J908" s="78">
        <f ca="1">IF(MOD(COUNTIF($Q$11:Q907,Q907),5)=0,OFFSET(装备属性!$P$1083,1+INT(COUNTA($Q$11:Q907)/5),0),J907)</f>
        <v>10</v>
      </c>
      <c r="K908" s="83" t="str">
        <f ca="1">IF(RIGHT(G908,13)="rune_slot,1}]",_xlfn.XLOOKUP(LEFT(SUBSTITUTE(G908,"[{",""),FIND(",",SUBSTITUTE(G908,"[{",""))-1),Sheet2!B:B,Sheet2!C:C)&amp;"+"&amp;1,_xlfn.XLOOKUP(LEFT(SUBSTITUTE(G908,"[{",""),FIND(",",SUBSTITUTE(G908,"[{",""))-1),Sheet2!B:B,Sheet2!C:C)&amp;"+"&amp;SUBSTITUTE(RIGHT(G908,LEN(G908)-FIND(",",G908)),"}]","")/100&amp;"%")</f>
        <v>射手暴击伤害+42%</v>
      </c>
      <c r="L908" s="83" t="str">
        <f ca="1">IF(MOD(COUNTIF($Q$11:Q907,Q907),5)=0,OFFSET(装备属性!$G$1083,1+INT(COUNTA($Q$11:Q907)/5),0),L907)</f>
        <v>暴走远程Ⅴ</v>
      </c>
      <c r="M908" s="89" t="str">
        <f ca="1">IF(MOD(COUNTIF($Q$11:Q907,Q907),5)=0,OFFSET(装备属性!$H$1083,1+INT(COUNTA($Q$11:Q907)/5),0),M907)</f>
        <v>hunter_crit_dmg</v>
      </c>
      <c r="N908" s="76">
        <f ca="1">IF(MOD(COUNTIF($Q$11:Q907,Q907),5)=0,OFFSET(装备属性!$K$1083,1+INT(COUNTA($Q$11:Q907)/5),0),N907)</f>
        <v>0.39</v>
      </c>
      <c r="O908" s="76">
        <f ca="1">IF(MOD(COUNTIF($Q$11:Q907,Q907),5)=0,OFFSET(装备属性!$L$1083,1+INT(COUNTA($Q$11:Q907)/5),0),O907)</f>
        <v>0.45</v>
      </c>
      <c r="Q908" s="89" t="str">
        <f ca="1">IF(MOD(COUNTIF($Q$11:Q907,Q907),5)=0,OFFSET(装备属性!$M$1083,1+INT(COUNTA($Q$11:Q907)/5),0),Q907)</f>
        <v>通用属性</v>
      </c>
      <c r="R908" s="83">
        <f ca="1">IF(MOD(COUNTIF($Q$11:Q907,Q907),5)=0,10000*SUBSTITUTE(SUBSTITUTE(OFFSET(装备属性!$F$1083,1+INT(COUNTA($Q$11:Q907)/5),0),"[",""),"]","")+_xlfn.XLOOKUP(C908,$M$3:$M$7,$N$3:$N$7)*100,R907)</f>
        <v>30800</v>
      </c>
    </row>
    <row r="909" customHeight="1" spans="1:18">
      <c r="A909" s="78">
        <f ca="1" t="shared" si="42"/>
        <v>30801</v>
      </c>
      <c r="B909" s="82">
        <f ca="1">IFERROR(R909+COUNTIFS($R$11:$R909,R909),"")</f>
        <v>30849</v>
      </c>
      <c r="C909" s="83" t="str">
        <f ca="1">IF(MOD(COUNTIF($Q$11:Q908,Q908),5)=0,OFFSET(装备属性!$D$1083,1+INT(COUNTA($Q$11:Q908)/5),0),C908)</f>
        <v>彩</v>
      </c>
      <c r="D909" s="82">
        <f t="shared" si="41"/>
        <v>1500</v>
      </c>
      <c r="F909" s="82">
        <f ca="1" t="shared" si="43"/>
        <v>30809</v>
      </c>
      <c r="G909" s="78" t="str">
        <f ca="1">IF(AND(LEFT("[{"&amp;M909&amp;","&amp;CEILING(N909*10000+(O909-N909)/4*(COUNTIF($F$11:F909,F909)-1)*10000,10)&amp;"}]",7)="[{equip",MID("[{"&amp;M909&amp;","&amp;CEILING(N909*10000+(O909-N909)/4*(COUNTIF($F$11:F909,F909)-1)*10000,10)&amp;"}]",8,1)&lt;&gt;"_"),"[{"&amp;M909&amp;","&amp;1&amp;"}]","[{"&amp;M909&amp;","&amp;CEILING(N909*10000+(O909-N909)/4*(COUNTIF($F$11:F909,F909)-1)*10000,10)&amp;"}]")</f>
        <v>[{hunter_crit_dmg,4350}]</v>
      </c>
      <c r="H909" s="82" t="s">
        <v>563</v>
      </c>
      <c r="J909" s="78">
        <f ca="1">IF(MOD(COUNTIF($Q$11:Q908,Q908),5)=0,OFFSET(装备属性!$P$1083,1+INT(COUNTA($Q$11:Q908)/5),0),J908)</f>
        <v>10</v>
      </c>
      <c r="K909" s="83" t="str">
        <f ca="1">IF(RIGHT(G909,13)="rune_slot,1}]",_xlfn.XLOOKUP(LEFT(SUBSTITUTE(G909,"[{",""),FIND(",",SUBSTITUTE(G909,"[{",""))-1),Sheet2!B:B,Sheet2!C:C)&amp;"+"&amp;1,_xlfn.XLOOKUP(LEFT(SUBSTITUTE(G909,"[{",""),FIND(",",SUBSTITUTE(G909,"[{",""))-1),Sheet2!B:B,Sheet2!C:C)&amp;"+"&amp;SUBSTITUTE(RIGHT(G909,LEN(G909)-FIND(",",G909)),"}]","")/100&amp;"%")</f>
        <v>射手暴击伤害+43.5%</v>
      </c>
      <c r="L909" s="83" t="str">
        <f ca="1">IF(MOD(COUNTIF($Q$11:Q908,Q908),5)=0,OFFSET(装备属性!$G$1083,1+INT(COUNTA($Q$11:Q908)/5),0),L908)</f>
        <v>暴走远程Ⅴ</v>
      </c>
      <c r="M909" s="89" t="str">
        <f ca="1">IF(MOD(COUNTIF($Q$11:Q908,Q908),5)=0,OFFSET(装备属性!$H$1083,1+INT(COUNTA($Q$11:Q908)/5),0),M908)</f>
        <v>hunter_crit_dmg</v>
      </c>
      <c r="N909" s="76">
        <f ca="1">IF(MOD(COUNTIF($Q$11:Q908,Q908),5)=0,OFFSET(装备属性!$K$1083,1+INT(COUNTA($Q$11:Q908)/5),0),N908)</f>
        <v>0.39</v>
      </c>
      <c r="O909" s="76">
        <f ca="1">IF(MOD(COUNTIF($Q$11:Q908,Q908),5)=0,OFFSET(装备属性!$L$1083,1+INT(COUNTA($Q$11:Q908)/5),0),O908)</f>
        <v>0.45</v>
      </c>
      <c r="Q909" s="89" t="str">
        <f ca="1">IF(MOD(COUNTIF($Q$11:Q908,Q908),5)=0,OFFSET(装备属性!$M$1083,1+INT(COUNTA($Q$11:Q908)/5),0),Q908)</f>
        <v>通用属性</v>
      </c>
      <c r="R909" s="83">
        <f ca="1">IF(MOD(COUNTIF($Q$11:Q908,Q908),5)=0,10000*SUBSTITUTE(SUBSTITUTE(OFFSET(装备属性!$F$1083,1+INT(COUNTA($Q$11:Q908)/5),0),"[",""),"]","")+_xlfn.XLOOKUP(C909,$M$3:$M$7,$N$3:$N$7)*100,R908)</f>
        <v>30800</v>
      </c>
    </row>
    <row r="910" customHeight="1" spans="1:18">
      <c r="A910" s="78">
        <f ca="1" t="shared" si="42"/>
        <v>30801</v>
      </c>
      <c r="B910" s="82">
        <f ca="1">IFERROR(R910+COUNTIFS($R$11:$R910,R910),"")</f>
        <v>30850</v>
      </c>
      <c r="C910" s="83" t="str">
        <f ca="1">IF(MOD(COUNTIF($Q$11:Q909,Q909),5)=0,OFFSET(装备属性!$D$1083,1+INT(COUNTA($Q$11:Q909)/5),0),C909)</f>
        <v>彩</v>
      </c>
      <c r="D910" s="82">
        <f t="shared" si="41"/>
        <v>1000</v>
      </c>
      <c r="F910" s="82">
        <f ca="1" t="shared" si="43"/>
        <v>30809</v>
      </c>
      <c r="G910" s="78" t="str">
        <f ca="1">IF(AND(LEFT("[{"&amp;M910&amp;","&amp;CEILING(N910*10000+(O910-N910)/4*(COUNTIF($F$11:F910,F910)-1)*10000,10)&amp;"}]",7)="[{equip",MID("[{"&amp;M910&amp;","&amp;CEILING(N910*10000+(O910-N910)/4*(COUNTIF($F$11:F910,F910)-1)*10000,10)&amp;"}]",8,1)&lt;&gt;"_"),"[{"&amp;M910&amp;","&amp;1&amp;"}]","[{"&amp;M910&amp;","&amp;CEILING(N910*10000+(O910-N910)/4*(COUNTIF($F$11:F910,F910)-1)*10000,10)&amp;"}]")</f>
        <v>[{hunter_crit_dmg,4500}]</v>
      </c>
      <c r="H910" s="82" t="s">
        <v>563</v>
      </c>
      <c r="J910" s="78">
        <f ca="1">IF(MOD(COUNTIF($Q$11:Q909,Q909),5)=0,OFFSET(装备属性!$P$1083,1+INT(COUNTA($Q$11:Q909)/5),0),J909)</f>
        <v>10</v>
      </c>
      <c r="K910" s="83" t="str">
        <f ca="1">IF(RIGHT(G910,13)="rune_slot,1}]",_xlfn.XLOOKUP(LEFT(SUBSTITUTE(G910,"[{",""),FIND(",",SUBSTITUTE(G910,"[{",""))-1),Sheet2!B:B,Sheet2!C:C)&amp;"+"&amp;1,_xlfn.XLOOKUP(LEFT(SUBSTITUTE(G910,"[{",""),FIND(",",SUBSTITUTE(G910,"[{",""))-1),Sheet2!B:B,Sheet2!C:C)&amp;"+"&amp;SUBSTITUTE(RIGHT(G910,LEN(G910)-FIND(",",G910)),"}]","")/100&amp;"%")</f>
        <v>射手暴击伤害+45%</v>
      </c>
      <c r="L910" s="83" t="str">
        <f ca="1">IF(MOD(COUNTIF($Q$11:Q909,Q909),5)=0,OFFSET(装备属性!$G$1083,1+INT(COUNTA($Q$11:Q909)/5),0),L909)</f>
        <v>暴走远程Ⅴ</v>
      </c>
      <c r="M910" s="89" t="str">
        <f ca="1">IF(MOD(COUNTIF($Q$11:Q909,Q909),5)=0,OFFSET(装备属性!$H$1083,1+INT(COUNTA($Q$11:Q909)/5),0),M909)</f>
        <v>hunter_crit_dmg</v>
      </c>
      <c r="N910" s="76">
        <f ca="1">IF(MOD(COUNTIF($Q$11:Q909,Q909),5)=0,OFFSET(装备属性!$K$1083,1+INT(COUNTA($Q$11:Q909)/5),0),N909)</f>
        <v>0.39</v>
      </c>
      <c r="O910" s="76">
        <f ca="1">IF(MOD(COUNTIF($Q$11:Q909,Q909),5)=0,OFFSET(装备属性!$L$1083,1+INT(COUNTA($Q$11:Q909)/5),0),O909)</f>
        <v>0.45</v>
      </c>
      <c r="Q910" s="89" t="str">
        <f ca="1">IF(MOD(COUNTIF($Q$11:Q909,Q909),5)=0,OFFSET(装备属性!$M$1083,1+INT(COUNTA($Q$11:Q909)/5),0),Q909)</f>
        <v>通用属性</v>
      </c>
      <c r="R910" s="83">
        <f ca="1">IF(MOD(COUNTIF($Q$11:Q909,Q909),5)=0,10000*SUBSTITUTE(SUBSTITUTE(OFFSET(装备属性!$F$1083,1+INT(COUNTA($Q$11:Q909)/5),0),"[",""),"]","")+_xlfn.XLOOKUP(C910,$M$3:$M$7,$N$3:$N$7)*100,R909)</f>
        <v>30800</v>
      </c>
    </row>
    <row r="911" customHeight="1" spans="1:18">
      <c r="A911" s="78" t="str">
        <f ca="1" t="shared" si="42"/>
        <v/>
      </c>
      <c r="B911" s="82" t="str">
        <f ca="1">IFERROR(R911+COUNTIFS($R$11:$R911,R911),"")</f>
        <v/>
      </c>
      <c r="C911" s="83">
        <f ca="1">IF(MOD(COUNTIF($Q$11:Q910,Q910),5)=0,OFFSET(装备属性!$D$1083,1+INT(COUNTA($Q$11:Q910)/5),0),C910)</f>
        <v>0</v>
      </c>
      <c r="D911" s="82">
        <f t="shared" si="41"/>
        <v>3000</v>
      </c>
      <c r="F911" s="82" t="str">
        <f ca="1" t="shared" si="43"/>
        <v/>
      </c>
      <c r="G911" s="78" t="str">
        <f ca="1">IF(AND(LEFT("[{"&amp;M911&amp;","&amp;CEILING(N911*10000+(O911-N911)/4*(COUNTIF($F$11:F911,F911)-1)*10000,10)&amp;"}]",7)="[{equip",MID("[{"&amp;M911&amp;","&amp;CEILING(N911*10000+(O911-N911)/4*(COUNTIF($F$11:F911,F911)-1)*10000,10)&amp;"}]",8,1)&lt;&gt;"_"),"[{"&amp;M911&amp;","&amp;1&amp;"}]","[{"&amp;M911&amp;","&amp;CEILING(N911*10000+(O911-N911)/4*(COUNTIF($F$11:F911,F911)-1)*10000,10)&amp;"}]")</f>
        <v>[{global_dmg_rate,10950}]</v>
      </c>
      <c r="H911" s="82" t="s">
        <v>563</v>
      </c>
      <c r="J911" s="78">
        <f ca="1">IF(MOD(COUNTIF($Q$11:Q910,Q910),5)=0,OFFSET(装备属性!$P$1083,1+INT(COUNTA($Q$11:Q910)/5),0),J910)</f>
        <v>2</v>
      </c>
      <c r="K911" s="83" t="str">
        <f ca="1">IF(RIGHT(G911,13)="rune_slot,1}]",_xlfn.XLOOKUP(LEFT(SUBSTITUTE(G911,"[{",""),FIND(",",SUBSTITUTE(G911,"[{",""))-1),Sheet2!B:B,Sheet2!C:C)&amp;"+"&amp;1,_xlfn.XLOOKUP(LEFT(SUBSTITUTE(G911,"[{",""),FIND(",",SUBSTITUTE(G911,"[{",""))-1),Sheet2!B:B,Sheet2!C:C)&amp;"+"&amp;SUBSTITUTE(RIGHT(G911,LEN(G911)-FIND(",",G911)),"}]","")/100&amp;"%")</f>
        <v>伤害加成+109.5%</v>
      </c>
      <c r="L911" s="83" t="str">
        <f ca="1">IF(MOD(COUNTIF($Q$11:Q910,Q910),5)=0,OFFSET(装备属性!$G$1083,1+INT(COUNTA($Q$11:Q910)/5),0),L910)</f>
        <v>全职小队Ⅰ</v>
      </c>
      <c r="M911" s="89" t="str">
        <f ca="1">IF(MOD(COUNTIF($Q$11:Q910,Q910),5)=0,OFFSET(装备属性!$H$1083,1+INT(COUNTA($Q$11:Q910)/5),0),M910)</f>
        <v>global_dmg_rate</v>
      </c>
      <c r="N911" s="76">
        <f ca="1">IF(MOD(COUNTIF($Q$11:Q910,Q910),5)=0,OFFSET(装备属性!$K$1083,1+INT(COUNTA($Q$11:Q910)/5),0),N910)</f>
        <v>0.03</v>
      </c>
      <c r="O911" s="76">
        <f ca="1">IF(MOD(COUNTIF($Q$11:Q910,Q910),5)=0,OFFSET(装备属性!$L$1083,1+INT(COUNTA($Q$11:Q910)/5),0),O910)</f>
        <v>0.042</v>
      </c>
      <c r="Q911" s="89" t="str">
        <f ca="1">IF(MOD(COUNTIF($Q$11:Q910,Q910),5)=0,OFFSET(装备属性!$M$1083,1+INT(COUNTA($Q$11:Q910)/5),0),Q910)</f>
        <v>通用属性</v>
      </c>
      <c r="R911" s="83" t="e">
        <f ca="1">IF(MOD(COUNTIF($Q$11:Q910,Q910),5)=0,10000*SUBSTITUTE(SUBSTITUTE(OFFSET(装备属性!$F$1083,1+INT(COUNTA($Q$11:Q910)/5),0),"[",""),"]","")+_xlfn.XLOOKUP(C911,$M$3:$M$7,$N$3:$N$7)*100,R910)</f>
        <v>#N/A</v>
      </c>
    </row>
    <row r="912" customHeight="1" spans="1:18">
      <c r="A912" s="78" t="str">
        <f ca="1" t="shared" si="42"/>
        <v/>
      </c>
      <c r="B912" s="82" t="str">
        <f ca="1">IFERROR(R912+COUNTIFS($R$11:$R912,R912),"")</f>
        <v/>
      </c>
      <c r="C912" s="83">
        <f ca="1">IF(MOD(COUNTIF($Q$11:Q911,Q911),5)=0,OFFSET(装备属性!$D$1083,1+INT(COUNTA($Q$11:Q911)/5),0),C911)</f>
        <v>0</v>
      </c>
      <c r="D912" s="82">
        <f t="shared" si="41"/>
        <v>2500</v>
      </c>
      <c r="F912" s="82" t="str">
        <f ca="1" t="shared" si="43"/>
        <v/>
      </c>
      <c r="G912" s="78" t="str">
        <f ca="1">IF(AND(LEFT("[{"&amp;M912&amp;","&amp;CEILING(N912*10000+(O912-N912)/4*(COUNTIF($F$11:F912,F912)-1)*10000,10)&amp;"}]",7)="[{equip",MID("[{"&amp;M912&amp;","&amp;CEILING(N912*10000+(O912-N912)/4*(COUNTIF($F$11:F912,F912)-1)*10000,10)&amp;"}]",8,1)&lt;&gt;"_"),"[{"&amp;M912&amp;","&amp;1&amp;"}]","[{"&amp;M912&amp;","&amp;CEILING(N912*10000+(O912-N912)/4*(COUNTIF($F$11:F912,F912)-1)*10000,10)&amp;"}]")</f>
        <v>[{global_dmg_rate,10980}]</v>
      </c>
      <c r="H912" s="82" t="s">
        <v>563</v>
      </c>
      <c r="J912" s="78">
        <f ca="1">IF(MOD(COUNTIF($Q$11:Q911,Q911),5)=0,OFFSET(装备属性!$P$1083,1+INT(COUNTA($Q$11:Q911)/5),0),J911)</f>
        <v>2</v>
      </c>
      <c r="K912" s="83" t="str">
        <f ca="1">IF(RIGHT(G912,13)="rune_slot,1}]",_xlfn.XLOOKUP(LEFT(SUBSTITUTE(G912,"[{",""),FIND(",",SUBSTITUTE(G912,"[{",""))-1),Sheet2!B:B,Sheet2!C:C)&amp;"+"&amp;1,_xlfn.XLOOKUP(LEFT(SUBSTITUTE(G912,"[{",""),FIND(",",SUBSTITUTE(G912,"[{",""))-1),Sheet2!B:B,Sheet2!C:C)&amp;"+"&amp;SUBSTITUTE(RIGHT(G912,LEN(G912)-FIND(",",G912)),"}]","")/100&amp;"%")</f>
        <v>伤害加成+109.8%</v>
      </c>
      <c r="L912" s="83" t="str">
        <f ca="1">IF(MOD(COUNTIF($Q$11:Q911,Q911),5)=0,OFFSET(装备属性!$G$1083,1+INT(COUNTA($Q$11:Q911)/5),0),L911)</f>
        <v>全职小队Ⅰ</v>
      </c>
      <c r="M912" s="89" t="str">
        <f ca="1">IF(MOD(COUNTIF($Q$11:Q911,Q911),5)=0,OFFSET(装备属性!$H$1083,1+INT(COUNTA($Q$11:Q911)/5),0),M911)</f>
        <v>global_dmg_rate</v>
      </c>
      <c r="N912" s="76">
        <f ca="1">IF(MOD(COUNTIF($Q$11:Q911,Q911),5)=0,OFFSET(装备属性!$K$1083,1+INT(COUNTA($Q$11:Q911)/5),0),N911)</f>
        <v>0.03</v>
      </c>
      <c r="O912" s="76">
        <f ca="1">IF(MOD(COUNTIF($Q$11:Q911,Q911),5)=0,OFFSET(装备属性!$L$1083,1+INT(COUNTA($Q$11:Q911)/5),0),O911)</f>
        <v>0.042</v>
      </c>
      <c r="Q912" s="89" t="str">
        <f ca="1">IF(MOD(COUNTIF($Q$11:Q911,Q911),5)=0,OFFSET(装备属性!$M$1083,1+INT(COUNTA($Q$11:Q911)/5),0),Q911)</f>
        <v>通用属性</v>
      </c>
      <c r="R912" s="83" t="e">
        <f ca="1">IF(MOD(COUNTIF($Q$11:Q911,Q911),5)=0,10000*SUBSTITUTE(SUBSTITUTE(OFFSET(装备属性!$F$1083,1+INT(COUNTA($Q$11:Q911)/5),0),"[",""),"]","")+_xlfn.XLOOKUP(C912,$M$3:$M$7,$N$3:$N$7)*100,R911)</f>
        <v>#N/A</v>
      </c>
    </row>
    <row r="913" customHeight="1" spans="1:18">
      <c r="A913" s="78" t="str">
        <f ca="1" t="shared" si="42"/>
        <v/>
      </c>
      <c r="B913" s="82" t="str">
        <f ca="1">IFERROR(R913+COUNTIFS($R$11:$R913,R913),"")</f>
        <v/>
      </c>
      <c r="C913" s="83">
        <f ca="1">IF(MOD(COUNTIF($Q$11:Q912,Q912),5)=0,OFFSET(装备属性!$D$1083,1+INT(COUNTA($Q$11:Q912)/5),0),C912)</f>
        <v>0</v>
      </c>
      <c r="D913" s="82">
        <f t="shared" ref="D913:D976" si="44">D908</f>
        <v>2000</v>
      </c>
      <c r="F913" s="82" t="str">
        <f ca="1" t="shared" si="43"/>
        <v/>
      </c>
      <c r="G913" s="78" t="str">
        <f ca="1">IF(AND(LEFT("[{"&amp;M913&amp;","&amp;CEILING(N913*10000+(O913-N913)/4*(COUNTIF($F$11:F913,F913)-1)*10000,10)&amp;"}]",7)="[{equip",MID("[{"&amp;M913&amp;","&amp;CEILING(N913*10000+(O913-N913)/4*(COUNTIF($F$11:F913,F913)-1)*10000,10)&amp;"}]",8,1)&lt;&gt;"_"),"[{"&amp;M913&amp;","&amp;1&amp;"}]","[{"&amp;M913&amp;","&amp;CEILING(N913*10000+(O913-N913)/4*(COUNTIF($F$11:F913,F913)-1)*10000,10)&amp;"}]")</f>
        <v>[{global_dmg_rate,11010}]</v>
      </c>
      <c r="H913" s="82" t="s">
        <v>563</v>
      </c>
      <c r="J913" s="78">
        <f ca="1">IF(MOD(COUNTIF($Q$11:Q912,Q912),5)=0,OFFSET(装备属性!$P$1083,1+INT(COUNTA($Q$11:Q912)/5),0),J912)</f>
        <v>2</v>
      </c>
      <c r="K913" s="83" t="str">
        <f ca="1">IF(RIGHT(G913,13)="rune_slot,1}]",_xlfn.XLOOKUP(LEFT(SUBSTITUTE(G913,"[{",""),FIND(",",SUBSTITUTE(G913,"[{",""))-1),Sheet2!B:B,Sheet2!C:C)&amp;"+"&amp;1,_xlfn.XLOOKUP(LEFT(SUBSTITUTE(G913,"[{",""),FIND(",",SUBSTITUTE(G913,"[{",""))-1),Sheet2!B:B,Sheet2!C:C)&amp;"+"&amp;SUBSTITUTE(RIGHT(G913,LEN(G913)-FIND(",",G913)),"}]","")/100&amp;"%")</f>
        <v>伤害加成+110.1%</v>
      </c>
      <c r="L913" s="83" t="str">
        <f ca="1">IF(MOD(COUNTIF($Q$11:Q912,Q912),5)=0,OFFSET(装备属性!$G$1083,1+INT(COUNTA($Q$11:Q912)/5),0),L912)</f>
        <v>全职小队Ⅰ</v>
      </c>
      <c r="M913" s="89" t="str">
        <f ca="1">IF(MOD(COUNTIF($Q$11:Q912,Q912),5)=0,OFFSET(装备属性!$H$1083,1+INT(COUNTA($Q$11:Q912)/5),0),M912)</f>
        <v>global_dmg_rate</v>
      </c>
      <c r="N913" s="76">
        <f ca="1">IF(MOD(COUNTIF($Q$11:Q912,Q912),5)=0,OFFSET(装备属性!$K$1083,1+INT(COUNTA($Q$11:Q912)/5),0),N912)</f>
        <v>0.03</v>
      </c>
      <c r="O913" s="76">
        <f ca="1">IF(MOD(COUNTIF($Q$11:Q912,Q912),5)=0,OFFSET(装备属性!$L$1083,1+INT(COUNTA($Q$11:Q912)/5),0),O912)</f>
        <v>0.042</v>
      </c>
      <c r="Q913" s="89" t="str">
        <f ca="1">IF(MOD(COUNTIF($Q$11:Q912,Q912),5)=0,OFFSET(装备属性!$M$1083,1+INT(COUNTA($Q$11:Q912)/5),0),Q912)</f>
        <v>通用属性</v>
      </c>
      <c r="R913" s="83" t="e">
        <f ca="1">IF(MOD(COUNTIF($Q$11:Q912,Q912),5)=0,10000*SUBSTITUTE(SUBSTITUTE(OFFSET(装备属性!$F$1083,1+INT(COUNTA($Q$11:Q912)/5),0),"[",""),"]","")+_xlfn.XLOOKUP(C913,$M$3:$M$7,$N$3:$N$7)*100,R912)</f>
        <v>#N/A</v>
      </c>
    </row>
    <row r="914" customHeight="1" spans="1:18">
      <c r="A914" s="78" t="str">
        <f ca="1" t="shared" si="42"/>
        <v/>
      </c>
      <c r="B914" s="82" t="str">
        <f ca="1">IFERROR(R914+COUNTIFS($R$11:$R914,R914),"")</f>
        <v/>
      </c>
      <c r="C914" s="83">
        <f ca="1">IF(MOD(COUNTIF($Q$11:Q913,Q913),5)=0,OFFSET(装备属性!$D$1083,1+INT(COUNTA($Q$11:Q913)/5),0),C913)</f>
        <v>0</v>
      </c>
      <c r="D914" s="82">
        <f t="shared" si="44"/>
        <v>1500</v>
      </c>
      <c r="F914" s="82" t="str">
        <f ca="1" t="shared" si="43"/>
        <v/>
      </c>
      <c r="G914" s="78" t="str">
        <f ca="1">IF(AND(LEFT("[{"&amp;M914&amp;","&amp;CEILING(N914*10000+(O914-N914)/4*(COUNTIF($F$11:F914,F914)-1)*10000,10)&amp;"}]",7)="[{equip",MID("[{"&amp;M914&amp;","&amp;CEILING(N914*10000+(O914-N914)/4*(COUNTIF($F$11:F914,F914)-1)*10000,10)&amp;"}]",8,1)&lt;&gt;"_"),"[{"&amp;M914&amp;","&amp;1&amp;"}]","[{"&amp;M914&amp;","&amp;CEILING(N914*10000+(O914-N914)/4*(COUNTIF($F$11:F914,F914)-1)*10000,10)&amp;"}]")</f>
        <v>[{global_dmg_rate,11040}]</v>
      </c>
      <c r="H914" s="82" t="s">
        <v>563</v>
      </c>
      <c r="J914" s="78">
        <f ca="1">IF(MOD(COUNTIF($Q$11:Q913,Q913),5)=0,OFFSET(装备属性!$P$1083,1+INT(COUNTA($Q$11:Q913)/5),0),J913)</f>
        <v>2</v>
      </c>
      <c r="K914" s="83" t="str">
        <f ca="1">IF(RIGHT(G914,13)="rune_slot,1}]",_xlfn.XLOOKUP(LEFT(SUBSTITUTE(G914,"[{",""),FIND(",",SUBSTITUTE(G914,"[{",""))-1),Sheet2!B:B,Sheet2!C:C)&amp;"+"&amp;1,_xlfn.XLOOKUP(LEFT(SUBSTITUTE(G914,"[{",""),FIND(",",SUBSTITUTE(G914,"[{",""))-1),Sheet2!B:B,Sheet2!C:C)&amp;"+"&amp;SUBSTITUTE(RIGHT(G914,LEN(G914)-FIND(",",G914)),"}]","")/100&amp;"%")</f>
        <v>伤害加成+110.4%</v>
      </c>
      <c r="L914" s="83" t="str">
        <f ca="1">IF(MOD(COUNTIF($Q$11:Q913,Q913),5)=0,OFFSET(装备属性!$G$1083,1+INT(COUNTA($Q$11:Q913)/5),0),L913)</f>
        <v>全职小队Ⅰ</v>
      </c>
      <c r="M914" s="89" t="str">
        <f ca="1">IF(MOD(COUNTIF($Q$11:Q913,Q913),5)=0,OFFSET(装备属性!$H$1083,1+INT(COUNTA($Q$11:Q913)/5),0),M913)</f>
        <v>global_dmg_rate</v>
      </c>
      <c r="N914" s="76">
        <f ca="1">IF(MOD(COUNTIF($Q$11:Q913,Q913),5)=0,OFFSET(装备属性!$K$1083,1+INT(COUNTA($Q$11:Q913)/5),0),N913)</f>
        <v>0.03</v>
      </c>
      <c r="O914" s="76">
        <f ca="1">IF(MOD(COUNTIF($Q$11:Q913,Q913),5)=0,OFFSET(装备属性!$L$1083,1+INT(COUNTA($Q$11:Q913)/5),0),O913)</f>
        <v>0.042</v>
      </c>
      <c r="Q914" s="89" t="str">
        <f ca="1">IF(MOD(COUNTIF($Q$11:Q913,Q913),5)=0,OFFSET(装备属性!$M$1083,1+INT(COUNTA($Q$11:Q913)/5),0),Q913)</f>
        <v>通用属性</v>
      </c>
      <c r="R914" s="83" t="e">
        <f ca="1">IF(MOD(COUNTIF($Q$11:Q913,Q913),5)=0,10000*SUBSTITUTE(SUBSTITUTE(OFFSET(装备属性!$F$1083,1+INT(COUNTA($Q$11:Q913)/5),0),"[",""),"]","")+_xlfn.XLOOKUP(C914,$M$3:$M$7,$N$3:$N$7)*100,R913)</f>
        <v>#N/A</v>
      </c>
    </row>
    <row r="915" customHeight="1" spans="1:18">
      <c r="A915" s="78" t="str">
        <f ca="1" t="shared" si="42"/>
        <v/>
      </c>
      <c r="B915" s="82" t="str">
        <f ca="1">IFERROR(R915+COUNTIFS($R$11:$R915,R915),"")</f>
        <v/>
      </c>
      <c r="C915" s="83">
        <f ca="1">IF(MOD(COUNTIF($Q$11:Q914,Q914),5)=0,OFFSET(装备属性!$D$1083,1+INT(COUNTA($Q$11:Q914)/5),0),C914)</f>
        <v>0</v>
      </c>
      <c r="D915" s="82">
        <f t="shared" si="44"/>
        <v>1000</v>
      </c>
      <c r="F915" s="82" t="str">
        <f ca="1" t="shared" si="43"/>
        <v/>
      </c>
      <c r="G915" s="78" t="str">
        <f ca="1">IF(AND(LEFT("[{"&amp;M915&amp;","&amp;CEILING(N915*10000+(O915-N915)/4*(COUNTIF($F$11:F915,F915)-1)*10000,10)&amp;"}]",7)="[{equip",MID("[{"&amp;M915&amp;","&amp;CEILING(N915*10000+(O915-N915)/4*(COUNTIF($F$11:F915,F915)-1)*10000,10)&amp;"}]",8,1)&lt;&gt;"_"),"[{"&amp;M915&amp;","&amp;1&amp;"}]","[{"&amp;M915&amp;","&amp;CEILING(N915*10000+(O915-N915)/4*(COUNTIF($F$11:F915,F915)-1)*10000,10)&amp;"}]")</f>
        <v>[{global_dmg_rate,11070}]</v>
      </c>
      <c r="H915" s="82" t="s">
        <v>563</v>
      </c>
      <c r="J915" s="78">
        <f ca="1">IF(MOD(COUNTIF($Q$11:Q914,Q914),5)=0,OFFSET(装备属性!$P$1083,1+INT(COUNTA($Q$11:Q914)/5),0),J914)</f>
        <v>2</v>
      </c>
      <c r="K915" s="83" t="str">
        <f ca="1">IF(RIGHT(G915,13)="rune_slot,1}]",_xlfn.XLOOKUP(LEFT(SUBSTITUTE(G915,"[{",""),FIND(",",SUBSTITUTE(G915,"[{",""))-1),Sheet2!B:B,Sheet2!C:C)&amp;"+"&amp;1,_xlfn.XLOOKUP(LEFT(SUBSTITUTE(G915,"[{",""),FIND(",",SUBSTITUTE(G915,"[{",""))-1),Sheet2!B:B,Sheet2!C:C)&amp;"+"&amp;SUBSTITUTE(RIGHT(G915,LEN(G915)-FIND(",",G915)),"}]","")/100&amp;"%")</f>
        <v>伤害加成+110.7%</v>
      </c>
      <c r="L915" s="83" t="str">
        <f ca="1">IF(MOD(COUNTIF($Q$11:Q914,Q914),5)=0,OFFSET(装备属性!$G$1083,1+INT(COUNTA($Q$11:Q914)/5),0),L914)</f>
        <v>全职小队Ⅰ</v>
      </c>
      <c r="M915" s="89" t="str">
        <f ca="1">IF(MOD(COUNTIF($Q$11:Q914,Q914),5)=0,OFFSET(装备属性!$H$1083,1+INT(COUNTA($Q$11:Q914)/5),0),M914)</f>
        <v>global_dmg_rate</v>
      </c>
      <c r="N915" s="76">
        <f ca="1">IF(MOD(COUNTIF($Q$11:Q914,Q914),5)=0,OFFSET(装备属性!$K$1083,1+INT(COUNTA($Q$11:Q914)/5),0),N914)</f>
        <v>0.03</v>
      </c>
      <c r="O915" s="76">
        <f ca="1">IF(MOD(COUNTIF($Q$11:Q914,Q914),5)=0,OFFSET(装备属性!$L$1083,1+INT(COUNTA($Q$11:Q914)/5),0),O914)</f>
        <v>0.042</v>
      </c>
      <c r="Q915" s="89" t="str">
        <f ca="1">IF(MOD(COUNTIF($Q$11:Q914,Q914),5)=0,OFFSET(装备属性!$M$1083,1+INT(COUNTA($Q$11:Q914)/5),0),Q914)</f>
        <v>通用属性</v>
      </c>
      <c r="R915" s="83" t="e">
        <f ca="1">IF(MOD(COUNTIF($Q$11:Q914,Q914),5)=0,10000*SUBSTITUTE(SUBSTITUTE(OFFSET(装备属性!$F$1083,1+INT(COUNTA($Q$11:Q914)/5),0),"[",""),"]","")+_xlfn.XLOOKUP(C915,$M$3:$M$7,$N$3:$N$7)*100,R914)</f>
        <v>#N/A</v>
      </c>
    </row>
    <row r="916" customHeight="1" spans="1:18">
      <c r="A916" s="78">
        <f ca="1" t="shared" si="42"/>
        <v>40401</v>
      </c>
      <c r="B916" s="82">
        <f ca="1">IFERROR(R916+COUNTIFS($R$11:$R916,R916),"")</f>
        <v>40401</v>
      </c>
      <c r="C916" s="83" t="str">
        <f ca="1">IF(MOD(COUNTIF($Q$11:Q915,Q915),5)=0,OFFSET(装备属性!$D$1083,1+INT(COUNTA($Q$11:Q915)/5),0),C915)</f>
        <v>紫</v>
      </c>
      <c r="D916" s="82">
        <f t="shared" si="44"/>
        <v>3000</v>
      </c>
      <c r="F916" s="82">
        <f ca="1" t="shared" si="43"/>
        <v>40400</v>
      </c>
      <c r="G916" s="78" t="str">
        <f ca="1">IF(AND(LEFT("[{"&amp;M916&amp;","&amp;CEILING(N916*10000+(O916-N916)/4*(COUNTIF($F$11:F916,F916)-1)*10000,10)&amp;"}]",7)="[{equip",MID("[{"&amp;M916&amp;","&amp;CEILING(N916*10000+(O916-N916)/4*(COUNTIF($F$11:F916,F916)-1)*10000,10)&amp;"}]",8,1)&lt;&gt;"_"),"[{"&amp;M916&amp;","&amp;1&amp;"}]","[{"&amp;M916&amp;","&amp;CEILING(N916*10000+(O916-N916)/4*(COUNTIF($F$11:F916,F916)-1)*10000,10)&amp;"}]")</f>
        <v>[{dmg_red_rate,100}]</v>
      </c>
      <c r="H916" s="82" t="s">
        <v>563</v>
      </c>
      <c r="J916" s="78">
        <f ca="1">IF(MOD(COUNTIF($Q$11:Q915,Q915),5)=0,OFFSET(装备属性!$P$1083,1+INT(COUNTA($Q$11:Q915)/5),0),J915)</f>
        <v>6</v>
      </c>
      <c r="K916" s="83" t="str">
        <f ca="1">IF(RIGHT(G916,13)="rune_slot,1}]",_xlfn.XLOOKUP(LEFT(SUBSTITUTE(G916,"[{",""),FIND(",",SUBSTITUTE(G916,"[{",""))-1),Sheet2!B:B,Sheet2!C:C)&amp;"+"&amp;1,_xlfn.XLOOKUP(LEFT(SUBSTITUTE(G916,"[{",""),FIND(",",SUBSTITUTE(G916,"[{",""))-1),Sheet2!B:B,Sheet2!C:C)&amp;"+"&amp;SUBSTITUTE(RIGHT(G916,LEN(G916)-FIND(",",G916)),"}]","")/100&amp;"%")</f>
        <v>伤害减免+1%</v>
      </c>
      <c r="L916" s="83" t="str">
        <f ca="1">IF(MOD(COUNTIF($Q$11:Q915,Q915),5)=0,OFFSET(装备属性!$G$1083,1+INT(COUNTA($Q$11:Q915)/5),0),L915)</f>
        <v>全员抗揍Ⅰ</v>
      </c>
      <c r="M916" s="89" t="str">
        <f ca="1">IF(MOD(COUNTIF($Q$11:Q915,Q915),5)=0,OFFSET(装备属性!$H$1083,1+INT(COUNTA($Q$11:Q915)/5),0),M915)</f>
        <v>dmg_red_rate</v>
      </c>
      <c r="N916" s="76">
        <f ca="1">IF(MOD(COUNTIF($Q$11:Q915,Q915),5)=0,OFFSET(装备属性!$K$1083,1+INT(COUNTA($Q$11:Q915)/5),0),N915)</f>
        <v>0.01</v>
      </c>
      <c r="O916" s="76">
        <f ca="1">IF(MOD(COUNTIF($Q$11:Q915,Q915),5)=0,OFFSET(装备属性!$L$1083,1+INT(COUNTA($Q$11:Q915)/5),0),O915)</f>
        <v>0.014</v>
      </c>
      <c r="Q916" s="89" t="str">
        <f ca="1">IF(MOD(COUNTIF($Q$11:Q915,Q915),5)=0,OFFSET(装备属性!$M$1083,1+INT(COUNTA($Q$11:Q915)/5),0),Q915)</f>
        <v>通用属性</v>
      </c>
      <c r="R916" s="83">
        <f ca="1">IF(MOD(COUNTIF($Q$11:Q915,Q915),5)=0,10000*SUBSTITUTE(SUBSTITUTE(OFFSET(装备属性!$F$1083,1+INT(COUNTA($Q$11:Q915)/5),0),"[",""),"]","")+_xlfn.XLOOKUP(C916,$M$3:$M$7,$N$3:$N$7)*100,R915)</f>
        <v>40400</v>
      </c>
    </row>
    <row r="917" customHeight="1" spans="1:18">
      <c r="A917" s="78">
        <f ca="1" t="shared" si="42"/>
        <v>40401</v>
      </c>
      <c r="B917" s="82">
        <f ca="1">IFERROR(R917+COUNTIFS($R$11:$R917,R917),"")</f>
        <v>40402</v>
      </c>
      <c r="C917" s="83" t="str">
        <f ca="1">IF(MOD(COUNTIF($Q$11:Q916,Q916),5)=0,OFFSET(装备属性!$D$1083,1+INT(COUNTA($Q$11:Q916)/5),0),C916)</f>
        <v>紫</v>
      </c>
      <c r="D917" s="82">
        <f t="shared" si="44"/>
        <v>2500</v>
      </c>
      <c r="F917" s="82">
        <f ca="1" t="shared" si="43"/>
        <v>40400</v>
      </c>
      <c r="G917" s="78" t="str">
        <f ca="1">IF(AND(LEFT("[{"&amp;M917&amp;","&amp;CEILING(N917*10000+(O917-N917)/4*(COUNTIF($F$11:F917,F917)-1)*10000,10)&amp;"}]",7)="[{equip",MID("[{"&amp;M917&amp;","&amp;CEILING(N917*10000+(O917-N917)/4*(COUNTIF($F$11:F917,F917)-1)*10000,10)&amp;"}]",8,1)&lt;&gt;"_"),"[{"&amp;M917&amp;","&amp;1&amp;"}]","[{"&amp;M917&amp;","&amp;CEILING(N917*10000+(O917-N917)/4*(COUNTIF($F$11:F917,F917)-1)*10000,10)&amp;"}]")</f>
        <v>[{dmg_red_rate,110}]</v>
      </c>
      <c r="H917" s="82" t="s">
        <v>563</v>
      </c>
      <c r="J917" s="78">
        <f ca="1">IF(MOD(COUNTIF($Q$11:Q916,Q916),5)=0,OFFSET(装备属性!$P$1083,1+INT(COUNTA($Q$11:Q916)/5),0),J916)</f>
        <v>6</v>
      </c>
      <c r="K917" s="83" t="str">
        <f ca="1">IF(RIGHT(G917,13)="rune_slot,1}]",_xlfn.XLOOKUP(LEFT(SUBSTITUTE(G917,"[{",""),FIND(",",SUBSTITUTE(G917,"[{",""))-1),Sheet2!B:B,Sheet2!C:C)&amp;"+"&amp;1,_xlfn.XLOOKUP(LEFT(SUBSTITUTE(G917,"[{",""),FIND(",",SUBSTITUTE(G917,"[{",""))-1),Sheet2!B:B,Sheet2!C:C)&amp;"+"&amp;SUBSTITUTE(RIGHT(G917,LEN(G917)-FIND(",",G917)),"}]","")/100&amp;"%")</f>
        <v>伤害减免+1.1%</v>
      </c>
      <c r="L917" s="83" t="str">
        <f ca="1">IF(MOD(COUNTIF($Q$11:Q916,Q916),5)=0,OFFSET(装备属性!$G$1083,1+INT(COUNTA($Q$11:Q916)/5),0),L916)</f>
        <v>全员抗揍Ⅰ</v>
      </c>
      <c r="M917" s="89" t="str">
        <f ca="1">IF(MOD(COUNTIF($Q$11:Q916,Q916),5)=0,OFFSET(装备属性!$H$1083,1+INT(COUNTA($Q$11:Q916)/5),0),M916)</f>
        <v>dmg_red_rate</v>
      </c>
      <c r="N917" s="76">
        <f ca="1">IF(MOD(COUNTIF($Q$11:Q916,Q916),5)=0,OFFSET(装备属性!$K$1083,1+INT(COUNTA($Q$11:Q916)/5),0),N916)</f>
        <v>0.01</v>
      </c>
      <c r="O917" s="76">
        <f ca="1">IF(MOD(COUNTIF($Q$11:Q916,Q916),5)=0,OFFSET(装备属性!$L$1083,1+INT(COUNTA($Q$11:Q916)/5),0),O916)</f>
        <v>0.014</v>
      </c>
      <c r="Q917" s="89" t="str">
        <f ca="1">IF(MOD(COUNTIF($Q$11:Q916,Q916),5)=0,OFFSET(装备属性!$M$1083,1+INT(COUNTA($Q$11:Q916)/5),0),Q916)</f>
        <v>通用属性</v>
      </c>
      <c r="R917" s="83">
        <f ca="1">IF(MOD(COUNTIF($Q$11:Q916,Q916),5)=0,10000*SUBSTITUTE(SUBSTITUTE(OFFSET(装备属性!$F$1083,1+INT(COUNTA($Q$11:Q916)/5),0),"[",""),"]","")+_xlfn.XLOOKUP(C917,$M$3:$M$7,$N$3:$N$7)*100,R916)</f>
        <v>40400</v>
      </c>
    </row>
    <row r="918" customHeight="1" spans="1:18">
      <c r="A918" s="78">
        <f ca="1" t="shared" si="42"/>
        <v>40401</v>
      </c>
      <c r="B918" s="82">
        <f ca="1">IFERROR(R918+COUNTIFS($R$11:$R918,R918),"")</f>
        <v>40403</v>
      </c>
      <c r="C918" s="83" t="str">
        <f ca="1">IF(MOD(COUNTIF($Q$11:Q917,Q917),5)=0,OFFSET(装备属性!$D$1083,1+INT(COUNTA($Q$11:Q917)/5),0),C917)</f>
        <v>紫</v>
      </c>
      <c r="D918" s="82">
        <f t="shared" si="44"/>
        <v>2000</v>
      </c>
      <c r="F918" s="82">
        <f ca="1" t="shared" si="43"/>
        <v>40400</v>
      </c>
      <c r="G918" s="78" t="str">
        <f ca="1">IF(AND(LEFT("[{"&amp;M918&amp;","&amp;CEILING(N918*10000+(O918-N918)/4*(COUNTIF($F$11:F918,F918)-1)*10000,10)&amp;"}]",7)="[{equip",MID("[{"&amp;M918&amp;","&amp;CEILING(N918*10000+(O918-N918)/4*(COUNTIF($F$11:F918,F918)-1)*10000,10)&amp;"}]",8,1)&lt;&gt;"_"),"[{"&amp;M918&amp;","&amp;1&amp;"}]","[{"&amp;M918&amp;","&amp;CEILING(N918*10000+(O918-N918)/4*(COUNTIF($F$11:F918,F918)-1)*10000,10)&amp;"}]")</f>
        <v>[{dmg_red_rate,120}]</v>
      </c>
      <c r="H918" s="82" t="s">
        <v>563</v>
      </c>
      <c r="J918" s="78">
        <f ca="1">IF(MOD(COUNTIF($Q$11:Q917,Q917),5)=0,OFFSET(装备属性!$P$1083,1+INT(COUNTA($Q$11:Q917)/5),0),J917)</f>
        <v>6</v>
      </c>
      <c r="K918" s="83" t="str">
        <f ca="1">IF(RIGHT(G918,13)="rune_slot,1}]",_xlfn.XLOOKUP(LEFT(SUBSTITUTE(G918,"[{",""),FIND(",",SUBSTITUTE(G918,"[{",""))-1),Sheet2!B:B,Sheet2!C:C)&amp;"+"&amp;1,_xlfn.XLOOKUP(LEFT(SUBSTITUTE(G918,"[{",""),FIND(",",SUBSTITUTE(G918,"[{",""))-1),Sheet2!B:B,Sheet2!C:C)&amp;"+"&amp;SUBSTITUTE(RIGHT(G918,LEN(G918)-FIND(",",G918)),"}]","")/100&amp;"%")</f>
        <v>伤害减免+1.2%</v>
      </c>
      <c r="L918" s="83" t="str">
        <f ca="1">IF(MOD(COUNTIF($Q$11:Q917,Q917),5)=0,OFFSET(装备属性!$G$1083,1+INT(COUNTA($Q$11:Q917)/5),0),L917)</f>
        <v>全员抗揍Ⅰ</v>
      </c>
      <c r="M918" s="89" t="str">
        <f ca="1">IF(MOD(COUNTIF($Q$11:Q917,Q917),5)=0,OFFSET(装备属性!$H$1083,1+INT(COUNTA($Q$11:Q917)/5),0),M917)</f>
        <v>dmg_red_rate</v>
      </c>
      <c r="N918" s="76">
        <f ca="1">IF(MOD(COUNTIF($Q$11:Q917,Q917),5)=0,OFFSET(装备属性!$K$1083,1+INT(COUNTA($Q$11:Q917)/5),0),N917)</f>
        <v>0.01</v>
      </c>
      <c r="O918" s="76">
        <f ca="1">IF(MOD(COUNTIF($Q$11:Q917,Q917),5)=0,OFFSET(装备属性!$L$1083,1+INT(COUNTA($Q$11:Q917)/5),0),O917)</f>
        <v>0.014</v>
      </c>
      <c r="Q918" s="89" t="str">
        <f ca="1">IF(MOD(COUNTIF($Q$11:Q917,Q917),5)=0,OFFSET(装备属性!$M$1083,1+INT(COUNTA($Q$11:Q917)/5),0),Q917)</f>
        <v>通用属性</v>
      </c>
      <c r="R918" s="83">
        <f ca="1">IF(MOD(COUNTIF($Q$11:Q917,Q917),5)=0,10000*SUBSTITUTE(SUBSTITUTE(OFFSET(装备属性!$F$1083,1+INT(COUNTA($Q$11:Q917)/5),0),"[",""),"]","")+_xlfn.XLOOKUP(C918,$M$3:$M$7,$N$3:$N$7)*100,R917)</f>
        <v>40400</v>
      </c>
    </row>
    <row r="919" customHeight="1" spans="1:18">
      <c r="A919" s="78">
        <f ca="1" t="shared" si="42"/>
        <v>40401</v>
      </c>
      <c r="B919" s="82">
        <f ca="1">IFERROR(R919+COUNTIFS($R$11:$R919,R919),"")</f>
        <v>40404</v>
      </c>
      <c r="C919" s="83" t="str">
        <f ca="1">IF(MOD(COUNTIF($Q$11:Q918,Q918),5)=0,OFFSET(装备属性!$D$1083,1+INT(COUNTA($Q$11:Q918)/5),0),C918)</f>
        <v>紫</v>
      </c>
      <c r="D919" s="82">
        <f t="shared" si="44"/>
        <v>1500</v>
      </c>
      <c r="F919" s="82">
        <f ca="1" t="shared" si="43"/>
        <v>40400</v>
      </c>
      <c r="G919" s="78" t="str">
        <f ca="1">IF(AND(LEFT("[{"&amp;M919&amp;","&amp;CEILING(N919*10000+(O919-N919)/4*(COUNTIF($F$11:F919,F919)-1)*10000,10)&amp;"}]",7)="[{equip",MID("[{"&amp;M919&amp;","&amp;CEILING(N919*10000+(O919-N919)/4*(COUNTIF($F$11:F919,F919)-1)*10000,10)&amp;"}]",8,1)&lt;&gt;"_"),"[{"&amp;M919&amp;","&amp;1&amp;"}]","[{"&amp;M919&amp;","&amp;CEILING(N919*10000+(O919-N919)/4*(COUNTIF($F$11:F919,F919)-1)*10000,10)&amp;"}]")</f>
        <v>[{dmg_red_rate,130}]</v>
      </c>
      <c r="H919" s="82" t="s">
        <v>563</v>
      </c>
      <c r="J919" s="78">
        <f ca="1">IF(MOD(COUNTIF($Q$11:Q918,Q918),5)=0,OFFSET(装备属性!$P$1083,1+INT(COUNTA($Q$11:Q918)/5),0),J918)</f>
        <v>6</v>
      </c>
      <c r="K919" s="83" t="str">
        <f ca="1">IF(RIGHT(G919,13)="rune_slot,1}]",_xlfn.XLOOKUP(LEFT(SUBSTITUTE(G919,"[{",""),FIND(",",SUBSTITUTE(G919,"[{",""))-1),Sheet2!B:B,Sheet2!C:C)&amp;"+"&amp;1,_xlfn.XLOOKUP(LEFT(SUBSTITUTE(G919,"[{",""),FIND(",",SUBSTITUTE(G919,"[{",""))-1),Sheet2!B:B,Sheet2!C:C)&amp;"+"&amp;SUBSTITUTE(RIGHT(G919,LEN(G919)-FIND(",",G919)),"}]","")/100&amp;"%")</f>
        <v>伤害减免+1.3%</v>
      </c>
      <c r="L919" s="83" t="str">
        <f ca="1">IF(MOD(COUNTIF($Q$11:Q918,Q918),5)=0,OFFSET(装备属性!$G$1083,1+INT(COUNTA($Q$11:Q918)/5),0),L918)</f>
        <v>全员抗揍Ⅰ</v>
      </c>
      <c r="M919" s="89" t="str">
        <f ca="1">IF(MOD(COUNTIF($Q$11:Q918,Q918),5)=0,OFFSET(装备属性!$H$1083,1+INT(COUNTA($Q$11:Q918)/5),0),M918)</f>
        <v>dmg_red_rate</v>
      </c>
      <c r="N919" s="76">
        <f ca="1">IF(MOD(COUNTIF($Q$11:Q918,Q918),5)=0,OFFSET(装备属性!$K$1083,1+INT(COUNTA($Q$11:Q918)/5),0),N918)</f>
        <v>0.01</v>
      </c>
      <c r="O919" s="76">
        <f ca="1">IF(MOD(COUNTIF($Q$11:Q918,Q918),5)=0,OFFSET(装备属性!$L$1083,1+INT(COUNTA($Q$11:Q918)/5),0),O918)</f>
        <v>0.014</v>
      </c>
      <c r="Q919" s="89" t="str">
        <f ca="1">IF(MOD(COUNTIF($Q$11:Q918,Q918),5)=0,OFFSET(装备属性!$M$1083,1+INT(COUNTA($Q$11:Q918)/5),0),Q918)</f>
        <v>通用属性</v>
      </c>
      <c r="R919" s="83">
        <f ca="1">IF(MOD(COUNTIF($Q$11:Q918,Q918),5)=0,10000*SUBSTITUTE(SUBSTITUTE(OFFSET(装备属性!$F$1083,1+INT(COUNTA($Q$11:Q918)/5),0),"[",""),"]","")+_xlfn.XLOOKUP(C919,$M$3:$M$7,$N$3:$N$7)*100,R918)</f>
        <v>40400</v>
      </c>
    </row>
    <row r="920" customHeight="1" spans="1:18">
      <c r="A920" s="78">
        <f ca="1" t="shared" si="42"/>
        <v>40401</v>
      </c>
      <c r="B920" s="82">
        <f ca="1">IFERROR(R920+COUNTIFS($R$11:$R920,R920),"")</f>
        <v>40405</v>
      </c>
      <c r="C920" s="83" t="str">
        <f ca="1">IF(MOD(COUNTIF($Q$11:Q919,Q919),5)=0,OFFSET(装备属性!$D$1083,1+INT(COUNTA($Q$11:Q919)/5),0),C919)</f>
        <v>紫</v>
      </c>
      <c r="D920" s="82">
        <f t="shared" si="44"/>
        <v>1000</v>
      </c>
      <c r="F920" s="82">
        <f ca="1" t="shared" si="43"/>
        <v>40400</v>
      </c>
      <c r="G920" s="78" t="str">
        <f ca="1">IF(AND(LEFT("[{"&amp;M920&amp;","&amp;CEILING(N920*10000+(O920-N920)/4*(COUNTIF($F$11:F920,F920)-1)*10000,10)&amp;"}]",7)="[{equip",MID("[{"&amp;M920&amp;","&amp;CEILING(N920*10000+(O920-N920)/4*(COUNTIF($F$11:F920,F920)-1)*10000,10)&amp;"}]",8,1)&lt;&gt;"_"),"[{"&amp;M920&amp;","&amp;1&amp;"}]","[{"&amp;M920&amp;","&amp;CEILING(N920*10000+(O920-N920)/4*(COUNTIF($F$11:F920,F920)-1)*10000,10)&amp;"}]")</f>
        <v>[{dmg_red_rate,140}]</v>
      </c>
      <c r="H920" s="82" t="s">
        <v>563</v>
      </c>
      <c r="J920" s="78">
        <f ca="1">IF(MOD(COUNTIF($Q$11:Q919,Q919),5)=0,OFFSET(装备属性!$P$1083,1+INT(COUNTA($Q$11:Q919)/5),0),J919)</f>
        <v>6</v>
      </c>
      <c r="K920" s="83" t="str">
        <f ca="1">IF(RIGHT(G920,13)="rune_slot,1}]",_xlfn.XLOOKUP(LEFT(SUBSTITUTE(G920,"[{",""),FIND(",",SUBSTITUTE(G920,"[{",""))-1),Sheet2!B:B,Sheet2!C:C)&amp;"+"&amp;1,_xlfn.XLOOKUP(LEFT(SUBSTITUTE(G920,"[{",""),FIND(",",SUBSTITUTE(G920,"[{",""))-1),Sheet2!B:B,Sheet2!C:C)&amp;"+"&amp;SUBSTITUTE(RIGHT(G920,LEN(G920)-FIND(",",G920)),"}]","")/100&amp;"%")</f>
        <v>伤害减免+1.4%</v>
      </c>
      <c r="L920" s="83" t="str">
        <f ca="1">IF(MOD(COUNTIF($Q$11:Q919,Q919),5)=0,OFFSET(装备属性!$G$1083,1+INT(COUNTA($Q$11:Q919)/5),0),L919)</f>
        <v>全员抗揍Ⅰ</v>
      </c>
      <c r="M920" s="89" t="str">
        <f ca="1">IF(MOD(COUNTIF($Q$11:Q919,Q919),5)=0,OFFSET(装备属性!$H$1083,1+INT(COUNTA($Q$11:Q919)/5),0),M919)</f>
        <v>dmg_red_rate</v>
      </c>
      <c r="N920" s="76">
        <f ca="1">IF(MOD(COUNTIF($Q$11:Q919,Q919),5)=0,OFFSET(装备属性!$K$1083,1+INT(COUNTA($Q$11:Q919)/5),0),N919)</f>
        <v>0.01</v>
      </c>
      <c r="O920" s="76">
        <f ca="1">IF(MOD(COUNTIF($Q$11:Q919,Q919),5)=0,OFFSET(装备属性!$L$1083,1+INT(COUNTA($Q$11:Q919)/5),0),O919)</f>
        <v>0.014</v>
      </c>
      <c r="Q920" s="89" t="str">
        <f ca="1">IF(MOD(COUNTIF($Q$11:Q919,Q919),5)=0,OFFSET(装备属性!$M$1083,1+INT(COUNTA($Q$11:Q919)/5),0),Q919)</f>
        <v>通用属性</v>
      </c>
      <c r="R920" s="83">
        <f ca="1">IF(MOD(COUNTIF($Q$11:Q919,Q919),5)=0,10000*SUBSTITUTE(SUBSTITUTE(OFFSET(装备属性!$F$1083,1+INT(COUNTA($Q$11:Q919)/5),0),"[",""),"]","")+_xlfn.XLOOKUP(C920,$M$3:$M$7,$N$3:$N$7)*100,R919)</f>
        <v>40400</v>
      </c>
    </row>
    <row r="921" customHeight="1" spans="1:18">
      <c r="A921" s="78">
        <f ca="1" t="shared" si="42"/>
        <v>40401</v>
      </c>
      <c r="B921" s="82">
        <f ca="1">IFERROR(R921+COUNTIFS($R$11:$R921,R921),"")</f>
        <v>40406</v>
      </c>
      <c r="C921" s="83" t="str">
        <f ca="1">IF(MOD(COUNTIF($Q$11:Q920,Q920),5)=0,OFFSET(装备属性!$D$1083,1+INT(COUNTA($Q$11:Q920)/5),0),C920)</f>
        <v>紫</v>
      </c>
      <c r="D921" s="82">
        <f t="shared" si="44"/>
        <v>3000</v>
      </c>
      <c r="F921" s="82">
        <f ca="1" t="shared" si="43"/>
        <v>40401</v>
      </c>
      <c r="G921" s="78" t="str">
        <f ca="1">IF(AND(LEFT("[{"&amp;M921&amp;","&amp;CEILING(N921*10000+(O921-N921)/4*(COUNTIF($F$11:F921,F921)-1)*10000,10)&amp;"}]",7)="[{equip",MID("[{"&amp;M921&amp;","&amp;CEILING(N921*10000+(O921-N921)/4*(COUNTIF($F$11:F921,F921)-1)*10000,10)&amp;"}]",8,1)&lt;&gt;"_"),"[{"&amp;M921&amp;","&amp;1&amp;"}]","[{"&amp;M921&amp;","&amp;CEILING(N921*10000+(O921-N921)/4*(COUNTIF($F$11:F921,F921)-1)*10000,10)&amp;"}]")</f>
        <v>[{all_class_dmg,300}]</v>
      </c>
      <c r="H921" s="82" t="s">
        <v>563</v>
      </c>
      <c r="J921" s="78">
        <f ca="1">IF(MOD(COUNTIF($Q$11:Q920,Q920),5)=0,OFFSET(装备属性!$P$1083,1+INT(COUNTA($Q$11:Q920)/5),0),J920)</f>
        <v>2</v>
      </c>
      <c r="K921" s="83" t="str">
        <f ca="1">IF(RIGHT(G921,13)="rune_slot,1}]",_xlfn.XLOOKUP(LEFT(SUBSTITUTE(G921,"[{",""),FIND(",",SUBSTITUTE(G921,"[{",""))-1),Sheet2!B:B,Sheet2!C:C)&amp;"+"&amp;1,_xlfn.XLOOKUP(LEFT(SUBSTITUTE(G921,"[{",""),FIND(",",SUBSTITUTE(G921,"[{",""))-1),Sheet2!B:B,Sheet2!C:C)&amp;"+"&amp;SUBSTITUTE(RIGHT(G921,LEN(G921)-FIND(",",G921)),"}]","")/100&amp;"%")</f>
        <v>上阵五个不同职业增伤+3%</v>
      </c>
      <c r="L921" s="83" t="str">
        <f ca="1">IF(MOD(COUNTIF($Q$11:Q920,Q920),5)=0,OFFSET(装备属性!$G$1083,1+INT(COUNTA($Q$11:Q920)/5),0),L920)</f>
        <v>全员出力Ⅰ</v>
      </c>
      <c r="M921" s="89" t="str">
        <f ca="1">IF(MOD(COUNTIF($Q$11:Q920,Q920),5)=0,OFFSET(装备属性!$H$1083,1+INT(COUNTA($Q$11:Q920)/5),0),M920)</f>
        <v>all_class_dmg</v>
      </c>
      <c r="N921" s="76">
        <f ca="1">IF(MOD(COUNTIF($Q$11:Q920,Q920),5)=0,OFFSET(装备属性!$K$1083,1+INT(COUNTA($Q$11:Q920)/5),0),N920)</f>
        <v>0.03</v>
      </c>
      <c r="O921" s="76">
        <f ca="1">IF(MOD(COUNTIF($Q$11:Q920,Q920),5)=0,OFFSET(装备属性!$L$1083,1+INT(COUNTA($Q$11:Q920)/5),0),O920)</f>
        <v>0.042</v>
      </c>
      <c r="Q921" s="89" t="str">
        <f ca="1">IF(MOD(COUNTIF($Q$11:Q920,Q920),5)=0,OFFSET(装备属性!$M$1083,1+INT(COUNTA($Q$11:Q920)/5),0),Q920)</f>
        <v>通用属性</v>
      </c>
      <c r="R921" s="83">
        <f ca="1">IF(MOD(COUNTIF($Q$11:Q920,Q920),5)=0,10000*SUBSTITUTE(SUBSTITUTE(OFFSET(装备属性!$F$1083,1+INT(COUNTA($Q$11:Q920)/5),0),"[",""),"]","")+_xlfn.XLOOKUP(C921,$M$3:$M$7,$N$3:$N$7)*100,R920)</f>
        <v>40400</v>
      </c>
    </row>
    <row r="922" customHeight="1" spans="1:18">
      <c r="A922" s="78">
        <f ca="1" t="shared" si="42"/>
        <v>40401</v>
      </c>
      <c r="B922" s="82">
        <f ca="1">IFERROR(R922+COUNTIFS($R$11:$R922,R922),"")</f>
        <v>40407</v>
      </c>
      <c r="C922" s="83" t="str">
        <f ca="1">IF(MOD(COUNTIF($Q$11:Q921,Q921),5)=0,OFFSET(装备属性!$D$1083,1+INT(COUNTA($Q$11:Q921)/5),0),C921)</f>
        <v>紫</v>
      </c>
      <c r="D922" s="82">
        <f t="shared" si="44"/>
        <v>2500</v>
      </c>
      <c r="F922" s="82">
        <f ca="1" t="shared" si="43"/>
        <v>40401</v>
      </c>
      <c r="G922" s="78" t="str">
        <f ca="1">IF(AND(LEFT("[{"&amp;M922&amp;","&amp;CEILING(N922*10000+(O922-N922)/4*(COUNTIF($F$11:F922,F922)-1)*10000,10)&amp;"}]",7)="[{equip",MID("[{"&amp;M922&amp;","&amp;CEILING(N922*10000+(O922-N922)/4*(COUNTIF($F$11:F922,F922)-1)*10000,10)&amp;"}]",8,1)&lt;&gt;"_"),"[{"&amp;M922&amp;","&amp;1&amp;"}]","[{"&amp;M922&amp;","&amp;CEILING(N922*10000+(O922-N922)/4*(COUNTIF($F$11:F922,F922)-1)*10000,10)&amp;"}]")</f>
        <v>[{all_class_dmg,330}]</v>
      </c>
      <c r="H922" s="82" t="s">
        <v>563</v>
      </c>
      <c r="J922" s="78">
        <f ca="1">IF(MOD(COUNTIF($Q$11:Q921,Q921),5)=0,OFFSET(装备属性!$P$1083,1+INT(COUNTA($Q$11:Q921)/5),0),J921)</f>
        <v>2</v>
      </c>
      <c r="K922" s="83" t="str">
        <f ca="1">IF(RIGHT(G922,13)="rune_slot,1}]",_xlfn.XLOOKUP(LEFT(SUBSTITUTE(G922,"[{",""),FIND(",",SUBSTITUTE(G922,"[{",""))-1),Sheet2!B:B,Sheet2!C:C)&amp;"+"&amp;1,_xlfn.XLOOKUP(LEFT(SUBSTITUTE(G922,"[{",""),FIND(",",SUBSTITUTE(G922,"[{",""))-1),Sheet2!B:B,Sheet2!C:C)&amp;"+"&amp;SUBSTITUTE(RIGHT(G922,LEN(G922)-FIND(",",G922)),"}]","")/100&amp;"%")</f>
        <v>上阵五个不同职业增伤+3.3%</v>
      </c>
      <c r="L922" s="83" t="str">
        <f ca="1">IF(MOD(COUNTIF($Q$11:Q921,Q921),5)=0,OFFSET(装备属性!$G$1083,1+INT(COUNTA($Q$11:Q921)/5),0),L921)</f>
        <v>全员出力Ⅰ</v>
      </c>
      <c r="M922" s="89" t="str">
        <f ca="1">IF(MOD(COUNTIF($Q$11:Q921,Q921),5)=0,OFFSET(装备属性!$H$1083,1+INT(COUNTA($Q$11:Q921)/5),0),M921)</f>
        <v>all_class_dmg</v>
      </c>
      <c r="N922" s="76">
        <f ca="1">IF(MOD(COUNTIF($Q$11:Q921,Q921),5)=0,OFFSET(装备属性!$K$1083,1+INT(COUNTA($Q$11:Q921)/5),0),N921)</f>
        <v>0.03</v>
      </c>
      <c r="O922" s="76">
        <f ca="1">IF(MOD(COUNTIF($Q$11:Q921,Q921),5)=0,OFFSET(装备属性!$L$1083,1+INT(COUNTA($Q$11:Q921)/5),0),O921)</f>
        <v>0.042</v>
      </c>
      <c r="Q922" s="89" t="str">
        <f ca="1">IF(MOD(COUNTIF($Q$11:Q921,Q921),5)=0,OFFSET(装备属性!$M$1083,1+INT(COUNTA($Q$11:Q921)/5),0),Q921)</f>
        <v>通用属性</v>
      </c>
      <c r="R922" s="83">
        <f ca="1">IF(MOD(COUNTIF($Q$11:Q921,Q921),5)=0,10000*SUBSTITUTE(SUBSTITUTE(OFFSET(装备属性!$F$1083,1+INT(COUNTA($Q$11:Q921)/5),0),"[",""),"]","")+_xlfn.XLOOKUP(C922,$M$3:$M$7,$N$3:$N$7)*100,R921)</f>
        <v>40400</v>
      </c>
    </row>
    <row r="923" customHeight="1" spans="1:18">
      <c r="A923" s="78">
        <f ca="1" t="shared" si="42"/>
        <v>40401</v>
      </c>
      <c r="B923" s="82">
        <f ca="1">IFERROR(R923+COUNTIFS($R$11:$R923,R923),"")</f>
        <v>40408</v>
      </c>
      <c r="C923" s="83" t="str">
        <f ca="1">IF(MOD(COUNTIF($Q$11:Q922,Q922),5)=0,OFFSET(装备属性!$D$1083,1+INT(COUNTA($Q$11:Q922)/5),0),C922)</f>
        <v>紫</v>
      </c>
      <c r="D923" s="82">
        <f t="shared" si="44"/>
        <v>2000</v>
      </c>
      <c r="F923" s="82">
        <f ca="1" t="shared" si="43"/>
        <v>40401</v>
      </c>
      <c r="G923" s="78" t="str">
        <f ca="1">IF(AND(LEFT("[{"&amp;M923&amp;","&amp;CEILING(N923*10000+(O923-N923)/4*(COUNTIF($F$11:F923,F923)-1)*10000,10)&amp;"}]",7)="[{equip",MID("[{"&amp;M923&amp;","&amp;CEILING(N923*10000+(O923-N923)/4*(COUNTIF($F$11:F923,F923)-1)*10000,10)&amp;"}]",8,1)&lt;&gt;"_"),"[{"&amp;M923&amp;","&amp;1&amp;"}]","[{"&amp;M923&amp;","&amp;CEILING(N923*10000+(O923-N923)/4*(COUNTIF($F$11:F923,F923)-1)*10000,10)&amp;"}]")</f>
        <v>[{all_class_dmg,360}]</v>
      </c>
      <c r="H923" s="82" t="s">
        <v>563</v>
      </c>
      <c r="J923" s="78">
        <f ca="1">IF(MOD(COUNTIF($Q$11:Q922,Q922),5)=0,OFFSET(装备属性!$P$1083,1+INT(COUNTA($Q$11:Q922)/5),0),J922)</f>
        <v>2</v>
      </c>
      <c r="K923" s="83" t="str">
        <f ca="1">IF(RIGHT(G923,13)="rune_slot,1}]",_xlfn.XLOOKUP(LEFT(SUBSTITUTE(G923,"[{",""),FIND(",",SUBSTITUTE(G923,"[{",""))-1),Sheet2!B:B,Sheet2!C:C)&amp;"+"&amp;1,_xlfn.XLOOKUP(LEFT(SUBSTITUTE(G923,"[{",""),FIND(",",SUBSTITUTE(G923,"[{",""))-1),Sheet2!B:B,Sheet2!C:C)&amp;"+"&amp;SUBSTITUTE(RIGHT(G923,LEN(G923)-FIND(",",G923)),"}]","")/100&amp;"%")</f>
        <v>上阵五个不同职业增伤+3.6%</v>
      </c>
      <c r="L923" s="83" t="str">
        <f ca="1">IF(MOD(COUNTIF($Q$11:Q922,Q922),5)=0,OFFSET(装备属性!$G$1083,1+INT(COUNTA($Q$11:Q922)/5),0),L922)</f>
        <v>全员出力Ⅰ</v>
      </c>
      <c r="M923" s="89" t="str">
        <f ca="1">IF(MOD(COUNTIF($Q$11:Q922,Q922),5)=0,OFFSET(装备属性!$H$1083,1+INT(COUNTA($Q$11:Q922)/5),0),M922)</f>
        <v>all_class_dmg</v>
      </c>
      <c r="N923" s="76">
        <f ca="1">IF(MOD(COUNTIF($Q$11:Q922,Q922),5)=0,OFFSET(装备属性!$K$1083,1+INT(COUNTA($Q$11:Q922)/5),0),N922)</f>
        <v>0.03</v>
      </c>
      <c r="O923" s="76">
        <f ca="1">IF(MOD(COUNTIF($Q$11:Q922,Q922),5)=0,OFFSET(装备属性!$L$1083,1+INT(COUNTA($Q$11:Q922)/5),0),O922)</f>
        <v>0.042</v>
      </c>
      <c r="Q923" s="89" t="str">
        <f ca="1">IF(MOD(COUNTIF($Q$11:Q922,Q922),5)=0,OFFSET(装备属性!$M$1083,1+INT(COUNTA($Q$11:Q922)/5),0),Q922)</f>
        <v>通用属性</v>
      </c>
      <c r="R923" s="83">
        <f ca="1">IF(MOD(COUNTIF($Q$11:Q922,Q922),5)=0,10000*SUBSTITUTE(SUBSTITUTE(OFFSET(装备属性!$F$1083,1+INT(COUNTA($Q$11:Q922)/5),0),"[",""),"]","")+_xlfn.XLOOKUP(C923,$M$3:$M$7,$N$3:$N$7)*100,R922)</f>
        <v>40400</v>
      </c>
    </row>
    <row r="924" customHeight="1" spans="1:18">
      <c r="A924" s="78">
        <f ca="1" t="shared" si="42"/>
        <v>40401</v>
      </c>
      <c r="B924" s="82">
        <f ca="1">IFERROR(R924+COUNTIFS($R$11:$R924,R924),"")</f>
        <v>40409</v>
      </c>
      <c r="C924" s="83" t="str">
        <f ca="1">IF(MOD(COUNTIF($Q$11:Q923,Q923),5)=0,OFFSET(装备属性!$D$1083,1+INT(COUNTA($Q$11:Q923)/5),0),C923)</f>
        <v>紫</v>
      </c>
      <c r="D924" s="82">
        <f t="shared" si="44"/>
        <v>1500</v>
      </c>
      <c r="F924" s="82">
        <f ca="1" t="shared" si="43"/>
        <v>40401</v>
      </c>
      <c r="G924" s="78" t="str">
        <f ca="1">IF(AND(LEFT("[{"&amp;M924&amp;","&amp;CEILING(N924*10000+(O924-N924)/4*(COUNTIF($F$11:F924,F924)-1)*10000,10)&amp;"}]",7)="[{equip",MID("[{"&amp;M924&amp;","&amp;CEILING(N924*10000+(O924-N924)/4*(COUNTIF($F$11:F924,F924)-1)*10000,10)&amp;"}]",8,1)&lt;&gt;"_"),"[{"&amp;M924&amp;","&amp;1&amp;"}]","[{"&amp;M924&amp;","&amp;CEILING(N924*10000+(O924-N924)/4*(COUNTIF($F$11:F924,F924)-1)*10000,10)&amp;"}]")</f>
        <v>[{all_class_dmg,390}]</v>
      </c>
      <c r="H924" s="82" t="s">
        <v>563</v>
      </c>
      <c r="J924" s="78">
        <f ca="1">IF(MOD(COUNTIF($Q$11:Q923,Q923),5)=0,OFFSET(装备属性!$P$1083,1+INT(COUNTA($Q$11:Q923)/5),0),J923)</f>
        <v>2</v>
      </c>
      <c r="K924" s="83" t="str">
        <f ca="1">IF(RIGHT(G924,13)="rune_slot,1}]",_xlfn.XLOOKUP(LEFT(SUBSTITUTE(G924,"[{",""),FIND(",",SUBSTITUTE(G924,"[{",""))-1),Sheet2!B:B,Sheet2!C:C)&amp;"+"&amp;1,_xlfn.XLOOKUP(LEFT(SUBSTITUTE(G924,"[{",""),FIND(",",SUBSTITUTE(G924,"[{",""))-1),Sheet2!B:B,Sheet2!C:C)&amp;"+"&amp;SUBSTITUTE(RIGHT(G924,LEN(G924)-FIND(",",G924)),"}]","")/100&amp;"%")</f>
        <v>上阵五个不同职业增伤+3.9%</v>
      </c>
      <c r="L924" s="83" t="str">
        <f ca="1">IF(MOD(COUNTIF($Q$11:Q923,Q923),5)=0,OFFSET(装备属性!$G$1083,1+INT(COUNTA($Q$11:Q923)/5),0),L923)</f>
        <v>全员出力Ⅰ</v>
      </c>
      <c r="M924" s="89" t="str">
        <f ca="1">IF(MOD(COUNTIF($Q$11:Q923,Q923),5)=0,OFFSET(装备属性!$H$1083,1+INT(COUNTA($Q$11:Q923)/5),0),M923)</f>
        <v>all_class_dmg</v>
      </c>
      <c r="N924" s="76">
        <f ca="1">IF(MOD(COUNTIF($Q$11:Q923,Q923),5)=0,OFFSET(装备属性!$K$1083,1+INT(COUNTA($Q$11:Q923)/5),0),N923)</f>
        <v>0.03</v>
      </c>
      <c r="O924" s="76">
        <f ca="1">IF(MOD(COUNTIF($Q$11:Q923,Q923),5)=0,OFFSET(装备属性!$L$1083,1+INT(COUNTA($Q$11:Q923)/5),0),O923)</f>
        <v>0.042</v>
      </c>
      <c r="Q924" s="89" t="str">
        <f ca="1">IF(MOD(COUNTIF($Q$11:Q923,Q923),5)=0,OFFSET(装备属性!$M$1083,1+INT(COUNTA($Q$11:Q923)/5),0),Q923)</f>
        <v>通用属性</v>
      </c>
      <c r="R924" s="83">
        <f ca="1">IF(MOD(COUNTIF($Q$11:Q923,Q923),5)=0,10000*SUBSTITUTE(SUBSTITUTE(OFFSET(装备属性!$F$1083,1+INT(COUNTA($Q$11:Q923)/5),0),"[",""),"]","")+_xlfn.XLOOKUP(C924,$M$3:$M$7,$N$3:$N$7)*100,R923)</f>
        <v>40400</v>
      </c>
    </row>
    <row r="925" customHeight="1" spans="1:18">
      <c r="A925" s="78">
        <f ca="1" t="shared" si="42"/>
        <v>40401</v>
      </c>
      <c r="B925" s="82">
        <f ca="1">IFERROR(R925+COUNTIFS($R$11:$R925,R925),"")</f>
        <v>40410</v>
      </c>
      <c r="C925" s="83" t="str">
        <f ca="1">IF(MOD(COUNTIF($Q$11:Q924,Q924),5)=0,OFFSET(装备属性!$D$1083,1+INT(COUNTA($Q$11:Q924)/5),0),C924)</f>
        <v>紫</v>
      </c>
      <c r="D925" s="82">
        <f t="shared" si="44"/>
        <v>1000</v>
      </c>
      <c r="F925" s="82">
        <f ca="1" t="shared" si="43"/>
        <v>40401</v>
      </c>
      <c r="G925" s="78" t="str">
        <f ca="1">IF(AND(LEFT("[{"&amp;M925&amp;","&amp;CEILING(N925*10000+(O925-N925)/4*(COUNTIF($F$11:F925,F925)-1)*10000,10)&amp;"}]",7)="[{equip",MID("[{"&amp;M925&amp;","&amp;CEILING(N925*10000+(O925-N925)/4*(COUNTIF($F$11:F925,F925)-1)*10000,10)&amp;"}]",8,1)&lt;&gt;"_"),"[{"&amp;M925&amp;","&amp;1&amp;"}]","[{"&amp;M925&amp;","&amp;CEILING(N925*10000+(O925-N925)/4*(COUNTIF($F$11:F925,F925)-1)*10000,10)&amp;"}]")</f>
        <v>[{all_class_dmg,420}]</v>
      </c>
      <c r="H925" s="82" t="s">
        <v>563</v>
      </c>
      <c r="J925" s="78">
        <f ca="1">IF(MOD(COUNTIF($Q$11:Q924,Q924),5)=0,OFFSET(装备属性!$P$1083,1+INT(COUNTA($Q$11:Q924)/5),0),J924)</f>
        <v>2</v>
      </c>
      <c r="K925" s="83" t="str">
        <f ca="1">IF(RIGHT(G925,13)="rune_slot,1}]",_xlfn.XLOOKUP(LEFT(SUBSTITUTE(G925,"[{",""),FIND(",",SUBSTITUTE(G925,"[{",""))-1),Sheet2!B:B,Sheet2!C:C)&amp;"+"&amp;1,_xlfn.XLOOKUP(LEFT(SUBSTITUTE(G925,"[{",""),FIND(",",SUBSTITUTE(G925,"[{",""))-1),Sheet2!B:B,Sheet2!C:C)&amp;"+"&amp;SUBSTITUTE(RIGHT(G925,LEN(G925)-FIND(",",G925)),"}]","")/100&amp;"%")</f>
        <v>上阵五个不同职业增伤+4.2%</v>
      </c>
      <c r="L925" s="83" t="str">
        <f ca="1">IF(MOD(COUNTIF($Q$11:Q924,Q924),5)=0,OFFSET(装备属性!$G$1083,1+INT(COUNTA($Q$11:Q924)/5),0),L924)</f>
        <v>全员出力Ⅰ</v>
      </c>
      <c r="M925" s="89" t="str">
        <f ca="1">IF(MOD(COUNTIF($Q$11:Q924,Q924),5)=0,OFFSET(装备属性!$H$1083,1+INT(COUNTA($Q$11:Q924)/5),0),M924)</f>
        <v>all_class_dmg</v>
      </c>
      <c r="N925" s="76">
        <f ca="1">IF(MOD(COUNTIF($Q$11:Q924,Q924),5)=0,OFFSET(装备属性!$K$1083,1+INT(COUNTA($Q$11:Q924)/5),0),N924)</f>
        <v>0.03</v>
      </c>
      <c r="O925" s="76">
        <f ca="1">IF(MOD(COUNTIF($Q$11:Q924,Q924),5)=0,OFFSET(装备属性!$L$1083,1+INT(COUNTA($Q$11:Q924)/5),0),O924)</f>
        <v>0.042</v>
      </c>
      <c r="Q925" s="89" t="str">
        <f ca="1">IF(MOD(COUNTIF($Q$11:Q924,Q924),5)=0,OFFSET(装备属性!$M$1083,1+INT(COUNTA($Q$11:Q924)/5),0),Q924)</f>
        <v>通用属性</v>
      </c>
      <c r="R925" s="83">
        <f ca="1">IF(MOD(COUNTIF($Q$11:Q924,Q924),5)=0,10000*SUBSTITUTE(SUBSTITUTE(OFFSET(装备属性!$F$1083,1+INT(COUNTA($Q$11:Q924)/5),0),"[",""),"]","")+_xlfn.XLOOKUP(C925,$M$3:$M$7,$N$3:$N$7)*100,R924)</f>
        <v>40400</v>
      </c>
    </row>
    <row r="926" customHeight="1" spans="1:18">
      <c r="A926" s="78" t="str">
        <f ca="1" t="shared" si="42"/>
        <v/>
      </c>
      <c r="B926" s="82" t="str">
        <f ca="1">IFERROR(R926+COUNTIFS($R$11:$R926,R926),"")</f>
        <v/>
      </c>
      <c r="C926" s="83">
        <f ca="1">IF(MOD(COUNTIF($Q$11:Q925,Q925),5)=0,OFFSET(装备属性!$D$1083,1+INT(COUNTA($Q$11:Q925)/5),0),C925)</f>
        <v>0</v>
      </c>
      <c r="D926" s="82">
        <f t="shared" si="44"/>
        <v>3000</v>
      </c>
      <c r="F926" s="82" t="str">
        <f ca="1" t="shared" si="43"/>
        <v/>
      </c>
      <c r="G926" s="78" t="str">
        <f ca="1">IF(AND(LEFT("[{"&amp;M926&amp;","&amp;CEILING(N926*10000+(O926-N926)/4*(COUNTIF($F$11:F926,F926)-1)*10000,10)&amp;"}]",7)="[{equip",MID("[{"&amp;M926&amp;","&amp;CEILING(N926*10000+(O926-N926)/4*(COUNTIF($F$11:F926,F926)-1)*10000,10)&amp;"}]",8,1)&lt;&gt;"_"),"[{"&amp;M926&amp;","&amp;1&amp;"}]","[{"&amp;M926&amp;","&amp;CEILING(N926*10000+(O926-N926)/4*(COUNTIF($F$11:F926,F926)-1)*10000,10)&amp;"}]")</f>
        <v>[{exp_boost,2000}]</v>
      </c>
      <c r="H926" s="82" t="s">
        <v>563</v>
      </c>
      <c r="J926" s="78">
        <f ca="1">IF(MOD(COUNTIF($Q$11:Q925,Q925),5)=0,OFFSET(装备属性!$P$1083,1+INT(COUNTA($Q$11:Q925)/5),0),J925)</f>
        <v>9</v>
      </c>
      <c r="K926" s="83" t="str">
        <f ca="1">IF(RIGHT(G926,13)="rune_slot,1}]",_xlfn.XLOOKUP(LEFT(SUBSTITUTE(G926,"[{",""),FIND(",",SUBSTITUTE(G926,"[{",""))-1),Sheet2!B:B,Sheet2!C:C)&amp;"+"&amp;1,_xlfn.XLOOKUP(LEFT(SUBSTITUTE(G926,"[{",""),FIND(",",SUBSTITUTE(G926,"[{",""))-1),Sheet2!B:B,Sheet2!C:C)&amp;"+"&amp;SUBSTITUTE(RIGHT(G926,LEN(G926)-FIND(",",G926)),"}]","")/100&amp;"%")</f>
        <v>经验加成+20%</v>
      </c>
      <c r="L926" s="83" t="str">
        <f ca="1">IF(MOD(COUNTIF($Q$11:Q925,Q925),5)=0,OFFSET(装备属性!$G$1083,1+INT(COUNTA($Q$11:Q925)/5),0),L925)</f>
        <v>涨见识</v>
      </c>
      <c r="M926" s="89" t="str">
        <f ca="1">IF(MOD(COUNTIF($Q$11:Q925,Q925),5)=0,OFFSET(装备属性!$H$1083,1+INT(COUNTA($Q$11:Q925)/5),0),M925)</f>
        <v>exp_boost</v>
      </c>
      <c r="N926" s="76">
        <f ca="1">IF(MOD(COUNTIF($Q$11:Q925,Q925),5)=0,OFFSET(装备属性!$K$1083,1+INT(COUNTA($Q$11:Q925)/5),0),N925)</f>
        <v>0.2</v>
      </c>
      <c r="O926" s="76">
        <f ca="1">IF(MOD(COUNTIF($Q$11:Q925,Q925),5)=0,OFFSET(装备属性!$L$1083,1+INT(COUNTA($Q$11:Q925)/5),0),O925)</f>
        <v>0.2</v>
      </c>
      <c r="Q926" s="89" t="str">
        <f ca="1">IF(MOD(COUNTIF($Q$11:Q925,Q925),5)=0,OFFSET(装备属性!$M$1083,1+INT(COUNTA($Q$11:Q925)/5),0),Q925)</f>
        <v>稀有词条</v>
      </c>
      <c r="R926" s="83" t="e">
        <f ca="1">IF(MOD(COUNTIF($Q$11:Q925,Q925),5)=0,10000*SUBSTITUTE(SUBSTITUTE(OFFSET(装备属性!$F$1083,1+INT(COUNTA($Q$11:Q925)/5),0),"[",""),"]","")+_xlfn.XLOOKUP(C926,$M$3:$M$7,$N$3:$N$7)*100,R925)</f>
        <v>#N/A</v>
      </c>
    </row>
    <row r="927" customHeight="1" spans="1:18">
      <c r="A927" s="78" t="str">
        <f ca="1" t="shared" si="42"/>
        <v/>
      </c>
      <c r="B927" s="82" t="str">
        <f ca="1">IFERROR(R927+COUNTIFS($R$11:$R927,R927),"")</f>
        <v/>
      </c>
      <c r="C927" s="83">
        <f ca="1">IF(MOD(COUNTIF($Q$11:Q926,Q926),5)=0,OFFSET(装备属性!$D$1083,1+INT(COUNTA($Q$11:Q926)/5),0),C926)</f>
        <v>0</v>
      </c>
      <c r="D927" s="82">
        <f t="shared" si="44"/>
        <v>2500</v>
      </c>
      <c r="F927" s="82" t="str">
        <f ca="1" t="shared" si="43"/>
        <v/>
      </c>
      <c r="G927" s="78" t="str">
        <f ca="1">IF(AND(LEFT("[{"&amp;M927&amp;","&amp;CEILING(N927*10000+(O927-N927)/4*(COUNTIF($F$11:F927,F927)-1)*10000,10)&amp;"}]",7)="[{equip",MID("[{"&amp;M927&amp;","&amp;CEILING(N927*10000+(O927-N927)/4*(COUNTIF($F$11:F927,F927)-1)*10000,10)&amp;"}]",8,1)&lt;&gt;"_"),"[{"&amp;M927&amp;","&amp;1&amp;"}]","[{"&amp;M927&amp;","&amp;CEILING(N927*10000+(O927-N927)/4*(COUNTIF($F$11:F927,F927)-1)*10000,10)&amp;"}]")</f>
        <v>[{exp_boost,2000}]</v>
      </c>
      <c r="H927" s="82" t="s">
        <v>563</v>
      </c>
      <c r="J927" s="78">
        <f ca="1">IF(MOD(COUNTIF($Q$11:Q926,Q926),5)=0,OFFSET(装备属性!$P$1083,1+INT(COUNTA($Q$11:Q926)/5),0),J926)</f>
        <v>9</v>
      </c>
      <c r="K927" s="83" t="str">
        <f ca="1">IF(RIGHT(G927,13)="rune_slot,1}]",_xlfn.XLOOKUP(LEFT(SUBSTITUTE(G927,"[{",""),FIND(",",SUBSTITUTE(G927,"[{",""))-1),Sheet2!B:B,Sheet2!C:C)&amp;"+"&amp;1,_xlfn.XLOOKUP(LEFT(SUBSTITUTE(G927,"[{",""),FIND(",",SUBSTITUTE(G927,"[{",""))-1),Sheet2!B:B,Sheet2!C:C)&amp;"+"&amp;SUBSTITUTE(RIGHT(G927,LEN(G927)-FIND(",",G927)),"}]","")/100&amp;"%")</f>
        <v>经验加成+20%</v>
      </c>
      <c r="L927" s="83" t="str">
        <f ca="1">IF(MOD(COUNTIF($Q$11:Q926,Q926),5)=0,OFFSET(装备属性!$G$1083,1+INT(COUNTA($Q$11:Q926)/5),0),L926)</f>
        <v>涨见识</v>
      </c>
      <c r="M927" s="89" t="str">
        <f ca="1">IF(MOD(COUNTIF($Q$11:Q926,Q926),5)=0,OFFSET(装备属性!$H$1083,1+INT(COUNTA($Q$11:Q926)/5),0),M926)</f>
        <v>exp_boost</v>
      </c>
      <c r="N927" s="76">
        <f ca="1">IF(MOD(COUNTIF($Q$11:Q926,Q926),5)=0,OFFSET(装备属性!$K$1083,1+INT(COUNTA($Q$11:Q926)/5),0),N926)</f>
        <v>0.2</v>
      </c>
      <c r="O927" s="76">
        <f ca="1">IF(MOD(COUNTIF($Q$11:Q926,Q926),5)=0,OFFSET(装备属性!$L$1083,1+INT(COUNTA($Q$11:Q926)/5),0),O926)</f>
        <v>0.2</v>
      </c>
      <c r="Q927" s="89" t="str">
        <f ca="1">IF(MOD(COUNTIF($Q$11:Q926,Q926),5)=0,OFFSET(装备属性!$M$1083,1+INT(COUNTA($Q$11:Q926)/5),0),Q926)</f>
        <v>稀有词条</v>
      </c>
      <c r="R927" s="83" t="e">
        <f ca="1">IF(MOD(COUNTIF($Q$11:Q926,Q926),5)=0,10000*SUBSTITUTE(SUBSTITUTE(OFFSET(装备属性!$F$1083,1+INT(COUNTA($Q$11:Q926)/5),0),"[",""),"]","")+_xlfn.XLOOKUP(C927,$M$3:$M$7,$N$3:$N$7)*100,R926)</f>
        <v>#N/A</v>
      </c>
    </row>
    <row r="928" customHeight="1" spans="1:18">
      <c r="A928" s="78" t="str">
        <f ca="1" t="shared" si="42"/>
        <v/>
      </c>
      <c r="B928" s="82" t="str">
        <f ca="1">IFERROR(R928+COUNTIFS($R$11:$R928,R928),"")</f>
        <v/>
      </c>
      <c r="C928" s="83">
        <f ca="1">IF(MOD(COUNTIF($Q$11:Q927,Q927),5)=0,OFFSET(装备属性!$D$1083,1+INT(COUNTA($Q$11:Q927)/5),0),C927)</f>
        <v>0</v>
      </c>
      <c r="D928" s="82">
        <f t="shared" si="44"/>
        <v>2000</v>
      </c>
      <c r="F928" s="82" t="str">
        <f ca="1" t="shared" si="43"/>
        <v/>
      </c>
      <c r="G928" s="78" t="str">
        <f ca="1">IF(AND(LEFT("[{"&amp;M928&amp;","&amp;CEILING(N928*10000+(O928-N928)/4*(COUNTIF($F$11:F928,F928)-1)*10000,10)&amp;"}]",7)="[{equip",MID("[{"&amp;M928&amp;","&amp;CEILING(N928*10000+(O928-N928)/4*(COUNTIF($F$11:F928,F928)-1)*10000,10)&amp;"}]",8,1)&lt;&gt;"_"),"[{"&amp;M928&amp;","&amp;1&amp;"}]","[{"&amp;M928&amp;","&amp;CEILING(N928*10000+(O928-N928)/4*(COUNTIF($F$11:F928,F928)-1)*10000,10)&amp;"}]")</f>
        <v>[{exp_boost,2000}]</v>
      </c>
      <c r="H928" s="82" t="s">
        <v>563</v>
      </c>
      <c r="J928" s="78">
        <f ca="1">IF(MOD(COUNTIF($Q$11:Q927,Q927),5)=0,OFFSET(装备属性!$P$1083,1+INT(COUNTA($Q$11:Q927)/5),0),J927)</f>
        <v>9</v>
      </c>
      <c r="K928" s="83" t="str">
        <f ca="1">IF(RIGHT(G928,13)="rune_slot,1}]",_xlfn.XLOOKUP(LEFT(SUBSTITUTE(G928,"[{",""),FIND(",",SUBSTITUTE(G928,"[{",""))-1),Sheet2!B:B,Sheet2!C:C)&amp;"+"&amp;1,_xlfn.XLOOKUP(LEFT(SUBSTITUTE(G928,"[{",""),FIND(",",SUBSTITUTE(G928,"[{",""))-1),Sheet2!B:B,Sheet2!C:C)&amp;"+"&amp;SUBSTITUTE(RIGHT(G928,LEN(G928)-FIND(",",G928)),"}]","")/100&amp;"%")</f>
        <v>经验加成+20%</v>
      </c>
      <c r="L928" s="83" t="str">
        <f ca="1">IF(MOD(COUNTIF($Q$11:Q927,Q927),5)=0,OFFSET(装备属性!$G$1083,1+INT(COUNTA($Q$11:Q927)/5),0),L927)</f>
        <v>涨见识</v>
      </c>
      <c r="M928" s="89" t="str">
        <f ca="1">IF(MOD(COUNTIF($Q$11:Q927,Q927),5)=0,OFFSET(装备属性!$H$1083,1+INT(COUNTA($Q$11:Q927)/5),0),M927)</f>
        <v>exp_boost</v>
      </c>
      <c r="N928" s="76">
        <f ca="1">IF(MOD(COUNTIF($Q$11:Q927,Q927),5)=0,OFFSET(装备属性!$K$1083,1+INT(COUNTA($Q$11:Q927)/5),0),N927)</f>
        <v>0.2</v>
      </c>
      <c r="O928" s="76">
        <f ca="1">IF(MOD(COUNTIF($Q$11:Q927,Q927),5)=0,OFFSET(装备属性!$L$1083,1+INT(COUNTA($Q$11:Q927)/5),0),O927)</f>
        <v>0.2</v>
      </c>
      <c r="Q928" s="89" t="str">
        <f ca="1">IF(MOD(COUNTIF($Q$11:Q927,Q927),5)=0,OFFSET(装备属性!$M$1083,1+INT(COUNTA($Q$11:Q927)/5),0),Q927)</f>
        <v>稀有词条</v>
      </c>
      <c r="R928" s="83" t="e">
        <f ca="1">IF(MOD(COUNTIF($Q$11:Q927,Q927),5)=0,10000*SUBSTITUTE(SUBSTITUTE(OFFSET(装备属性!$F$1083,1+INT(COUNTA($Q$11:Q927)/5),0),"[",""),"]","")+_xlfn.XLOOKUP(C928,$M$3:$M$7,$N$3:$N$7)*100,R927)</f>
        <v>#N/A</v>
      </c>
    </row>
    <row r="929" customHeight="1" spans="1:18">
      <c r="A929" s="78" t="str">
        <f ca="1" t="shared" si="42"/>
        <v/>
      </c>
      <c r="B929" s="82" t="str">
        <f ca="1">IFERROR(R929+COUNTIFS($R$11:$R929,R929),"")</f>
        <v/>
      </c>
      <c r="C929" s="83">
        <f ca="1">IF(MOD(COUNTIF($Q$11:Q928,Q928),5)=0,OFFSET(装备属性!$D$1083,1+INT(COUNTA($Q$11:Q928)/5),0),C928)</f>
        <v>0</v>
      </c>
      <c r="D929" s="82">
        <f t="shared" si="44"/>
        <v>1500</v>
      </c>
      <c r="F929" s="82" t="str">
        <f ca="1" t="shared" si="43"/>
        <v/>
      </c>
      <c r="G929" s="78" t="str">
        <f ca="1">IF(AND(LEFT("[{"&amp;M929&amp;","&amp;CEILING(N929*10000+(O929-N929)/4*(COUNTIF($F$11:F929,F929)-1)*10000,10)&amp;"}]",7)="[{equip",MID("[{"&amp;M929&amp;","&amp;CEILING(N929*10000+(O929-N929)/4*(COUNTIF($F$11:F929,F929)-1)*10000,10)&amp;"}]",8,1)&lt;&gt;"_"),"[{"&amp;M929&amp;","&amp;1&amp;"}]","[{"&amp;M929&amp;","&amp;CEILING(N929*10000+(O929-N929)/4*(COUNTIF($F$11:F929,F929)-1)*10000,10)&amp;"}]")</f>
        <v>[{exp_boost,2000}]</v>
      </c>
      <c r="H929" s="82" t="s">
        <v>563</v>
      </c>
      <c r="J929" s="78">
        <f ca="1">IF(MOD(COUNTIF($Q$11:Q928,Q928),5)=0,OFFSET(装备属性!$P$1083,1+INT(COUNTA($Q$11:Q928)/5),0),J928)</f>
        <v>9</v>
      </c>
      <c r="K929" s="83" t="str">
        <f ca="1">IF(RIGHT(G929,13)="rune_slot,1}]",_xlfn.XLOOKUP(LEFT(SUBSTITUTE(G929,"[{",""),FIND(",",SUBSTITUTE(G929,"[{",""))-1),Sheet2!B:B,Sheet2!C:C)&amp;"+"&amp;1,_xlfn.XLOOKUP(LEFT(SUBSTITUTE(G929,"[{",""),FIND(",",SUBSTITUTE(G929,"[{",""))-1),Sheet2!B:B,Sheet2!C:C)&amp;"+"&amp;SUBSTITUTE(RIGHT(G929,LEN(G929)-FIND(",",G929)),"}]","")/100&amp;"%")</f>
        <v>经验加成+20%</v>
      </c>
      <c r="L929" s="83" t="str">
        <f ca="1">IF(MOD(COUNTIF($Q$11:Q928,Q928),5)=0,OFFSET(装备属性!$G$1083,1+INT(COUNTA($Q$11:Q928)/5),0),L928)</f>
        <v>涨见识</v>
      </c>
      <c r="M929" s="89" t="str">
        <f ca="1">IF(MOD(COUNTIF($Q$11:Q928,Q928),5)=0,OFFSET(装备属性!$H$1083,1+INT(COUNTA($Q$11:Q928)/5),0),M928)</f>
        <v>exp_boost</v>
      </c>
      <c r="N929" s="76">
        <f ca="1">IF(MOD(COUNTIF($Q$11:Q928,Q928),5)=0,OFFSET(装备属性!$K$1083,1+INT(COUNTA($Q$11:Q928)/5),0),N928)</f>
        <v>0.2</v>
      </c>
      <c r="O929" s="76">
        <f ca="1">IF(MOD(COUNTIF($Q$11:Q928,Q928),5)=0,OFFSET(装备属性!$L$1083,1+INT(COUNTA($Q$11:Q928)/5),0),O928)</f>
        <v>0.2</v>
      </c>
      <c r="Q929" s="89" t="str">
        <f ca="1">IF(MOD(COUNTIF($Q$11:Q928,Q928),5)=0,OFFSET(装备属性!$M$1083,1+INT(COUNTA($Q$11:Q928)/5),0),Q928)</f>
        <v>稀有词条</v>
      </c>
      <c r="R929" s="83" t="e">
        <f ca="1">IF(MOD(COUNTIF($Q$11:Q928,Q928),5)=0,10000*SUBSTITUTE(SUBSTITUTE(OFFSET(装备属性!$F$1083,1+INT(COUNTA($Q$11:Q928)/5),0),"[",""),"]","")+_xlfn.XLOOKUP(C929,$M$3:$M$7,$N$3:$N$7)*100,R928)</f>
        <v>#N/A</v>
      </c>
    </row>
    <row r="930" customHeight="1" spans="1:18">
      <c r="A930" s="78" t="str">
        <f ca="1" t="shared" si="42"/>
        <v/>
      </c>
      <c r="B930" s="82" t="str">
        <f ca="1">IFERROR(R930+COUNTIFS($R$11:$R930,R930),"")</f>
        <v/>
      </c>
      <c r="C930" s="83">
        <f ca="1">IF(MOD(COUNTIF($Q$11:Q929,Q929),5)=0,OFFSET(装备属性!$D$1083,1+INT(COUNTA($Q$11:Q929)/5),0),C929)</f>
        <v>0</v>
      </c>
      <c r="D930" s="82">
        <f t="shared" si="44"/>
        <v>1000</v>
      </c>
      <c r="F930" s="82" t="str">
        <f ca="1" t="shared" si="43"/>
        <v/>
      </c>
      <c r="G930" s="78" t="str">
        <f ca="1">IF(AND(LEFT("[{"&amp;M930&amp;","&amp;CEILING(N930*10000+(O930-N930)/4*(COUNTIF($F$11:F930,F930)-1)*10000,10)&amp;"}]",7)="[{equip",MID("[{"&amp;M930&amp;","&amp;CEILING(N930*10000+(O930-N930)/4*(COUNTIF($F$11:F930,F930)-1)*10000,10)&amp;"}]",8,1)&lt;&gt;"_"),"[{"&amp;M930&amp;","&amp;1&amp;"}]","[{"&amp;M930&amp;","&amp;CEILING(N930*10000+(O930-N930)/4*(COUNTIF($F$11:F930,F930)-1)*10000,10)&amp;"}]")</f>
        <v>[{exp_boost,2000}]</v>
      </c>
      <c r="H930" s="82" t="s">
        <v>563</v>
      </c>
      <c r="J930" s="78">
        <f ca="1">IF(MOD(COUNTIF($Q$11:Q929,Q929),5)=0,OFFSET(装备属性!$P$1083,1+INT(COUNTA($Q$11:Q929)/5),0),J929)</f>
        <v>9</v>
      </c>
      <c r="K930" s="83" t="str">
        <f ca="1">IF(RIGHT(G930,13)="rune_slot,1}]",_xlfn.XLOOKUP(LEFT(SUBSTITUTE(G930,"[{",""),FIND(",",SUBSTITUTE(G930,"[{",""))-1),Sheet2!B:B,Sheet2!C:C)&amp;"+"&amp;1,_xlfn.XLOOKUP(LEFT(SUBSTITUTE(G930,"[{",""),FIND(",",SUBSTITUTE(G930,"[{",""))-1),Sheet2!B:B,Sheet2!C:C)&amp;"+"&amp;SUBSTITUTE(RIGHT(G930,LEN(G930)-FIND(",",G930)),"}]","")/100&amp;"%")</f>
        <v>经验加成+20%</v>
      </c>
      <c r="L930" s="83" t="str">
        <f ca="1">IF(MOD(COUNTIF($Q$11:Q929,Q929),5)=0,OFFSET(装备属性!$G$1083,1+INT(COUNTA($Q$11:Q929)/5),0),L929)</f>
        <v>涨见识</v>
      </c>
      <c r="M930" s="89" t="str">
        <f ca="1">IF(MOD(COUNTIF($Q$11:Q929,Q929),5)=0,OFFSET(装备属性!$H$1083,1+INT(COUNTA($Q$11:Q929)/5),0),M929)</f>
        <v>exp_boost</v>
      </c>
      <c r="N930" s="76">
        <f ca="1">IF(MOD(COUNTIF($Q$11:Q929,Q929),5)=0,OFFSET(装备属性!$K$1083,1+INT(COUNTA($Q$11:Q929)/5),0),N929)</f>
        <v>0.2</v>
      </c>
      <c r="O930" s="76">
        <f ca="1">IF(MOD(COUNTIF($Q$11:Q929,Q929),5)=0,OFFSET(装备属性!$L$1083,1+INT(COUNTA($Q$11:Q929)/5),0),O929)</f>
        <v>0.2</v>
      </c>
      <c r="Q930" s="89" t="str">
        <f ca="1">IF(MOD(COUNTIF($Q$11:Q929,Q929),5)=0,OFFSET(装备属性!$M$1083,1+INT(COUNTA($Q$11:Q929)/5),0),Q929)</f>
        <v>稀有词条</v>
      </c>
      <c r="R930" s="83" t="e">
        <f ca="1">IF(MOD(COUNTIF($Q$11:Q929,Q929),5)=0,10000*SUBSTITUTE(SUBSTITUTE(OFFSET(装备属性!$F$1083,1+INT(COUNTA($Q$11:Q929)/5),0),"[",""),"]","")+_xlfn.XLOOKUP(C930,$M$3:$M$7,$N$3:$N$7)*100,R929)</f>
        <v>#N/A</v>
      </c>
    </row>
    <row r="931" customHeight="1" spans="1:18">
      <c r="A931" s="78" t="str">
        <f ca="1" t="shared" si="42"/>
        <v/>
      </c>
      <c r="B931" s="82" t="str">
        <f ca="1">IFERROR(R931+COUNTIFS($R$11:$R931,R931),"")</f>
        <v/>
      </c>
      <c r="C931" s="83">
        <f ca="1">IF(MOD(COUNTIF($Q$11:Q930,Q930),5)=0,OFFSET(装备属性!$D$1083,1+INT(COUNTA($Q$11:Q930)/5),0),C930)</f>
        <v>0</v>
      </c>
      <c r="D931" s="82">
        <f t="shared" si="44"/>
        <v>3000</v>
      </c>
      <c r="F931" s="82" t="str">
        <f ca="1" t="shared" si="43"/>
        <v/>
      </c>
      <c r="G931" s="78" t="str">
        <f ca="1">IF(AND(LEFT("[{"&amp;M931&amp;","&amp;CEILING(N931*10000+(O931-N931)/4*(COUNTIF($F$11:F931,F931)-1)*10000,10)&amp;"}]",7)="[{equip",MID("[{"&amp;M931&amp;","&amp;CEILING(N931*10000+(O931-N931)/4*(COUNTIF($F$11:F931,F931)-1)*10000,10)&amp;"}]",8,1)&lt;&gt;"_"),"[{"&amp;M931&amp;","&amp;1&amp;"}]","[{"&amp;M931&amp;","&amp;CEILING(N931*10000+(O931-N931)/4*(COUNTIF($F$11:F931,F931)-1)*10000,10)&amp;"}]")</f>
        <v>[{equip_base_attr,2500}]</v>
      </c>
      <c r="H931" s="82" t="s">
        <v>563</v>
      </c>
      <c r="J931" s="78">
        <f ca="1">IF(MOD(COUNTIF($Q$11:Q930,Q930),5)=0,OFFSET(装备属性!$P$1083,1+INT(COUNTA($Q$11:Q930)/5),0),J930)</f>
        <v>7</v>
      </c>
      <c r="K931" s="83" t="str">
        <f ca="1">IF(RIGHT(G931,13)="rune_slot,1}]",_xlfn.XLOOKUP(LEFT(SUBSTITUTE(G931,"[{",""),FIND(",",SUBSTITUTE(G931,"[{",""))-1),Sheet2!B:B,Sheet2!C:C)&amp;"+"&amp;1,_xlfn.XLOOKUP(LEFT(SUBSTITUTE(G931,"[{",""),FIND(",",SUBSTITUTE(G931,"[{",""))-1),Sheet2!B:B,Sheet2!C:C)&amp;"+"&amp;SUBSTITUTE(RIGHT(G931,LEN(G931)-FIND(",",G931)),"}]","")/100&amp;"%")</f>
        <v>装备基础属性加成+25%</v>
      </c>
      <c r="L931" s="83" t="str">
        <f ca="1">IF(MOD(COUNTIF($Q$11:Q930,Q930),5)=0,OFFSET(装备属性!$G$1083,1+INT(COUNTA($Q$11:Q930)/5),0),L930)</f>
        <v>厚底子</v>
      </c>
      <c r="M931" s="89" t="str">
        <f ca="1">IF(MOD(COUNTIF($Q$11:Q930,Q930),5)=0,OFFSET(装备属性!$H$1083,1+INT(COUNTA($Q$11:Q930)/5),0),M930)</f>
        <v>equip_base_attr</v>
      </c>
      <c r="N931" s="76">
        <f ca="1">IF(MOD(COUNTIF($Q$11:Q930,Q930),5)=0,OFFSET(装备属性!$K$1083,1+INT(COUNTA($Q$11:Q930)/5),0),N930)</f>
        <v>0.25</v>
      </c>
      <c r="O931" s="76">
        <f ca="1">IF(MOD(COUNTIF($Q$11:Q930,Q930),5)=0,OFFSET(装备属性!$L$1083,1+INT(COUNTA($Q$11:Q930)/5),0),O930)</f>
        <v>0.25</v>
      </c>
      <c r="Q931" s="89" t="str">
        <f ca="1">IF(MOD(COUNTIF($Q$11:Q930,Q930),5)=0,OFFSET(装备属性!$M$1083,1+INT(COUNTA($Q$11:Q930)/5),0),Q930)</f>
        <v>稀有词条</v>
      </c>
      <c r="R931" s="83" t="e">
        <f ca="1">IF(MOD(COUNTIF($Q$11:Q930,Q930),5)=0,10000*SUBSTITUTE(SUBSTITUTE(OFFSET(装备属性!$F$1083,1+INT(COUNTA($Q$11:Q930)/5),0),"[",""),"]","")+_xlfn.XLOOKUP(C931,$M$3:$M$7,$N$3:$N$7)*100,R930)</f>
        <v>#N/A</v>
      </c>
    </row>
    <row r="932" customHeight="1" spans="1:18">
      <c r="A932" s="78" t="str">
        <f ca="1" t="shared" si="42"/>
        <v/>
      </c>
      <c r="B932" s="82" t="str">
        <f ca="1">IFERROR(R932+COUNTIFS($R$11:$R932,R932),"")</f>
        <v/>
      </c>
      <c r="C932" s="83">
        <f ca="1">IF(MOD(COUNTIF($Q$11:Q931,Q931),5)=0,OFFSET(装备属性!$D$1083,1+INT(COUNTA($Q$11:Q931)/5),0),C931)</f>
        <v>0</v>
      </c>
      <c r="D932" s="82">
        <f t="shared" si="44"/>
        <v>2500</v>
      </c>
      <c r="F932" s="82" t="str">
        <f ca="1" t="shared" si="43"/>
        <v/>
      </c>
      <c r="G932" s="78" t="str">
        <f ca="1">IF(AND(LEFT("[{"&amp;M932&amp;","&amp;CEILING(N932*10000+(O932-N932)/4*(COUNTIF($F$11:F932,F932)-1)*10000,10)&amp;"}]",7)="[{equip",MID("[{"&amp;M932&amp;","&amp;CEILING(N932*10000+(O932-N932)/4*(COUNTIF($F$11:F932,F932)-1)*10000,10)&amp;"}]",8,1)&lt;&gt;"_"),"[{"&amp;M932&amp;","&amp;1&amp;"}]","[{"&amp;M932&amp;","&amp;CEILING(N932*10000+(O932-N932)/4*(COUNTIF($F$11:F932,F932)-1)*10000,10)&amp;"}]")</f>
        <v>[{equip_base_attr,2500}]</v>
      </c>
      <c r="H932" s="82" t="s">
        <v>563</v>
      </c>
      <c r="J932" s="78">
        <f ca="1">IF(MOD(COUNTIF($Q$11:Q931,Q931),5)=0,OFFSET(装备属性!$P$1083,1+INT(COUNTA($Q$11:Q931)/5),0),J931)</f>
        <v>7</v>
      </c>
      <c r="K932" s="83" t="str">
        <f ca="1">IF(RIGHT(G932,13)="rune_slot,1}]",_xlfn.XLOOKUP(LEFT(SUBSTITUTE(G932,"[{",""),FIND(",",SUBSTITUTE(G932,"[{",""))-1),Sheet2!B:B,Sheet2!C:C)&amp;"+"&amp;1,_xlfn.XLOOKUP(LEFT(SUBSTITUTE(G932,"[{",""),FIND(",",SUBSTITUTE(G932,"[{",""))-1),Sheet2!B:B,Sheet2!C:C)&amp;"+"&amp;SUBSTITUTE(RIGHT(G932,LEN(G932)-FIND(",",G932)),"}]","")/100&amp;"%")</f>
        <v>装备基础属性加成+25%</v>
      </c>
      <c r="L932" s="83" t="str">
        <f ca="1">IF(MOD(COUNTIF($Q$11:Q931,Q931),5)=0,OFFSET(装备属性!$G$1083,1+INT(COUNTA($Q$11:Q931)/5),0),L931)</f>
        <v>厚底子</v>
      </c>
      <c r="M932" s="89" t="str">
        <f ca="1">IF(MOD(COUNTIF($Q$11:Q931,Q931),5)=0,OFFSET(装备属性!$H$1083,1+INT(COUNTA($Q$11:Q931)/5),0),M931)</f>
        <v>equip_base_attr</v>
      </c>
      <c r="N932" s="76">
        <f ca="1">IF(MOD(COUNTIF($Q$11:Q931,Q931),5)=0,OFFSET(装备属性!$K$1083,1+INT(COUNTA($Q$11:Q931)/5),0),N931)</f>
        <v>0.25</v>
      </c>
      <c r="O932" s="76">
        <f ca="1">IF(MOD(COUNTIF($Q$11:Q931,Q931),5)=0,OFFSET(装备属性!$L$1083,1+INT(COUNTA($Q$11:Q931)/5),0),O931)</f>
        <v>0.25</v>
      </c>
      <c r="Q932" s="89" t="str">
        <f ca="1">IF(MOD(COUNTIF($Q$11:Q931,Q931),5)=0,OFFSET(装备属性!$M$1083,1+INT(COUNTA($Q$11:Q931)/5),0),Q931)</f>
        <v>稀有词条</v>
      </c>
      <c r="R932" s="83" t="e">
        <f ca="1">IF(MOD(COUNTIF($Q$11:Q931,Q931),5)=0,10000*SUBSTITUTE(SUBSTITUTE(OFFSET(装备属性!$F$1083,1+INT(COUNTA($Q$11:Q931)/5),0),"[",""),"]","")+_xlfn.XLOOKUP(C932,$M$3:$M$7,$N$3:$N$7)*100,R931)</f>
        <v>#N/A</v>
      </c>
    </row>
    <row r="933" customHeight="1" spans="1:18">
      <c r="A933" s="78" t="str">
        <f ca="1" t="shared" si="42"/>
        <v/>
      </c>
      <c r="B933" s="82" t="str">
        <f ca="1">IFERROR(R933+COUNTIFS($R$11:$R933,R933),"")</f>
        <v/>
      </c>
      <c r="C933" s="83">
        <f ca="1">IF(MOD(COUNTIF($Q$11:Q932,Q932),5)=0,OFFSET(装备属性!$D$1083,1+INT(COUNTA($Q$11:Q932)/5),0),C932)</f>
        <v>0</v>
      </c>
      <c r="D933" s="82">
        <f t="shared" si="44"/>
        <v>2000</v>
      </c>
      <c r="F933" s="82" t="str">
        <f ca="1" t="shared" si="43"/>
        <v/>
      </c>
      <c r="G933" s="78" t="str">
        <f ca="1">IF(AND(LEFT("[{"&amp;M933&amp;","&amp;CEILING(N933*10000+(O933-N933)/4*(COUNTIF($F$11:F933,F933)-1)*10000,10)&amp;"}]",7)="[{equip",MID("[{"&amp;M933&amp;","&amp;CEILING(N933*10000+(O933-N933)/4*(COUNTIF($F$11:F933,F933)-1)*10000,10)&amp;"}]",8,1)&lt;&gt;"_"),"[{"&amp;M933&amp;","&amp;1&amp;"}]","[{"&amp;M933&amp;","&amp;CEILING(N933*10000+(O933-N933)/4*(COUNTIF($F$11:F933,F933)-1)*10000,10)&amp;"}]")</f>
        <v>[{equip_base_attr,2500}]</v>
      </c>
      <c r="H933" s="82" t="s">
        <v>563</v>
      </c>
      <c r="J933" s="78">
        <f ca="1">IF(MOD(COUNTIF($Q$11:Q932,Q932),5)=0,OFFSET(装备属性!$P$1083,1+INT(COUNTA($Q$11:Q932)/5),0),J932)</f>
        <v>7</v>
      </c>
      <c r="K933" s="83" t="str">
        <f ca="1">IF(RIGHT(G933,13)="rune_slot,1}]",_xlfn.XLOOKUP(LEFT(SUBSTITUTE(G933,"[{",""),FIND(",",SUBSTITUTE(G933,"[{",""))-1),Sheet2!B:B,Sheet2!C:C)&amp;"+"&amp;1,_xlfn.XLOOKUP(LEFT(SUBSTITUTE(G933,"[{",""),FIND(",",SUBSTITUTE(G933,"[{",""))-1),Sheet2!B:B,Sheet2!C:C)&amp;"+"&amp;SUBSTITUTE(RIGHT(G933,LEN(G933)-FIND(",",G933)),"}]","")/100&amp;"%")</f>
        <v>装备基础属性加成+25%</v>
      </c>
      <c r="L933" s="83" t="str">
        <f ca="1">IF(MOD(COUNTIF($Q$11:Q932,Q932),5)=0,OFFSET(装备属性!$G$1083,1+INT(COUNTA($Q$11:Q932)/5),0),L932)</f>
        <v>厚底子</v>
      </c>
      <c r="M933" s="89" t="str">
        <f ca="1">IF(MOD(COUNTIF($Q$11:Q932,Q932),5)=0,OFFSET(装备属性!$H$1083,1+INT(COUNTA($Q$11:Q932)/5),0),M932)</f>
        <v>equip_base_attr</v>
      </c>
      <c r="N933" s="76">
        <f ca="1">IF(MOD(COUNTIF($Q$11:Q932,Q932),5)=0,OFFSET(装备属性!$K$1083,1+INT(COUNTA($Q$11:Q932)/5),0),N932)</f>
        <v>0.25</v>
      </c>
      <c r="O933" s="76">
        <f ca="1">IF(MOD(COUNTIF($Q$11:Q932,Q932),5)=0,OFFSET(装备属性!$L$1083,1+INT(COUNTA($Q$11:Q932)/5),0),O932)</f>
        <v>0.25</v>
      </c>
      <c r="Q933" s="89" t="str">
        <f ca="1">IF(MOD(COUNTIF($Q$11:Q932,Q932),5)=0,OFFSET(装备属性!$M$1083,1+INT(COUNTA($Q$11:Q932)/5),0),Q932)</f>
        <v>稀有词条</v>
      </c>
      <c r="R933" s="83" t="e">
        <f ca="1">IF(MOD(COUNTIF($Q$11:Q932,Q932),5)=0,10000*SUBSTITUTE(SUBSTITUTE(OFFSET(装备属性!$F$1083,1+INT(COUNTA($Q$11:Q932)/5),0),"[",""),"]","")+_xlfn.XLOOKUP(C933,$M$3:$M$7,$N$3:$N$7)*100,R932)</f>
        <v>#N/A</v>
      </c>
    </row>
    <row r="934" customHeight="1" spans="1:18">
      <c r="A934" s="78" t="str">
        <f ca="1" t="shared" si="42"/>
        <v/>
      </c>
      <c r="B934" s="82" t="str">
        <f ca="1">IFERROR(R934+COUNTIFS($R$11:$R934,R934),"")</f>
        <v/>
      </c>
      <c r="C934" s="83">
        <f ca="1">IF(MOD(COUNTIF($Q$11:Q933,Q933),5)=0,OFFSET(装备属性!$D$1083,1+INT(COUNTA($Q$11:Q933)/5),0),C933)</f>
        <v>0</v>
      </c>
      <c r="D934" s="82">
        <f t="shared" si="44"/>
        <v>1500</v>
      </c>
      <c r="F934" s="82" t="str">
        <f ca="1" t="shared" si="43"/>
        <v/>
      </c>
      <c r="G934" s="78" t="str">
        <f ca="1">IF(AND(LEFT("[{"&amp;M934&amp;","&amp;CEILING(N934*10000+(O934-N934)/4*(COUNTIF($F$11:F934,F934)-1)*10000,10)&amp;"}]",7)="[{equip",MID("[{"&amp;M934&amp;","&amp;CEILING(N934*10000+(O934-N934)/4*(COUNTIF($F$11:F934,F934)-1)*10000,10)&amp;"}]",8,1)&lt;&gt;"_"),"[{"&amp;M934&amp;","&amp;1&amp;"}]","[{"&amp;M934&amp;","&amp;CEILING(N934*10000+(O934-N934)/4*(COUNTIF($F$11:F934,F934)-1)*10000,10)&amp;"}]")</f>
        <v>[{equip_base_attr,2500}]</v>
      </c>
      <c r="H934" s="82" t="s">
        <v>563</v>
      </c>
      <c r="J934" s="78">
        <f ca="1">IF(MOD(COUNTIF($Q$11:Q933,Q933),5)=0,OFFSET(装备属性!$P$1083,1+INT(COUNTA($Q$11:Q933)/5),0),J933)</f>
        <v>7</v>
      </c>
      <c r="K934" s="83" t="str">
        <f ca="1">IF(RIGHT(G934,13)="rune_slot,1}]",_xlfn.XLOOKUP(LEFT(SUBSTITUTE(G934,"[{",""),FIND(",",SUBSTITUTE(G934,"[{",""))-1),Sheet2!B:B,Sheet2!C:C)&amp;"+"&amp;1,_xlfn.XLOOKUP(LEFT(SUBSTITUTE(G934,"[{",""),FIND(",",SUBSTITUTE(G934,"[{",""))-1),Sheet2!B:B,Sheet2!C:C)&amp;"+"&amp;SUBSTITUTE(RIGHT(G934,LEN(G934)-FIND(",",G934)),"}]","")/100&amp;"%")</f>
        <v>装备基础属性加成+25%</v>
      </c>
      <c r="L934" s="83" t="str">
        <f ca="1">IF(MOD(COUNTIF($Q$11:Q933,Q933),5)=0,OFFSET(装备属性!$G$1083,1+INT(COUNTA($Q$11:Q933)/5),0),L933)</f>
        <v>厚底子</v>
      </c>
      <c r="M934" s="89" t="str">
        <f ca="1">IF(MOD(COUNTIF($Q$11:Q933,Q933),5)=0,OFFSET(装备属性!$H$1083,1+INT(COUNTA($Q$11:Q933)/5),0),M933)</f>
        <v>equip_base_attr</v>
      </c>
      <c r="N934" s="76">
        <f ca="1">IF(MOD(COUNTIF($Q$11:Q933,Q933),5)=0,OFFSET(装备属性!$K$1083,1+INT(COUNTA($Q$11:Q933)/5),0),N933)</f>
        <v>0.25</v>
      </c>
      <c r="O934" s="76">
        <f ca="1">IF(MOD(COUNTIF($Q$11:Q933,Q933),5)=0,OFFSET(装备属性!$L$1083,1+INT(COUNTA($Q$11:Q933)/5),0),O933)</f>
        <v>0.25</v>
      </c>
      <c r="Q934" s="89" t="str">
        <f ca="1">IF(MOD(COUNTIF($Q$11:Q933,Q933),5)=0,OFFSET(装备属性!$M$1083,1+INT(COUNTA($Q$11:Q933)/5),0),Q933)</f>
        <v>稀有词条</v>
      </c>
      <c r="R934" s="83" t="e">
        <f ca="1">IF(MOD(COUNTIF($Q$11:Q933,Q933),5)=0,10000*SUBSTITUTE(SUBSTITUTE(OFFSET(装备属性!$F$1083,1+INT(COUNTA($Q$11:Q933)/5),0),"[",""),"]","")+_xlfn.XLOOKUP(C934,$M$3:$M$7,$N$3:$N$7)*100,R933)</f>
        <v>#N/A</v>
      </c>
    </row>
    <row r="935" customHeight="1" spans="1:18">
      <c r="A935" s="78" t="str">
        <f ca="1" t="shared" si="42"/>
        <v/>
      </c>
      <c r="B935" s="82" t="str">
        <f ca="1">IFERROR(R935+COUNTIFS($R$11:$R935,R935),"")</f>
        <v/>
      </c>
      <c r="C935" s="83">
        <f ca="1">IF(MOD(COUNTIF($Q$11:Q934,Q934),5)=0,OFFSET(装备属性!$D$1083,1+INT(COUNTA($Q$11:Q934)/5),0),C934)</f>
        <v>0</v>
      </c>
      <c r="D935" s="82">
        <f t="shared" si="44"/>
        <v>1000</v>
      </c>
      <c r="F935" s="82" t="str">
        <f ca="1" t="shared" si="43"/>
        <v/>
      </c>
      <c r="G935" s="78" t="str">
        <f ca="1">IF(AND(LEFT("[{"&amp;M935&amp;","&amp;CEILING(N935*10000+(O935-N935)/4*(COUNTIF($F$11:F935,F935)-1)*10000,10)&amp;"}]",7)="[{equip",MID("[{"&amp;M935&amp;","&amp;CEILING(N935*10000+(O935-N935)/4*(COUNTIF($F$11:F935,F935)-1)*10000,10)&amp;"}]",8,1)&lt;&gt;"_"),"[{"&amp;M935&amp;","&amp;1&amp;"}]","[{"&amp;M935&amp;","&amp;CEILING(N935*10000+(O935-N935)/4*(COUNTIF($F$11:F935,F935)-1)*10000,10)&amp;"}]")</f>
        <v>[{equip_base_attr,2500}]</v>
      </c>
      <c r="H935" s="82" t="s">
        <v>563</v>
      </c>
      <c r="J935" s="78">
        <f ca="1">IF(MOD(COUNTIF($Q$11:Q934,Q934),5)=0,OFFSET(装备属性!$P$1083,1+INT(COUNTA($Q$11:Q934)/5),0),J934)</f>
        <v>7</v>
      </c>
      <c r="K935" s="83" t="str">
        <f ca="1">IF(RIGHT(G935,13)="rune_slot,1}]",_xlfn.XLOOKUP(LEFT(SUBSTITUTE(G935,"[{",""),FIND(",",SUBSTITUTE(G935,"[{",""))-1),Sheet2!B:B,Sheet2!C:C)&amp;"+"&amp;1,_xlfn.XLOOKUP(LEFT(SUBSTITUTE(G935,"[{",""),FIND(",",SUBSTITUTE(G935,"[{",""))-1),Sheet2!B:B,Sheet2!C:C)&amp;"+"&amp;SUBSTITUTE(RIGHT(G935,LEN(G935)-FIND(",",G935)),"}]","")/100&amp;"%")</f>
        <v>装备基础属性加成+25%</v>
      </c>
      <c r="L935" s="83" t="str">
        <f ca="1">IF(MOD(COUNTIF($Q$11:Q934,Q934),5)=0,OFFSET(装备属性!$G$1083,1+INT(COUNTA($Q$11:Q934)/5),0),L934)</f>
        <v>厚底子</v>
      </c>
      <c r="M935" s="89" t="str">
        <f ca="1">IF(MOD(COUNTIF($Q$11:Q934,Q934),5)=0,OFFSET(装备属性!$H$1083,1+INT(COUNTA($Q$11:Q934)/5),0),M934)</f>
        <v>equip_base_attr</v>
      </c>
      <c r="N935" s="76">
        <f ca="1">IF(MOD(COUNTIF($Q$11:Q934,Q934),5)=0,OFFSET(装备属性!$K$1083,1+INT(COUNTA($Q$11:Q934)/5),0),N934)</f>
        <v>0.25</v>
      </c>
      <c r="O935" s="76">
        <f ca="1">IF(MOD(COUNTIF($Q$11:Q934,Q934),5)=0,OFFSET(装备属性!$L$1083,1+INT(COUNTA($Q$11:Q934)/5),0),O934)</f>
        <v>0.25</v>
      </c>
      <c r="Q935" s="89" t="str">
        <f ca="1">IF(MOD(COUNTIF($Q$11:Q934,Q934),5)=0,OFFSET(装备属性!$M$1083,1+INT(COUNTA($Q$11:Q934)/5),0),Q934)</f>
        <v>稀有词条</v>
      </c>
      <c r="R935" s="83" t="e">
        <f ca="1">IF(MOD(COUNTIF($Q$11:Q934,Q934),5)=0,10000*SUBSTITUTE(SUBSTITUTE(OFFSET(装备属性!$F$1083,1+INT(COUNTA($Q$11:Q934)/5),0),"[",""),"]","")+_xlfn.XLOOKUP(C935,$M$3:$M$7,$N$3:$N$7)*100,R934)</f>
        <v>#N/A</v>
      </c>
    </row>
    <row r="936" customHeight="1" spans="1:18">
      <c r="A936" s="78" t="str">
        <f ca="1" t="shared" si="42"/>
        <v/>
      </c>
      <c r="B936" s="82" t="str">
        <f ca="1">IFERROR(R936+COUNTIFS($R$11:$R936,R936),"")</f>
        <v/>
      </c>
      <c r="C936" s="83">
        <f ca="1">IF(MOD(COUNTIF($Q$11:Q935,Q935),5)=0,OFFSET(装备属性!$D$1083,1+INT(COUNTA($Q$11:Q935)/5),0),C935)</f>
        <v>0</v>
      </c>
      <c r="D936" s="82">
        <f t="shared" si="44"/>
        <v>3000</v>
      </c>
      <c r="F936" s="82" t="str">
        <f ca="1" t="shared" si="43"/>
        <v/>
      </c>
      <c r="G936" s="78" t="str">
        <f ca="1">IF(AND(LEFT("[{"&amp;M936&amp;","&amp;CEILING(N936*10000+(O936-N936)/4*(COUNTIF($F$11:F936,F936)-1)*10000,10)&amp;"}]",7)="[{equip",MID("[{"&amp;M936&amp;","&amp;CEILING(N936*10000+(O936-N936)/4*(COUNTIF($F$11:F936,F936)-1)*10000,10)&amp;"}]",8,1)&lt;&gt;"_"),"[{"&amp;M936&amp;","&amp;1&amp;"}]","[{"&amp;M936&amp;","&amp;CEILING(N936*10000+(O936-N936)/4*(COUNTIF($F$11:F936,F936)-1)*10000,10)&amp;"}]")</f>
        <v>[{equip_extra_attr,5000}]</v>
      </c>
      <c r="H936" s="82" t="s">
        <v>563</v>
      </c>
      <c r="J936" s="78">
        <f ca="1">IF(MOD(COUNTIF($Q$11:Q935,Q935),5)=0,OFFSET(装备属性!$P$1083,1+INT(COUNTA($Q$11:Q935)/5),0),J935)</f>
        <v>8</v>
      </c>
      <c r="K936" s="83" t="str">
        <f ca="1">IF(RIGHT(G936,13)="rune_slot,1}]",_xlfn.XLOOKUP(LEFT(SUBSTITUTE(G936,"[{",""),FIND(",",SUBSTITUTE(G936,"[{",""))-1),Sheet2!B:B,Sheet2!C:C)&amp;"+"&amp;1,_xlfn.XLOOKUP(LEFT(SUBSTITUTE(G936,"[{",""),FIND(",",SUBSTITUTE(G936,"[{",""))-1),Sheet2!B:B,Sheet2!C:C)&amp;"+"&amp;SUBSTITUTE(RIGHT(G936,LEN(G936)-FIND(",",G936)),"}]","")/100&amp;"%")</f>
        <v>装备附加属性加成+50%</v>
      </c>
      <c r="L936" s="83" t="str">
        <f ca="1">IF(MOD(COUNTIF($Q$11:Q935,Q935),5)=0,OFFSET(装备属性!$G$1083,1+INT(COUNTA($Q$11:Q935)/5),0),L935)</f>
        <v>提成色</v>
      </c>
      <c r="M936" s="89" t="str">
        <f ca="1">IF(MOD(COUNTIF($Q$11:Q935,Q935),5)=0,OFFSET(装备属性!$H$1083,1+INT(COUNTA($Q$11:Q935)/5),0),M935)</f>
        <v>equip_extra_attr</v>
      </c>
      <c r="N936" s="76">
        <f ca="1">IF(MOD(COUNTIF($Q$11:Q935,Q935),5)=0,OFFSET(装备属性!$K$1083,1+INT(COUNTA($Q$11:Q935)/5),0),N935)</f>
        <v>0.5</v>
      </c>
      <c r="O936" s="76">
        <f ca="1">IF(MOD(COUNTIF($Q$11:Q935,Q935),5)=0,OFFSET(装备属性!$L$1083,1+INT(COUNTA($Q$11:Q935)/5),0),O935)</f>
        <v>0.5</v>
      </c>
      <c r="Q936" s="89" t="str">
        <f ca="1">IF(MOD(COUNTIF($Q$11:Q935,Q935),5)=0,OFFSET(装备属性!$M$1083,1+INT(COUNTA($Q$11:Q935)/5),0),Q935)</f>
        <v>稀有词条</v>
      </c>
      <c r="R936" s="83" t="e">
        <f ca="1">IF(MOD(COUNTIF($Q$11:Q935,Q935),5)=0,10000*SUBSTITUTE(SUBSTITUTE(OFFSET(装备属性!$F$1083,1+INT(COUNTA($Q$11:Q935)/5),0),"[",""),"]","")+_xlfn.XLOOKUP(C936,$M$3:$M$7,$N$3:$N$7)*100,R935)</f>
        <v>#N/A</v>
      </c>
    </row>
    <row r="937" customHeight="1" spans="1:18">
      <c r="A937" s="78" t="str">
        <f ca="1" t="shared" si="42"/>
        <v/>
      </c>
      <c r="B937" s="82" t="str">
        <f ca="1">IFERROR(R937+COUNTIFS($R$11:$R937,R937),"")</f>
        <v/>
      </c>
      <c r="C937" s="83">
        <f ca="1">IF(MOD(COUNTIF($Q$11:Q936,Q936),5)=0,OFFSET(装备属性!$D$1083,1+INT(COUNTA($Q$11:Q936)/5),0),C936)</f>
        <v>0</v>
      </c>
      <c r="D937" s="82">
        <f t="shared" si="44"/>
        <v>2500</v>
      </c>
      <c r="F937" s="82" t="str">
        <f ca="1" t="shared" si="43"/>
        <v/>
      </c>
      <c r="G937" s="78" t="str">
        <f ca="1">IF(AND(LEFT("[{"&amp;M937&amp;","&amp;CEILING(N937*10000+(O937-N937)/4*(COUNTIF($F$11:F937,F937)-1)*10000,10)&amp;"}]",7)="[{equip",MID("[{"&amp;M937&amp;","&amp;CEILING(N937*10000+(O937-N937)/4*(COUNTIF($F$11:F937,F937)-1)*10000,10)&amp;"}]",8,1)&lt;&gt;"_"),"[{"&amp;M937&amp;","&amp;1&amp;"}]","[{"&amp;M937&amp;","&amp;CEILING(N937*10000+(O937-N937)/4*(COUNTIF($F$11:F937,F937)-1)*10000,10)&amp;"}]")</f>
        <v>[{equip_extra_attr,5000}]</v>
      </c>
      <c r="H937" s="82" t="s">
        <v>563</v>
      </c>
      <c r="J937" s="78">
        <f ca="1">IF(MOD(COUNTIF($Q$11:Q936,Q936),5)=0,OFFSET(装备属性!$P$1083,1+INT(COUNTA($Q$11:Q936)/5),0),J936)</f>
        <v>8</v>
      </c>
      <c r="K937" s="83" t="str">
        <f ca="1">IF(RIGHT(G937,13)="rune_slot,1}]",_xlfn.XLOOKUP(LEFT(SUBSTITUTE(G937,"[{",""),FIND(",",SUBSTITUTE(G937,"[{",""))-1),Sheet2!B:B,Sheet2!C:C)&amp;"+"&amp;1,_xlfn.XLOOKUP(LEFT(SUBSTITUTE(G937,"[{",""),FIND(",",SUBSTITUTE(G937,"[{",""))-1),Sheet2!B:B,Sheet2!C:C)&amp;"+"&amp;SUBSTITUTE(RIGHT(G937,LEN(G937)-FIND(",",G937)),"}]","")/100&amp;"%")</f>
        <v>装备附加属性加成+50%</v>
      </c>
      <c r="L937" s="83" t="str">
        <f ca="1">IF(MOD(COUNTIF($Q$11:Q936,Q936),5)=0,OFFSET(装备属性!$G$1083,1+INT(COUNTA($Q$11:Q936)/5),0),L936)</f>
        <v>提成色</v>
      </c>
      <c r="M937" s="89" t="str">
        <f ca="1">IF(MOD(COUNTIF($Q$11:Q936,Q936),5)=0,OFFSET(装备属性!$H$1083,1+INT(COUNTA($Q$11:Q936)/5),0),M936)</f>
        <v>equip_extra_attr</v>
      </c>
      <c r="N937" s="76">
        <f ca="1">IF(MOD(COUNTIF($Q$11:Q936,Q936),5)=0,OFFSET(装备属性!$K$1083,1+INT(COUNTA($Q$11:Q936)/5),0),N936)</f>
        <v>0.5</v>
      </c>
      <c r="O937" s="76">
        <f ca="1">IF(MOD(COUNTIF($Q$11:Q936,Q936),5)=0,OFFSET(装备属性!$L$1083,1+INT(COUNTA($Q$11:Q936)/5),0),O936)</f>
        <v>0.5</v>
      </c>
      <c r="Q937" s="89" t="str">
        <f ca="1">IF(MOD(COUNTIF($Q$11:Q936,Q936),5)=0,OFFSET(装备属性!$M$1083,1+INT(COUNTA($Q$11:Q936)/5),0),Q936)</f>
        <v>稀有词条</v>
      </c>
      <c r="R937" s="83" t="e">
        <f ca="1">IF(MOD(COUNTIF($Q$11:Q936,Q936),5)=0,10000*SUBSTITUTE(SUBSTITUTE(OFFSET(装备属性!$F$1083,1+INT(COUNTA($Q$11:Q936)/5),0),"[",""),"]","")+_xlfn.XLOOKUP(C937,$M$3:$M$7,$N$3:$N$7)*100,R936)</f>
        <v>#N/A</v>
      </c>
    </row>
    <row r="938" customHeight="1" spans="1:18">
      <c r="A938" s="78" t="str">
        <f ca="1" t="shared" si="42"/>
        <v/>
      </c>
      <c r="B938" s="82" t="str">
        <f ca="1">IFERROR(R938+COUNTIFS($R$11:$R938,R938),"")</f>
        <v/>
      </c>
      <c r="C938" s="83">
        <f ca="1">IF(MOD(COUNTIF($Q$11:Q937,Q937),5)=0,OFFSET(装备属性!$D$1083,1+INT(COUNTA($Q$11:Q937)/5),0),C937)</f>
        <v>0</v>
      </c>
      <c r="D938" s="82">
        <f t="shared" si="44"/>
        <v>2000</v>
      </c>
      <c r="F938" s="82" t="str">
        <f ca="1" t="shared" si="43"/>
        <v/>
      </c>
      <c r="G938" s="78" t="str">
        <f ca="1">IF(AND(LEFT("[{"&amp;M938&amp;","&amp;CEILING(N938*10000+(O938-N938)/4*(COUNTIF($F$11:F938,F938)-1)*10000,10)&amp;"}]",7)="[{equip",MID("[{"&amp;M938&amp;","&amp;CEILING(N938*10000+(O938-N938)/4*(COUNTIF($F$11:F938,F938)-1)*10000,10)&amp;"}]",8,1)&lt;&gt;"_"),"[{"&amp;M938&amp;","&amp;1&amp;"}]","[{"&amp;M938&amp;","&amp;CEILING(N938*10000+(O938-N938)/4*(COUNTIF($F$11:F938,F938)-1)*10000,10)&amp;"}]")</f>
        <v>[{equip_extra_attr,5000}]</v>
      </c>
      <c r="H938" s="82" t="s">
        <v>563</v>
      </c>
      <c r="J938" s="78">
        <f ca="1">IF(MOD(COUNTIF($Q$11:Q937,Q937),5)=0,OFFSET(装备属性!$P$1083,1+INT(COUNTA($Q$11:Q937)/5),0),J937)</f>
        <v>8</v>
      </c>
      <c r="K938" s="83" t="str">
        <f ca="1">IF(RIGHT(G938,13)="rune_slot,1}]",_xlfn.XLOOKUP(LEFT(SUBSTITUTE(G938,"[{",""),FIND(",",SUBSTITUTE(G938,"[{",""))-1),Sheet2!B:B,Sheet2!C:C)&amp;"+"&amp;1,_xlfn.XLOOKUP(LEFT(SUBSTITUTE(G938,"[{",""),FIND(",",SUBSTITUTE(G938,"[{",""))-1),Sheet2!B:B,Sheet2!C:C)&amp;"+"&amp;SUBSTITUTE(RIGHT(G938,LEN(G938)-FIND(",",G938)),"}]","")/100&amp;"%")</f>
        <v>装备附加属性加成+50%</v>
      </c>
      <c r="L938" s="83" t="str">
        <f ca="1">IF(MOD(COUNTIF($Q$11:Q937,Q937),5)=0,OFFSET(装备属性!$G$1083,1+INT(COUNTA($Q$11:Q937)/5),0),L937)</f>
        <v>提成色</v>
      </c>
      <c r="M938" s="89" t="str">
        <f ca="1">IF(MOD(COUNTIF($Q$11:Q937,Q937),5)=0,OFFSET(装备属性!$H$1083,1+INT(COUNTA($Q$11:Q937)/5),0),M937)</f>
        <v>equip_extra_attr</v>
      </c>
      <c r="N938" s="76">
        <f ca="1">IF(MOD(COUNTIF($Q$11:Q937,Q937),5)=0,OFFSET(装备属性!$K$1083,1+INT(COUNTA($Q$11:Q937)/5),0),N937)</f>
        <v>0.5</v>
      </c>
      <c r="O938" s="76">
        <f ca="1">IF(MOD(COUNTIF($Q$11:Q937,Q937),5)=0,OFFSET(装备属性!$L$1083,1+INT(COUNTA($Q$11:Q937)/5),0),O937)</f>
        <v>0.5</v>
      </c>
      <c r="Q938" s="89" t="str">
        <f ca="1">IF(MOD(COUNTIF($Q$11:Q937,Q937),5)=0,OFFSET(装备属性!$M$1083,1+INT(COUNTA($Q$11:Q937)/5),0),Q937)</f>
        <v>稀有词条</v>
      </c>
      <c r="R938" s="83" t="e">
        <f ca="1">IF(MOD(COUNTIF($Q$11:Q937,Q937),5)=0,10000*SUBSTITUTE(SUBSTITUTE(OFFSET(装备属性!$F$1083,1+INT(COUNTA($Q$11:Q937)/5),0),"[",""),"]","")+_xlfn.XLOOKUP(C938,$M$3:$M$7,$N$3:$N$7)*100,R937)</f>
        <v>#N/A</v>
      </c>
    </row>
    <row r="939" customHeight="1" spans="1:18">
      <c r="A939" s="78" t="str">
        <f ca="1" t="shared" si="42"/>
        <v/>
      </c>
      <c r="B939" s="82" t="str">
        <f ca="1">IFERROR(R939+COUNTIFS($R$11:$R939,R939),"")</f>
        <v/>
      </c>
      <c r="C939" s="83">
        <f ca="1">IF(MOD(COUNTIF($Q$11:Q938,Q938),5)=0,OFFSET(装备属性!$D$1083,1+INT(COUNTA($Q$11:Q938)/5),0),C938)</f>
        <v>0</v>
      </c>
      <c r="D939" s="82">
        <f t="shared" si="44"/>
        <v>1500</v>
      </c>
      <c r="F939" s="82" t="str">
        <f ca="1" t="shared" si="43"/>
        <v/>
      </c>
      <c r="G939" s="78" t="str">
        <f ca="1">IF(AND(LEFT("[{"&amp;M939&amp;","&amp;CEILING(N939*10000+(O939-N939)/4*(COUNTIF($F$11:F939,F939)-1)*10000,10)&amp;"}]",7)="[{equip",MID("[{"&amp;M939&amp;","&amp;CEILING(N939*10000+(O939-N939)/4*(COUNTIF($F$11:F939,F939)-1)*10000,10)&amp;"}]",8,1)&lt;&gt;"_"),"[{"&amp;M939&amp;","&amp;1&amp;"}]","[{"&amp;M939&amp;","&amp;CEILING(N939*10000+(O939-N939)/4*(COUNTIF($F$11:F939,F939)-1)*10000,10)&amp;"}]")</f>
        <v>[{equip_extra_attr,5000}]</v>
      </c>
      <c r="H939" s="82" t="s">
        <v>563</v>
      </c>
      <c r="J939" s="78">
        <f ca="1">IF(MOD(COUNTIF($Q$11:Q938,Q938),5)=0,OFFSET(装备属性!$P$1083,1+INT(COUNTA($Q$11:Q938)/5),0),J938)</f>
        <v>8</v>
      </c>
      <c r="K939" s="83" t="str">
        <f ca="1">IF(RIGHT(G939,13)="rune_slot,1}]",_xlfn.XLOOKUP(LEFT(SUBSTITUTE(G939,"[{",""),FIND(",",SUBSTITUTE(G939,"[{",""))-1),Sheet2!B:B,Sheet2!C:C)&amp;"+"&amp;1,_xlfn.XLOOKUP(LEFT(SUBSTITUTE(G939,"[{",""),FIND(",",SUBSTITUTE(G939,"[{",""))-1),Sheet2!B:B,Sheet2!C:C)&amp;"+"&amp;SUBSTITUTE(RIGHT(G939,LEN(G939)-FIND(",",G939)),"}]","")/100&amp;"%")</f>
        <v>装备附加属性加成+50%</v>
      </c>
      <c r="L939" s="83" t="str">
        <f ca="1">IF(MOD(COUNTIF($Q$11:Q938,Q938),5)=0,OFFSET(装备属性!$G$1083,1+INT(COUNTA($Q$11:Q938)/5),0),L938)</f>
        <v>提成色</v>
      </c>
      <c r="M939" s="89" t="str">
        <f ca="1">IF(MOD(COUNTIF($Q$11:Q938,Q938),5)=0,OFFSET(装备属性!$H$1083,1+INT(COUNTA($Q$11:Q938)/5),0),M938)</f>
        <v>equip_extra_attr</v>
      </c>
      <c r="N939" s="76">
        <f ca="1">IF(MOD(COUNTIF($Q$11:Q938,Q938),5)=0,OFFSET(装备属性!$K$1083,1+INT(COUNTA($Q$11:Q938)/5),0),N938)</f>
        <v>0.5</v>
      </c>
      <c r="O939" s="76">
        <f ca="1">IF(MOD(COUNTIF($Q$11:Q938,Q938),5)=0,OFFSET(装备属性!$L$1083,1+INT(COUNTA($Q$11:Q938)/5),0),O938)</f>
        <v>0.5</v>
      </c>
      <c r="Q939" s="89" t="str">
        <f ca="1">IF(MOD(COUNTIF($Q$11:Q938,Q938),5)=0,OFFSET(装备属性!$M$1083,1+INT(COUNTA($Q$11:Q938)/5),0),Q938)</f>
        <v>稀有词条</v>
      </c>
      <c r="R939" s="83" t="e">
        <f ca="1">IF(MOD(COUNTIF($Q$11:Q938,Q938),5)=0,10000*SUBSTITUTE(SUBSTITUTE(OFFSET(装备属性!$F$1083,1+INT(COUNTA($Q$11:Q938)/5),0),"[",""),"]","")+_xlfn.XLOOKUP(C939,$M$3:$M$7,$N$3:$N$7)*100,R938)</f>
        <v>#N/A</v>
      </c>
    </row>
    <row r="940" customHeight="1" spans="1:18">
      <c r="A940" s="78" t="str">
        <f ca="1" t="shared" si="42"/>
        <v/>
      </c>
      <c r="B940" s="82" t="str">
        <f ca="1">IFERROR(R940+COUNTIFS($R$11:$R940,R940),"")</f>
        <v/>
      </c>
      <c r="C940" s="83">
        <f ca="1">IF(MOD(COUNTIF($Q$11:Q939,Q939),5)=0,OFFSET(装备属性!$D$1083,1+INT(COUNTA($Q$11:Q939)/5),0),C939)</f>
        <v>0</v>
      </c>
      <c r="D940" s="82">
        <f t="shared" si="44"/>
        <v>1000</v>
      </c>
      <c r="F940" s="82" t="str">
        <f ca="1" t="shared" si="43"/>
        <v/>
      </c>
      <c r="G940" s="78" t="str">
        <f ca="1">IF(AND(LEFT("[{"&amp;M940&amp;","&amp;CEILING(N940*10000+(O940-N940)/4*(COUNTIF($F$11:F940,F940)-1)*10000,10)&amp;"}]",7)="[{equip",MID("[{"&amp;M940&amp;","&amp;CEILING(N940*10000+(O940-N940)/4*(COUNTIF($F$11:F940,F940)-1)*10000,10)&amp;"}]",8,1)&lt;&gt;"_"),"[{"&amp;M940&amp;","&amp;1&amp;"}]","[{"&amp;M940&amp;","&amp;CEILING(N940*10000+(O940-N940)/4*(COUNTIF($F$11:F940,F940)-1)*10000,10)&amp;"}]")</f>
        <v>[{equip_extra_attr,5000}]</v>
      </c>
      <c r="H940" s="82" t="s">
        <v>563</v>
      </c>
      <c r="J940" s="78">
        <f ca="1">IF(MOD(COUNTIF($Q$11:Q939,Q939),5)=0,OFFSET(装备属性!$P$1083,1+INT(COUNTA($Q$11:Q939)/5),0),J939)</f>
        <v>8</v>
      </c>
      <c r="K940" s="83" t="str">
        <f ca="1">IF(RIGHT(G940,13)="rune_slot,1}]",_xlfn.XLOOKUP(LEFT(SUBSTITUTE(G940,"[{",""),FIND(",",SUBSTITUTE(G940,"[{",""))-1),Sheet2!B:B,Sheet2!C:C)&amp;"+"&amp;1,_xlfn.XLOOKUP(LEFT(SUBSTITUTE(G940,"[{",""),FIND(",",SUBSTITUTE(G940,"[{",""))-1),Sheet2!B:B,Sheet2!C:C)&amp;"+"&amp;SUBSTITUTE(RIGHT(G940,LEN(G940)-FIND(",",G940)),"}]","")/100&amp;"%")</f>
        <v>装备附加属性加成+50%</v>
      </c>
      <c r="L940" s="83" t="str">
        <f ca="1">IF(MOD(COUNTIF($Q$11:Q939,Q939),5)=0,OFFSET(装备属性!$G$1083,1+INT(COUNTA($Q$11:Q939)/5),0),L939)</f>
        <v>提成色</v>
      </c>
      <c r="M940" s="89" t="str">
        <f ca="1">IF(MOD(COUNTIF($Q$11:Q939,Q939),5)=0,OFFSET(装备属性!$H$1083,1+INT(COUNTA($Q$11:Q939)/5),0),M939)</f>
        <v>equip_extra_attr</v>
      </c>
      <c r="N940" s="76">
        <f ca="1">IF(MOD(COUNTIF($Q$11:Q939,Q939),5)=0,OFFSET(装备属性!$K$1083,1+INT(COUNTA($Q$11:Q939)/5),0),N939)</f>
        <v>0.5</v>
      </c>
      <c r="O940" s="76">
        <f ca="1">IF(MOD(COUNTIF($Q$11:Q939,Q939),5)=0,OFFSET(装备属性!$L$1083,1+INT(COUNTA($Q$11:Q939)/5),0),O939)</f>
        <v>0.5</v>
      </c>
      <c r="Q940" s="89" t="str">
        <f ca="1">IF(MOD(COUNTIF($Q$11:Q939,Q939),5)=0,OFFSET(装备属性!$M$1083,1+INT(COUNTA($Q$11:Q939)/5),0),Q939)</f>
        <v>稀有词条</v>
      </c>
      <c r="R940" s="83" t="e">
        <f ca="1">IF(MOD(COUNTIF($Q$11:Q939,Q939),5)=0,10000*SUBSTITUTE(SUBSTITUTE(OFFSET(装备属性!$F$1083,1+INT(COUNTA($Q$11:Q939)/5),0),"[",""),"]","")+_xlfn.XLOOKUP(C940,$M$3:$M$7,$N$3:$N$7)*100,R939)</f>
        <v>#N/A</v>
      </c>
    </row>
    <row r="941" customHeight="1" spans="1:18">
      <c r="A941" s="78" t="str">
        <f ca="1" t="shared" si="42"/>
        <v/>
      </c>
      <c r="B941" s="82" t="str">
        <f ca="1">IFERROR(R941+COUNTIFS($R$11:$R941,R941),"")</f>
        <v/>
      </c>
      <c r="C941" s="83">
        <f ca="1">IF(MOD(COUNTIF($Q$11:Q940,Q940),5)=0,OFFSET(装备属性!$D$1083,1+INT(COUNTA($Q$11:Q940)/5),0),C940)</f>
        <v>0</v>
      </c>
      <c r="D941" s="82">
        <f t="shared" si="44"/>
        <v>3000</v>
      </c>
      <c r="F941" s="82" t="str">
        <f ca="1" t="shared" si="43"/>
        <v/>
      </c>
      <c r="G941" s="78" t="str">
        <f ca="1">IF(AND(LEFT("[{"&amp;M941&amp;","&amp;CEILING(N941*10000+(O941-N941)/4*(COUNTIF($F$11:F941,F941)-1)*10000,10)&amp;"}]",7)="[{equip",MID("[{"&amp;M941&amp;","&amp;CEILING(N941*10000+(O941-N941)/4*(COUNTIF($F$11:F941,F941)-1)*10000,10)&amp;"}]",8,1)&lt;&gt;"_"),"[{"&amp;M941&amp;","&amp;1&amp;"}]","[{"&amp;M941&amp;","&amp;CEILING(N941*10000+(O941-N941)/4*(COUNTIF($F$11:F941,F941)-1)*10000,10)&amp;"}]")</f>
        <v>[{equip2_rune_slot,1}]</v>
      </c>
      <c r="H941" s="82" t="s">
        <v>563</v>
      </c>
      <c r="J941" s="78">
        <f ca="1">IF(MOD(COUNTIF($Q$11:Q940,Q940),5)=0,OFFSET(装备属性!$P$1083,1+INT(COUNTA($Q$11:Q940)/5),0),J940)</f>
        <v>1</v>
      </c>
      <c r="K941" s="83" t="str">
        <f ca="1">IF(RIGHT(G941,13)="rune_slot,1}]",_xlfn.XLOOKUP(LEFT(SUBSTITUTE(G941,"[{",""),FIND(",",SUBSTITUTE(G941,"[{",""))-1),Sheet2!B:B,Sheet2!C:C)&amp;"+"&amp;1,_xlfn.XLOOKUP(LEFT(SUBSTITUTE(G941,"[{",""),FIND(",",SUBSTITUTE(G941,"[{",""))-1),Sheet2!B:B,Sheet2!C:C)&amp;"+"&amp;SUBSTITUTE(RIGHT(G941,LEN(G941)-FIND(",",G941)),"}]","")/100&amp;"%")</f>
        <v>裤子符文孔位+1</v>
      </c>
      <c r="L941" s="83" t="str">
        <f ca="1">IF(MOD(COUNTIF($Q$11:Q940,Q940),5)=0,OFFSET(装备属性!$G$1083,1+INT(COUNTA($Q$11:Q940)/5),0),L940)</f>
        <v>扩符槽</v>
      </c>
      <c r="M941" s="89" t="str">
        <f ca="1">IF(MOD(COUNTIF($Q$11:Q940,Q940),5)=0,OFFSET(装备属性!$H$1083,1+INT(COUNTA($Q$11:Q940)/5),0),M940)</f>
        <v>equip2_rune_slot</v>
      </c>
      <c r="N941" s="76">
        <f ca="1">IF(MOD(COUNTIF($Q$11:Q940,Q940),5)=0,OFFSET(装备属性!$K$1083,1+INT(COUNTA($Q$11:Q940)/5),0),N940)</f>
        <v>1</v>
      </c>
      <c r="O941" s="76">
        <f ca="1">IF(MOD(COUNTIF($Q$11:Q940,Q940),5)=0,OFFSET(装备属性!$L$1083,1+INT(COUNTA($Q$11:Q940)/5),0),O940)</f>
        <v>1</v>
      </c>
      <c r="Q941" s="89" t="str">
        <f ca="1">IF(MOD(COUNTIF($Q$11:Q940,Q940),5)=0,OFFSET(装备属性!$M$1083,1+INT(COUNTA($Q$11:Q940)/5),0),Q940)</f>
        <v>稀有词条</v>
      </c>
      <c r="R941" s="83" t="e">
        <f ca="1">IF(MOD(COUNTIF($Q$11:Q940,Q940),5)=0,10000*SUBSTITUTE(SUBSTITUTE(OFFSET(装备属性!$F$1083,1+INT(COUNTA($Q$11:Q940)/5),0),"[",""),"]","")+_xlfn.XLOOKUP(C941,$M$3:$M$7,$N$3:$N$7)*100,R940)</f>
        <v>#N/A</v>
      </c>
    </row>
    <row r="942" customHeight="1" spans="1:18">
      <c r="A942" s="78" t="str">
        <f ca="1" t="shared" si="42"/>
        <v/>
      </c>
      <c r="B942" s="82" t="str">
        <f ca="1">IFERROR(R942+COUNTIFS($R$11:$R942,R942),"")</f>
        <v/>
      </c>
      <c r="C942" s="83">
        <f ca="1">IF(MOD(COUNTIF($Q$11:Q941,Q941),5)=0,OFFSET(装备属性!$D$1083,1+INT(COUNTA($Q$11:Q941)/5),0),C941)</f>
        <v>0</v>
      </c>
      <c r="D942" s="82">
        <f t="shared" si="44"/>
        <v>2500</v>
      </c>
      <c r="F942" s="82" t="str">
        <f ca="1" t="shared" si="43"/>
        <v/>
      </c>
      <c r="G942" s="78" t="str">
        <f ca="1">IF(AND(LEFT("[{"&amp;M942&amp;","&amp;CEILING(N942*10000+(O942-N942)/4*(COUNTIF($F$11:F942,F942)-1)*10000,10)&amp;"}]",7)="[{equip",MID("[{"&amp;M942&amp;","&amp;CEILING(N942*10000+(O942-N942)/4*(COUNTIF($F$11:F942,F942)-1)*10000,10)&amp;"}]",8,1)&lt;&gt;"_"),"[{"&amp;M942&amp;","&amp;1&amp;"}]","[{"&amp;M942&amp;","&amp;CEILING(N942*10000+(O942-N942)/4*(COUNTIF($F$11:F942,F942)-1)*10000,10)&amp;"}]")</f>
        <v>[{equip2_rune_slot,1}]</v>
      </c>
      <c r="H942" s="82" t="s">
        <v>563</v>
      </c>
      <c r="J942" s="78">
        <f ca="1">IF(MOD(COUNTIF($Q$11:Q941,Q941),5)=0,OFFSET(装备属性!$P$1083,1+INT(COUNTA($Q$11:Q941)/5),0),J941)</f>
        <v>1</v>
      </c>
      <c r="K942" s="83" t="str">
        <f ca="1">IF(RIGHT(G942,13)="rune_slot,1}]",_xlfn.XLOOKUP(LEFT(SUBSTITUTE(G942,"[{",""),FIND(",",SUBSTITUTE(G942,"[{",""))-1),Sheet2!B:B,Sheet2!C:C)&amp;"+"&amp;1,_xlfn.XLOOKUP(LEFT(SUBSTITUTE(G942,"[{",""),FIND(",",SUBSTITUTE(G942,"[{",""))-1),Sheet2!B:B,Sheet2!C:C)&amp;"+"&amp;SUBSTITUTE(RIGHT(G942,LEN(G942)-FIND(",",G942)),"}]","")/100&amp;"%")</f>
        <v>裤子符文孔位+1</v>
      </c>
      <c r="L942" s="83" t="str">
        <f ca="1">IF(MOD(COUNTIF($Q$11:Q941,Q941),5)=0,OFFSET(装备属性!$G$1083,1+INT(COUNTA($Q$11:Q941)/5),0),L941)</f>
        <v>扩符槽</v>
      </c>
      <c r="M942" s="89" t="str">
        <f ca="1">IF(MOD(COUNTIF($Q$11:Q941,Q941),5)=0,OFFSET(装备属性!$H$1083,1+INT(COUNTA($Q$11:Q941)/5),0),M941)</f>
        <v>equip2_rune_slot</v>
      </c>
      <c r="N942" s="76">
        <f ca="1">IF(MOD(COUNTIF($Q$11:Q941,Q941),5)=0,OFFSET(装备属性!$K$1083,1+INT(COUNTA($Q$11:Q941)/5),0),N941)</f>
        <v>1</v>
      </c>
      <c r="O942" s="76">
        <f ca="1">IF(MOD(COUNTIF($Q$11:Q941,Q941),5)=0,OFFSET(装备属性!$L$1083,1+INT(COUNTA($Q$11:Q941)/5),0),O941)</f>
        <v>1</v>
      </c>
      <c r="Q942" s="89" t="str">
        <f ca="1">IF(MOD(COUNTIF($Q$11:Q941,Q941),5)=0,OFFSET(装备属性!$M$1083,1+INT(COUNTA($Q$11:Q941)/5),0),Q941)</f>
        <v>稀有词条</v>
      </c>
      <c r="R942" s="83" t="e">
        <f ca="1">IF(MOD(COUNTIF($Q$11:Q941,Q941),5)=0,10000*SUBSTITUTE(SUBSTITUTE(OFFSET(装备属性!$F$1083,1+INT(COUNTA($Q$11:Q941)/5),0),"[",""),"]","")+_xlfn.XLOOKUP(C942,$M$3:$M$7,$N$3:$N$7)*100,R941)</f>
        <v>#N/A</v>
      </c>
    </row>
    <row r="943" customHeight="1" spans="1:18">
      <c r="A943" s="78" t="str">
        <f ca="1" t="shared" si="42"/>
        <v/>
      </c>
      <c r="B943" s="82" t="str">
        <f ca="1">IFERROR(R943+COUNTIFS($R$11:$R943,R943),"")</f>
        <v/>
      </c>
      <c r="C943" s="83">
        <f ca="1">IF(MOD(COUNTIF($Q$11:Q942,Q942),5)=0,OFFSET(装备属性!$D$1083,1+INT(COUNTA($Q$11:Q942)/5),0),C942)</f>
        <v>0</v>
      </c>
      <c r="D943" s="82">
        <f t="shared" si="44"/>
        <v>2000</v>
      </c>
      <c r="F943" s="82" t="str">
        <f ca="1" t="shared" si="43"/>
        <v/>
      </c>
      <c r="G943" s="78" t="str">
        <f ca="1">IF(AND(LEFT("[{"&amp;M943&amp;","&amp;CEILING(N943*10000+(O943-N943)/4*(COUNTIF($F$11:F943,F943)-1)*10000,10)&amp;"}]",7)="[{equip",MID("[{"&amp;M943&amp;","&amp;CEILING(N943*10000+(O943-N943)/4*(COUNTIF($F$11:F943,F943)-1)*10000,10)&amp;"}]",8,1)&lt;&gt;"_"),"[{"&amp;M943&amp;","&amp;1&amp;"}]","[{"&amp;M943&amp;","&amp;CEILING(N943*10000+(O943-N943)/4*(COUNTIF($F$11:F943,F943)-1)*10000,10)&amp;"}]")</f>
        <v>[{equip2_rune_slot,1}]</v>
      </c>
      <c r="H943" s="82" t="s">
        <v>563</v>
      </c>
      <c r="J943" s="78">
        <f ca="1">IF(MOD(COUNTIF($Q$11:Q942,Q942),5)=0,OFFSET(装备属性!$P$1083,1+INT(COUNTA($Q$11:Q942)/5),0),J942)</f>
        <v>1</v>
      </c>
      <c r="K943" s="83" t="str">
        <f ca="1">IF(RIGHT(G943,13)="rune_slot,1}]",_xlfn.XLOOKUP(LEFT(SUBSTITUTE(G943,"[{",""),FIND(",",SUBSTITUTE(G943,"[{",""))-1),Sheet2!B:B,Sheet2!C:C)&amp;"+"&amp;1,_xlfn.XLOOKUP(LEFT(SUBSTITUTE(G943,"[{",""),FIND(",",SUBSTITUTE(G943,"[{",""))-1),Sheet2!B:B,Sheet2!C:C)&amp;"+"&amp;SUBSTITUTE(RIGHT(G943,LEN(G943)-FIND(",",G943)),"}]","")/100&amp;"%")</f>
        <v>裤子符文孔位+1</v>
      </c>
      <c r="L943" s="83" t="str">
        <f ca="1">IF(MOD(COUNTIF($Q$11:Q942,Q942),5)=0,OFFSET(装备属性!$G$1083,1+INT(COUNTA($Q$11:Q942)/5),0),L942)</f>
        <v>扩符槽</v>
      </c>
      <c r="M943" s="89" t="str">
        <f ca="1">IF(MOD(COUNTIF($Q$11:Q942,Q942),5)=0,OFFSET(装备属性!$H$1083,1+INT(COUNTA($Q$11:Q942)/5),0),M942)</f>
        <v>equip2_rune_slot</v>
      </c>
      <c r="N943" s="76">
        <f ca="1">IF(MOD(COUNTIF($Q$11:Q942,Q942),5)=0,OFFSET(装备属性!$K$1083,1+INT(COUNTA($Q$11:Q942)/5),0),N942)</f>
        <v>1</v>
      </c>
      <c r="O943" s="76">
        <f ca="1">IF(MOD(COUNTIF($Q$11:Q942,Q942),5)=0,OFFSET(装备属性!$L$1083,1+INT(COUNTA($Q$11:Q942)/5),0),O942)</f>
        <v>1</v>
      </c>
      <c r="Q943" s="89" t="str">
        <f ca="1">IF(MOD(COUNTIF($Q$11:Q942,Q942),5)=0,OFFSET(装备属性!$M$1083,1+INT(COUNTA($Q$11:Q942)/5),0),Q942)</f>
        <v>稀有词条</v>
      </c>
      <c r="R943" s="83" t="e">
        <f ca="1">IF(MOD(COUNTIF($Q$11:Q942,Q942),5)=0,10000*SUBSTITUTE(SUBSTITUTE(OFFSET(装备属性!$F$1083,1+INT(COUNTA($Q$11:Q942)/5),0),"[",""),"]","")+_xlfn.XLOOKUP(C943,$M$3:$M$7,$N$3:$N$7)*100,R942)</f>
        <v>#N/A</v>
      </c>
    </row>
    <row r="944" customHeight="1" spans="1:18">
      <c r="A944" s="78" t="str">
        <f ca="1" t="shared" si="42"/>
        <v/>
      </c>
      <c r="B944" s="82" t="str">
        <f ca="1">IFERROR(R944+COUNTIFS($R$11:$R944,R944),"")</f>
        <v/>
      </c>
      <c r="C944" s="83">
        <f ca="1">IF(MOD(COUNTIF($Q$11:Q943,Q943),5)=0,OFFSET(装备属性!$D$1083,1+INT(COUNTA($Q$11:Q943)/5),0),C943)</f>
        <v>0</v>
      </c>
      <c r="D944" s="82">
        <f t="shared" si="44"/>
        <v>1500</v>
      </c>
      <c r="F944" s="82" t="str">
        <f ca="1" t="shared" si="43"/>
        <v/>
      </c>
      <c r="G944" s="78" t="str">
        <f ca="1">IF(AND(LEFT("[{"&amp;M944&amp;","&amp;CEILING(N944*10000+(O944-N944)/4*(COUNTIF($F$11:F944,F944)-1)*10000,10)&amp;"}]",7)="[{equip",MID("[{"&amp;M944&amp;","&amp;CEILING(N944*10000+(O944-N944)/4*(COUNTIF($F$11:F944,F944)-1)*10000,10)&amp;"}]",8,1)&lt;&gt;"_"),"[{"&amp;M944&amp;","&amp;1&amp;"}]","[{"&amp;M944&amp;","&amp;CEILING(N944*10000+(O944-N944)/4*(COUNTIF($F$11:F944,F944)-1)*10000,10)&amp;"}]")</f>
        <v>[{equip2_rune_slot,1}]</v>
      </c>
      <c r="H944" s="82" t="s">
        <v>563</v>
      </c>
      <c r="J944" s="78">
        <f ca="1">IF(MOD(COUNTIF($Q$11:Q943,Q943),5)=0,OFFSET(装备属性!$P$1083,1+INT(COUNTA($Q$11:Q943)/5),0),J943)</f>
        <v>1</v>
      </c>
      <c r="K944" s="83" t="str">
        <f ca="1">IF(RIGHT(G944,13)="rune_slot,1}]",_xlfn.XLOOKUP(LEFT(SUBSTITUTE(G944,"[{",""),FIND(",",SUBSTITUTE(G944,"[{",""))-1),Sheet2!B:B,Sheet2!C:C)&amp;"+"&amp;1,_xlfn.XLOOKUP(LEFT(SUBSTITUTE(G944,"[{",""),FIND(",",SUBSTITUTE(G944,"[{",""))-1),Sheet2!B:B,Sheet2!C:C)&amp;"+"&amp;SUBSTITUTE(RIGHT(G944,LEN(G944)-FIND(",",G944)),"}]","")/100&amp;"%")</f>
        <v>裤子符文孔位+1</v>
      </c>
      <c r="L944" s="83" t="str">
        <f ca="1">IF(MOD(COUNTIF($Q$11:Q943,Q943),5)=0,OFFSET(装备属性!$G$1083,1+INT(COUNTA($Q$11:Q943)/5),0),L943)</f>
        <v>扩符槽</v>
      </c>
      <c r="M944" s="89" t="str">
        <f ca="1">IF(MOD(COUNTIF($Q$11:Q943,Q943),5)=0,OFFSET(装备属性!$H$1083,1+INT(COUNTA($Q$11:Q943)/5),0),M943)</f>
        <v>equip2_rune_slot</v>
      </c>
      <c r="N944" s="76">
        <f ca="1">IF(MOD(COUNTIF($Q$11:Q943,Q943),5)=0,OFFSET(装备属性!$K$1083,1+INT(COUNTA($Q$11:Q943)/5),0),N943)</f>
        <v>1</v>
      </c>
      <c r="O944" s="76">
        <f ca="1">IF(MOD(COUNTIF($Q$11:Q943,Q943),5)=0,OFFSET(装备属性!$L$1083,1+INT(COUNTA($Q$11:Q943)/5),0),O943)</f>
        <v>1</v>
      </c>
      <c r="Q944" s="89" t="str">
        <f ca="1">IF(MOD(COUNTIF($Q$11:Q943,Q943),5)=0,OFFSET(装备属性!$M$1083,1+INT(COUNTA($Q$11:Q943)/5),0),Q943)</f>
        <v>稀有词条</v>
      </c>
      <c r="R944" s="83" t="e">
        <f ca="1">IF(MOD(COUNTIF($Q$11:Q943,Q943),5)=0,10000*SUBSTITUTE(SUBSTITUTE(OFFSET(装备属性!$F$1083,1+INT(COUNTA($Q$11:Q943)/5),0),"[",""),"]","")+_xlfn.XLOOKUP(C944,$M$3:$M$7,$N$3:$N$7)*100,R943)</f>
        <v>#N/A</v>
      </c>
    </row>
    <row r="945" customHeight="1" spans="1:18">
      <c r="A945" s="78" t="str">
        <f ca="1" t="shared" si="42"/>
        <v/>
      </c>
      <c r="B945" s="82" t="str">
        <f ca="1">IFERROR(R945+COUNTIFS($R$11:$R945,R945),"")</f>
        <v/>
      </c>
      <c r="C945" s="83">
        <f ca="1">IF(MOD(COUNTIF($Q$11:Q944,Q944),5)=0,OFFSET(装备属性!$D$1083,1+INT(COUNTA($Q$11:Q944)/5),0),C944)</f>
        <v>0</v>
      </c>
      <c r="D945" s="82">
        <f t="shared" si="44"/>
        <v>1000</v>
      </c>
      <c r="F945" s="82" t="str">
        <f ca="1" t="shared" si="43"/>
        <v/>
      </c>
      <c r="G945" s="78" t="str">
        <f ca="1">IF(AND(LEFT("[{"&amp;M945&amp;","&amp;CEILING(N945*10000+(O945-N945)/4*(COUNTIF($F$11:F945,F945)-1)*10000,10)&amp;"}]",7)="[{equip",MID("[{"&amp;M945&amp;","&amp;CEILING(N945*10000+(O945-N945)/4*(COUNTIF($F$11:F945,F945)-1)*10000,10)&amp;"}]",8,1)&lt;&gt;"_"),"[{"&amp;M945&amp;","&amp;1&amp;"}]","[{"&amp;M945&amp;","&amp;CEILING(N945*10000+(O945-N945)/4*(COUNTIF($F$11:F945,F945)-1)*10000,10)&amp;"}]")</f>
        <v>[{equip2_rune_slot,1}]</v>
      </c>
      <c r="H945" s="82" t="s">
        <v>563</v>
      </c>
      <c r="J945" s="78">
        <f ca="1">IF(MOD(COUNTIF($Q$11:Q944,Q944),5)=0,OFFSET(装备属性!$P$1083,1+INT(COUNTA($Q$11:Q944)/5),0),J944)</f>
        <v>1</v>
      </c>
      <c r="K945" s="83" t="str">
        <f ca="1">IF(RIGHT(G945,13)="rune_slot,1}]",_xlfn.XLOOKUP(LEFT(SUBSTITUTE(G945,"[{",""),FIND(",",SUBSTITUTE(G945,"[{",""))-1),Sheet2!B:B,Sheet2!C:C)&amp;"+"&amp;1,_xlfn.XLOOKUP(LEFT(SUBSTITUTE(G945,"[{",""),FIND(",",SUBSTITUTE(G945,"[{",""))-1),Sheet2!B:B,Sheet2!C:C)&amp;"+"&amp;SUBSTITUTE(RIGHT(G945,LEN(G945)-FIND(",",G945)),"}]","")/100&amp;"%")</f>
        <v>裤子符文孔位+1</v>
      </c>
      <c r="L945" s="83" t="str">
        <f ca="1">IF(MOD(COUNTIF($Q$11:Q944,Q944),5)=0,OFFSET(装备属性!$G$1083,1+INT(COUNTA($Q$11:Q944)/5),0),L944)</f>
        <v>扩符槽</v>
      </c>
      <c r="M945" s="89" t="str">
        <f ca="1">IF(MOD(COUNTIF($Q$11:Q944,Q944),5)=0,OFFSET(装备属性!$H$1083,1+INT(COUNTA($Q$11:Q944)/5),0),M944)</f>
        <v>equip2_rune_slot</v>
      </c>
      <c r="N945" s="76">
        <f ca="1">IF(MOD(COUNTIF($Q$11:Q944,Q944),5)=0,OFFSET(装备属性!$K$1083,1+INT(COUNTA($Q$11:Q944)/5),0),N944)</f>
        <v>1</v>
      </c>
      <c r="O945" s="76">
        <f ca="1">IF(MOD(COUNTIF($Q$11:Q944,Q944),5)=0,OFFSET(装备属性!$L$1083,1+INT(COUNTA($Q$11:Q944)/5),0),O944)</f>
        <v>1</v>
      </c>
      <c r="Q945" s="89" t="str">
        <f ca="1">IF(MOD(COUNTIF($Q$11:Q944,Q944),5)=0,OFFSET(装备属性!$M$1083,1+INT(COUNTA($Q$11:Q944)/5),0),Q944)</f>
        <v>稀有词条</v>
      </c>
      <c r="R945" s="83" t="e">
        <f ca="1">IF(MOD(COUNTIF($Q$11:Q944,Q944),5)=0,10000*SUBSTITUTE(SUBSTITUTE(OFFSET(装备属性!$F$1083,1+INT(COUNTA($Q$11:Q944)/5),0),"[",""),"]","")+_xlfn.XLOOKUP(C945,$M$3:$M$7,$N$3:$N$7)*100,R944)</f>
        <v>#N/A</v>
      </c>
    </row>
    <row r="946" customHeight="1" spans="1:18">
      <c r="A946" s="78" t="str">
        <f ca="1" t="shared" si="42"/>
        <v/>
      </c>
      <c r="B946" s="82" t="str">
        <f ca="1">IFERROR(R946+COUNTIFS($R$11:$R946,R946),"")</f>
        <v/>
      </c>
      <c r="C946" s="83">
        <f ca="1">IF(MOD(COUNTIF($Q$11:Q945,Q945),5)=0,OFFSET(装备属性!$D$1083,1+INT(COUNTA($Q$11:Q945)/5),0),C945)</f>
        <v>0</v>
      </c>
      <c r="D946" s="82">
        <f t="shared" si="44"/>
        <v>3000</v>
      </c>
      <c r="F946" s="82" t="str">
        <f ca="1" t="shared" si="43"/>
        <v/>
      </c>
      <c r="G946" s="78" t="str">
        <f ca="1">IF(AND(LEFT("[{"&amp;M946&amp;","&amp;CEILING(N946*10000+(O946-N946)/4*(COUNTIF($F$11:F946,F946)-1)*10000,10)&amp;"}]",7)="[{equip",MID("[{"&amp;M946&amp;","&amp;CEILING(N946*10000+(O946-N946)/4*(COUNTIF($F$11:F946,F946)-1)*10000,10)&amp;"}]",8,1)&lt;&gt;"_"),"[{"&amp;M946&amp;","&amp;1&amp;"}]","[{"&amp;M946&amp;","&amp;CEILING(N946*10000+(O946-N946)/4*(COUNTIF($F$11:F946,F946)-1)*10000,10)&amp;"}]")</f>
        <v>[{chapter_pve_hit_rate,13740}]</v>
      </c>
      <c r="H946" s="82" t="s">
        <v>563</v>
      </c>
      <c r="J946" s="78">
        <f ca="1">IF(MOD(COUNTIF($Q$11:Q945,Q945),5)=0,OFFSET(装备属性!$P$1083,1+INT(COUNTA($Q$11:Q945)/5),0),J945)</f>
        <v>6</v>
      </c>
      <c r="K946" s="83" t="str">
        <f ca="1">IF(RIGHT(G946,13)="rune_slot,1}]",_xlfn.XLOOKUP(LEFT(SUBSTITUTE(G946,"[{",""),FIND(",",SUBSTITUTE(G946,"[{",""))-1),Sheet2!B:B,Sheet2!C:C)&amp;"+"&amp;1,_xlfn.XLOOKUP(LEFT(SUBSTITUTE(G946,"[{",""),FIND(",",SUBSTITUTE(G946,"[{",""))-1),Sheet2!B:B,Sheet2!C:C)&amp;"+"&amp;SUBSTITUTE(RIGHT(G946,LEN(G946)-FIND(",",G946)),"}]","")/100&amp;"%")</f>
        <v>主线挑战增伤+137.4%</v>
      </c>
      <c r="L946" s="83" t="str">
        <f ca="1">IF(MOD(COUNTIF($Q$11:Q945,Q945),5)=0,OFFSET(装备属性!$G$1083,1+INT(COUNTA($Q$11:Q945)/5),0),L945)</f>
        <v>主线清场Ⅰ</v>
      </c>
      <c r="M946" s="89" t="str">
        <f ca="1">IF(MOD(COUNTIF($Q$11:Q945,Q945),5)=0,OFFSET(装备属性!$H$1083,1+INT(COUNTA($Q$11:Q945)/5),0),M945)</f>
        <v>chapter_pve_hit_rate</v>
      </c>
      <c r="N946" s="76">
        <f ca="1">IF(MOD(COUNTIF($Q$11:Q945,Q945),5)=0,OFFSET(装备属性!$K$1083,1+INT(COUNTA($Q$11:Q945)/5),0),N945)</f>
        <v>0.044</v>
      </c>
      <c r="O946" s="76">
        <f ca="1">IF(MOD(COUNTIF($Q$11:Q945,Q945),5)=0,OFFSET(装备属性!$L$1083,1+INT(COUNTA($Q$11:Q945)/5),0),O945)</f>
        <v>0.058</v>
      </c>
      <c r="Q946" s="89" t="str">
        <f ca="1">IF(MOD(COUNTIF($Q$11:Q945,Q945),5)=0,OFFSET(装备属性!$M$1083,1+INT(COUNTA($Q$11:Q945)/5),0),Q945)</f>
        <v>玩法类</v>
      </c>
      <c r="R946" s="83" t="e">
        <f ca="1">IF(MOD(COUNTIF($Q$11:Q945,Q945),5)=0,10000*SUBSTITUTE(SUBSTITUTE(OFFSET(装备属性!$F$1083,1+INT(COUNTA($Q$11:Q945)/5),0),"[",""),"]","")+_xlfn.XLOOKUP(C946,$M$3:$M$7,$N$3:$N$7)*100,R945)</f>
        <v>#N/A</v>
      </c>
    </row>
    <row r="947" customHeight="1" spans="1:18">
      <c r="A947" s="78" t="str">
        <f ca="1" t="shared" si="42"/>
        <v/>
      </c>
      <c r="B947" s="82" t="str">
        <f ca="1">IFERROR(R947+COUNTIFS($R$11:$R947,R947),"")</f>
        <v/>
      </c>
      <c r="C947" s="83">
        <f ca="1">IF(MOD(COUNTIF($Q$11:Q946,Q946),5)=0,OFFSET(装备属性!$D$1083,1+INT(COUNTA($Q$11:Q946)/5),0),C946)</f>
        <v>0</v>
      </c>
      <c r="D947" s="82">
        <f t="shared" si="44"/>
        <v>2500</v>
      </c>
      <c r="F947" s="82" t="str">
        <f ca="1" t="shared" si="43"/>
        <v/>
      </c>
      <c r="G947" s="78" t="str">
        <f ca="1">IF(AND(LEFT("[{"&amp;M947&amp;","&amp;CEILING(N947*10000+(O947-N947)/4*(COUNTIF($F$11:F947,F947)-1)*10000,10)&amp;"}]",7)="[{equip",MID("[{"&amp;M947&amp;","&amp;CEILING(N947*10000+(O947-N947)/4*(COUNTIF($F$11:F947,F947)-1)*10000,10)&amp;"}]",8,1)&lt;&gt;"_"),"[{"&amp;M947&amp;","&amp;1&amp;"}]","[{"&amp;M947&amp;","&amp;CEILING(N947*10000+(O947-N947)/4*(COUNTIF($F$11:F947,F947)-1)*10000,10)&amp;"}]")</f>
        <v>[{chapter_pve_hit_rate,13780}]</v>
      </c>
      <c r="H947" s="82" t="s">
        <v>563</v>
      </c>
      <c r="J947" s="78">
        <f ca="1">IF(MOD(COUNTIF($Q$11:Q946,Q946),5)=0,OFFSET(装备属性!$P$1083,1+INT(COUNTA($Q$11:Q946)/5),0),J946)</f>
        <v>6</v>
      </c>
      <c r="K947" s="83" t="str">
        <f ca="1">IF(RIGHT(G947,13)="rune_slot,1}]",_xlfn.XLOOKUP(LEFT(SUBSTITUTE(G947,"[{",""),FIND(",",SUBSTITUTE(G947,"[{",""))-1),Sheet2!B:B,Sheet2!C:C)&amp;"+"&amp;1,_xlfn.XLOOKUP(LEFT(SUBSTITUTE(G947,"[{",""),FIND(",",SUBSTITUTE(G947,"[{",""))-1),Sheet2!B:B,Sheet2!C:C)&amp;"+"&amp;SUBSTITUTE(RIGHT(G947,LEN(G947)-FIND(",",G947)),"}]","")/100&amp;"%")</f>
        <v>主线挑战增伤+137.8%</v>
      </c>
      <c r="L947" s="83" t="str">
        <f ca="1">IF(MOD(COUNTIF($Q$11:Q946,Q946),5)=0,OFFSET(装备属性!$G$1083,1+INT(COUNTA($Q$11:Q946)/5),0),L946)</f>
        <v>主线清场Ⅰ</v>
      </c>
      <c r="M947" s="89" t="str">
        <f ca="1">IF(MOD(COUNTIF($Q$11:Q946,Q946),5)=0,OFFSET(装备属性!$H$1083,1+INT(COUNTA($Q$11:Q946)/5),0),M946)</f>
        <v>chapter_pve_hit_rate</v>
      </c>
      <c r="N947" s="76">
        <f ca="1">IF(MOD(COUNTIF($Q$11:Q946,Q946),5)=0,OFFSET(装备属性!$K$1083,1+INT(COUNTA($Q$11:Q946)/5),0),N946)</f>
        <v>0.044</v>
      </c>
      <c r="O947" s="76">
        <f ca="1">IF(MOD(COUNTIF($Q$11:Q946,Q946),5)=0,OFFSET(装备属性!$L$1083,1+INT(COUNTA($Q$11:Q946)/5),0),O946)</f>
        <v>0.058</v>
      </c>
      <c r="Q947" s="89" t="str">
        <f ca="1">IF(MOD(COUNTIF($Q$11:Q946,Q946),5)=0,OFFSET(装备属性!$M$1083,1+INT(COUNTA($Q$11:Q946)/5),0),Q946)</f>
        <v>玩法类</v>
      </c>
      <c r="R947" s="83" t="e">
        <f ca="1">IF(MOD(COUNTIF($Q$11:Q946,Q946),5)=0,10000*SUBSTITUTE(SUBSTITUTE(OFFSET(装备属性!$F$1083,1+INT(COUNTA($Q$11:Q946)/5),0),"[",""),"]","")+_xlfn.XLOOKUP(C947,$M$3:$M$7,$N$3:$N$7)*100,R946)</f>
        <v>#N/A</v>
      </c>
    </row>
    <row r="948" customHeight="1" spans="1:18">
      <c r="A948" s="78" t="str">
        <f ca="1" t="shared" si="42"/>
        <v/>
      </c>
      <c r="B948" s="82" t="str">
        <f ca="1">IFERROR(R948+COUNTIFS($R$11:$R948,R948),"")</f>
        <v/>
      </c>
      <c r="C948" s="83">
        <f ca="1">IF(MOD(COUNTIF($Q$11:Q947,Q947),5)=0,OFFSET(装备属性!$D$1083,1+INT(COUNTA($Q$11:Q947)/5),0),C947)</f>
        <v>0</v>
      </c>
      <c r="D948" s="82">
        <f t="shared" si="44"/>
        <v>2000</v>
      </c>
      <c r="F948" s="82" t="str">
        <f ca="1" t="shared" si="43"/>
        <v/>
      </c>
      <c r="G948" s="78" t="str">
        <f ca="1">IF(AND(LEFT("[{"&amp;M948&amp;","&amp;CEILING(N948*10000+(O948-N948)/4*(COUNTIF($F$11:F948,F948)-1)*10000,10)&amp;"}]",7)="[{equip",MID("[{"&amp;M948&amp;","&amp;CEILING(N948*10000+(O948-N948)/4*(COUNTIF($F$11:F948,F948)-1)*10000,10)&amp;"}]",8,1)&lt;&gt;"_"),"[{"&amp;M948&amp;","&amp;1&amp;"}]","[{"&amp;M948&amp;","&amp;CEILING(N948*10000+(O948-N948)/4*(COUNTIF($F$11:F948,F948)-1)*10000,10)&amp;"}]")</f>
        <v>[{chapter_pve_hit_rate,13810}]</v>
      </c>
      <c r="H948" s="82" t="s">
        <v>563</v>
      </c>
      <c r="J948" s="78">
        <f ca="1">IF(MOD(COUNTIF($Q$11:Q947,Q947),5)=0,OFFSET(装备属性!$P$1083,1+INT(COUNTA($Q$11:Q947)/5),0),J947)</f>
        <v>6</v>
      </c>
      <c r="K948" s="83" t="str">
        <f ca="1">IF(RIGHT(G948,13)="rune_slot,1}]",_xlfn.XLOOKUP(LEFT(SUBSTITUTE(G948,"[{",""),FIND(",",SUBSTITUTE(G948,"[{",""))-1),Sheet2!B:B,Sheet2!C:C)&amp;"+"&amp;1,_xlfn.XLOOKUP(LEFT(SUBSTITUTE(G948,"[{",""),FIND(",",SUBSTITUTE(G948,"[{",""))-1),Sheet2!B:B,Sheet2!C:C)&amp;"+"&amp;SUBSTITUTE(RIGHT(G948,LEN(G948)-FIND(",",G948)),"}]","")/100&amp;"%")</f>
        <v>主线挑战增伤+138.1%</v>
      </c>
      <c r="L948" s="83" t="str">
        <f ca="1">IF(MOD(COUNTIF($Q$11:Q947,Q947),5)=0,OFFSET(装备属性!$G$1083,1+INT(COUNTA($Q$11:Q947)/5),0),L947)</f>
        <v>主线清场Ⅰ</v>
      </c>
      <c r="M948" s="89" t="str">
        <f ca="1">IF(MOD(COUNTIF($Q$11:Q947,Q947),5)=0,OFFSET(装备属性!$H$1083,1+INT(COUNTA($Q$11:Q947)/5),0),M947)</f>
        <v>chapter_pve_hit_rate</v>
      </c>
      <c r="N948" s="76">
        <f ca="1">IF(MOD(COUNTIF($Q$11:Q947,Q947),5)=0,OFFSET(装备属性!$K$1083,1+INT(COUNTA($Q$11:Q947)/5),0),N947)</f>
        <v>0.044</v>
      </c>
      <c r="O948" s="76">
        <f ca="1">IF(MOD(COUNTIF($Q$11:Q947,Q947),5)=0,OFFSET(装备属性!$L$1083,1+INT(COUNTA($Q$11:Q947)/5),0),O947)</f>
        <v>0.058</v>
      </c>
      <c r="Q948" s="89" t="str">
        <f ca="1">IF(MOD(COUNTIF($Q$11:Q947,Q947),5)=0,OFFSET(装备属性!$M$1083,1+INT(COUNTA($Q$11:Q947)/5),0),Q947)</f>
        <v>玩法类</v>
      </c>
      <c r="R948" s="83" t="e">
        <f ca="1">IF(MOD(COUNTIF($Q$11:Q947,Q947),5)=0,10000*SUBSTITUTE(SUBSTITUTE(OFFSET(装备属性!$F$1083,1+INT(COUNTA($Q$11:Q947)/5),0),"[",""),"]","")+_xlfn.XLOOKUP(C948,$M$3:$M$7,$N$3:$N$7)*100,R947)</f>
        <v>#N/A</v>
      </c>
    </row>
    <row r="949" customHeight="1" spans="1:18">
      <c r="A949" s="78" t="str">
        <f ca="1" t="shared" si="42"/>
        <v/>
      </c>
      <c r="B949" s="82" t="str">
        <f ca="1">IFERROR(R949+COUNTIFS($R$11:$R949,R949),"")</f>
        <v/>
      </c>
      <c r="C949" s="83">
        <f ca="1">IF(MOD(COUNTIF($Q$11:Q948,Q948),5)=0,OFFSET(装备属性!$D$1083,1+INT(COUNTA($Q$11:Q948)/5),0),C948)</f>
        <v>0</v>
      </c>
      <c r="D949" s="82">
        <f t="shared" si="44"/>
        <v>1500</v>
      </c>
      <c r="F949" s="82" t="str">
        <f ca="1" t="shared" si="43"/>
        <v/>
      </c>
      <c r="G949" s="78" t="str">
        <f ca="1">IF(AND(LEFT("[{"&amp;M949&amp;","&amp;CEILING(N949*10000+(O949-N949)/4*(COUNTIF($F$11:F949,F949)-1)*10000,10)&amp;"}]",7)="[{equip",MID("[{"&amp;M949&amp;","&amp;CEILING(N949*10000+(O949-N949)/4*(COUNTIF($F$11:F949,F949)-1)*10000,10)&amp;"}]",8,1)&lt;&gt;"_"),"[{"&amp;M949&amp;","&amp;1&amp;"}]","[{"&amp;M949&amp;","&amp;CEILING(N949*10000+(O949-N949)/4*(COUNTIF($F$11:F949,F949)-1)*10000,10)&amp;"}]")</f>
        <v>[{chapter_pve_hit_rate,13850}]</v>
      </c>
      <c r="H949" s="82" t="s">
        <v>563</v>
      </c>
      <c r="J949" s="78">
        <f ca="1">IF(MOD(COUNTIF($Q$11:Q948,Q948),5)=0,OFFSET(装备属性!$P$1083,1+INT(COUNTA($Q$11:Q948)/5),0),J948)</f>
        <v>6</v>
      </c>
      <c r="K949" s="83" t="str">
        <f ca="1">IF(RIGHT(G949,13)="rune_slot,1}]",_xlfn.XLOOKUP(LEFT(SUBSTITUTE(G949,"[{",""),FIND(",",SUBSTITUTE(G949,"[{",""))-1),Sheet2!B:B,Sheet2!C:C)&amp;"+"&amp;1,_xlfn.XLOOKUP(LEFT(SUBSTITUTE(G949,"[{",""),FIND(",",SUBSTITUTE(G949,"[{",""))-1),Sheet2!B:B,Sheet2!C:C)&amp;"+"&amp;SUBSTITUTE(RIGHT(G949,LEN(G949)-FIND(",",G949)),"}]","")/100&amp;"%")</f>
        <v>主线挑战增伤+138.5%</v>
      </c>
      <c r="L949" s="83" t="str">
        <f ca="1">IF(MOD(COUNTIF($Q$11:Q948,Q948),5)=0,OFFSET(装备属性!$G$1083,1+INT(COUNTA($Q$11:Q948)/5),0),L948)</f>
        <v>主线清场Ⅰ</v>
      </c>
      <c r="M949" s="89" t="str">
        <f ca="1">IF(MOD(COUNTIF($Q$11:Q948,Q948),5)=0,OFFSET(装备属性!$H$1083,1+INT(COUNTA($Q$11:Q948)/5),0),M948)</f>
        <v>chapter_pve_hit_rate</v>
      </c>
      <c r="N949" s="76">
        <f ca="1">IF(MOD(COUNTIF($Q$11:Q948,Q948),5)=0,OFFSET(装备属性!$K$1083,1+INT(COUNTA($Q$11:Q948)/5),0),N948)</f>
        <v>0.044</v>
      </c>
      <c r="O949" s="76">
        <f ca="1">IF(MOD(COUNTIF($Q$11:Q948,Q948),5)=0,OFFSET(装备属性!$L$1083,1+INT(COUNTA($Q$11:Q948)/5),0),O948)</f>
        <v>0.058</v>
      </c>
      <c r="Q949" s="89" t="str">
        <f ca="1">IF(MOD(COUNTIF($Q$11:Q948,Q948),5)=0,OFFSET(装备属性!$M$1083,1+INT(COUNTA($Q$11:Q948)/5),0),Q948)</f>
        <v>玩法类</v>
      </c>
      <c r="R949" s="83" t="e">
        <f ca="1">IF(MOD(COUNTIF($Q$11:Q948,Q948),5)=0,10000*SUBSTITUTE(SUBSTITUTE(OFFSET(装备属性!$F$1083,1+INT(COUNTA($Q$11:Q948)/5),0),"[",""),"]","")+_xlfn.XLOOKUP(C949,$M$3:$M$7,$N$3:$N$7)*100,R948)</f>
        <v>#N/A</v>
      </c>
    </row>
    <row r="950" customHeight="1" spans="1:18">
      <c r="A950" s="78" t="str">
        <f ca="1" t="shared" si="42"/>
        <v/>
      </c>
      <c r="B950" s="82" t="str">
        <f ca="1">IFERROR(R950+COUNTIFS($R$11:$R950,R950),"")</f>
        <v/>
      </c>
      <c r="C950" s="83">
        <f ca="1">IF(MOD(COUNTIF($Q$11:Q949,Q949),5)=0,OFFSET(装备属性!$D$1083,1+INT(COUNTA($Q$11:Q949)/5),0),C949)</f>
        <v>0</v>
      </c>
      <c r="D950" s="82">
        <f t="shared" si="44"/>
        <v>1000</v>
      </c>
      <c r="F950" s="82" t="str">
        <f ca="1" t="shared" si="43"/>
        <v/>
      </c>
      <c r="G950" s="78" t="str">
        <f ca="1">IF(AND(LEFT("[{"&amp;M950&amp;","&amp;CEILING(N950*10000+(O950-N950)/4*(COUNTIF($F$11:F950,F950)-1)*10000,10)&amp;"}]",7)="[{equip",MID("[{"&amp;M950&amp;","&amp;CEILING(N950*10000+(O950-N950)/4*(COUNTIF($F$11:F950,F950)-1)*10000,10)&amp;"}]",8,1)&lt;&gt;"_"),"[{"&amp;M950&amp;","&amp;1&amp;"}]","[{"&amp;M950&amp;","&amp;CEILING(N950*10000+(O950-N950)/4*(COUNTIF($F$11:F950,F950)-1)*10000,10)&amp;"}]")</f>
        <v>[{chapter_pve_hit_rate,13880}]</v>
      </c>
      <c r="H950" s="82" t="s">
        <v>563</v>
      </c>
      <c r="J950" s="78">
        <f ca="1">IF(MOD(COUNTIF($Q$11:Q949,Q949),5)=0,OFFSET(装备属性!$P$1083,1+INT(COUNTA($Q$11:Q949)/5),0),J949)</f>
        <v>6</v>
      </c>
      <c r="K950" s="83" t="str">
        <f ca="1">IF(RIGHT(G950,13)="rune_slot,1}]",_xlfn.XLOOKUP(LEFT(SUBSTITUTE(G950,"[{",""),FIND(",",SUBSTITUTE(G950,"[{",""))-1),Sheet2!B:B,Sheet2!C:C)&amp;"+"&amp;1,_xlfn.XLOOKUP(LEFT(SUBSTITUTE(G950,"[{",""),FIND(",",SUBSTITUTE(G950,"[{",""))-1),Sheet2!B:B,Sheet2!C:C)&amp;"+"&amp;SUBSTITUTE(RIGHT(G950,LEN(G950)-FIND(",",G950)),"}]","")/100&amp;"%")</f>
        <v>主线挑战增伤+138.8%</v>
      </c>
      <c r="L950" s="83" t="str">
        <f ca="1">IF(MOD(COUNTIF($Q$11:Q949,Q949),5)=0,OFFSET(装备属性!$G$1083,1+INT(COUNTA($Q$11:Q949)/5),0),L949)</f>
        <v>主线清场Ⅰ</v>
      </c>
      <c r="M950" s="89" t="str">
        <f ca="1">IF(MOD(COUNTIF($Q$11:Q949,Q949),5)=0,OFFSET(装备属性!$H$1083,1+INT(COUNTA($Q$11:Q949)/5),0),M949)</f>
        <v>chapter_pve_hit_rate</v>
      </c>
      <c r="N950" s="76">
        <f ca="1">IF(MOD(COUNTIF($Q$11:Q949,Q949),5)=0,OFFSET(装备属性!$K$1083,1+INT(COUNTA($Q$11:Q949)/5),0),N949)</f>
        <v>0.044</v>
      </c>
      <c r="O950" s="76">
        <f ca="1">IF(MOD(COUNTIF($Q$11:Q949,Q949),5)=0,OFFSET(装备属性!$L$1083,1+INT(COUNTA($Q$11:Q949)/5),0),O949)</f>
        <v>0.058</v>
      </c>
      <c r="Q950" s="89" t="str">
        <f ca="1">IF(MOD(COUNTIF($Q$11:Q949,Q949),5)=0,OFFSET(装备属性!$M$1083,1+INT(COUNTA($Q$11:Q949)/5),0),Q949)</f>
        <v>玩法类</v>
      </c>
      <c r="R950" s="83" t="e">
        <f ca="1">IF(MOD(COUNTIF($Q$11:Q949,Q949),5)=0,10000*SUBSTITUTE(SUBSTITUTE(OFFSET(装备属性!$F$1083,1+INT(COUNTA($Q$11:Q949)/5),0),"[",""),"]","")+_xlfn.XLOOKUP(C950,$M$3:$M$7,$N$3:$N$7)*100,R949)</f>
        <v>#N/A</v>
      </c>
    </row>
    <row r="951" customHeight="1" spans="1:18">
      <c r="A951" s="78">
        <f ca="1" t="shared" si="42"/>
        <v>40401</v>
      </c>
      <c r="B951" s="82">
        <f ca="1">IFERROR(R951+COUNTIFS($R$11:$R951,R951),"")</f>
        <v>40411</v>
      </c>
      <c r="C951" s="83" t="str">
        <f ca="1">IF(MOD(COUNTIF($Q$11:Q950,Q950),5)=0,OFFSET(装备属性!$D$1083,1+INT(COUNTA($Q$11:Q950)/5),0),C950)</f>
        <v>紫</v>
      </c>
      <c r="D951" s="82">
        <f t="shared" si="44"/>
        <v>3000</v>
      </c>
      <c r="F951" s="82">
        <f ca="1" t="shared" si="43"/>
        <v>40402</v>
      </c>
      <c r="G951" s="78" t="str">
        <f ca="1">IF(AND(LEFT("[{"&amp;M951&amp;","&amp;CEILING(N951*10000+(O951-N951)/4*(COUNTIF($F$11:F951,F951)-1)*10000,10)&amp;"}]",7)="[{equip",MID("[{"&amp;M951&amp;","&amp;CEILING(N951*10000+(O951-N951)/4*(COUNTIF($F$11:F951,F951)-1)*10000,10)&amp;"}]",8,1)&lt;&gt;"_"),"[{"&amp;M951&amp;","&amp;1&amp;"}]","[{"&amp;M951&amp;","&amp;CEILING(N951*10000+(O951-N951)/4*(COUNTIF($F$11:F951,F951)-1)*10000,10)&amp;"}]")</f>
        <v>[{drug_dmg_red_rate,150}]</v>
      </c>
      <c r="H951" s="82" t="s">
        <v>563</v>
      </c>
      <c r="J951" s="78">
        <f ca="1">IF(MOD(COUNTIF($Q$11:Q950,Q950),5)=0,OFFSET(装备属性!$P$1083,1+INT(COUNTA($Q$11:Q950)/5),0),J950)</f>
        <v>5</v>
      </c>
      <c r="K951" s="83" t="str">
        <f ca="1">IF(RIGHT(G951,13)="rune_slot,1}]",_xlfn.XLOOKUP(LEFT(SUBSTITUTE(G951,"[{",""),FIND(",",SUBSTITUTE(G951,"[{",""))-1),Sheet2!B:B,Sheet2!C:C)&amp;"+"&amp;1,_xlfn.XLOOKUP(LEFT(SUBSTITUTE(G951,"[{",""),FIND(",",SUBSTITUTE(G951,"[{",""))-1),Sheet2!B:B,Sheet2!C:C)&amp;"+"&amp;SUBSTITUTE(RIGHT(G951,LEN(G951)-FIND(",",G951)),"}]","")/100&amp;"%")</f>
        <v>毒系伤害减免+1.5%</v>
      </c>
      <c r="L951" s="83" t="str">
        <f ca="1">IF(MOD(COUNTIF($Q$11:Q950,Q950),5)=0,OFFSET(装备属性!$G$1083,1+INT(COUNTA($Q$11:Q950)/5),0),L950)</f>
        <v>毒毒不怕Ⅰ</v>
      </c>
      <c r="M951" s="89" t="str">
        <f ca="1">IF(MOD(COUNTIF($Q$11:Q950,Q950),5)=0,OFFSET(装备属性!$H$1083,1+INT(COUNTA($Q$11:Q950)/5),0),M950)</f>
        <v>drug_dmg_red_rate</v>
      </c>
      <c r="N951" s="76">
        <f ca="1">IF(MOD(COUNTIF($Q$11:Q950,Q950),5)=0,OFFSET(装备属性!$K$1083,1+INT(COUNTA($Q$11:Q950)/5),0),N950)</f>
        <v>0.015</v>
      </c>
      <c r="O951" s="76">
        <f ca="1">IF(MOD(COUNTIF($Q$11:Q950,Q950),5)=0,OFFSET(装备属性!$L$1083,1+INT(COUNTA($Q$11:Q950)/5),0),O950)</f>
        <v>0.019</v>
      </c>
      <c r="Q951" s="89" t="str">
        <f ca="1">IF(MOD(COUNTIF($Q$11:Q950,Q950),5)=0,OFFSET(装备属性!$M$1083,1+INT(COUNTA($Q$11:Q950)/5),0),Q950)</f>
        <v>通用属性</v>
      </c>
      <c r="R951" s="83">
        <f ca="1">IF(MOD(COUNTIF($Q$11:Q950,Q950),5)=0,10000*SUBSTITUTE(SUBSTITUTE(OFFSET(装备属性!$F$1083,1+INT(COUNTA($Q$11:Q950)/5),0),"[",""),"]","")+_xlfn.XLOOKUP(C951,$M$3:$M$7,$N$3:$N$7)*100,R950)</f>
        <v>40400</v>
      </c>
    </row>
    <row r="952" customHeight="1" spans="1:18">
      <c r="A952" s="78">
        <f ca="1" t="shared" si="42"/>
        <v>40401</v>
      </c>
      <c r="B952" s="82">
        <f ca="1">IFERROR(R952+COUNTIFS($R$11:$R952,R952),"")</f>
        <v>40412</v>
      </c>
      <c r="C952" s="83" t="str">
        <f ca="1">IF(MOD(COUNTIF($Q$11:Q951,Q951),5)=0,OFFSET(装备属性!$D$1083,1+INT(COUNTA($Q$11:Q951)/5),0),C951)</f>
        <v>紫</v>
      </c>
      <c r="D952" s="82">
        <f t="shared" si="44"/>
        <v>2500</v>
      </c>
      <c r="F952" s="82">
        <f ca="1" t="shared" si="43"/>
        <v>40402</v>
      </c>
      <c r="G952" s="78" t="str">
        <f ca="1">IF(AND(LEFT("[{"&amp;M952&amp;","&amp;CEILING(N952*10000+(O952-N952)/4*(COUNTIF($F$11:F952,F952)-1)*10000,10)&amp;"}]",7)="[{equip",MID("[{"&amp;M952&amp;","&amp;CEILING(N952*10000+(O952-N952)/4*(COUNTIF($F$11:F952,F952)-1)*10000,10)&amp;"}]",8,1)&lt;&gt;"_"),"[{"&amp;M952&amp;","&amp;1&amp;"}]","[{"&amp;M952&amp;","&amp;CEILING(N952*10000+(O952-N952)/4*(COUNTIF($F$11:F952,F952)-1)*10000,10)&amp;"}]")</f>
        <v>[{drug_dmg_red_rate,160}]</v>
      </c>
      <c r="H952" s="82" t="s">
        <v>563</v>
      </c>
      <c r="J952" s="78">
        <f ca="1">IF(MOD(COUNTIF($Q$11:Q951,Q951),5)=0,OFFSET(装备属性!$P$1083,1+INT(COUNTA($Q$11:Q951)/5),0),J951)</f>
        <v>5</v>
      </c>
      <c r="K952" s="83" t="str">
        <f ca="1">IF(RIGHT(G952,13)="rune_slot,1}]",_xlfn.XLOOKUP(LEFT(SUBSTITUTE(G952,"[{",""),FIND(",",SUBSTITUTE(G952,"[{",""))-1),Sheet2!B:B,Sheet2!C:C)&amp;"+"&amp;1,_xlfn.XLOOKUP(LEFT(SUBSTITUTE(G952,"[{",""),FIND(",",SUBSTITUTE(G952,"[{",""))-1),Sheet2!B:B,Sheet2!C:C)&amp;"+"&amp;SUBSTITUTE(RIGHT(G952,LEN(G952)-FIND(",",G952)),"}]","")/100&amp;"%")</f>
        <v>毒系伤害减免+1.6%</v>
      </c>
      <c r="L952" s="83" t="str">
        <f ca="1">IF(MOD(COUNTIF($Q$11:Q951,Q951),5)=0,OFFSET(装备属性!$G$1083,1+INT(COUNTA($Q$11:Q951)/5),0),L951)</f>
        <v>毒毒不怕Ⅰ</v>
      </c>
      <c r="M952" s="89" t="str">
        <f ca="1">IF(MOD(COUNTIF($Q$11:Q951,Q951),5)=0,OFFSET(装备属性!$H$1083,1+INT(COUNTA($Q$11:Q951)/5),0),M951)</f>
        <v>drug_dmg_red_rate</v>
      </c>
      <c r="N952" s="76">
        <f ca="1">IF(MOD(COUNTIF($Q$11:Q951,Q951),5)=0,OFFSET(装备属性!$K$1083,1+INT(COUNTA($Q$11:Q951)/5),0),N951)</f>
        <v>0.015</v>
      </c>
      <c r="O952" s="76">
        <f ca="1">IF(MOD(COUNTIF($Q$11:Q951,Q951),5)=0,OFFSET(装备属性!$L$1083,1+INT(COUNTA($Q$11:Q951)/5),0),O951)</f>
        <v>0.019</v>
      </c>
      <c r="Q952" s="89" t="str">
        <f ca="1">IF(MOD(COUNTIF($Q$11:Q951,Q951),5)=0,OFFSET(装备属性!$M$1083,1+INT(COUNTA($Q$11:Q951)/5),0),Q951)</f>
        <v>通用属性</v>
      </c>
      <c r="R952" s="83">
        <f ca="1">IF(MOD(COUNTIF($Q$11:Q951,Q951),5)=0,10000*SUBSTITUTE(SUBSTITUTE(OFFSET(装备属性!$F$1083,1+INT(COUNTA($Q$11:Q951)/5),0),"[",""),"]","")+_xlfn.XLOOKUP(C952,$M$3:$M$7,$N$3:$N$7)*100,R951)</f>
        <v>40400</v>
      </c>
    </row>
    <row r="953" customHeight="1" spans="1:18">
      <c r="A953" s="78">
        <f ca="1" t="shared" si="42"/>
        <v>40401</v>
      </c>
      <c r="B953" s="82">
        <f ca="1">IFERROR(R953+COUNTIFS($R$11:$R953,R953),"")</f>
        <v>40413</v>
      </c>
      <c r="C953" s="83" t="str">
        <f ca="1">IF(MOD(COUNTIF($Q$11:Q952,Q952),5)=0,OFFSET(装备属性!$D$1083,1+INT(COUNTA($Q$11:Q952)/5),0),C952)</f>
        <v>紫</v>
      </c>
      <c r="D953" s="82">
        <f t="shared" si="44"/>
        <v>2000</v>
      </c>
      <c r="F953" s="82">
        <f ca="1" t="shared" si="43"/>
        <v>40402</v>
      </c>
      <c r="G953" s="78" t="str">
        <f ca="1">IF(AND(LEFT("[{"&amp;M953&amp;","&amp;CEILING(N953*10000+(O953-N953)/4*(COUNTIF($F$11:F953,F953)-1)*10000,10)&amp;"}]",7)="[{equip",MID("[{"&amp;M953&amp;","&amp;CEILING(N953*10000+(O953-N953)/4*(COUNTIF($F$11:F953,F953)-1)*10000,10)&amp;"}]",8,1)&lt;&gt;"_"),"[{"&amp;M953&amp;","&amp;1&amp;"}]","[{"&amp;M953&amp;","&amp;CEILING(N953*10000+(O953-N953)/4*(COUNTIF($F$11:F953,F953)-1)*10000,10)&amp;"}]")</f>
        <v>[{drug_dmg_red_rate,170}]</v>
      </c>
      <c r="H953" s="82" t="s">
        <v>563</v>
      </c>
      <c r="J953" s="78">
        <f ca="1">IF(MOD(COUNTIF($Q$11:Q952,Q952),5)=0,OFFSET(装备属性!$P$1083,1+INT(COUNTA($Q$11:Q952)/5),0),J952)</f>
        <v>5</v>
      </c>
      <c r="K953" s="83" t="str">
        <f ca="1">IF(RIGHT(G953,13)="rune_slot,1}]",_xlfn.XLOOKUP(LEFT(SUBSTITUTE(G953,"[{",""),FIND(",",SUBSTITUTE(G953,"[{",""))-1),Sheet2!B:B,Sheet2!C:C)&amp;"+"&amp;1,_xlfn.XLOOKUP(LEFT(SUBSTITUTE(G953,"[{",""),FIND(",",SUBSTITUTE(G953,"[{",""))-1),Sheet2!B:B,Sheet2!C:C)&amp;"+"&amp;SUBSTITUTE(RIGHT(G953,LEN(G953)-FIND(",",G953)),"}]","")/100&amp;"%")</f>
        <v>毒系伤害减免+1.7%</v>
      </c>
      <c r="L953" s="83" t="str">
        <f ca="1">IF(MOD(COUNTIF($Q$11:Q952,Q952),5)=0,OFFSET(装备属性!$G$1083,1+INT(COUNTA($Q$11:Q952)/5),0),L952)</f>
        <v>毒毒不怕Ⅰ</v>
      </c>
      <c r="M953" s="89" t="str">
        <f ca="1">IF(MOD(COUNTIF($Q$11:Q952,Q952),5)=0,OFFSET(装备属性!$H$1083,1+INT(COUNTA($Q$11:Q952)/5),0),M952)</f>
        <v>drug_dmg_red_rate</v>
      </c>
      <c r="N953" s="76">
        <f ca="1">IF(MOD(COUNTIF($Q$11:Q952,Q952),5)=0,OFFSET(装备属性!$K$1083,1+INT(COUNTA($Q$11:Q952)/5),0),N952)</f>
        <v>0.015</v>
      </c>
      <c r="O953" s="76">
        <f ca="1">IF(MOD(COUNTIF($Q$11:Q952,Q952),5)=0,OFFSET(装备属性!$L$1083,1+INT(COUNTA($Q$11:Q952)/5),0),O952)</f>
        <v>0.019</v>
      </c>
      <c r="Q953" s="89" t="str">
        <f ca="1">IF(MOD(COUNTIF($Q$11:Q952,Q952),5)=0,OFFSET(装备属性!$M$1083,1+INT(COUNTA($Q$11:Q952)/5),0),Q952)</f>
        <v>通用属性</v>
      </c>
      <c r="R953" s="83">
        <f ca="1">IF(MOD(COUNTIF($Q$11:Q952,Q952),5)=0,10000*SUBSTITUTE(SUBSTITUTE(OFFSET(装备属性!$F$1083,1+INT(COUNTA($Q$11:Q952)/5),0),"[",""),"]","")+_xlfn.XLOOKUP(C953,$M$3:$M$7,$N$3:$N$7)*100,R952)</f>
        <v>40400</v>
      </c>
    </row>
    <row r="954" customHeight="1" spans="1:18">
      <c r="A954" s="78">
        <f ca="1" t="shared" si="42"/>
        <v>40401</v>
      </c>
      <c r="B954" s="82">
        <f ca="1">IFERROR(R954+COUNTIFS($R$11:$R954,R954),"")</f>
        <v>40414</v>
      </c>
      <c r="C954" s="83" t="str">
        <f ca="1">IF(MOD(COUNTIF($Q$11:Q953,Q953),5)=0,OFFSET(装备属性!$D$1083,1+INT(COUNTA($Q$11:Q953)/5),0),C953)</f>
        <v>紫</v>
      </c>
      <c r="D954" s="82">
        <f t="shared" si="44"/>
        <v>1500</v>
      </c>
      <c r="F954" s="82">
        <f ca="1" t="shared" si="43"/>
        <v>40402</v>
      </c>
      <c r="G954" s="78" t="str">
        <f ca="1">IF(AND(LEFT("[{"&amp;M954&amp;","&amp;CEILING(N954*10000+(O954-N954)/4*(COUNTIF($F$11:F954,F954)-1)*10000,10)&amp;"}]",7)="[{equip",MID("[{"&amp;M954&amp;","&amp;CEILING(N954*10000+(O954-N954)/4*(COUNTIF($F$11:F954,F954)-1)*10000,10)&amp;"}]",8,1)&lt;&gt;"_"),"[{"&amp;M954&amp;","&amp;1&amp;"}]","[{"&amp;M954&amp;","&amp;CEILING(N954*10000+(O954-N954)/4*(COUNTIF($F$11:F954,F954)-1)*10000,10)&amp;"}]")</f>
        <v>[{drug_dmg_red_rate,180}]</v>
      </c>
      <c r="H954" s="82" t="s">
        <v>563</v>
      </c>
      <c r="J954" s="78">
        <f ca="1">IF(MOD(COUNTIF($Q$11:Q953,Q953),5)=0,OFFSET(装备属性!$P$1083,1+INT(COUNTA($Q$11:Q953)/5),0),J953)</f>
        <v>5</v>
      </c>
      <c r="K954" s="83" t="str">
        <f ca="1">IF(RIGHT(G954,13)="rune_slot,1}]",_xlfn.XLOOKUP(LEFT(SUBSTITUTE(G954,"[{",""),FIND(",",SUBSTITUTE(G954,"[{",""))-1),Sheet2!B:B,Sheet2!C:C)&amp;"+"&amp;1,_xlfn.XLOOKUP(LEFT(SUBSTITUTE(G954,"[{",""),FIND(",",SUBSTITUTE(G954,"[{",""))-1),Sheet2!B:B,Sheet2!C:C)&amp;"+"&amp;SUBSTITUTE(RIGHT(G954,LEN(G954)-FIND(",",G954)),"}]","")/100&amp;"%")</f>
        <v>毒系伤害减免+1.8%</v>
      </c>
      <c r="L954" s="83" t="str">
        <f ca="1">IF(MOD(COUNTIF($Q$11:Q953,Q953),5)=0,OFFSET(装备属性!$G$1083,1+INT(COUNTA($Q$11:Q953)/5),0),L953)</f>
        <v>毒毒不怕Ⅰ</v>
      </c>
      <c r="M954" s="89" t="str">
        <f ca="1">IF(MOD(COUNTIF($Q$11:Q953,Q953),5)=0,OFFSET(装备属性!$H$1083,1+INT(COUNTA($Q$11:Q953)/5),0),M953)</f>
        <v>drug_dmg_red_rate</v>
      </c>
      <c r="N954" s="76">
        <f ca="1">IF(MOD(COUNTIF($Q$11:Q953,Q953),5)=0,OFFSET(装备属性!$K$1083,1+INT(COUNTA($Q$11:Q953)/5),0),N953)</f>
        <v>0.015</v>
      </c>
      <c r="O954" s="76">
        <f ca="1">IF(MOD(COUNTIF($Q$11:Q953,Q953),5)=0,OFFSET(装备属性!$L$1083,1+INT(COUNTA($Q$11:Q953)/5),0),O953)</f>
        <v>0.019</v>
      </c>
      <c r="Q954" s="89" t="str">
        <f ca="1">IF(MOD(COUNTIF($Q$11:Q953,Q953),5)=0,OFFSET(装备属性!$M$1083,1+INT(COUNTA($Q$11:Q953)/5),0),Q953)</f>
        <v>通用属性</v>
      </c>
      <c r="R954" s="83">
        <f ca="1">IF(MOD(COUNTIF($Q$11:Q953,Q953),5)=0,10000*SUBSTITUTE(SUBSTITUTE(OFFSET(装备属性!$F$1083,1+INT(COUNTA($Q$11:Q953)/5),0),"[",""),"]","")+_xlfn.XLOOKUP(C954,$M$3:$M$7,$N$3:$N$7)*100,R953)</f>
        <v>40400</v>
      </c>
    </row>
    <row r="955" customHeight="1" spans="1:18">
      <c r="A955" s="78">
        <f ca="1" t="shared" si="42"/>
        <v>40401</v>
      </c>
      <c r="B955" s="82">
        <f ca="1">IFERROR(R955+COUNTIFS($R$11:$R955,R955),"")</f>
        <v>40415</v>
      </c>
      <c r="C955" s="83" t="str">
        <f ca="1">IF(MOD(COUNTIF($Q$11:Q954,Q954),5)=0,OFFSET(装备属性!$D$1083,1+INT(COUNTA($Q$11:Q954)/5),0),C954)</f>
        <v>紫</v>
      </c>
      <c r="D955" s="82">
        <f t="shared" si="44"/>
        <v>1000</v>
      </c>
      <c r="F955" s="82">
        <f ca="1" t="shared" si="43"/>
        <v>40402</v>
      </c>
      <c r="G955" s="78" t="str">
        <f ca="1">IF(AND(LEFT("[{"&amp;M955&amp;","&amp;CEILING(N955*10000+(O955-N955)/4*(COUNTIF($F$11:F955,F955)-1)*10000,10)&amp;"}]",7)="[{equip",MID("[{"&amp;M955&amp;","&amp;CEILING(N955*10000+(O955-N955)/4*(COUNTIF($F$11:F955,F955)-1)*10000,10)&amp;"}]",8,1)&lt;&gt;"_"),"[{"&amp;M955&amp;","&amp;1&amp;"}]","[{"&amp;M955&amp;","&amp;CEILING(N955*10000+(O955-N955)/4*(COUNTIF($F$11:F955,F955)-1)*10000,10)&amp;"}]")</f>
        <v>[{drug_dmg_red_rate,190}]</v>
      </c>
      <c r="H955" s="82" t="s">
        <v>563</v>
      </c>
      <c r="J955" s="78">
        <f ca="1">IF(MOD(COUNTIF($Q$11:Q954,Q954),5)=0,OFFSET(装备属性!$P$1083,1+INT(COUNTA($Q$11:Q954)/5),0),J954)</f>
        <v>5</v>
      </c>
      <c r="K955" s="83" t="str">
        <f ca="1">IF(RIGHT(G955,13)="rune_slot,1}]",_xlfn.XLOOKUP(LEFT(SUBSTITUTE(G955,"[{",""),FIND(",",SUBSTITUTE(G955,"[{",""))-1),Sheet2!B:B,Sheet2!C:C)&amp;"+"&amp;1,_xlfn.XLOOKUP(LEFT(SUBSTITUTE(G955,"[{",""),FIND(",",SUBSTITUTE(G955,"[{",""))-1),Sheet2!B:B,Sheet2!C:C)&amp;"+"&amp;SUBSTITUTE(RIGHT(G955,LEN(G955)-FIND(",",G955)),"}]","")/100&amp;"%")</f>
        <v>毒系伤害减免+1.9%</v>
      </c>
      <c r="L955" s="83" t="str">
        <f ca="1">IF(MOD(COUNTIF($Q$11:Q954,Q954),5)=0,OFFSET(装备属性!$G$1083,1+INT(COUNTA($Q$11:Q954)/5),0),L954)</f>
        <v>毒毒不怕Ⅰ</v>
      </c>
      <c r="M955" s="89" t="str">
        <f ca="1">IF(MOD(COUNTIF($Q$11:Q954,Q954),5)=0,OFFSET(装备属性!$H$1083,1+INT(COUNTA($Q$11:Q954)/5),0),M954)</f>
        <v>drug_dmg_red_rate</v>
      </c>
      <c r="N955" s="76">
        <f ca="1">IF(MOD(COUNTIF($Q$11:Q954,Q954),5)=0,OFFSET(装备属性!$K$1083,1+INT(COUNTA($Q$11:Q954)/5),0),N954)</f>
        <v>0.015</v>
      </c>
      <c r="O955" s="76">
        <f ca="1">IF(MOD(COUNTIF($Q$11:Q954,Q954),5)=0,OFFSET(装备属性!$L$1083,1+INT(COUNTA($Q$11:Q954)/5),0),O954)</f>
        <v>0.019</v>
      </c>
      <c r="Q955" s="89" t="str">
        <f ca="1">IF(MOD(COUNTIF($Q$11:Q954,Q954),5)=0,OFFSET(装备属性!$M$1083,1+INT(COUNTA($Q$11:Q954)/5),0),Q954)</f>
        <v>通用属性</v>
      </c>
      <c r="R955" s="83">
        <f ca="1">IF(MOD(COUNTIF($Q$11:Q954,Q954),5)=0,10000*SUBSTITUTE(SUBSTITUTE(OFFSET(装备属性!$F$1083,1+INT(COUNTA($Q$11:Q954)/5),0),"[",""),"]","")+_xlfn.XLOOKUP(C955,$M$3:$M$7,$N$3:$N$7)*100,R954)</f>
        <v>40400</v>
      </c>
    </row>
    <row r="956" customHeight="1" spans="1:18">
      <c r="A956" s="78">
        <f ca="1" t="shared" si="42"/>
        <v>40401</v>
      </c>
      <c r="B956" s="82">
        <f ca="1">IFERROR(R956+COUNTIFS($R$11:$R956,R956),"")</f>
        <v>40416</v>
      </c>
      <c r="C956" s="83" t="str">
        <f ca="1">IF(MOD(COUNTIF($Q$11:Q955,Q955),5)=0,OFFSET(装备属性!$D$1083,1+INT(COUNTA($Q$11:Q955)/5),0),C955)</f>
        <v>紫</v>
      </c>
      <c r="D956" s="82">
        <f t="shared" si="44"/>
        <v>3000</v>
      </c>
      <c r="F956" s="82">
        <f ca="1" t="shared" si="43"/>
        <v>40403</v>
      </c>
      <c r="G956" s="78" t="str">
        <f ca="1">IF(AND(LEFT("[{"&amp;M956&amp;","&amp;CEILING(N956*10000+(O956-N956)/4*(COUNTIF($F$11:F956,F956)-1)*10000,10)&amp;"}]",7)="[{equip",MID("[{"&amp;M956&amp;","&amp;CEILING(N956*10000+(O956-N956)/4*(COUNTIF($F$11:F956,F956)-1)*10000,10)&amp;"}]",8,1)&lt;&gt;"_"),"[{"&amp;M956&amp;","&amp;1&amp;"}]","[{"&amp;M956&amp;","&amp;CEILING(N956*10000+(O956-N956)/4*(COUNTIF($F$11:F956,F956)-1)*10000,10)&amp;"}]")</f>
        <v>[{drug_dmg_rate,440}]</v>
      </c>
      <c r="H956" s="82" t="s">
        <v>563</v>
      </c>
      <c r="J956" s="78">
        <f ca="1">IF(MOD(COUNTIF($Q$11:Q955,Q955),5)=0,OFFSET(装备属性!$P$1083,1+INT(COUNTA($Q$11:Q955)/5),0),J955)</f>
        <v>3</v>
      </c>
      <c r="K956" s="83" t="str">
        <f ca="1">IF(RIGHT(G956,13)="rune_slot,1}]",_xlfn.XLOOKUP(LEFT(SUBSTITUTE(G956,"[{",""),FIND(",",SUBSTITUTE(G956,"[{",""))-1),Sheet2!B:B,Sheet2!C:C)&amp;"+"&amp;1,_xlfn.XLOOKUP(LEFT(SUBSTITUTE(G956,"[{",""),FIND(",",SUBSTITUTE(G956,"[{",""))-1),Sheet2!B:B,Sheet2!C:C)&amp;"+"&amp;SUBSTITUTE(RIGHT(G956,LEN(G956)-FIND(",",G956)),"}]","")/100&amp;"%")</f>
        <v>毒系伤害+4.4%</v>
      </c>
      <c r="L956" s="83" t="str">
        <f ca="1">IF(MOD(COUNTIF($Q$11:Q955,Q955),5)=0,OFFSET(装备属性!$G$1083,1+INT(COUNTA($Q$11:Q955)/5),0),L955)</f>
        <v>毒毒加量Ⅰ</v>
      </c>
      <c r="M956" s="89" t="str">
        <f ca="1">IF(MOD(COUNTIF($Q$11:Q955,Q955),5)=0,OFFSET(装备属性!$H$1083,1+INT(COUNTA($Q$11:Q955)/5),0),M955)</f>
        <v>drug_dmg_rate</v>
      </c>
      <c r="N956" s="76">
        <f ca="1">IF(MOD(COUNTIF($Q$11:Q955,Q955),5)=0,OFFSET(装备属性!$K$1083,1+INT(COUNTA($Q$11:Q955)/5),0),N955)</f>
        <v>0.044</v>
      </c>
      <c r="O956" s="76">
        <f ca="1">IF(MOD(COUNTIF($Q$11:Q955,Q955),5)=0,OFFSET(装备属性!$L$1083,1+INT(COUNTA($Q$11:Q955)/5),0),O955)</f>
        <v>0.058</v>
      </c>
      <c r="Q956" s="89" t="str">
        <f ca="1">IF(MOD(COUNTIF($Q$11:Q955,Q955),5)=0,OFFSET(装备属性!$M$1083,1+INT(COUNTA($Q$11:Q955)/5),0),Q955)</f>
        <v>通用属性</v>
      </c>
      <c r="R956" s="83">
        <f ca="1">IF(MOD(COUNTIF($Q$11:Q955,Q955),5)=0,10000*SUBSTITUTE(SUBSTITUTE(OFFSET(装备属性!$F$1083,1+INT(COUNTA($Q$11:Q955)/5),0),"[",""),"]","")+_xlfn.XLOOKUP(C956,$M$3:$M$7,$N$3:$N$7)*100,R955)</f>
        <v>40400</v>
      </c>
    </row>
    <row r="957" customHeight="1" spans="1:18">
      <c r="A957" s="78">
        <f ca="1" t="shared" si="42"/>
        <v>40401</v>
      </c>
      <c r="B957" s="82">
        <f ca="1">IFERROR(R957+COUNTIFS($R$11:$R957,R957),"")</f>
        <v>40417</v>
      </c>
      <c r="C957" s="83" t="str">
        <f ca="1">IF(MOD(COUNTIF($Q$11:Q956,Q956),5)=0,OFFSET(装备属性!$D$1083,1+INT(COUNTA($Q$11:Q956)/5),0),C956)</f>
        <v>紫</v>
      </c>
      <c r="D957" s="82">
        <f t="shared" si="44"/>
        <v>2500</v>
      </c>
      <c r="F957" s="82">
        <f ca="1" t="shared" si="43"/>
        <v>40403</v>
      </c>
      <c r="G957" s="78" t="str">
        <f ca="1">IF(AND(LEFT("[{"&amp;M957&amp;","&amp;CEILING(N957*10000+(O957-N957)/4*(COUNTIF($F$11:F957,F957)-1)*10000,10)&amp;"}]",7)="[{equip",MID("[{"&amp;M957&amp;","&amp;CEILING(N957*10000+(O957-N957)/4*(COUNTIF($F$11:F957,F957)-1)*10000,10)&amp;"}]",8,1)&lt;&gt;"_"),"[{"&amp;M957&amp;","&amp;1&amp;"}]","[{"&amp;M957&amp;","&amp;CEILING(N957*10000+(O957-N957)/4*(COUNTIF($F$11:F957,F957)-1)*10000,10)&amp;"}]")</f>
        <v>[{drug_dmg_rate,480}]</v>
      </c>
      <c r="H957" s="82" t="s">
        <v>563</v>
      </c>
      <c r="J957" s="78">
        <f ca="1">IF(MOD(COUNTIF($Q$11:Q956,Q956),5)=0,OFFSET(装备属性!$P$1083,1+INT(COUNTA($Q$11:Q956)/5),0),J956)</f>
        <v>3</v>
      </c>
      <c r="K957" s="83" t="str">
        <f ca="1">IF(RIGHT(G957,13)="rune_slot,1}]",_xlfn.XLOOKUP(LEFT(SUBSTITUTE(G957,"[{",""),FIND(",",SUBSTITUTE(G957,"[{",""))-1),Sheet2!B:B,Sheet2!C:C)&amp;"+"&amp;1,_xlfn.XLOOKUP(LEFT(SUBSTITUTE(G957,"[{",""),FIND(",",SUBSTITUTE(G957,"[{",""))-1),Sheet2!B:B,Sheet2!C:C)&amp;"+"&amp;SUBSTITUTE(RIGHT(G957,LEN(G957)-FIND(",",G957)),"}]","")/100&amp;"%")</f>
        <v>毒系伤害+4.8%</v>
      </c>
      <c r="L957" s="83" t="str">
        <f ca="1">IF(MOD(COUNTIF($Q$11:Q956,Q956),5)=0,OFFSET(装备属性!$G$1083,1+INT(COUNTA($Q$11:Q956)/5),0),L956)</f>
        <v>毒毒加量Ⅰ</v>
      </c>
      <c r="M957" s="89" t="str">
        <f ca="1">IF(MOD(COUNTIF($Q$11:Q956,Q956),5)=0,OFFSET(装备属性!$H$1083,1+INT(COUNTA($Q$11:Q956)/5),0),M956)</f>
        <v>drug_dmg_rate</v>
      </c>
      <c r="N957" s="76">
        <f ca="1">IF(MOD(COUNTIF($Q$11:Q956,Q956),5)=0,OFFSET(装备属性!$K$1083,1+INT(COUNTA($Q$11:Q956)/5),0),N956)</f>
        <v>0.044</v>
      </c>
      <c r="O957" s="76">
        <f ca="1">IF(MOD(COUNTIF($Q$11:Q956,Q956),5)=0,OFFSET(装备属性!$L$1083,1+INT(COUNTA($Q$11:Q956)/5),0),O956)</f>
        <v>0.058</v>
      </c>
      <c r="Q957" s="89" t="str">
        <f ca="1">IF(MOD(COUNTIF($Q$11:Q956,Q956),5)=0,OFFSET(装备属性!$M$1083,1+INT(COUNTA($Q$11:Q956)/5),0),Q956)</f>
        <v>通用属性</v>
      </c>
      <c r="R957" s="83">
        <f ca="1">IF(MOD(COUNTIF($Q$11:Q956,Q956),5)=0,10000*SUBSTITUTE(SUBSTITUTE(OFFSET(装备属性!$F$1083,1+INT(COUNTA($Q$11:Q956)/5),0),"[",""),"]","")+_xlfn.XLOOKUP(C957,$M$3:$M$7,$N$3:$N$7)*100,R956)</f>
        <v>40400</v>
      </c>
    </row>
    <row r="958" customHeight="1" spans="1:18">
      <c r="A958" s="78">
        <f ca="1" t="shared" si="42"/>
        <v>40401</v>
      </c>
      <c r="B958" s="82">
        <f ca="1">IFERROR(R958+COUNTIFS($R$11:$R958,R958),"")</f>
        <v>40418</v>
      </c>
      <c r="C958" s="83" t="str">
        <f ca="1">IF(MOD(COUNTIF($Q$11:Q957,Q957),5)=0,OFFSET(装备属性!$D$1083,1+INT(COUNTA($Q$11:Q957)/5),0),C957)</f>
        <v>紫</v>
      </c>
      <c r="D958" s="82">
        <f t="shared" si="44"/>
        <v>2000</v>
      </c>
      <c r="F958" s="82">
        <f ca="1" t="shared" si="43"/>
        <v>40403</v>
      </c>
      <c r="G958" s="78" t="str">
        <f ca="1">IF(AND(LEFT("[{"&amp;M958&amp;","&amp;CEILING(N958*10000+(O958-N958)/4*(COUNTIF($F$11:F958,F958)-1)*10000,10)&amp;"}]",7)="[{equip",MID("[{"&amp;M958&amp;","&amp;CEILING(N958*10000+(O958-N958)/4*(COUNTIF($F$11:F958,F958)-1)*10000,10)&amp;"}]",8,1)&lt;&gt;"_"),"[{"&amp;M958&amp;","&amp;1&amp;"}]","[{"&amp;M958&amp;","&amp;CEILING(N958*10000+(O958-N958)/4*(COUNTIF($F$11:F958,F958)-1)*10000,10)&amp;"}]")</f>
        <v>[{drug_dmg_rate,510}]</v>
      </c>
      <c r="H958" s="82" t="s">
        <v>563</v>
      </c>
      <c r="J958" s="78">
        <f ca="1">IF(MOD(COUNTIF($Q$11:Q957,Q957),5)=0,OFFSET(装备属性!$P$1083,1+INT(COUNTA($Q$11:Q957)/5),0),J957)</f>
        <v>3</v>
      </c>
      <c r="K958" s="83" t="str">
        <f ca="1">IF(RIGHT(G958,13)="rune_slot,1}]",_xlfn.XLOOKUP(LEFT(SUBSTITUTE(G958,"[{",""),FIND(",",SUBSTITUTE(G958,"[{",""))-1),Sheet2!B:B,Sheet2!C:C)&amp;"+"&amp;1,_xlfn.XLOOKUP(LEFT(SUBSTITUTE(G958,"[{",""),FIND(",",SUBSTITUTE(G958,"[{",""))-1),Sheet2!B:B,Sheet2!C:C)&amp;"+"&amp;SUBSTITUTE(RIGHT(G958,LEN(G958)-FIND(",",G958)),"}]","")/100&amp;"%")</f>
        <v>毒系伤害+5.1%</v>
      </c>
      <c r="L958" s="83" t="str">
        <f ca="1">IF(MOD(COUNTIF($Q$11:Q957,Q957),5)=0,OFFSET(装备属性!$G$1083,1+INT(COUNTA($Q$11:Q957)/5),0),L957)</f>
        <v>毒毒加量Ⅰ</v>
      </c>
      <c r="M958" s="89" t="str">
        <f ca="1">IF(MOD(COUNTIF($Q$11:Q957,Q957),5)=0,OFFSET(装备属性!$H$1083,1+INT(COUNTA($Q$11:Q957)/5),0),M957)</f>
        <v>drug_dmg_rate</v>
      </c>
      <c r="N958" s="76">
        <f ca="1">IF(MOD(COUNTIF($Q$11:Q957,Q957),5)=0,OFFSET(装备属性!$K$1083,1+INT(COUNTA($Q$11:Q957)/5),0),N957)</f>
        <v>0.044</v>
      </c>
      <c r="O958" s="76">
        <f ca="1">IF(MOD(COUNTIF($Q$11:Q957,Q957),5)=0,OFFSET(装备属性!$L$1083,1+INT(COUNTA($Q$11:Q957)/5),0),O957)</f>
        <v>0.058</v>
      </c>
      <c r="Q958" s="89" t="str">
        <f ca="1">IF(MOD(COUNTIF($Q$11:Q957,Q957),5)=0,OFFSET(装备属性!$M$1083,1+INT(COUNTA($Q$11:Q957)/5),0),Q957)</f>
        <v>通用属性</v>
      </c>
      <c r="R958" s="83">
        <f ca="1">IF(MOD(COUNTIF($Q$11:Q957,Q957),5)=0,10000*SUBSTITUTE(SUBSTITUTE(OFFSET(装备属性!$F$1083,1+INT(COUNTA($Q$11:Q957)/5),0),"[",""),"]","")+_xlfn.XLOOKUP(C958,$M$3:$M$7,$N$3:$N$7)*100,R957)</f>
        <v>40400</v>
      </c>
    </row>
    <row r="959" customHeight="1" spans="1:18">
      <c r="A959" s="78">
        <f ca="1" t="shared" si="42"/>
        <v>40401</v>
      </c>
      <c r="B959" s="82">
        <f ca="1">IFERROR(R959+COUNTIFS($R$11:$R959,R959),"")</f>
        <v>40419</v>
      </c>
      <c r="C959" s="83" t="str">
        <f ca="1">IF(MOD(COUNTIF($Q$11:Q958,Q958),5)=0,OFFSET(装备属性!$D$1083,1+INT(COUNTA($Q$11:Q958)/5),0),C958)</f>
        <v>紫</v>
      </c>
      <c r="D959" s="82">
        <f t="shared" si="44"/>
        <v>1500</v>
      </c>
      <c r="F959" s="82">
        <f ca="1" t="shared" si="43"/>
        <v>40403</v>
      </c>
      <c r="G959" s="78" t="str">
        <f ca="1">IF(AND(LEFT("[{"&amp;M959&amp;","&amp;CEILING(N959*10000+(O959-N959)/4*(COUNTIF($F$11:F959,F959)-1)*10000,10)&amp;"}]",7)="[{equip",MID("[{"&amp;M959&amp;","&amp;CEILING(N959*10000+(O959-N959)/4*(COUNTIF($F$11:F959,F959)-1)*10000,10)&amp;"}]",8,1)&lt;&gt;"_"),"[{"&amp;M959&amp;","&amp;1&amp;"}]","[{"&amp;M959&amp;","&amp;CEILING(N959*10000+(O959-N959)/4*(COUNTIF($F$11:F959,F959)-1)*10000,10)&amp;"}]")</f>
        <v>[{drug_dmg_rate,550}]</v>
      </c>
      <c r="H959" s="82" t="s">
        <v>563</v>
      </c>
      <c r="J959" s="78">
        <f ca="1">IF(MOD(COUNTIF($Q$11:Q958,Q958),5)=0,OFFSET(装备属性!$P$1083,1+INT(COUNTA($Q$11:Q958)/5),0),J958)</f>
        <v>3</v>
      </c>
      <c r="K959" s="83" t="str">
        <f ca="1">IF(RIGHT(G959,13)="rune_slot,1}]",_xlfn.XLOOKUP(LEFT(SUBSTITUTE(G959,"[{",""),FIND(",",SUBSTITUTE(G959,"[{",""))-1),Sheet2!B:B,Sheet2!C:C)&amp;"+"&amp;1,_xlfn.XLOOKUP(LEFT(SUBSTITUTE(G959,"[{",""),FIND(",",SUBSTITUTE(G959,"[{",""))-1),Sheet2!B:B,Sheet2!C:C)&amp;"+"&amp;SUBSTITUTE(RIGHT(G959,LEN(G959)-FIND(",",G959)),"}]","")/100&amp;"%")</f>
        <v>毒系伤害+5.5%</v>
      </c>
      <c r="L959" s="83" t="str">
        <f ca="1">IF(MOD(COUNTIF($Q$11:Q958,Q958),5)=0,OFFSET(装备属性!$G$1083,1+INT(COUNTA($Q$11:Q958)/5),0),L958)</f>
        <v>毒毒加量Ⅰ</v>
      </c>
      <c r="M959" s="89" t="str">
        <f ca="1">IF(MOD(COUNTIF($Q$11:Q958,Q958),5)=0,OFFSET(装备属性!$H$1083,1+INT(COUNTA($Q$11:Q958)/5),0),M958)</f>
        <v>drug_dmg_rate</v>
      </c>
      <c r="N959" s="76">
        <f ca="1">IF(MOD(COUNTIF($Q$11:Q958,Q958),5)=0,OFFSET(装备属性!$K$1083,1+INT(COUNTA($Q$11:Q958)/5),0),N958)</f>
        <v>0.044</v>
      </c>
      <c r="O959" s="76">
        <f ca="1">IF(MOD(COUNTIF($Q$11:Q958,Q958),5)=0,OFFSET(装备属性!$L$1083,1+INT(COUNTA($Q$11:Q958)/5),0),O958)</f>
        <v>0.058</v>
      </c>
      <c r="Q959" s="89" t="str">
        <f ca="1">IF(MOD(COUNTIF($Q$11:Q958,Q958),5)=0,OFFSET(装备属性!$M$1083,1+INT(COUNTA($Q$11:Q958)/5),0),Q958)</f>
        <v>通用属性</v>
      </c>
      <c r="R959" s="83">
        <f ca="1">IF(MOD(COUNTIF($Q$11:Q958,Q958),5)=0,10000*SUBSTITUTE(SUBSTITUTE(OFFSET(装备属性!$F$1083,1+INT(COUNTA($Q$11:Q958)/5),0),"[",""),"]","")+_xlfn.XLOOKUP(C959,$M$3:$M$7,$N$3:$N$7)*100,R958)</f>
        <v>40400</v>
      </c>
    </row>
    <row r="960" customHeight="1" spans="1:18">
      <c r="A960" s="78">
        <f ca="1" t="shared" si="42"/>
        <v>40401</v>
      </c>
      <c r="B960" s="82">
        <f ca="1">IFERROR(R960+COUNTIFS($R$11:$R960,R960),"")</f>
        <v>40420</v>
      </c>
      <c r="C960" s="83" t="str">
        <f ca="1">IF(MOD(COUNTIF($Q$11:Q959,Q959),5)=0,OFFSET(装备属性!$D$1083,1+INT(COUNTA($Q$11:Q959)/5),0),C959)</f>
        <v>紫</v>
      </c>
      <c r="D960" s="82">
        <f t="shared" si="44"/>
        <v>1000</v>
      </c>
      <c r="F960" s="82">
        <f ca="1" t="shared" si="43"/>
        <v>40403</v>
      </c>
      <c r="G960" s="78" t="str">
        <f ca="1">IF(AND(LEFT("[{"&amp;M960&amp;","&amp;CEILING(N960*10000+(O960-N960)/4*(COUNTIF($F$11:F960,F960)-1)*10000,10)&amp;"}]",7)="[{equip",MID("[{"&amp;M960&amp;","&amp;CEILING(N960*10000+(O960-N960)/4*(COUNTIF($F$11:F960,F960)-1)*10000,10)&amp;"}]",8,1)&lt;&gt;"_"),"[{"&amp;M960&amp;","&amp;1&amp;"}]","[{"&amp;M960&amp;","&amp;CEILING(N960*10000+(O960-N960)/4*(COUNTIF($F$11:F960,F960)-1)*10000,10)&amp;"}]")</f>
        <v>[{drug_dmg_rate,580}]</v>
      </c>
      <c r="H960" s="82" t="s">
        <v>563</v>
      </c>
      <c r="J960" s="78">
        <f ca="1">IF(MOD(COUNTIF($Q$11:Q959,Q959),5)=0,OFFSET(装备属性!$P$1083,1+INT(COUNTA($Q$11:Q959)/5),0),J959)</f>
        <v>3</v>
      </c>
      <c r="K960" s="83" t="str">
        <f ca="1">IF(RIGHT(G960,13)="rune_slot,1}]",_xlfn.XLOOKUP(LEFT(SUBSTITUTE(G960,"[{",""),FIND(",",SUBSTITUTE(G960,"[{",""))-1),Sheet2!B:B,Sheet2!C:C)&amp;"+"&amp;1,_xlfn.XLOOKUP(LEFT(SUBSTITUTE(G960,"[{",""),FIND(",",SUBSTITUTE(G960,"[{",""))-1),Sheet2!B:B,Sheet2!C:C)&amp;"+"&amp;SUBSTITUTE(RIGHT(G960,LEN(G960)-FIND(",",G960)),"}]","")/100&amp;"%")</f>
        <v>毒系伤害+5.8%</v>
      </c>
      <c r="L960" s="83" t="str">
        <f ca="1">IF(MOD(COUNTIF($Q$11:Q959,Q959),5)=0,OFFSET(装备属性!$G$1083,1+INT(COUNTA($Q$11:Q959)/5),0),L959)</f>
        <v>毒毒加量Ⅰ</v>
      </c>
      <c r="M960" s="89" t="str">
        <f ca="1">IF(MOD(COUNTIF($Q$11:Q959,Q959),5)=0,OFFSET(装备属性!$H$1083,1+INT(COUNTA($Q$11:Q959)/5),0),M959)</f>
        <v>drug_dmg_rate</v>
      </c>
      <c r="N960" s="76">
        <f ca="1">IF(MOD(COUNTIF($Q$11:Q959,Q959),5)=0,OFFSET(装备属性!$K$1083,1+INT(COUNTA($Q$11:Q959)/5),0),N959)</f>
        <v>0.044</v>
      </c>
      <c r="O960" s="76">
        <f ca="1">IF(MOD(COUNTIF($Q$11:Q959,Q959),5)=0,OFFSET(装备属性!$L$1083,1+INT(COUNTA($Q$11:Q959)/5),0),O959)</f>
        <v>0.058</v>
      </c>
      <c r="Q960" s="89" t="str">
        <f ca="1">IF(MOD(COUNTIF($Q$11:Q959,Q959),5)=0,OFFSET(装备属性!$M$1083,1+INT(COUNTA($Q$11:Q959)/5),0),Q959)</f>
        <v>通用属性</v>
      </c>
      <c r="R960" s="83">
        <f ca="1">IF(MOD(COUNTIF($Q$11:Q959,Q959),5)=0,10000*SUBSTITUTE(SUBSTITUTE(OFFSET(装备属性!$F$1083,1+INT(COUNTA($Q$11:Q959)/5),0),"[",""),"]","")+_xlfn.XLOOKUP(C960,$M$3:$M$7,$N$3:$N$7)*100,R959)</f>
        <v>40400</v>
      </c>
    </row>
    <row r="961" customHeight="1" spans="1:18">
      <c r="A961" s="78" t="str">
        <f ca="1" t="shared" si="42"/>
        <v/>
      </c>
      <c r="B961" s="82" t="str">
        <f ca="1">IFERROR(R961+COUNTIFS($R$11:$R961,R961),"")</f>
        <v/>
      </c>
      <c r="C961" s="83">
        <f ca="1">IF(MOD(COUNTIF($Q$11:Q960,Q960),5)=0,OFFSET(装备属性!$D$1083,1+INT(COUNTA($Q$11:Q960)/5),0),C960)</f>
        <v>0</v>
      </c>
      <c r="D961" s="82">
        <f t="shared" si="44"/>
        <v>3000</v>
      </c>
      <c r="F961" s="82" t="str">
        <f ca="1" t="shared" si="43"/>
        <v/>
      </c>
      <c r="G961" s="78" t="str">
        <f ca="1">IF(AND(LEFT("[{"&amp;M961&amp;","&amp;CEILING(N961*10000+(O961-N961)/4*(COUNTIF($F$11:F961,F961)-1)*10000,10)&amp;"}]",7)="[{equip",MID("[{"&amp;M961&amp;","&amp;CEILING(N961*10000+(O961-N961)/4*(COUNTIF($F$11:F961,F961)-1)*10000,10)&amp;"}]",8,1)&lt;&gt;"_"),"[{"&amp;M961&amp;","&amp;1&amp;"}]","[{"&amp;M961&amp;","&amp;CEILING(N961*10000+(O961-N961)/4*(COUNTIF($F$11:F961,F961)-1)*10000,10)&amp;"}]")</f>
        <v>[{drug_class_dmg_rate,15040}]</v>
      </c>
      <c r="H961" s="82" t="s">
        <v>563</v>
      </c>
      <c r="J961" s="78">
        <f ca="1">IF(MOD(COUNTIF($Q$11:Q960,Q960),5)=0,OFFSET(装备属性!$P$1083,1+INT(COUNTA($Q$11:Q960)/5),0),J960)</f>
        <v>4</v>
      </c>
      <c r="K961" s="83" t="str">
        <f ca="1">IF(RIGHT(G961,13)="rune_slot,1}]",_xlfn.XLOOKUP(LEFT(SUBSTITUTE(G961,"[{",""),FIND(",",SUBSTITUTE(G961,"[{",""))-1),Sheet2!B:B,Sheet2!C:C)&amp;"+"&amp;1,_xlfn.XLOOKUP(LEFT(SUBSTITUTE(G961,"[{",""),FIND(",",SUBSTITUTE(G961,"[{",""))-1),Sheet2!B:B,Sheet2!C:C)&amp;"+"&amp;SUBSTITUTE(RIGHT(G961,LEN(G961)-FIND(",",G961)),"}]","")/100&amp;"%")</f>
        <v>上阵两个毒系职业增伤+150.4%</v>
      </c>
      <c r="L961" s="83" t="str">
        <f ca="1">IF(MOD(COUNTIF($Q$11:Q960,Q960),5)=0,OFFSET(装备属性!$G$1083,1+INT(COUNTA($Q$11:Q960)/5),0),L960)</f>
        <v>毒毒小队Ⅰ</v>
      </c>
      <c r="M961" s="89" t="str">
        <f ca="1">IF(MOD(COUNTIF($Q$11:Q960,Q960),5)=0,OFFSET(装备属性!$H$1083,1+INT(COUNTA($Q$11:Q960)/5),0),M960)</f>
        <v>drug_class_dmg_rate</v>
      </c>
      <c r="N961" s="76">
        <f ca="1">IF(MOD(COUNTIF($Q$11:Q960,Q960),5)=0,OFFSET(装备属性!$K$1083,1+INT(COUNTA($Q$11:Q960)/5),0),N960)</f>
        <v>0.06</v>
      </c>
      <c r="O961" s="76">
        <f ca="1">IF(MOD(COUNTIF($Q$11:Q960,Q960),5)=0,OFFSET(装备属性!$L$1083,1+INT(COUNTA($Q$11:Q960)/5),0),O960)</f>
        <v>0.075</v>
      </c>
      <c r="Q961" s="89" t="str">
        <f ca="1">IF(MOD(COUNTIF($Q$11:Q960,Q960),5)=0,OFFSET(装备属性!$M$1083,1+INT(COUNTA($Q$11:Q960)/5),0),Q960)</f>
        <v>通用属性</v>
      </c>
      <c r="R961" s="83" t="e">
        <f ca="1">IF(MOD(COUNTIF($Q$11:Q960,Q960),5)=0,10000*SUBSTITUTE(SUBSTITUTE(OFFSET(装备属性!$F$1083,1+INT(COUNTA($Q$11:Q960)/5),0),"[",""),"]","")+_xlfn.XLOOKUP(C961,$M$3:$M$7,$N$3:$N$7)*100,R960)</f>
        <v>#N/A</v>
      </c>
    </row>
    <row r="962" customHeight="1" spans="1:18">
      <c r="A962" s="78" t="str">
        <f ca="1" t="shared" si="42"/>
        <v/>
      </c>
      <c r="B962" s="82" t="str">
        <f ca="1">IFERROR(R962+COUNTIFS($R$11:$R962,R962),"")</f>
        <v/>
      </c>
      <c r="C962" s="83">
        <f ca="1">IF(MOD(COUNTIF($Q$11:Q961,Q961),5)=0,OFFSET(装备属性!$D$1083,1+INT(COUNTA($Q$11:Q961)/5),0),C961)</f>
        <v>0</v>
      </c>
      <c r="D962" s="82">
        <f t="shared" si="44"/>
        <v>2500</v>
      </c>
      <c r="F962" s="82" t="str">
        <f ca="1" t="shared" si="43"/>
        <v/>
      </c>
      <c r="G962" s="78" t="str">
        <f ca="1">IF(AND(LEFT("[{"&amp;M962&amp;","&amp;CEILING(N962*10000+(O962-N962)/4*(COUNTIF($F$11:F962,F962)-1)*10000,10)&amp;"}]",7)="[{equip",MID("[{"&amp;M962&amp;","&amp;CEILING(N962*10000+(O962-N962)/4*(COUNTIF($F$11:F962,F962)-1)*10000,10)&amp;"}]",8,1)&lt;&gt;"_"),"[{"&amp;M962&amp;","&amp;1&amp;"}]","[{"&amp;M962&amp;","&amp;CEILING(N962*10000+(O962-N962)/4*(COUNTIF($F$11:F962,F962)-1)*10000,10)&amp;"}]")</f>
        <v>[{drug_class_dmg_rate,15080}]</v>
      </c>
      <c r="H962" s="82" t="s">
        <v>563</v>
      </c>
      <c r="J962" s="78">
        <f ca="1">IF(MOD(COUNTIF($Q$11:Q961,Q961),5)=0,OFFSET(装备属性!$P$1083,1+INT(COUNTA($Q$11:Q961)/5),0),J961)</f>
        <v>4</v>
      </c>
      <c r="K962" s="83" t="str">
        <f ca="1">IF(RIGHT(G962,13)="rune_slot,1}]",_xlfn.XLOOKUP(LEFT(SUBSTITUTE(G962,"[{",""),FIND(",",SUBSTITUTE(G962,"[{",""))-1),Sheet2!B:B,Sheet2!C:C)&amp;"+"&amp;1,_xlfn.XLOOKUP(LEFT(SUBSTITUTE(G962,"[{",""),FIND(",",SUBSTITUTE(G962,"[{",""))-1),Sheet2!B:B,Sheet2!C:C)&amp;"+"&amp;SUBSTITUTE(RIGHT(G962,LEN(G962)-FIND(",",G962)),"}]","")/100&amp;"%")</f>
        <v>上阵两个毒系职业增伤+150.8%</v>
      </c>
      <c r="L962" s="83" t="str">
        <f ca="1">IF(MOD(COUNTIF($Q$11:Q961,Q961),5)=0,OFFSET(装备属性!$G$1083,1+INT(COUNTA($Q$11:Q961)/5),0),L961)</f>
        <v>毒毒小队Ⅰ</v>
      </c>
      <c r="M962" s="89" t="str">
        <f ca="1">IF(MOD(COUNTIF($Q$11:Q961,Q961),5)=0,OFFSET(装备属性!$H$1083,1+INT(COUNTA($Q$11:Q961)/5),0),M961)</f>
        <v>drug_class_dmg_rate</v>
      </c>
      <c r="N962" s="76">
        <f ca="1">IF(MOD(COUNTIF($Q$11:Q961,Q961),5)=0,OFFSET(装备属性!$K$1083,1+INT(COUNTA($Q$11:Q961)/5),0),N961)</f>
        <v>0.06</v>
      </c>
      <c r="O962" s="76">
        <f ca="1">IF(MOD(COUNTIF($Q$11:Q961,Q961),5)=0,OFFSET(装备属性!$L$1083,1+INT(COUNTA($Q$11:Q961)/5),0),O961)</f>
        <v>0.075</v>
      </c>
      <c r="Q962" s="89" t="str">
        <f ca="1">IF(MOD(COUNTIF($Q$11:Q961,Q961),5)=0,OFFSET(装备属性!$M$1083,1+INT(COUNTA($Q$11:Q961)/5),0),Q961)</f>
        <v>通用属性</v>
      </c>
      <c r="R962" s="83" t="e">
        <f ca="1">IF(MOD(COUNTIF($Q$11:Q961,Q961),5)=0,10000*SUBSTITUTE(SUBSTITUTE(OFFSET(装备属性!$F$1083,1+INT(COUNTA($Q$11:Q961)/5),0),"[",""),"]","")+_xlfn.XLOOKUP(C962,$M$3:$M$7,$N$3:$N$7)*100,R961)</f>
        <v>#N/A</v>
      </c>
    </row>
    <row r="963" customHeight="1" spans="1:18">
      <c r="A963" s="78" t="str">
        <f ca="1" t="shared" si="42"/>
        <v/>
      </c>
      <c r="B963" s="82" t="str">
        <f ca="1">IFERROR(R963+COUNTIFS($R$11:$R963,R963),"")</f>
        <v/>
      </c>
      <c r="C963" s="83">
        <f ca="1">IF(MOD(COUNTIF($Q$11:Q962,Q962),5)=0,OFFSET(装备属性!$D$1083,1+INT(COUNTA($Q$11:Q962)/5),0),C962)</f>
        <v>0</v>
      </c>
      <c r="D963" s="82">
        <f t="shared" si="44"/>
        <v>2000</v>
      </c>
      <c r="F963" s="82" t="str">
        <f ca="1" t="shared" si="43"/>
        <v/>
      </c>
      <c r="G963" s="78" t="str">
        <f ca="1">IF(AND(LEFT("[{"&amp;M963&amp;","&amp;CEILING(N963*10000+(O963-N963)/4*(COUNTIF($F$11:F963,F963)-1)*10000,10)&amp;"}]",7)="[{equip",MID("[{"&amp;M963&amp;","&amp;CEILING(N963*10000+(O963-N963)/4*(COUNTIF($F$11:F963,F963)-1)*10000,10)&amp;"}]",8,1)&lt;&gt;"_"),"[{"&amp;M963&amp;","&amp;1&amp;"}]","[{"&amp;M963&amp;","&amp;CEILING(N963*10000+(O963-N963)/4*(COUNTIF($F$11:F963,F963)-1)*10000,10)&amp;"}]")</f>
        <v>[{drug_class_dmg_rate,15120}]</v>
      </c>
      <c r="H963" s="82" t="s">
        <v>563</v>
      </c>
      <c r="J963" s="78">
        <f ca="1">IF(MOD(COUNTIF($Q$11:Q962,Q962),5)=0,OFFSET(装备属性!$P$1083,1+INT(COUNTA($Q$11:Q962)/5),0),J962)</f>
        <v>4</v>
      </c>
      <c r="K963" s="83" t="str">
        <f ca="1">IF(RIGHT(G963,13)="rune_slot,1}]",_xlfn.XLOOKUP(LEFT(SUBSTITUTE(G963,"[{",""),FIND(",",SUBSTITUTE(G963,"[{",""))-1),Sheet2!B:B,Sheet2!C:C)&amp;"+"&amp;1,_xlfn.XLOOKUP(LEFT(SUBSTITUTE(G963,"[{",""),FIND(",",SUBSTITUTE(G963,"[{",""))-1),Sheet2!B:B,Sheet2!C:C)&amp;"+"&amp;SUBSTITUTE(RIGHT(G963,LEN(G963)-FIND(",",G963)),"}]","")/100&amp;"%")</f>
        <v>上阵两个毒系职业增伤+151.2%</v>
      </c>
      <c r="L963" s="83" t="str">
        <f ca="1">IF(MOD(COUNTIF($Q$11:Q962,Q962),5)=0,OFFSET(装备属性!$G$1083,1+INT(COUNTA($Q$11:Q962)/5),0),L962)</f>
        <v>毒毒小队Ⅰ</v>
      </c>
      <c r="M963" s="89" t="str">
        <f ca="1">IF(MOD(COUNTIF($Q$11:Q962,Q962),5)=0,OFFSET(装备属性!$H$1083,1+INT(COUNTA($Q$11:Q962)/5),0),M962)</f>
        <v>drug_class_dmg_rate</v>
      </c>
      <c r="N963" s="76">
        <f ca="1">IF(MOD(COUNTIF($Q$11:Q962,Q962),5)=0,OFFSET(装备属性!$K$1083,1+INT(COUNTA($Q$11:Q962)/5),0),N962)</f>
        <v>0.06</v>
      </c>
      <c r="O963" s="76">
        <f ca="1">IF(MOD(COUNTIF($Q$11:Q962,Q962),5)=0,OFFSET(装备属性!$L$1083,1+INT(COUNTA($Q$11:Q962)/5),0),O962)</f>
        <v>0.075</v>
      </c>
      <c r="Q963" s="89" t="str">
        <f ca="1">IF(MOD(COUNTIF($Q$11:Q962,Q962),5)=0,OFFSET(装备属性!$M$1083,1+INT(COUNTA($Q$11:Q962)/5),0),Q962)</f>
        <v>通用属性</v>
      </c>
      <c r="R963" s="83" t="e">
        <f ca="1">IF(MOD(COUNTIF($Q$11:Q962,Q962),5)=0,10000*SUBSTITUTE(SUBSTITUTE(OFFSET(装备属性!$F$1083,1+INT(COUNTA($Q$11:Q962)/5),0),"[",""),"]","")+_xlfn.XLOOKUP(C963,$M$3:$M$7,$N$3:$N$7)*100,R962)</f>
        <v>#N/A</v>
      </c>
    </row>
    <row r="964" customHeight="1" spans="1:18">
      <c r="A964" s="78" t="str">
        <f ca="1" t="shared" si="42"/>
        <v/>
      </c>
      <c r="B964" s="82" t="str">
        <f ca="1">IFERROR(R964+COUNTIFS($R$11:$R964,R964),"")</f>
        <v/>
      </c>
      <c r="C964" s="83">
        <f ca="1">IF(MOD(COUNTIF($Q$11:Q963,Q963),5)=0,OFFSET(装备属性!$D$1083,1+INT(COUNTA($Q$11:Q963)/5),0),C963)</f>
        <v>0</v>
      </c>
      <c r="D964" s="82">
        <f t="shared" si="44"/>
        <v>1500</v>
      </c>
      <c r="F964" s="82" t="str">
        <f ca="1" t="shared" si="43"/>
        <v/>
      </c>
      <c r="G964" s="78" t="str">
        <f ca="1">IF(AND(LEFT("[{"&amp;M964&amp;","&amp;CEILING(N964*10000+(O964-N964)/4*(COUNTIF($F$11:F964,F964)-1)*10000,10)&amp;"}]",7)="[{equip",MID("[{"&amp;M964&amp;","&amp;CEILING(N964*10000+(O964-N964)/4*(COUNTIF($F$11:F964,F964)-1)*10000,10)&amp;"}]",8,1)&lt;&gt;"_"),"[{"&amp;M964&amp;","&amp;1&amp;"}]","[{"&amp;M964&amp;","&amp;CEILING(N964*10000+(O964-N964)/4*(COUNTIF($F$11:F964,F964)-1)*10000,10)&amp;"}]")</f>
        <v>[{drug_class_dmg_rate,15150}]</v>
      </c>
      <c r="H964" s="82" t="s">
        <v>563</v>
      </c>
      <c r="J964" s="78">
        <f ca="1">IF(MOD(COUNTIF($Q$11:Q963,Q963),5)=0,OFFSET(装备属性!$P$1083,1+INT(COUNTA($Q$11:Q963)/5),0),J963)</f>
        <v>4</v>
      </c>
      <c r="K964" s="83" t="str">
        <f ca="1">IF(RIGHT(G964,13)="rune_slot,1}]",_xlfn.XLOOKUP(LEFT(SUBSTITUTE(G964,"[{",""),FIND(",",SUBSTITUTE(G964,"[{",""))-1),Sheet2!B:B,Sheet2!C:C)&amp;"+"&amp;1,_xlfn.XLOOKUP(LEFT(SUBSTITUTE(G964,"[{",""),FIND(",",SUBSTITUTE(G964,"[{",""))-1),Sheet2!B:B,Sheet2!C:C)&amp;"+"&amp;SUBSTITUTE(RIGHT(G964,LEN(G964)-FIND(",",G964)),"}]","")/100&amp;"%")</f>
        <v>上阵两个毒系职业增伤+151.5%</v>
      </c>
      <c r="L964" s="83" t="str">
        <f ca="1">IF(MOD(COUNTIF($Q$11:Q963,Q963),5)=0,OFFSET(装备属性!$G$1083,1+INT(COUNTA($Q$11:Q963)/5),0),L963)</f>
        <v>毒毒小队Ⅰ</v>
      </c>
      <c r="M964" s="89" t="str">
        <f ca="1">IF(MOD(COUNTIF($Q$11:Q963,Q963),5)=0,OFFSET(装备属性!$H$1083,1+INT(COUNTA($Q$11:Q963)/5),0),M963)</f>
        <v>drug_class_dmg_rate</v>
      </c>
      <c r="N964" s="76">
        <f ca="1">IF(MOD(COUNTIF($Q$11:Q963,Q963),5)=0,OFFSET(装备属性!$K$1083,1+INT(COUNTA($Q$11:Q963)/5),0),N963)</f>
        <v>0.06</v>
      </c>
      <c r="O964" s="76">
        <f ca="1">IF(MOD(COUNTIF($Q$11:Q963,Q963),5)=0,OFFSET(装备属性!$L$1083,1+INT(COUNTA($Q$11:Q963)/5),0),O963)</f>
        <v>0.075</v>
      </c>
      <c r="Q964" s="89" t="str">
        <f ca="1">IF(MOD(COUNTIF($Q$11:Q963,Q963),5)=0,OFFSET(装备属性!$M$1083,1+INT(COUNTA($Q$11:Q963)/5),0),Q963)</f>
        <v>通用属性</v>
      </c>
      <c r="R964" s="83" t="e">
        <f ca="1">IF(MOD(COUNTIF($Q$11:Q963,Q963),5)=0,10000*SUBSTITUTE(SUBSTITUTE(OFFSET(装备属性!$F$1083,1+INT(COUNTA($Q$11:Q963)/5),0),"[",""),"]","")+_xlfn.XLOOKUP(C964,$M$3:$M$7,$N$3:$N$7)*100,R963)</f>
        <v>#N/A</v>
      </c>
    </row>
    <row r="965" customHeight="1" spans="1:18">
      <c r="A965" s="78" t="str">
        <f ca="1" t="shared" si="42"/>
        <v/>
      </c>
      <c r="B965" s="82" t="str">
        <f ca="1">IFERROR(R965+COUNTIFS($R$11:$R965,R965),"")</f>
        <v/>
      </c>
      <c r="C965" s="83">
        <f ca="1">IF(MOD(COUNTIF($Q$11:Q964,Q964),5)=0,OFFSET(装备属性!$D$1083,1+INT(COUNTA($Q$11:Q964)/5),0),C964)</f>
        <v>0</v>
      </c>
      <c r="D965" s="82">
        <f t="shared" si="44"/>
        <v>1000</v>
      </c>
      <c r="F965" s="82" t="str">
        <f ca="1" t="shared" si="43"/>
        <v/>
      </c>
      <c r="G965" s="78" t="str">
        <f ca="1">IF(AND(LEFT("[{"&amp;M965&amp;","&amp;CEILING(N965*10000+(O965-N965)/4*(COUNTIF($F$11:F965,F965)-1)*10000,10)&amp;"}]",7)="[{equip",MID("[{"&amp;M965&amp;","&amp;CEILING(N965*10000+(O965-N965)/4*(COUNTIF($F$11:F965,F965)-1)*10000,10)&amp;"}]",8,1)&lt;&gt;"_"),"[{"&amp;M965&amp;","&amp;1&amp;"}]","[{"&amp;M965&amp;","&amp;CEILING(N965*10000+(O965-N965)/4*(COUNTIF($F$11:F965,F965)-1)*10000,10)&amp;"}]")</f>
        <v>[{drug_class_dmg_rate,15190}]</v>
      </c>
      <c r="H965" s="82" t="s">
        <v>563</v>
      </c>
      <c r="J965" s="78">
        <f ca="1">IF(MOD(COUNTIF($Q$11:Q964,Q964),5)=0,OFFSET(装备属性!$P$1083,1+INT(COUNTA($Q$11:Q964)/5),0),J964)</f>
        <v>4</v>
      </c>
      <c r="K965" s="83" t="str">
        <f ca="1">IF(RIGHT(G965,13)="rune_slot,1}]",_xlfn.XLOOKUP(LEFT(SUBSTITUTE(G965,"[{",""),FIND(",",SUBSTITUTE(G965,"[{",""))-1),Sheet2!B:B,Sheet2!C:C)&amp;"+"&amp;1,_xlfn.XLOOKUP(LEFT(SUBSTITUTE(G965,"[{",""),FIND(",",SUBSTITUTE(G965,"[{",""))-1),Sheet2!B:B,Sheet2!C:C)&amp;"+"&amp;SUBSTITUTE(RIGHT(G965,LEN(G965)-FIND(",",G965)),"}]","")/100&amp;"%")</f>
        <v>上阵两个毒系职业增伤+151.9%</v>
      </c>
      <c r="L965" s="83" t="str">
        <f ca="1">IF(MOD(COUNTIF($Q$11:Q964,Q964),5)=0,OFFSET(装备属性!$G$1083,1+INT(COUNTA($Q$11:Q964)/5),0),L964)</f>
        <v>毒毒小队Ⅰ</v>
      </c>
      <c r="M965" s="89" t="str">
        <f ca="1">IF(MOD(COUNTIF($Q$11:Q964,Q964),5)=0,OFFSET(装备属性!$H$1083,1+INT(COUNTA($Q$11:Q964)/5),0),M964)</f>
        <v>drug_class_dmg_rate</v>
      </c>
      <c r="N965" s="76">
        <f ca="1">IF(MOD(COUNTIF($Q$11:Q964,Q964),5)=0,OFFSET(装备属性!$K$1083,1+INT(COUNTA($Q$11:Q964)/5),0),N964)</f>
        <v>0.06</v>
      </c>
      <c r="O965" s="76">
        <f ca="1">IF(MOD(COUNTIF($Q$11:Q964,Q964),5)=0,OFFSET(装备属性!$L$1083,1+INT(COUNTA($Q$11:Q964)/5),0),O964)</f>
        <v>0.075</v>
      </c>
      <c r="Q965" s="89" t="str">
        <f ca="1">IF(MOD(COUNTIF($Q$11:Q964,Q964),5)=0,OFFSET(装备属性!$M$1083,1+INT(COUNTA($Q$11:Q964)/5),0),Q964)</f>
        <v>通用属性</v>
      </c>
      <c r="R965" s="83" t="e">
        <f ca="1">IF(MOD(COUNTIF($Q$11:Q964,Q964),5)=0,10000*SUBSTITUTE(SUBSTITUTE(OFFSET(装备属性!$F$1083,1+INT(COUNTA($Q$11:Q964)/5),0),"[",""),"]","")+_xlfn.XLOOKUP(C965,$M$3:$M$7,$N$3:$N$7)*100,R964)</f>
        <v>#N/A</v>
      </c>
    </row>
    <row r="966" customHeight="1" spans="1:18">
      <c r="A966" s="78">
        <f ca="1" t="shared" si="42"/>
        <v>40401</v>
      </c>
      <c r="B966" s="82">
        <f ca="1">IFERROR(R966+COUNTIFS($R$11:$R966,R966),"")</f>
        <v>40421</v>
      </c>
      <c r="C966" s="83" t="str">
        <f ca="1">IF(MOD(COUNTIF($Q$11:Q965,Q965),5)=0,OFFSET(装备属性!$D$1083,1+INT(COUNTA($Q$11:Q965)/5),0),C965)</f>
        <v>紫</v>
      </c>
      <c r="D966" s="82">
        <f t="shared" si="44"/>
        <v>3000</v>
      </c>
      <c r="F966" s="82">
        <f ca="1" t="shared" si="43"/>
        <v>40404</v>
      </c>
      <c r="G966" s="78" t="str">
        <f ca="1">IF(AND(LEFT("[{"&amp;M966&amp;","&amp;CEILING(N966*10000+(O966-N966)/4*(COUNTIF($F$11:F966,F966)-1)*10000,10)&amp;"}]",7)="[{equip",MID("[{"&amp;M966&amp;","&amp;CEILING(N966*10000+(O966-N966)/4*(COUNTIF($F$11:F966,F966)-1)*10000,10)&amp;"}]",8,1)&lt;&gt;"_"),"[{"&amp;M966&amp;","&amp;1&amp;"}]","[{"&amp;M966&amp;","&amp;CEILING(N966*10000+(O966-N966)/4*(COUNTIF($F$11:F966,F966)-1)*10000,10)&amp;"}]")</f>
        <v>[{drug_crit_dmg,2000}]</v>
      </c>
      <c r="H966" s="82" t="s">
        <v>563</v>
      </c>
      <c r="J966" s="78">
        <f ca="1">IF(MOD(COUNTIF($Q$11:Q965,Q965),5)=0,OFFSET(装备属性!$P$1083,1+INT(COUNTA($Q$11:Q965)/5),0),J965)</f>
        <v>10</v>
      </c>
      <c r="K966" s="83" t="str">
        <f ca="1">IF(RIGHT(G966,13)="rune_slot,1}]",_xlfn.XLOOKUP(LEFT(SUBSTITUTE(G966,"[{",""),FIND(",",SUBSTITUTE(G966,"[{",""))-1),Sheet2!B:B,Sheet2!C:C)&amp;"+"&amp;1,_xlfn.XLOOKUP(LEFT(SUBSTITUTE(G966,"[{",""),FIND(",",SUBSTITUTE(G966,"[{",""))-1),Sheet2!B:B,Sheet2!C:C)&amp;"+"&amp;SUBSTITUTE(RIGHT(G966,LEN(G966)-FIND(",",G966)),"}]","")/100&amp;"%")</f>
        <v>毒系暴击伤害+20%</v>
      </c>
      <c r="L966" s="83" t="str">
        <f ca="1">IF(MOD(COUNTIF($Q$11:Q965,Q965),5)=0,OFFSET(装备属性!$G$1083,1+INT(COUNTA($Q$11:Q965)/5),0),L965)</f>
        <v>暴走毒毒Ⅰ</v>
      </c>
      <c r="M966" s="89" t="str">
        <f ca="1">IF(MOD(COUNTIF($Q$11:Q965,Q965),5)=0,OFFSET(装备属性!$H$1083,1+INT(COUNTA($Q$11:Q965)/5),0),M965)</f>
        <v>drug_crit_dmg</v>
      </c>
      <c r="N966" s="76">
        <f ca="1">IF(MOD(COUNTIF($Q$11:Q965,Q965),5)=0,OFFSET(装备属性!$K$1083,1+INT(COUNTA($Q$11:Q965)/5),0),N965)</f>
        <v>0.2</v>
      </c>
      <c r="O966" s="76">
        <f ca="1">IF(MOD(COUNTIF($Q$11:Q965,Q965),5)=0,OFFSET(装备属性!$L$1083,1+INT(COUNTA($Q$11:Q965)/5),0),O965)</f>
        <v>0.24</v>
      </c>
      <c r="Q966" s="89" t="str">
        <f ca="1">IF(MOD(COUNTIF($Q$11:Q965,Q965),5)=0,OFFSET(装备属性!$M$1083,1+INT(COUNTA($Q$11:Q965)/5),0),Q965)</f>
        <v>通用属性</v>
      </c>
      <c r="R966" s="83">
        <f ca="1">IF(MOD(COUNTIF($Q$11:Q965,Q965),5)=0,10000*SUBSTITUTE(SUBSTITUTE(OFFSET(装备属性!$F$1083,1+INT(COUNTA($Q$11:Q965)/5),0),"[",""),"]","")+_xlfn.XLOOKUP(C966,$M$3:$M$7,$N$3:$N$7)*100,R965)</f>
        <v>40400</v>
      </c>
    </row>
    <row r="967" customHeight="1" spans="1:18">
      <c r="A967" s="78">
        <f ca="1" t="shared" si="42"/>
        <v>40401</v>
      </c>
      <c r="B967" s="82">
        <f ca="1">IFERROR(R967+COUNTIFS($R$11:$R967,R967),"")</f>
        <v>40422</v>
      </c>
      <c r="C967" s="83" t="str">
        <f ca="1">IF(MOD(COUNTIF($Q$11:Q966,Q966),5)=0,OFFSET(装备属性!$D$1083,1+INT(COUNTA($Q$11:Q966)/5),0),C966)</f>
        <v>紫</v>
      </c>
      <c r="D967" s="82">
        <f t="shared" si="44"/>
        <v>2500</v>
      </c>
      <c r="F967" s="82">
        <f ca="1" t="shared" si="43"/>
        <v>40404</v>
      </c>
      <c r="G967" s="78" t="str">
        <f ca="1">IF(AND(LEFT("[{"&amp;M967&amp;","&amp;CEILING(N967*10000+(O967-N967)/4*(COUNTIF($F$11:F967,F967)-1)*10000,10)&amp;"}]",7)="[{equip",MID("[{"&amp;M967&amp;","&amp;CEILING(N967*10000+(O967-N967)/4*(COUNTIF($F$11:F967,F967)-1)*10000,10)&amp;"}]",8,1)&lt;&gt;"_"),"[{"&amp;M967&amp;","&amp;1&amp;"}]","[{"&amp;M967&amp;","&amp;CEILING(N967*10000+(O967-N967)/4*(COUNTIF($F$11:F967,F967)-1)*10000,10)&amp;"}]")</f>
        <v>[{drug_crit_dmg,2100}]</v>
      </c>
      <c r="H967" s="82" t="s">
        <v>563</v>
      </c>
      <c r="J967" s="78">
        <f ca="1">IF(MOD(COUNTIF($Q$11:Q966,Q966),5)=0,OFFSET(装备属性!$P$1083,1+INT(COUNTA($Q$11:Q966)/5),0),J966)</f>
        <v>10</v>
      </c>
      <c r="K967" s="83" t="str">
        <f ca="1">IF(RIGHT(G967,13)="rune_slot,1}]",_xlfn.XLOOKUP(LEFT(SUBSTITUTE(G967,"[{",""),FIND(",",SUBSTITUTE(G967,"[{",""))-1),Sheet2!B:B,Sheet2!C:C)&amp;"+"&amp;1,_xlfn.XLOOKUP(LEFT(SUBSTITUTE(G967,"[{",""),FIND(",",SUBSTITUTE(G967,"[{",""))-1),Sheet2!B:B,Sheet2!C:C)&amp;"+"&amp;SUBSTITUTE(RIGHT(G967,LEN(G967)-FIND(",",G967)),"}]","")/100&amp;"%")</f>
        <v>毒系暴击伤害+21%</v>
      </c>
      <c r="L967" s="83" t="str">
        <f ca="1">IF(MOD(COUNTIF($Q$11:Q966,Q966),5)=0,OFFSET(装备属性!$G$1083,1+INT(COUNTA($Q$11:Q966)/5),0),L966)</f>
        <v>暴走毒毒Ⅰ</v>
      </c>
      <c r="M967" s="89" t="str">
        <f ca="1">IF(MOD(COUNTIF($Q$11:Q966,Q966),5)=0,OFFSET(装备属性!$H$1083,1+INT(COUNTA($Q$11:Q966)/5),0),M966)</f>
        <v>drug_crit_dmg</v>
      </c>
      <c r="N967" s="76">
        <f ca="1">IF(MOD(COUNTIF($Q$11:Q966,Q966),5)=0,OFFSET(装备属性!$K$1083,1+INT(COUNTA($Q$11:Q966)/5),0),N966)</f>
        <v>0.2</v>
      </c>
      <c r="O967" s="76">
        <f ca="1">IF(MOD(COUNTIF($Q$11:Q966,Q966),5)=0,OFFSET(装备属性!$L$1083,1+INT(COUNTA($Q$11:Q966)/5),0),O966)</f>
        <v>0.24</v>
      </c>
      <c r="Q967" s="89" t="str">
        <f ca="1">IF(MOD(COUNTIF($Q$11:Q966,Q966),5)=0,OFFSET(装备属性!$M$1083,1+INT(COUNTA($Q$11:Q966)/5),0),Q966)</f>
        <v>通用属性</v>
      </c>
      <c r="R967" s="83">
        <f ca="1">IF(MOD(COUNTIF($Q$11:Q966,Q966),5)=0,10000*SUBSTITUTE(SUBSTITUTE(OFFSET(装备属性!$F$1083,1+INT(COUNTA($Q$11:Q966)/5),0),"[",""),"]","")+_xlfn.XLOOKUP(C967,$M$3:$M$7,$N$3:$N$7)*100,R966)</f>
        <v>40400</v>
      </c>
    </row>
    <row r="968" customHeight="1" spans="1:18">
      <c r="A968" s="78">
        <f ca="1" t="shared" si="42"/>
        <v>40401</v>
      </c>
      <c r="B968" s="82">
        <f ca="1">IFERROR(R968+COUNTIFS($R$11:$R968,R968),"")</f>
        <v>40423</v>
      </c>
      <c r="C968" s="83" t="str">
        <f ca="1">IF(MOD(COUNTIF($Q$11:Q967,Q967),5)=0,OFFSET(装备属性!$D$1083,1+INT(COUNTA($Q$11:Q967)/5),0),C967)</f>
        <v>紫</v>
      </c>
      <c r="D968" s="82">
        <f t="shared" si="44"/>
        <v>2000</v>
      </c>
      <c r="F968" s="82">
        <f ca="1" t="shared" si="43"/>
        <v>40404</v>
      </c>
      <c r="G968" s="78" t="str">
        <f ca="1">IF(AND(LEFT("[{"&amp;M968&amp;","&amp;CEILING(N968*10000+(O968-N968)/4*(COUNTIF($F$11:F968,F968)-1)*10000,10)&amp;"}]",7)="[{equip",MID("[{"&amp;M968&amp;","&amp;CEILING(N968*10000+(O968-N968)/4*(COUNTIF($F$11:F968,F968)-1)*10000,10)&amp;"}]",8,1)&lt;&gt;"_"),"[{"&amp;M968&amp;","&amp;1&amp;"}]","[{"&amp;M968&amp;","&amp;CEILING(N968*10000+(O968-N968)/4*(COUNTIF($F$11:F968,F968)-1)*10000,10)&amp;"}]")</f>
        <v>[{drug_crit_dmg,2200}]</v>
      </c>
      <c r="H968" s="82" t="s">
        <v>563</v>
      </c>
      <c r="J968" s="78">
        <f ca="1">IF(MOD(COUNTIF($Q$11:Q967,Q967),5)=0,OFFSET(装备属性!$P$1083,1+INT(COUNTA($Q$11:Q967)/5),0),J967)</f>
        <v>10</v>
      </c>
      <c r="K968" s="83" t="str">
        <f ca="1">IF(RIGHT(G968,13)="rune_slot,1}]",_xlfn.XLOOKUP(LEFT(SUBSTITUTE(G968,"[{",""),FIND(",",SUBSTITUTE(G968,"[{",""))-1),Sheet2!B:B,Sheet2!C:C)&amp;"+"&amp;1,_xlfn.XLOOKUP(LEFT(SUBSTITUTE(G968,"[{",""),FIND(",",SUBSTITUTE(G968,"[{",""))-1),Sheet2!B:B,Sheet2!C:C)&amp;"+"&amp;SUBSTITUTE(RIGHT(G968,LEN(G968)-FIND(",",G968)),"}]","")/100&amp;"%")</f>
        <v>毒系暴击伤害+22%</v>
      </c>
      <c r="L968" s="83" t="str">
        <f ca="1">IF(MOD(COUNTIF($Q$11:Q967,Q967),5)=0,OFFSET(装备属性!$G$1083,1+INT(COUNTA($Q$11:Q967)/5),0),L967)</f>
        <v>暴走毒毒Ⅰ</v>
      </c>
      <c r="M968" s="89" t="str">
        <f ca="1">IF(MOD(COUNTIF($Q$11:Q967,Q967),5)=0,OFFSET(装备属性!$H$1083,1+INT(COUNTA($Q$11:Q967)/5),0),M967)</f>
        <v>drug_crit_dmg</v>
      </c>
      <c r="N968" s="76">
        <f ca="1">IF(MOD(COUNTIF($Q$11:Q967,Q967),5)=0,OFFSET(装备属性!$K$1083,1+INT(COUNTA($Q$11:Q967)/5),0),N967)</f>
        <v>0.2</v>
      </c>
      <c r="O968" s="76">
        <f ca="1">IF(MOD(COUNTIF($Q$11:Q967,Q967),5)=0,OFFSET(装备属性!$L$1083,1+INT(COUNTA($Q$11:Q967)/5),0),O967)</f>
        <v>0.24</v>
      </c>
      <c r="Q968" s="89" t="str">
        <f ca="1">IF(MOD(COUNTIF($Q$11:Q967,Q967),5)=0,OFFSET(装备属性!$M$1083,1+INT(COUNTA($Q$11:Q967)/5),0),Q967)</f>
        <v>通用属性</v>
      </c>
      <c r="R968" s="83">
        <f ca="1">IF(MOD(COUNTIF($Q$11:Q967,Q967),5)=0,10000*SUBSTITUTE(SUBSTITUTE(OFFSET(装备属性!$F$1083,1+INT(COUNTA($Q$11:Q967)/5),0),"[",""),"]","")+_xlfn.XLOOKUP(C968,$M$3:$M$7,$N$3:$N$7)*100,R967)</f>
        <v>40400</v>
      </c>
    </row>
    <row r="969" customHeight="1" spans="1:18">
      <c r="A969" s="78">
        <f ca="1" t="shared" si="42"/>
        <v>40401</v>
      </c>
      <c r="B969" s="82">
        <f ca="1">IFERROR(R969+COUNTIFS($R$11:$R969,R969),"")</f>
        <v>40424</v>
      </c>
      <c r="C969" s="83" t="str">
        <f ca="1">IF(MOD(COUNTIF($Q$11:Q968,Q968),5)=0,OFFSET(装备属性!$D$1083,1+INT(COUNTA($Q$11:Q968)/5),0),C968)</f>
        <v>紫</v>
      </c>
      <c r="D969" s="82">
        <f t="shared" si="44"/>
        <v>1500</v>
      </c>
      <c r="F969" s="82">
        <f ca="1" t="shared" si="43"/>
        <v>40404</v>
      </c>
      <c r="G969" s="78" t="str">
        <f ca="1">IF(AND(LEFT("[{"&amp;M969&amp;","&amp;CEILING(N969*10000+(O969-N969)/4*(COUNTIF($F$11:F969,F969)-1)*10000,10)&amp;"}]",7)="[{equip",MID("[{"&amp;M969&amp;","&amp;CEILING(N969*10000+(O969-N969)/4*(COUNTIF($F$11:F969,F969)-1)*10000,10)&amp;"}]",8,1)&lt;&gt;"_"),"[{"&amp;M969&amp;","&amp;1&amp;"}]","[{"&amp;M969&amp;","&amp;CEILING(N969*10000+(O969-N969)/4*(COUNTIF($F$11:F969,F969)-1)*10000,10)&amp;"}]")</f>
        <v>[{drug_crit_dmg,2300}]</v>
      </c>
      <c r="H969" s="82" t="s">
        <v>563</v>
      </c>
      <c r="J969" s="78">
        <f ca="1">IF(MOD(COUNTIF($Q$11:Q968,Q968),5)=0,OFFSET(装备属性!$P$1083,1+INT(COUNTA($Q$11:Q968)/5),0),J968)</f>
        <v>10</v>
      </c>
      <c r="K969" s="83" t="str">
        <f ca="1">IF(RIGHT(G969,13)="rune_slot,1}]",_xlfn.XLOOKUP(LEFT(SUBSTITUTE(G969,"[{",""),FIND(",",SUBSTITUTE(G969,"[{",""))-1),Sheet2!B:B,Sheet2!C:C)&amp;"+"&amp;1,_xlfn.XLOOKUP(LEFT(SUBSTITUTE(G969,"[{",""),FIND(",",SUBSTITUTE(G969,"[{",""))-1),Sheet2!B:B,Sheet2!C:C)&amp;"+"&amp;SUBSTITUTE(RIGHT(G969,LEN(G969)-FIND(",",G969)),"}]","")/100&amp;"%")</f>
        <v>毒系暴击伤害+23%</v>
      </c>
      <c r="L969" s="83" t="str">
        <f ca="1">IF(MOD(COUNTIF($Q$11:Q968,Q968),5)=0,OFFSET(装备属性!$G$1083,1+INT(COUNTA($Q$11:Q968)/5),0),L968)</f>
        <v>暴走毒毒Ⅰ</v>
      </c>
      <c r="M969" s="89" t="str">
        <f ca="1">IF(MOD(COUNTIF($Q$11:Q968,Q968),5)=0,OFFSET(装备属性!$H$1083,1+INT(COUNTA($Q$11:Q968)/5),0),M968)</f>
        <v>drug_crit_dmg</v>
      </c>
      <c r="N969" s="76">
        <f ca="1">IF(MOD(COUNTIF($Q$11:Q968,Q968),5)=0,OFFSET(装备属性!$K$1083,1+INT(COUNTA($Q$11:Q968)/5),0),N968)</f>
        <v>0.2</v>
      </c>
      <c r="O969" s="76">
        <f ca="1">IF(MOD(COUNTIF($Q$11:Q968,Q968),5)=0,OFFSET(装备属性!$L$1083,1+INT(COUNTA($Q$11:Q968)/5),0),O968)</f>
        <v>0.24</v>
      </c>
      <c r="Q969" s="89" t="str">
        <f ca="1">IF(MOD(COUNTIF($Q$11:Q968,Q968),5)=0,OFFSET(装备属性!$M$1083,1+INT(COUNTA($Q$11:Q968)/5),0),Q968)</f>
        <v>通用属性</v>
      </c>
      <c r="R969" s="83">
        <f ca="1">IF(MOD(COUNTIF($Q$11:Q968,Q968),5)=0,10000*SUBSTITUTE(SUBSTITUTE(OFFSET(装备属性!$F$1083,1+INT(COUNTA($Q$11:Q968)/5),0),"[",""),"]","")+_xlfn.XLOOKUP(C969,$M$3:$M$7,$N$3:$N$7)*100,R968)</f>
        <v>40400</v>
      </c>
    </row>
    <row r="970" customHeight="1" spans="1:18">
      <c r="A970" s="78">
        <f ca="1" t="shared" si="42"/>
        <v>40401</v>
      </c>
      <c r="B970" s="82">
        <f ca="1">IFERROR(R970+COUNTIFS($R$11:$R970,R970),"")</f>
        <v>40425</v>
      </c>
      <c r="C970" s="83" t="str">
        <f ca="1">IF(MOD(COUNTIF($Q$11:Q969,Q969),5)=0,OFFSET(装备属性!$D$1083,1+INT(COUNTA($Q$11:Q969)/5),0),C969)</f>
        <v>紫</v>
      </c>
      <c r="D970" s="82">
        <f t="shared" si="44"/>
        <v>1000</v>
      </c>
      <c r="F970" s="82">
        <f ca="1" t="shared" si="43"/>
        <v>40404</v>
      </c>
      <c r="G970" s="78" t="str">
        <f ca="1">IF(AND(LEFT("[{"&amp;M970&amp;","&amp;CEILING(N970*10000+(O970-N970)/4*(COUNTIF($F$11:F970,F970)-1)*10000,10)&amp;"}]",7)="[{equip",MID("[{"&amp;M970&amp;","&amp;CEILING(N970*10000+(O970-N970)/4*(COUNTIF($F$11:F970,F970)-1)*10000,10)&amp;"}]",8,1)&lt;&gt;"_"),"[{"&amp;M970&amp;","&amp;1&amp;"}]","[{"&amp;M970&amp;","&amp;CEILING(N970*10000+(O970-N970)/4*(COUNTIF($F$11:F970,F970)-1)*10000,10)&amp;"}]")</f>
        <v>[{drug_crit_dmg,2400}]</v>
      </c>
      <c r="H970" s="82" t="s">
        <v>563</v>
      </c>
      <c r="J970" s="78">
        <f ca="1">IF(MOD(COUNTIF($Q$11:Q969,Q969),5)=0,OFFSET(装备属性!$P$1083,1+INT(COUNTA($Q$11:Q969)/5),0),J969)</f>
        <v>10</v>
      </c>
      <c r="K970" s="83" t="str">
        <f ca="1">IF(RIGHT(G970,13)="rune_slot,1}]",_xlfn.XLOOKUP(LEFT(SUBSTITUTE(G970,"[{",""),FIND(",",SUBSTITUTE(G970,"[{",""))-1),Sheet2!B:B,Sheet2!C:C)&amp;"+"&amp;1,_xlfn.XLOOKUP(LEFT(SUBSTITUTE(G970,"[{",""),FIND(",",SUBSTITUTE(G970,"[{",""))-1),Sheet2!B:B,Sheet2!C:C)&amp;"+"&amp;SUBSTITUTE(RIGHT(G970,LEN(G970)-FIND(",",G970)),"}]","")/100&amp;"%")</f>
        <v>毒系暴击伤害+24%</v>
      </c>
      <c r="L970" s="83" t="str">
        <f ca="1">IF(MOD(COUNTIF($Q$11:Q969,Q969),5)=0,OFFSET(装备属性!$G$1083,1+INT(COUNTA($Q$11:Q969)/5),0),L969)</f>
        <v>暴走毒毒Ⅰ</v>
      </c>
      <c r="M970" s="89" t="str">
        <f ca="1">IF(MOD(COUNTIF($Q$11:Q969,Q969),5)=0,OFFSET(装备属性!$H$1083,1+INT(COUNTA($Q$11:Q969)/5),0),M969)</f>
        <v>drug_crit_dmg</v>
      </c>
      <c r="N970" s="76">
        <f ca="1">IF(MOD(COUNTIF($Q$11:Q969,Q969),5)=0,OFFSET(装备属性!$K$1083,1+INT(COUNTA($Q$11:Q969)/5),0),N969)</f>
        <v>0.2</v>
      </c>
      <c r="O970" s="76">
        <f ca="1">IF(MOD(COUNTIF($Q$11:Q969,Q969),5)=0,OFFSET(装备属性!$L$1083,1+INT(COUNTA($Q$11:Q969)/5),0),O969)</f>
        <v>0.24</v>
      </c>
      <c r="Q970" s="89" t="str">
        <f ca="1">IF(MOD(COUNTIF($Q$11:Q969,Q969),5)=0,OFFSET(装备属性!$M$1083,1+INT(COUNTA($Q$11:Q969)/5),0),Q969)</f>
        <v>通用属性</v>
      </c>
      <c r="R970" s="83">
        <f ca="1">IF(MOD(COUNTIF($Q$11:Q969,Q969),5)=0,10000*SUBSTITUTE(SUBSTITUTE(OFFSET(装备属性!$F$1083,1+INT(COUNTA($Q$11:Q969)/5),0),"[",""),"]","")+_xlfn.XLOOKUP(C970,$M$3:$M$7,$N$3:$N$7)*100,R969)</f>
        <v>40400</v>
      </c>
    </row>
    <row r="971" customHeight="1" spans="1:18">
      <c r="A971" s="78" t="str">
        <f ca="1" t="shared" si="42"/>
        <v/>
      </c>
      <c r="B971" s="82" t="str">
        <f ca="1">IFERROR(R971+COUNTIFS($R$11:$R971,R971),"")</f>
        <v/>
      </c>
      <c r="C971" s="83">
        <f ca="1">IF(MOD(COUNTIF($Q$11:Q970,Q970),5)=0,OFFSET(装备属性!$D$1083,1+INT(COUNTA($Q$11:Q970)/5),0),C970)</f>
        <v>0</v>
      </c>
      <c r="D971" s="82">
        <f t="shared" si="44"/>
        <v>3000</v>
      </c>
      <c r="F971" s="82" t="str">
        <f ca="1" t="shared" si="43"/>
        <v/>
      </c>
      <c r="G971" s="78" t="str">
        <f ca="1">IF(AND(LEFT("[{"&amp;M971&amp;","&amp;CEILING(N971*10000+(O971-N971)/4*(COUNTIF($F$11:F971,F971)-1)*10000,10)&amp;"}]",7)="[{equip",MID("[{"&amp;M971&amp;","&amp;CEILING(N971*10000+(O971-N971)/4*(COUNTIF($F$11:F971,F971)-1)*10000,10)&amp;"}]",8,1)&lt;&gt;"_"),"[{"&amp;M971&amp;","&amp;1&amp;"}]","[{"&amp;M971&amp;","&amp;CEILING(N971*10000+(O971-N971)/4*(COUNTIF($F$11:F971,F971)-1)*10000,10)&amp;"}]")</f>
        <v>[{global_dmg_rate,14090}]</v>
      </c>
      <c r="H971" s="82" t="s">
        <v>563</v>
      </c>
      <c r="J971" s="78">
        <f ca="1">IF(MOD(COUNTIF($Q$11:Q970,Q970),5)=0,OFFSET(装备属性!$P$1083,1+INT(COUNTA($Q$11:Q970)/5),0),J970)</f>
        <v>2</v>
      </c>
      <c r="K971" s="83" t="str">
        <f ca="1">IF(RIGHT(G971,13)="rune_slot,1}]",_xlfn.XLOOKUP(LEFT(SUBSTITUTE(G971,"[{",""),FIND(",",SUBSTITUTE(G971,"[{",""))-1),Sheet2!B:B,Sheet2!C:C)&amp;"+"&amp;1,_xlfn.XLOOKUP(LEFT(SUBSTITUTE(G971,"[{",""),FIND(",",SUBSTITUTE(G971,"[{",""))-1),Sheet2!B:B,Sheet2!C:C)&amp;"+"&amp;SUBSTITUTE(RIGHT(G971,LEN(G971)-FIND(",",G971)),"}]","")/100&amp;"%")</f>
        <v>伤害加成+140.9%</v>
      </c>
      <c r="L971" s="83" t="str">
        <f ca="1">IF(MOD(COUNTIF($Q$11:Q970,Q970),5)=0,OFFSET(装备属性!$G$1083,1+INT(COUNTA($Q$11:Q970)/5),0),L970)</f>
        <v>全职小队Ⅱ</v>
      </c>
      <c r="M971" s="89" t="str">
        <f ca="1">IF(MOD(COUNTIF($Q$11:Q970,Q970),5)=0,OFFSET(装备属性!$H$1083,1+INT(COUNTA($Q$11:Q970)/5),0),M970)</f>
        <v>global_dmg_rate</v>
      </c>
      <c r="N971" s="76">
        <f ca="1">IF(MOD(COUNTIF($Q$11:Q970,Q970),5)=0,OFFSET(装备属性!$K$1083,1+INT(COUNTA($Q$11:Q970)/5),0),N970)</f>
        <v>0.044</v>
      </c>
      <c r="O971" s="76">
        <f ca="1">IF(MOD(COUNTIF($Q$11:Q970,Q970),5)=0,OFFSET(装备属性!$L$1083,1+INT(COUNTA($Q$11:Q970)/5),0),O970)</f>
        <v>0.058</v>
      </c>
      <c r="Q971" s="89" t="str">
        <f ca="1">IF(MOD(COUNTIF($Q$11:Q970,Q970),5)=0,OFFSET(装备属性!$M$1083,1+INT(COUNTA($Q$11:Q970)/5),0),Q970)</f>
        <v>通用属性</v>
      </c>
      <c r="R971" s="83" t="e">
        <f ca="1">IF(MOD(COUNTIF($Q$11:Q970,Q970),5)=0,10000*SUBSTITUTE(SUBSTITUTE(OFFSET(装备属性!$F$1083,1+INT(COUNTA($Q$11:Q970)/5),0),"[",""),"]","")+_xlfn.XLOOKUP(C971,$M$3:$M$7,$N$3:$N$7)*100,R970)</f>
        <v>#N/A</v>
      </c>
    </row>
    <row r="972" customHeight="1" spans="1:18">
      <c r="A972" s="78" t="str">
        <f ca="1" t="shared" ref="A972:A1035" si="45">IFERROR(R972+IF(Q972="通用属性",1,IF(Q972="玩法类",2,IF(Q972="稀有词条",3,0))),"")</f>
        <v/>
      </c>
      <c r="B972" s="82" t="str">
        <f ca="1">IFERROR(R972+COUNTIFS($R$11:$R972,R972),"")</f>
        <v/>
      </c>
      <c r="C972" s="83">
        <f ca="1">IF(MOD(COUNTIF($Q$11:Q971,Q971),5)=0,OFFSET(装备属性!$D$1083,1+INT(COUNTA($Q$11:Q971)/5),0),C971)</f>
        <v>0</v>
      </c>
      <c r="D972" s="82">
        <f t="shared" si="44"/>
        <v>2500</v>
      </c>
      <c r="F972" s="82" t="str">
        <f ca="1" t="shared" ref="F972:F1035" si="46">IFERROR(R972+INT((B972-R972-1)/5),"")</f>
        <v/>
      </c>
      <c r="G972" s="78" t="str">
        <f ca="1">IF(AND(LEFT("[{"&amp;M972&amp;","&amp;CEILING(N972*10000+(O972-N972)/4*(COUNTIF($F$11:F972,F972)-1)*10000,10)&amp;"}]",7)="[{equip",MID("[{"&amp;M972&amp;","&amp;CEILING(N972*10000+(O972-N972)/4*(COUNTIF($F$11:F972,F972)-1)*10000,10)&amp;"}]",8,1)&lt;&gt;"_"),"[{"&amp;M972&amp;","&amp;1&amp;"}]","[{"&amp;M972&amp;","&amp;CEILING(N972*10000+(O972-N972)/4*(COUNTIF($F$11:F972,F972)-1)*10000,10)&amp;"}]")</f>
        <v>[{global_dmg_rate,14130}]</v>
      </c>
      <c r="H972" s="82" t="s">
        <v>563</v>
      </c>
      <c r="J972" s="78">
        <f ca="1">IF(MOD(COUNTIF($Q$11:Q971,Q971),5)=0,OFFSET(装备属性!$P$1083,1+INT(COUNTA($Q$11:Q971)/5),0),J971)</f>
        <v>2</v>
      </c>
      <c r="K972" s="83" t="str">
        <f ca="1">IF(RIGHT(G972,13)="rune_slot,1}]",_xlfn.XLOOKUP(LEFT(SUBSTITUTE(G972,"[{",""),FIND(",",SUBSTITUTE(G972,"[{",""))-1),Sheet2!B:B,Sheet2!C:C)&amp;"+"&amp;1,_xlfn.XLOOKUP(LEFT(SUBSTITUTE(G972,"[{",""),FIND(",",SUBSTITUTE(G972,"[{",""))-1),Sheet2!B:B,Sheet2!C:C)&amp;"+"&amp;SUBSTITUTE(RIGHT(G972,LEN(G972)-FIND(",",G972)),"}]","")/100&amp;"%")</f>
        <v>伤害加成+141.3%</v>
      </c>
      <c r="L972" s="83" t="str">
        <f ca="1">IF(MOD(COUNTIF($Q$11:Q971,Q971),5)=0,OFFSET(装备属性!$G$1083,1+INT(COUNTA($Q$11:Q971)/5),0),L971)</f>
        <v>全职小队Ⅱ</v>
      </c>
      <c r="M972" s="89" t="str">
        <f ca="1">IF(MOD(COUNTIF($Q$11:Q971,Q971),5)=0,OFFSET(装备属性!$H$1083,1+INT(COUNTA($Q$11:Q971)/5),0),M971)</f>
        <v>global_dmg_rate</v>
      </c>
      <c r="N972" s="76">
        <f ca="1">IF(MOD(COUNTIF($Q$11:Q971,Q971),5)=0,OFFSET(装备属性!$K$1083,1+INT(COUNTA($Q$11:Q971)/5),0),N971)</f>
        <v>0.044</v>
      </c>
      <c r="O972" s="76">
        <f ca="1">IF(MOD(COUNTIF($Q$11:Q971,Q971),5)=0,OFFSET(装备属性!$L$1083,1+INT(COUNTA($Q$11:Q971)/5),0),O971)</f>
        <v>0.058</v>
      </c>
      <c r="Q972" s="89" t="str">
        <f ca="1">IF(MOD(COUNTIF($Q$11:Q971,Q971),5)=0,OFFSET(装备属性!$M$1083,1+INT(COUNTA($Q$11:Q971)/5),0),Q971)</f>
        <v>通用属性</v>
      </c>
      <c r="R972" s="83" t="e">
        <f ca="1">IF(MOD(COUNTIF($Q$11:Q971,Q971),5)=0,10000*SUBSTITUTE(SUBSTITUTE(OFFSET(装备属性!$F$1083,1+INT(COUNTA($Q$11:Q971)/5),0),"[",""),"]","")+_xlfn.XLOOKUP(C972,$M$3:$M$7,$N$3:$N$7)*100,R971)</f>
        <v>#N/A</v>
      </c>
    </row>
    <row r="973" customHeight="1" spans="1:18">
      <c r="A973" s="78" t="str">
        <f ca="1" t="shared" si="45"/>
        <v/>
      </c>
      <c r="B973" s="82" t="str">
        <f ca="1">IFERROR(R973+COUNTIFS($R$11:$R973,R973),"")</f>
        <v/>
      </c>
      <c r="C973" s="83">
        <f ca="1">IF(MOD(COUNTIF($Q$11:Q972,Q972),5)=0,OFFSET(装备属性!$D$1083,1+INT(COUNTA($Q$11:Q972)/5),0),C972)</f>
        <v>0</v>
      </c>
      <c r="D973" s="82">
        <f t="shared" si="44"/>
        <v>2000</v>
      </c>
      <c r="F973" s="82" t="str">
        <f ca="1" t="shared" si="46"/>
        <v/>
      </c>
      <c r="G973" s="78" t="str">
        <f ca="1">IF(AND(LEFT("[{"&amp;M973&amp;","&amp;CEILING(N973*10000+(O973-N973)/4*(COUNTIF($F$11:F973,F973)-1)*10000,10)&amp;"}]",7)="[{equip",MID("[{"&amp;M973&amp;","&amp;CEILING(N973*10000+(O973-N973)/4*(COUNTIF($F$11:F973,F973)-1)*10000,10)&amp;"}]",8,1)&lt;&gt;"_"),"[{"&amp;M973&amp;","&amp;1&amp;"}]","[{"&amp;M973&amp;","&amp;CEILING(N973*10000+(O973-N973)/4*(COUNTIF($F$11:F973,F973)-1)*10000,10)&amp;"}]")</f>
        <v>[{global_dmg_rate,14160}]</v>
      </c>
      <c r="H973" s="82" t="s">
        <v>563</v>
      </c>
      <c r="J973" s="78">
        <f ca="1">IF(MOD(COUNTIF($Q$11:Q972,Q972),5)=0,OFFSET(装备属性!$P$1083,1+INT(COUNTA($Q$11:Q972)/5),0),J972)</f>
        <v>2</v>
      </c>
      <c r="K973" s="83" t="str">
        <f ca="1">IF(RIGHT(G973,13)="rune_slot,1}]",_xlfn.XLOOKUP(LEFT(SUBSTITUTE(G973,"[{",""),FIND(",",SUBSTITUTE(G973,"[{",""))-1),Sheet2!B:B,Sheet2!C:C)&amp;"+"&amp;1,_xlfn.XLOOKUP(LEFT(SUBSTITUTE(G973,"[{",""),FIND(",",SUBSTITUTE(G973,"[{",""))-1),Sheet2!B:B,Sheet2!C:C)&amp;"+"&amp;SUBSTITUTE(RIGHT(G973,LEN(G973)-FIND(",",G973)),"}]","")/100&amp;"%")</f>
        <v>伤害加成+141.6%</v>
      </c>
      <c r="L973" s="83" t="str">
        <f ca="1">IF(MOD(COUNTIF($Q$11:Q972,Q972),5)=0,OFFSET(装备属性!$G$1083,1+INT(COUNTA($Q$11:Q972)/5),0),L972)</f>
        <v>全职小队Ⅱ</v>
      </c>
      <c r="M973" s="89" t="str">
        <f ca="1">IF(MOD(COUNTIF($Q$11:Q972,Q972),5)=0,OFFSET(装备属性!$H$1083,1+INT(COUNTA($Q$11:Q972)/5),0),M972)</f>
        <v>global_dmg_rate</v>
      </c>
      <c r="N973" s="76">
        <f ca="1">IF(MOD(COUNTIF($Q$11:Q972,Q972),5)=0,OFFSET(装备属性!$K$1083,1+INT(COUNTA($Q$11:Q972)/5),0),N972)</f>
        <v>0.044</v>
      </c>
      <c r="O973" s="76">
        <f ca="1">IF(MOD(COUNTIF($Q$11:Q972,Q972),5)=0,OFFSET(装备属性!$L$1083,1+INT(COUNTA($Q$11:Q972)/5),0),O972)</f>
        <v>0.058</v>
      </c>
      <c r="Q973" s="89" t="str">
        <f ca="1">IF(MOD(COUNTIF($Q$11:Q972,Q972),5)=0,OFFSET(装备属性!$M$1083,1+INT(COUNTA($Q$11:Q972)/5),0),Q972)</f>
        <v>通用属性</v>
      </c>
      <c r="R973" s="83" t="e">
        <f ca="1">IF(MOD(COUNTIF($Q$11:Q972,Q972),5)=0,10000*SUBSTITUTE(SUBSTITUTE(OFFSET(装备属性!$F$1083,1+INT(COUNTA($Q$11:Q972)/5),0),"[",""),"]","")+_xlfn.XLOOKUP(C973,$M$3:$M$7,$N$3:$N$7)*100,R972)</f>
        <v>#N/A</v>
      </c>
    </row>
    <row r="974" customHeight="1" spans="1:18">
      <c r="A974" s="78" t="str">
        <f ca="1" t="shared" si="45"/>
        <v/>
      </c>
      <c r="B974" s="82" t="str">
        <f ca="1">IFERROR(R974+COUNTIFS($R$11:$R974,R974),"")</f>
        <v/>
      </c>
      <c r="C974" s="83">
        <f ca="1">IF(MOD(COUNTIF($Q$11:Q973,Q973),5)=0,OFFSET(装备属性!$D$1083,1+INT(COUNTA($Q$11:Q973)/5),0),C973)</f>
        <v>0</v>
      </c>
      <c r="D974" s="82">
        <f t="shared" si="44"/>
        <v>1500</v>
      </c>
      <c r="F974" s="82" t="str">
        <f ca="1" t="shared" si="46"/>
        <v/>
      </c>
      <c r="G974" s="78" t="str">
        <f ca="1">IF(AND(LEFT("[{"&amp;M974&amp;","&amp;CEILING(N974*10000+(O974-N974)/4*(COUNTIF($F$11:F974,F974)-1)*10000,10)&amp;"}]",7)="[{equip",MID("[{"&amp;M974&amp;","&amp;CEILING(N974*10000+(O974-N974)/4*(COUNTIF($F$11:F974,F974)-1)*10000,10)&amp;"}]",8,1)&lt;&gt;"_"),"[{"&amp;M974&amp;","&amp;1&amp;"}]","[{"&amp;M974&amp;","&amp;CEILING(N974*10000+(O974-N974)/4*(COUNTIF($F$11:F974,F974)-1)*10000,10)&amp;"}]")</f>
        <v>[{global_dmg_rate,14200}]</v>
      </c>
      <c r="H974" s="82" t="s">
        <v>563</v>
      </c>
      <c r="J974" s="78">
        <f ca="1">IF(MOD(COUNTIF($Q$11:Q973,Q973),5)=0,OFFSET(装备属性!$P$1083,1+INT(COUNTA($Q$11:Q973)/5),0),J973)</f>
        <v>2</v>
      </c>
      <c r="K974" s="83" t="str">
        <f ca="1">IF(RIGHT(G974,13)="rune_slot,1}]",_xlfn.XLOOKUP(LEFT(SUBSTITUTE(G974,"[{",""),FIND(",",SUBSTITUTE(G974,"[{",""))-1),Sheet2!B:B,Sheet2!C:C)&amp;"+"&amp;1,_xlfn.XLOOKUP(LEFT(SUBSTITUTE(G974,"[{",""),FIND(",",SUBSTITUTE(G974,"[{",""))-1),Sheet2!B:B,Sheet2!C:C)&amp;"+"&amp;SUBSTITUTE(RIGHT(G974,LEN(G974)-FIND(",",G974)),"}]","")/100&amp;"%")</f>
        <v>伤害加成+142%</v>
      </c>
      <c r="L974" s="83" t="str">
        <f ca="1">IF(MOD(COUNTIF($Q$11:Q973,Q973),5)=0,OFFSET(装备属性!$G$1083,1+INT(COUNTA($Q$11:Q973)/5),0),L973)</f>
        <v>全职小队Ⅱ</v>
      </c>
      <c r="M974" s="89" t="str">
        <f ca="1">IF(MOD(COUNTIF($Q$11:Q973,Q973),5)=0,OFFSET(装备属性!$H$1083,1+INT(COUNTA($Q$11:Q973)/5),0),M973)</f>
        <v>global_dmg_rate</v>
      </c>
      <c r="N974" s="76">
        <f ca="1">IF(MOD(COUNTIF($Q$11:Q973,Q973),5)=0,OFFSET(装备属性!$K$1083,1+INT(COUNTA($Q$11:Q973)/5),0),N973)</f>
        <v>0.044</v>
      </c>
      <c r="O974" s="76">
        <f ca="1">IF(MOD(COUNTIF($Q$11:Q973,Q973),5)=0,OFFSET(装备属性!$L$1083,1+INT(COUNTA($Q$11:Q973)/5),0),O973)</f>
        <v>0.058</v>
      </c>
      <c r="Q974" s="89" t="str">
        <f ca="1">IF(MOD(COUNTIF($Q$11:Q973,Q973),5)=0,OFFSET(装备属性!$M$1083,1+INT(COUNTA($Q$11:Q973)/5),0),Q973)</f>
        <v>通用属性</v>
      </c>
      <c r="R974" s="83" t="e">
        <f ca="1">IF(MOD(COUNTIF($Q$11:Q973,Q973),5)=0,10000*SUBSTITUTE(SUBSTITUTE(OFFSET(装备属性!$F$1083,1+INT(COUNTA($Q$11:Q973)/5),0),"[",""),"]","")+_xlfn.XLOOKUP(C974,$M$3:$M$7,$N$3:$N$7)*100,R973)</f>
        <v>#N/A</v>
      </c>
    </row>
    <row r="975" customHeight="1" spans="1:18">
      <c r="A975" s="78" t="str">
        <f ca="1" t="shared" si="45"/>
        <v/>
      </c>
      <c r="B975" s="82" t="str">
        <f ca="1">IFERROR(R975+COUNTIFS($R$11:$R975,R975),"")</f>
        <v/>
      </c>
      <c r="C975" s="83">
        <f ca="1">IF(MOD(COUNTIF($Q$11:Q974,Q974),5)=0,OFFSET(装备属性!$D$1083,1+INT(COUNTA($Q$11:Q974)/5),0),C974)</f>
        <v>0</v>
      </c>
      <c r="D975" s="82">
        <f t="shared" si="44"/>
        <v>1000</v>
      </c>
      <c r="F975" s="82" t="str">
        <f ca="1" t="shared" si="46"/>
        <v/>
      </c>
      <c r="G975" s="78" t="str">
        <f ca="1">IF(AND(LEFT("[{"&amp;M975&amp;","&amp;CEILING(N975*10000+(O975-N975)/4*(COUNTIF($F$11:F975,F975)-1)*10000,10)&amp;"}]",7)="[{equip",MID("[{"&amp;M975&amp;","&amp;CEILING(N975*10000+(O975-N975)/4*(COUNTIF($F$11:F975,F975)-1)*10000,10)&amp;"}]",8,1)&lt;&gt;"_"),"[{"&amp;M975&amp;","&amp;1&amp;"}]","[{"&amp;M975&amp;","&amp;CEILING(N975*10000+(O975-N975)/4*(COUNTIF($F$11:F975,F975)-1)*10000,10)&amp;"}]")</f>
        <v>[{global_dmg_rate,14230}]</v>
      </c>
      <c r="H975" s="82" t="s">
        <v>563</v>
      </c>
      <c r="J975" s="78">
        <f ca="1">IF(MOD(COUNTIF($Q$11:Q974,Q974),5)=0,OFFSET(装备属性!$P$1083,1+INT(COUNTA($Q$11:Q974)/5),0),J974)</f>
        <v>2</v>
      </c>
      <c r="K975" s="83" t="str">
        <f ca="1">IF(RIGHT(G975,13)="rune_slot,1}]",_xlfn.XLOOKUP(LEFT(SUBSTITUTE(G975,"[{",""),FIND(",",SUBSTITUTE(G975,"[{",""))-1),Sheet2!B:B,Sheet2!C:C)&amp;"+"&amp;1,_xlfn.XLOOKUP(LEFT(SUBSTITUTE(G975,"[{",""),FIND(",",SUBSTITUTE(G975,"[{",""))-1),Sheet2!B:B,Sheet2!C:C)&amp;"+"&amp;SUBSTITUTE(RIGHT(G975,LEN(G975)-FIND(",",G975)),"}]","")/100&amp;"%")</f>
        <v>伤害加成+142.3%</v>
      </c>
      <c r="L975" s="83" t="str">
        <f ca="1">IF(MOD(COUNTIF($Q$11:Q974,Q974),5)=0,OFFSET(装备属性!$G$1083,1+INT(COUNTA($Q$11:Q974)/5),0),L974)</f>
        <v>全职小队Ⅱ</v>
      </c>
      <c r="M975" s="89" t="str">
        <f ca="1">IF(MOD(COUNTIF($Q$11:Q974,Q974),5)=0,OFFSET(装备属性!$H$1083,1+INT(COUNTA($Q$11:Q974)/5),0),M974)</f>
        <v>global_dmg_rate</v>
      </c>
      <c r="N975" s="76">
        <f ca="1">IF(MOD(COUNTIF($Q$11:Q974,Q974),5)=0,OFFSET(装备属性!$K$1083,1+INT(COUNTA($Q$11:Q974)/5),0),N974)</f>
        <v>0.044</v>
      </c>
      <c r="O975" s="76">
        <f ca="1">IF(MOD(COUNTIF($Q$11:Q974,Q974),5)=0,OFFSET(装备属性!$L$1083,1+INT(COUNTA($Q$11:Q974)/5),0),O974)</f>
        <v>0.058</v>
      </c>
      <c r="Q975" s="89" t="str">
        <f ca="1">IF(MOD(COUNTIF($Q$11:Q974,Q974),5)=0,OFFSET(装备属性!$M$1083,1+INT(COUNTA($Q$11:Q974)/5),0),Q974)</f>
        <v>通用属性</v>
      </c>
      <c r="R975" s="83" t="e">
        <f ca="1">IF(MOD(COUNTIF($Q$11:Q974,Q974),5)=0,10000*SUBSTITUTE(SUBSTITUTE(OFFSET(装备属性!$F$1083,1+INT(COUNTA($Q$11:Q974)/5),0),"[",""),"]","")+_xlfn.XLOOKUP(C975,$M$3:$M$7,$N$3:$N$7)*100,R974)</f>
        <v>#N/A</v>
      </c>
    </row>
    <row r="976" customHeight="1" spans="1:18">
      <c r="A976" s="78">
        <f ca="1" t="shared" si="45"/>
        <v>40501</v>
      </c>
      <c r="B976" s="82">
        <f ca="1">IFERROR(R976+COUNTIFS($R$11:$R976,R976),"")</f>
        <v>40501</v>
      </c>
      <c r="C976" s="83" t="str">
        <f ca="1">IF(MOD(COUNTIF($Q$11:Q975,Q975),5)=0,OFFSET(装备属性!$D$1083,1+INT(COUNTA($Q$11:Q975)/5),0),C975)</f>
        <v>橙</v>
      </c>
      <c r="D976" s="82">
        <f t="shared" si="44"/>
        <v>3000</v>
      </c>
      <c r="F976" s="82">
        <f ca="1" t="shared" si="46"/>
        <v>40500</v>
      </c>
      <c r="G976" s="78" t="str">
        <f ca="1">IF(AND(LEFT("[{"&amp;M976&amp;","&amp;CEILING(N976*10000+(O976-N976)/4*(COUNTIF($F$11:F976,F976)-1)*10000,10)&amp;"}]",7)="[{equip",MID("[{"&amp;M976&amp;","&amp;CEILING(N976*10000+(O976-N976)/4*(COUNTIF($F$11:F976,F976)-1)*10000,10)&amp;"}]",8,1)&lt;&gt;"_"),"[{"&amp;M976&amp;","&amp;1&amp;"}]","[{"&amp;M976&amp;","&amp;CEILING(N976*10000+(O976-N976)/4*(COUNTIF($F$11:F976,F976)-1)*10000,10)&amp;"}]")</f>
        <v>[{dmg_red_rate,150}]</v>
      </c>
      <c r="H976" s="82" t="s">
        <v>563</v>
      </c>
      <c r="J976" s="78">
        <f ca="1">IF(MOD(COUNTIF($Q$11:Q975,Q975),5)=0,OFFSET(装备属性!$P$1083,1+INT(COUNTA($Q$11:Q975)/5),0),J975)</f>
        <v>6</v>
      </c>
      <c r="K976" s="83" t="str">
        <f ca="1">IF(RIGHT(G976,13)="rune_slot,1}]",_xlfn.XLOOKUP(LEFT(SUBSTITUTE(G976,"[{",""),FIND(",",SUBSTITUTE(G976,"[{",""))-1),Sheet2!B:B,Sheet2!C:C)&amp;"+"&amp;1,_xlfn.XLOOKUP(LEFT(SUBSTITUTE(G976,"[{",""),FIND(",",SUBSTITUTE(G976,"[{",""))-1),Sheet2!B:B,Sheet2!C:C)&amp;"+"&amp;SUBSTITUTE(RIGHT(G976,LEN(G976)-FIND(",",G976)),"}]","")/100&amp;"%")</f>
        <v>伤害减免+1.5%</v>
      </c>
      <c r="L976" s="83" t="str">
        <f ca="1">IF(MOD(COUNTIF($Q$11:Q975,Q975),5)=0,OFFSET(装备属性!$G$1083,1+INT(COUNTA($Q$11:Q975)/5),0),L975)</f>
        <v>全员抗揍Ⅱ</v>
      </c>
      <c r="M976" s="89" t="str">
        <f ca="1">IF(MOD(COUNTIF($Q$11:Q975,Q975),5)=0,OFFSET(装备属性!$H$1083,1+INT(COUNTA($Q$11:Q975)/5),0),M975)</f>
        <v>dmg_red_rate</v>
      </c>
      <c r="N976" s="76">
        <f ca="1">IF(MOD(COUNTIF($Q$11:Q975,Q975),5)=0,OFFSET(装备属性!$K$1083,1+INT(COUNTA($Q$11:Q975)/5),0),N975)</f>
        <v>0.015</v>
      </c>
      <c r="O976" s="76">
        <f ca="1">IF(MOD(COUNTIF($Q$11:Q975,Q975),5)=0,OFFSET(装备属性!$L$1083,1+INT(COUNTA($Q$11:Q975)/5),0),O975)</f>
        <v>0.019</v>
      </c>
      <c r="Q976" s="89" t="str">
        <f ca="1">IF(MOD(COUNTIF($Q$11:Q975,Q975),5)=0,OFFSET(装备属性!$M$1083,1+INT(COUNTA($Q$11:Q975)/5),0),Q975)</f>
        <v>通用属性</v>
      </c>
      <c r="R976" s="83">
        <f ca="1">IF(MOD(COUNTIF($Q$11:Q975,Q975),5)=0,10000*SUBSTITUTE(SUBSTITUTE(OFFSET(装备属性!$F$1083,1+INT(COUNTA($Q$11:Q975)/5),0),"[",""),"]","")+_xlfn.XLOOKUP(C976,$M$3:$M$7,$N$3:$N$7)*100,R975)</f>
        <v>40500</v>
      </c>
    </row>
    <row r="977" customHeight="1" spans="1:18">
      <c r="A977" s="78">
        <f ca="1" t="shared" si="45"/>
        <v>40501</v>
      </c>
      <c r="B977" s="82">
        <f ca="1">IFERROR(R977+COUNTIFS($R$11:$R977,R977),"")</f>
        <v>40502</v>
      </c>
      <c r="C977" s="83" t="str">
        <f ca="1">IF(MOD(COUNTIF($Q$11:Q976,Q976),5)=0,OFFSET(装备属性!$D$1083,1+INT(COUNTA($Q$11:Q976)/5),0),C976)</f>
        <v>橙</v>
      </c>
      <c r="D977" s="82">
        <f t="shared" ref="D977:D1040" si="47">D972</f>
        <v>2500</v>
      </c>
      <c r="F977" s="82">
        <f ca="1" t="shared" si="46"/>
        <v>40500</v>
      </c>
      <c r="G977" s="78" t="str">
        <f ca="1">IF(AND(LEFT("[{"&amp;M977&amp;","&amp;CEILING(N977*10000+(O977-N977)/4*(COUNTIF($F$11:F977,F977)-1)*10000,10)&amp;"}]",7)="[{equip",MID("[{"&amp;M977&amp;","&amp;CEILING(N977*10000+(O977-N977)/4*(COUNTIF($F$11:F977,F977)-1)*10000,10)&amp;"}]",8,1)&lt;&gt;"_"),"[{"&amp;M977&amp;","&amp;1&amp;"}]","[{"&amp;M977&amp;","&amp;CEILING(N977*10000+(O977-N977)/4*(COUNTIF($F$11:F977,F977)-1)*10000,10)&amp;"}]")</f>
        <v>[{dmg_red_rate,160}]</v>
      </c>
      <c r="H977" s="82" t="s">
        <v>563</v>
      </c>
      <c r="J977" s="78">
        <f ca="1">IF(MOD(COUNTIF($Q$11:Q976,Q976),5)=0,OFFSET(装备属性!$P$1083,1+INT(COUNTA($Q$11:Q976)/5),0),J976)</f>
        <v>6</v>
      </c>
      <c r="K977" s="83" t="str">
        <f ca="1">IF(RIGHT(G977,13)="rune_slot,1}]",_xlfn.XLOOKUP(LEFT(SUBSTITUTE(G977,"[{",""),FIND(",",SUBSTITUTE(G977,"[{",""))-1),Sheet2!B:B,Sheet2!C:C)&amp;"+"&amp;1,_xlfn.XLOOKUP(LEFT(SUBSTITUTE(G977,"[{",""),FIND(",",SUBSTITUTE(G977,"[{",""))-1),Sheet2!B:B,Sheet2!C:C)&amp;"+"&amp;SUBSTITUTE(RIGHT(G977,LEN(G977)-FIND(",",G977)),"}]","")/100&amp;"%")</f>
        <v>伤害减免+1.6%</v>
      </c>
      <c r="L977" s="83" t="str">
        <f ca="1">IF(MOD(COUNTIF($Q$11:Q976,Q976),5)=0,OFFSET(装备属性!$G$1083,1+INT(COUNTA($Q$11:Q976)/5),0),L976)</f>
        <v>全员抗揍Ⅱ</v>
      </c>
      <c r="M977" s="89" t="str">
        <f ca="1">IF(MOD(COUNTIF($Q$11:Q976,Q976),5)=0,OFFSET(装备属性!$H$1083,1+INT(COUNTA($Q$11:Q976)/5),0),M976)</f>
        <v>dmg_red_rate</v>
      </c>
      <c r="N977" s="76">
        <f ca="1">IF(MOD(COUNTIF($Q$11:Q976,Q976),5)=0,OFFSET(装备属性!$K$1083,1+INT(COUNTA($Q$11:Q976)/5),0),N976)</f>
        <v>0.015</v>
      </c>
      <c r="O977" s="76">
        <f ca="1">IF(MOD(COUNTIF($Q$11:Q976,Q976),5)=0,OFFSET(装备属性!$L$1083,1+INT(COUNTA($Q$11:Q976)/5),0),O976)</f>
        <v>0.019</v>
      </c>
      <c r="Q977" s="89" t="str">
        <f ca="1">IF(MOD(COUNTIF($Q$11:Q976,Q976),5)=0,OFFSET(装备属性!$M$1083,1+INT(COUNTA($Q$11:Q976)/5),0),Q976)</f>
        <v>通用属性</v>
      </c>
      <c r="R977" s="83">
        <f ca="1">IF(MOD(COUNTIF($Q$11:Q976,Q976),5)=0,10000*SUBSTITUTE(SUBSTITUTE(OFFSET(装备属性!$F$1083,1+INT(COUNTA($Q$11:Q976)/5),0),"[",""),"]","")+_xlfn.XLOOKUP(C977,$M$3:$M$7,$N$3:$N$7)*100,R976)</f>
        <v>40500</v>
      </c>
    </row>
    <row r="978" customHeight="1" spans="1:18">
      <c r="A978" s="78">
        <f ca="1" t="shared" si="45"/>
        <v>40501</v>
      </c>
      <c r="B978" s="82">
        <f ca="1">IFERROR(R978+COUNTIFS($R$11:$R978,R978),"")</f>
        <v>40503</v>
      </c>
      <c r="C978" s="83" t="str">
        <f ca="1">IF(MOD(COUNTIF($Q$11:Q977,Q977),5)=0,OFFSET(装备属性!$D$1083,1+INT(COUNTA($Q$11:Q977)/5),0),C977)</f>
        <v>橙</v>
      </c>
      <c r="D978" s="82">
        <f t="shared" si="47"/>
        <v>2000</v>
      </c>
      <c r="F978" s="82">
        <f ca="1" t="shared" si="46"/>
        <v>40500</v>
      </c>
      <c r="G978" s="78" t="str">
        <f ca="1">IF(AND(LEFT("[{"&amp;M978&amp;","&amp;CEILING(N978*10000+(O978-N978)/4*(COUNTIF($F$11:F978,F978)-1)*10000,10)&amp;"}]",7)="[{equip",MID("[{"&amp;M978&amp;","&amp;CEILING(N978*10000+(O978-N978)/4*(COUNTIF($F$11:F978,F978)-1)*10000,10)&amp;"}]",8,1)&lt;&gt;"_"),"[{"&amp;M978&amp;","&amp;1&amp;"}]","[{"&amp;M978&amp;","&amp;CEILING(N978*10000+(O978-N978)/4*(COUNTIF($F$11:F978,F978)-1)*10000,10)&amp;"}]")</f>
        <v>[{dmg_red_rate,170}]</v>
      </c>
      <c r="H978" s="82" t="s">
        <v>563</v>
      </c>
      <c r="J978" s="78">
        <f ca="1">IF(MOD(COUNTIF($Q$11:Q977,Q977),5)=0,OFFSET(装备属性!$P$1083,1+INT(COUNTA($Q$11:Q977)/5),0),J977)</f>
        <v>6</v>
      </c>
      <c r="K978" s="83" t="str">
        <f ca="1">IF(RIGHT(G978,13)="rune_slot,1}]",_xlfn.XLOOKUP(LEFT(SUBSTITUTE(G978,"[{",""),FIND(",",SUBSTITUTE(G978,"[{",""))-1),Sheet2!B:B,Sheet2!C:C)&amp;"+"&amp;1,_xlfn.XLOOKUP(LEFT(SUBSTITUTE(G978,"[{",""),FIND(",",SUBSTITUTE(G978,"[{",""))-1),Sheet2!B:B,Sheet2!C:C)&amp;"+"&amp;SUBSTITUTE(RIGHT(G978,LEN(G978)-FIND(",",G978)),"}]","")/100&amp;"%")</f>
        <v>伤害减免+1.7%</v>
      </c>
      <c r="L978" s="83" t="str">
        <f ca="1">IF(MOD(COUNTIF($Q$11:Q977,Q977),5)=0,OFFSET(装备属性!$G$1083,1+INT(COUNTA($Q$11:Q977)/5),0),L977)</f>
        <v>全员抗揍Ⅱ</v>
      </c>
      <c r="M978" s="89" t="str">
        <f ca="1">IF(MOD(COUNTIF($Q$11:Q977,Q977),5)=0,OFFSET(装备属性!$H$1083,1+INT(COUNTA($Q$11:Q977)/5),0),M977)</f>
        <v>dmg_red_rate</v>
      </c>
      <c r="N978" s="76">
        <f ca="1">IF(MOD(COUNTIF($Q$11:Q977,Q977),5)=0,OFFSET(装备属性!$K$1083,1+INT(COUNTA($Q$11:Q977)/5),0),N977)</f>
        <v>0.015</v>
      </c>
      <c r="O978" s="76">
        <f ca="1">IF(MOD(COUNTIF($Q$11:Q977,Q977),5)=0,OFFSET(装备属性!$L$1083,1+INT(COUNTA($Q$11:Q977)/5),0),O977)</f>
        <v>0.019</v>
      </c>
      <c r="Q978" s="89" t="str">
        <f ca="1">IF(MOD(COUNTIF($Q$11:Q977,Q977),5)=0,OFFSET(装备属性!$M$1083,1+INT(COUNTA($Q$11:Q977)/5),0),Q977)</f>
        <v>通用属性</v>
      </c>
      <c r="R978" s="83">
        <f ca="1">IF(MOD(COUNTIF($Q$11:Q977,Q977),5)=0,10000*SUBSTITUTE(SUBSTITUTE(OFFSET(装备属性!$F$1083,1+INT(COUNTA($Q$11:Q977)/5),0),"[",""),"]","")+_xlfn.XLOOKUP(C978,$M$3:$M$7,$N$3:$N$7)*100,R977)</f>
        <v>40500</v>
      </c>
    </row>
    <row r="979" customHeight="1" spans="1:18">
      <c r="A979" s="78">
        <f ca="1" t="shared" si="45"/>
        <v>40501</v>
      </c>
      <c r="B979" s="82">
        <f ca="1">IFERROR(R979+COUNTIFS($R$11:$R979,R979),"")</f>
        <v>40504</v>
      </c>
      <c r="C979" s="83" t="str">
        <f ca="1">IF(MOD(COUNTIF($Q$11:Q978,Q978),5)=0,OFFSET(装备属性!$D$1083,1+INT(COUNTA($Q$11:Q978)/5),0),C978)</f>
        <v>橙</v>
      </c>
      <c r="D979" s="82">
        <f t="shared" si="47"/>
        <v>1500</v>
      </c>
      <c r="F979" s="82">
        <f ca="1" t="shared" si="46"/>
        <v>40500</v>
      </c>
      <c r="G979" s="78" t="str">
        <f ca="1">IF(AND(LEFT("[{"&amp;M979&amp;","&amp;CEILING(N979*10000+(O979-N979)/4*(COUNTIF($F$11:F979,F979)-1)*10000,10)&amp;"}]",7)="[{equip",MID("[{"&amp;M979&amp;","&amp;CEILING(N979*10000+(O979-N979)/4*(COUNTIF($F$11:F979,F979)-1)*10000,10)&amp;"}]",8,1)&lt;&gt;"_"),"[{"&amp;M979&amp;","&amp;1&amp;"}]","[{"&amp;M979&amp;","&amp;CEILING(N979*10000+(O979-N979)/4*(COUNTIF($F$11:F979,F979)-1)*10000,10)&amp;"}]")</f>
        <v>[{dmg_red_rate,180}]</v>
      </c>
      <c r="H979" s="82" t="s">
        <v>563</v>
      </c>
      <c r="J979" s="78">
        <f ca="1">IF(MOD(COUNTIF($Q$11:Q978,Q978),5)=0,OFFSET(装备属性!$P$1083,1+INT(COUNTA($Q$11:Q978)/5),0),J978)</f>
        <v>6</v>
      </c>
      <c r="K979" s="83" t="str">
        <f ca="1">IF(RIGHT(G979,13)="rune_slot,1}]",_xlfn.XLOOKUP(LEFT(SUBSTITUTE(G979,"[{",""),FIND(",",SUBSTITUTE(G979,"[{",""))-1),Sheet2!B:B,Sheet2!C:C)&amp;"+"&amp;1,_xlfn.XLOOKUP(LEFT(SUBSTITUTE(G979,"[{",""),FIND(",",SUBSTITUTE(G979,"[{",""))-1),Sheet2!B:B,Sheet2!C:C)&amp;"+"&amp;SUBSTITUTE(RIGHT(G979,LEN(G979)-FIND(",",G979)),"}]","")/100&amp;"%")</f>
        <v>伤害减免+1.8%</v>
      </c>
      <c r="L979" s="83" t="str">
        <f ca="1">IF(MOD(COUNTIF($Q$11:Q978,Q978),5)=0,OFFSET(装备属性!$G$1083,1+INT(COUNTA($Q$11:Q978)/5),0),L978)</f>
        <v>全员抗揍Ⅱ</v>
      </c>
      <c r="M979" s="89" t="str">
        <f ca="1">IF(MOD(COUNTIF($Q$11:Q978,Q978),5)=0,OFFSET(装备属性!$H$1083,1+INT(COUNTA($Q$11:Q978)/5),0),M978)</f>
        <v>dmg_red_rate</v>
      </c>
      <c r="N979" s="76">
        <f ca="1">IF(MOD(COUNTIF($Q$11:Q978,Q978),5)=0,OFFSET(装备属性!$K$1083,1+INT(COUNTA($Q$11:Q978)/5),0),N978)</f>
        <v>0.015</v>
      </c>
      <c r="O979" s="76">
        <f ca="1">IF(MOD(COUNTIF($Q$11:Q978,Q978),5)=0,OFFSET(装备属性!$L$1083,1+INT(COUNTA($Q$11:Q978)/5),0),O978)</f>
        <v>0.019</v>
      </c>
      <c r="Q979" s="89" t="str">
        <f ca="1">IF(MOD(COUNTIF($Q$11:Q978,Q978),5)=0,OFFSET(装备属性!$M$1083,1+INT(COUNTA($Q$11:Q978)/5),0),Q978)</f>
        <v>通用属性</v>
      </c>
      <c r="R979" s="83">
        <f ca="1">IF(MOD(COUNTIF($Q$11:Q978,Q978),5)=0,10000*SUBSTITUTE(SUBSTITUTE(OFFSET(装备属性!$F$1083,1+INT(COUNTA($Q$11:Q978)/5),0),"[",""),"]","")+_xlfn.XLOOKUP(C979,$M$3:$M$7,$N$3:$N$7)*100,R978)</f>
        <v>40500</v>
      </c>
    </row>
    <row r="980" customHeight="1" spans="1:18">
      <c r="A980" s="78">
        <f ca="1" t="shared" si="45"/>
        <v>40501</v>
      </c>
      <c r="B980" s="82">
        <f ca="1">IFERROR(R980+COUNTIFS($R$11:$R980,R980),"")</f>
        <v>40505</v>
      </c>
      <c r="C980" s="83" t="str">
        <f ca="1">IF(MOD(COUNTIF($Q$11:Q979,Q979),5)=0,OFFSET(装备属性!$D$1083,1+INT(COUNTA($Q$11:Q979)/5),0),C979)</f>
        <v>橙</v>
      </c>
      <c r="D980" s="82">
        <f t="shared" si="47"/>
        <v>1000</v>
      </c>
      <c r="F980" s="82">
        <f ca="1" t="shared" si="46"/>
        <v>40500</v>
      </c>
      <c r="G980" s="78" t="str">
        <f ca="1">IF(AND(LEFT("[{"&amp;M980&amp;","&amp;CEILING(N980*10000+(O980-N980)/4*(COUNTIF($F$11:F980,F980)-1)*10000,10)&amp;"}]",7)="[{equip",MID("[{"&amp;M980&amp;","&amp;CEILING(N980*10000+(O980-N980)/4*(COUNTIF($F$11:F980,F980)-1)*10000,10)&amp;"}]",8,1)&lt;&gt;"_"),"[{"&amp;M980&amp;","&amp;1&amp;"}]","[{"&amp;M980&amp;","&amp;CEILING(N980*10000+(O980-N980)/4*(COUNTIF($F$11:F980,F980)-1)*10000,10)&amp;"}]")</f>
        <v>[{dmg_red_rate,190}]</v>
      </c>
      <c r="H980" s="82" t="s">
        <v>563</v>
      </c>
      <c r="J980" s="78">
        <f ca="1">IF(MOD(COUNTIF($Q$11:Q979,Q979),5)=0,OFFSET(装备属性!$P$1083,1+INT(COUNTA($Q$11:Q979)/5),0),J979)</f>
        <v>6</v>
      </c>
      <c r="K980" s="83" t="str">
        <f ca="1">IF(RIGHT(G980,13)="rune_slot,1}]",_xlfn.XLOOKUP(LEFT(SUBSTITUTE(G980,"[{",""),FIND(",",SUBSTITUTE(G980,"[{",""))-1),Sheet2!B:B,Sheet2!C:C)&amp;"+"&amp;1,_xlfn.XLOOKUP(LEFT(SUBSTITUTE(G980,"[{",""),FIND(",",SUBSTITUTE(G980,"[{",""))-1),Sheet2!B:B,Sheet2!C:C)&amp;"+"&amp;SUBSTITUTE(RIGHT(G980,LEN(G980)-FIND(",",G980)),"}]","")/100&amp;"%")</f>
        <v>伤害减免+1.9%</v>
      </c>
      <c r="L980" s="83" t="str">
        <f ca="1">IF(MOD(COUNTIF($Q$11:Q979,Q979),5)=0,OFFSET(装备属性!$G$1083,1+INT(COUNTA($Q$11:Q979)/5),0),L979)</f>
        <v>全员抗揍Ⅱ</v>
      </c>
      <c r="M980" s="89" t="str">
        <f ca="1">IF(MOD(COUNTIF($Q$11:Q979,Q979),5)=0,OFFSET(装备属性!$H$1083,1+INT(COUNTA($Q$11:Q979)/5),0),M979)</f>
        <v>dmg_red_rate</v>
      </c>
      <c r="N980" s="76">
        <f ca="1">IF(MOD(COUNTIF($Q$11:Q979,Q979),5)=0,OFFSET(装备属性!$K$1083,1+INT(COUNTA($Q$11:Q979)/5),0),N979)</f>
        <v>0.015</v>
      </c>
      <c r="O980" s="76">
        <f ca="1">IF(MOD(COUNTIF($Q$11:Q979,Q979),5)=0,OFFSET(装备属性!$L$1083,1+INT(COUNTA($Q$11:Q979)/5),0),O979)</f>
        <v>0.019</v>
      </c>
      <c r="Q980" s="89" t="str">
        <f ca="1">IF(MOD(COUNTIF($Q$11:Q979,Q979),5)=0,OFFSET(装备属性!$M$1083,1+INT(COUNTA($Q$11:Q979)/5),0),Q979)</f>
        <v>通用属性</v>
      </c>
      <c r="R980" s="83">
        <f ca="1">IF(MOD(COUNTIF($Q$11:Q979,Q979),5)=0,10000*SUBSTITUTE(SUBSTITUTE(OFFSET(装备属性!$F$1083,1+INT(COUNTA($Q$11:Q979)/5),0),"[",""),"]","")+_xlfn.XLOOKUP(C980,$M$3:$M$7,$N$3:$N$7)*100,R979)</f>
        <v>40500</v>
      </c>
    </row>
    <row r="981" customHeight="1" spans="1:18">
      <c r="A981" s="78">
        <f ca="1" t="shared" si="45"/>
        <v>40501</v>
      </c>
      <c r="B981" s="82">
        <f ca="1">IFERROR(R981+COUNTIFS($R$11:$R981,R981),"")</f>
        <v>40506</v>
      </c>
      <c r="C981" s="83" t="str">
        <f ca="1">IF(MOD(COUNTIF($Q$11:Q980,Q980),5)=0,OFFSET(装备属性!$D$1083,1+INT(COUNTA($Q$11:Q980)/5),0),C980)</f>
        <v>橙</v>
      </c>
      <c r="D981" s="82">
        <f t="shared" si="47"/>
        <v>3000</v>
      </c>
      <c r="F981" s="82">
        <f ca="1" t="shared" si="46"/>
        <v>40501</v>
      </c>
      <c r="G981" s="78" t="str">
        <f ca="1">IF(AND(LEFT("[{"&amp;M981&amp;","&amp;CEILING(N981*10000+(O981-N981)/4*(COUNTIF($F$11:F981,F981)-1)*10000,10)&amp;"}]",7)="[{equip",MID("[{"&amp;M981&amp;","&amp;CEILING(N981*10000+(O981-N981)/4*(COUNTIF($F$11:F981,F981)-1)*10000,10)&amp;"}]",8,1)&lt;&gt;"_"),"[{"&amp;M981&amp;","&amp;1&amp;"}]","[{"&amp;M981&amp;","&amp;CEILING(N981*10000+(O981-N981)/4*(COUNTIF($F$11:F981,F981)-1)*10000,10)&amp;"}]")</f>
        <v>[{all_class_dmg,440}]</v>
      </c>
      <c r="H981" s="82" t="s">
        <v>563</v>
      </c>
      <c r="J981" s="78">
        <f ca="1">IF(MOD(COUNTIF($Q$11:Q980,Q980),5)=0,OFFSET(装备属性!$P$1083,1+INT(COUNTA($Q$11:Q980)/5),0),J980)</f>
        <v>2</v>
      </c>
      <c r="K981" s="83" t="str">
        <f ca="1">IF(RIGHT(G981,13)="rune_slot,1}]",_xlfn.XLOOKUP(LEFT(SUBSTITUTE(G981,"[{",""),FIND(",",SUBSTITUTE(G981,"[{",""))-1),Sheet2!B:B,Sheet2!C:C)&amp;"+"&amp;1,_xlfn.XLOOKUP(LEFT(SUBSTITUTE(G981,"[{",""),FIND(",",SUBSTITUTE(G981,"[{",""))-1),Sheet2!B:B,Sheet2!C:C)&amp;"+"&amp;SUBSTITUTE(RIGHT(G981,LEN(G981)-FIND(",",G981)),"}]","")/100&amp;"%")</f>
        <v>上阵五个不同职业增伤+4.4%</v>
      </c>
      <c r="L981" s="83" t="str">
        <f ca="1">IF(MOD(COUNTIF($Q$11:Q980,Q980),5)=0,OFFSET(装备属性!$G$1083,1+INT(COUNTA($Q$11:Q980)/5),0),L980)</f>
        <v>全员出力Ⅱ</v>
      </c>
      <c r="M981" s="89" t="str">
        <f ca="1">IF(MOD(COUNTIF($Q$11:Q980,Q980),5)=0,OFFSET(装备属性!$H$1083,1+INT(COUNTA($Q$11:Q980)/5),0),M980)</f>
        <v>all_class_dmg</v>
      </c>
      <c r="N981" s="76">
        <f ca="1">IF(MOD(COUNTIF($Q$11:Q980,Q980),5)=0,OFFSET(装备属性!$K$1083,1+INT(COUNTA($Q$11:Q980)/5),0),N980)</f>
        <v>0.044</v>
      </c>
      <c r="O981" s="76">
        <f ca="1">IF(MOD(COUNTIF($Q$11:Q980,Q980),5)=0,OFFSET(装备属性!$L$1083,1+INT(COUNTA($Q$11:Q980)/5),0),O980)</f>
        <v>0.058</v>
      </c>
      <c r="Q981" s="89" t="str">
        <f ca="1">IF(MOD(COUNTIF($Q$11:Q980,Q980),5)=0,OFFSET(装备属性!$M$1083,1+INT(COUNTA($Q$11:Q980)/5),0),Q980)</f>
        <v>通用属性</v>
      </c>
      <c r="R981" s="83">
        <f ca="1">IF(MOD(COUNTIF($Q$11:Q980,Q980),5)=0,10000*SUBSTITUTE(SUBSTITUTE(OFFSET(装备属性!$F$1083,1+INT(COUNTA($Q$11:Q980)/5),0),"[",""),"]","")+_xlfn.XLOOKUP(C981,$M$3:$M$7,$N$3:$N$7)*100,R980)</f>
        <v>40500</v>
      </c>
    </row>
    <row r="982" customHeight="1" spans="1:18">
      <c r="A982" s="78">
        <f ca="1" t="shared" si="45"/>
        <v>40501</v>
      </c>
      <c r="B982" s="82">
        <f ca="1">IFERROR(R982+COUNTIFS($R$11:$R982,R982),"")</f>
        <v>40507</v>
      </c>
      <c r="C982" s="83" t="str">
        <f ca="1">IF(MOD(COUNTIF($Q$11:Q981,Q981),5)=0,OFFSET(装备属性!$D$1083,1+INT(COUNTA($Q$11:Q981)/5),0),C981)</f>
        <v>橙</v>
      </c>
      <c r="D982" s="82">
        <f t="shared" si="47"/>
        <v>2500</v>
      </c>
      <c r="F982" s="82">
        <f ca="1" t="shared" si="46"/>
        <v>40501</v>
      </c>
      <c r="G982" s="78" t="str">
        <f ca="1">IF(AND(LEFT("[{"&amp;M982&amp;","&amp;CEILING(N982*10000+(O982-N982)/4*(COUNTIF($F$11:F982,F982)-1)*10000,10)&amp;"}]",7)="[{equip",MID("[{"&amp;M982&amp;","&amp;CEILING(N982*10000+(O982-N982)/4*(COUNTIF($F$11:F982,F982)-1)*10000,10)&amp;"}]",8,1)&lt;&gt;"_"),"[{"&amp;M982&amp;","&amp;1&amp;"}]","[{"&amp;M982&amp;","&amp;CEILING(N982*10000+(O982-N982)/4*(COUNTIF($F$11:F982,F982)-1)*10000,10)&amp;"}]")</f>
        <v>[{all_class_dmg,480}]</v>
      </c>
      <c r="H982" s="82" t="s">
        <v>563</v>
      </c>
      <c r="J982" s="78">
        <f ca="1">IF(MOD(COUNTIF($Q$11:Q981,Q981),5)=0,OFFSET(装备属性!$P$1083,1+INT(COUNTA($Q$11:Q981)/5),0),J981)</f>
        <v>2</v>
      </c>
      <c r="K982" s="83" t="str">
        <f ca="1">IF(RIGHT(G982,13)="rune_slot,1}]",_xlfn.XLOOKUP(LEFT(SUBSTITUTE(G982,"[{",""),FIND(",",SUBSTITUTE(G982,"[{",""))-1),Sheet2!B:B,Sheet2!C:C)&amp;"+"&amp;1,_xlfn.XLOOKUP(LEFT(SUBSTITUTE(G982,"[{",""),FIND(",",SUBSTITUTE(G982,"[{",""))-1),Sheet2!B:B,Sheet2!C:C)&amp;"+"&amp;SUBSTITUTE(RIGHT(G982,LEN(G982)-FIND(",",G982)),"}]","")/100&amp;"%")</f>
        <v>上阵五个不同职业增伤+4.8%</v>
      </c>
      <c r="L982" s="83" t="str">
        <f ca="1">IF(MOD(COUNTIF($Q$11:Q981,Q981),5)=0,OFFSET(装备属性!$G$1083,1+INT(COUNTA($Q$11:Q981)/5),0),L981)</f>
        <v>全员出力Ⅱ</v>
      </c>
      <c r="M982" s="89" t="str">
        <f ca="1">IF(MOD(COUNTIF($Q$11:Q981,Q981),5)=0,OFFSET(装备属性!$H$1083,1+INT(COUNTA($Q$11:Q981)/5),0),M981)</f>
        <v>all_class_dmg</v>
      </c>
      <c r="N982" s="76">
        <f ca="1">IF(MOD(COUNTIF($Q$11:Q981,Q981),5)=0,OFFSET(装备属性!$K$1083,1+INT(COUNTA($Q$11:Q981)/5),0),N981)</f>
        <v>0.044</v>
      </c>
      <c r="O982" s="76">
        <f ca="1">IF(MOD(COUNTIF($Q$11:Q981,Q981),5)=0,OFFSET(装备属性!$L$1083,1+INT(COUNTA($Q$11:Q981)/5),0),O981)</f>
        <v>0.058</v>
      </c>
      <c r="Q982" s="89" t="str">
        <f ca="1">IF(MOD(COUNTIF($Q$11:Q981,Q981),5)=0,OFFSET(装备属性!$M$1083,1+INT(COUNTA($Q$11:Q981)/5),0),Q981)</f>
        <v>通用属性</v>
      </c>
      <c r="R982" s="83">
        <f ca="1">IF(MOD(COUNTIF($Q$11:Q981,Q981),5)=0,10000*SUBSTITUTE(SUBSTITUTE(OFFSET(装备属性!$F$1083,1+INT(COUNTA($Q$11:Q981)/5),0),"[",""),"]","")+_xlfn.XLOOKUP(C982,$M$3:$M$7,$N$3:$N$7)*100,R981)</f>
        <v>40500</v>
      </c>
    </row>
    <row r="983" customHeight="1" spans="1:18">
      <c r="A983" s="78">
        <f ca="1" t="shared" si="45"/>
        <v>40501</v>
      </c>
      <c r="B983" s="82">
        <f ca="1">IFERROR(R983+COUNTIFS($R$11:$R983,R983),"")</f>
        <v>40508</v>
      </c>
      <c r="C983" s="83" t="str">
        <f ca="1">IF(MOD(COUNTIF($Q$11:Q982,Q982),5)=0,OFFSET(装备属性!$D$1083,1+INT(COUNTA($Q$11:Q982)/5),0),C982)</f>
        <v>橙</v>
      </c>
      <c r="D983" s="82">
        <f t="shared" si="47"/>
        <v>2000</v>
      </c>
      <c r="F983" s="82">
        <f ca="1" t="shared" si="46"/>
        <v>40501</v>
      </c>
      <c r="G983" s="78" t="str">
        <f ca="1">IF(AND(LEFT("[{"&amp;M983&amp;","&amp;CEILING(N983*10000+(O983-N983)/4*(COUNTIF($F$11:F983,F983)-1)*10000,10)&amp;"}]",7)="[{equip",MID("[{"&amp;M983&amp;","&amp;CEILING(N983*10000+(O983-N983)/4*(COUNTIF($F$11:F983,F983)-1)*10000,10)&amp;"}]",8,1)&lt;&gt;"_"),"[{"&amp;M983&amp;","&amp;1&amp;"}]","[{"&amp;M983&amp;","&amp;CEILING(N983*10000+(O983-N983)/4*(COUNTIF($F$11:F983,F983)-1)*10000,10)&amp;"}]")</f>
        <v>[{all_class_dmg,510}]</v>
      </c>
      <c r="H983" s="82" t="s">
        <v>563</v>
      </c>
      <c r="J983" s="78">
        <f ca="1">IF(MOD(COUNTIF($Q$11:Q982,Q982),5)=0,OFFSET(装备属性!$P$1083,1+INT(COUNTA($Q$11:Q982)/5),0),J982)</f>
        <v>2</v>
      </c>
      <c r="K983" s="83" t="str">
        <f ca="1">IF(RIGHT(G983,13)="rune_slot,1}]",_xlfn.XLOOKUP(LEFT(SUBSTITUTE(G983,"[{",""),FIND(",",SUBSTITUTE(G983,"[{",""))-1),Sheet2!B:B,Sheet2!C:C)&amp;"+"&amp;1,_xlfn.XLOOKUP(LEFT(SUBSTITUTE(G983,"[{",""),FIND(",",SUBSTITUTE(G983,"[{",""))-1),Sheet2!B:B,Sheet2!C:C)&amp;"+"&amp;SUBSTITUTE(RIGHT(G983,LEN(G983)-FIND(",",G983)),"}]","")/100&amp;"%")</f>
        <v>上阵五个不同职业增伤+5.1%</v>
      </c>
      <c r="L983" s="83" t="str">
        <f ca="1">IF(MOD(COUNTIF($Q$11:Q982,Q982),5)=0,OFFSET(装备属性!$G$1083,1+INT(COUNTA($Q$11:Q982)/5),0),L982)</f>
        <v>全员出力Ⅱ</v>
      </c>
      <c r="M983" s="89" t="str">
        <f ca="1">IF(MOD(COUNTIF($Q$11:Q982,Q982),5)=0,OFFSET(装备属性!$H$1083,1+INT(COUNTA($Q$11:Q982)/5),0),M982)</f>
        <v>all_class_dmg</v>
      </c>
      <c r="N983" s="76">
        <f ca="1">IF(MOD(COUNTIF($Q$11:Q982,Q982),5)=0,OFFSET(装备属性!$K$1083,1+INT(COUNTA($Q$11:Q982)/5),0),N982)</f>
        <v>0.044</v>
      </c>
      <c r="O983" s="76">
        <f ca="1">IF(MOD(COUNTIF($Q$11:Q982,Q982),5)=0,OFFSET(装备属性!$L$1083,1+INT(COUNTA($Q$11:Q982)/5),0),O982)</f>
        <v>0.058</v>
      </c>
      <c r="Q983" s="89" t="str">
        <f ca="1">IF(MOD(COUNTIF($Q$11:Q982,Q982),5)=0,OFFSET(装备属性!$M$1083,1+INT(COUNTA($Q$11:Q982)/5),0),Q982)</f>
        <v>通用属性</v>
      </c>
      <c r="R983" s="83">
        <f ca="1">IF(MOD(COUNTIF($Q$11:Q982,Q982),5)=0,10000*SUBSTITUTE(SUBSTITUTE(OFFSET(装备属性!$F$1083,1+INT(COUNTA($Q$11:Q982)/5),0),"[",""),"]","")+_xlfn.XLOOKUP(C983,$M$3:$M$7,$N$3:$N$7)*100,R982)</f>
        <v>40500</v>
      </c>
    </row>
    <row r="984" customHeight="1" spans="1:18">
      <c r="A984" s="78">
        <f ca="1" t="shared" si="45"/>
        <v>40501</v>
      </c>
      <c r="B984" s="82">
        <f ca="1">IFERROR(R984+COUNTIFS($R$11:$R984,R984),"")</f>
        <v>40509</v>
      </c>
      <c r="C984" s="83" t="str">
        <f ca="1">IF(MOD(COUNTIF($Q$11:Q983,Q983),5)=0,OFFSET(装备属性!$D$1083,1+INT(COUNTA($Q$11:Q983)/5),0),C983)</f>
        <v>橙</v>
      </c>
      <c r="D984" s="82">
        <f t="shared" si="47"/>
        <v>1500</v>
      </c>
      <c r="F984" s="82">
        <f ca="1" t="shared" si="46"/>
        <v>40501</v>
      </c>
      <c r="G984" s="78" t="str">
        <f ca="1">IF(AND(LEFT("[{"&amp;M984&amp;","&amp;CEILING(N984*10000+(O984-N984)/4*(COUNTIF($F$11:F984,F984)-1)*10000,10)&amp;"}]",7)="[{equip",MID("[{"&amp;M984&amp;","&amp;CEILING(N984*10000+(O984-N984)/4*(COUNTIF($F$11:F984,F984)-1)*10000,10)&amp;"}]",8,1)&lt;&gt;"_"),"[{"&amp;M984&amp;","&amp;1&amp;"}]","[{"&amp;M984&amp;","&amp;CEILING(N984*10000+(O984-N984)/4*(COUNTIF($F$11:F984,F984)-1)*10000,10)&amp;"}]")</f>
        <v>[{all_class_dmg,550}]</v>
      </c>
      <c r="H984" s="82" t="s">
        <v>563</v>
      </c>
      <c r="J984" s="78">
        <f ca="1">IF(MOD(COUNTIF($Q$11:Q983,Q983),5)=0,OFFSET(装备属性!$P$1083,1+INT(COUNTA($Q$11:Q983)/5),0),J983)</f>
        <v>2</v>
      </c>
      <c r="K984" s="83" t="str">
        <f ca="1">IF(RIGHT(G984,13)="rune_slot,1}]",_xlfn.XLOOKUP(LEFT(SUBSTITUTE(G984,"[{",""),FIND(",",SUBSTITUTE(G984,"[{",""))-1),Sheet2!B:B,Sheet2!C:C)&amp;"+"&amp;1,_xlfn.XLOOKUP(LEFT(SUBSTITUTE(G984,"[{",""),FIND(",",SUBSTITUTE(G984,"[{",""))-1),Sheet2!B:B,Sheet2!C:C)&amp;"+"&amp;SUBSTITUTE(RIGHT(G984,LEN(G984)-FIND(",",G984)),"}]","")/100&amp;"%")</f>
        <v>上阵五个不同职业增伤+5.5%</v>
      </c>
      <c r="L984" s="83" t="str">
        <f ca="1">IF(MOD(COUNTIF($Q$11:Q983,Q983),5)=0,OFFSET(装备属性!$G$1083,1+INT(COUNTA($Q$11:Q983)/5),0),L983)</f>
        <v>全员出力Ⅱ</v>
      </c>
      <c r="M984" s="89" t="str">
        <f ca="1">IF(MOD(COUNTIF($Q$11:Q983,Q983),5)=0,OFFSET(装备属性!$H$1083,1+INT(COUNTA($Q$11:Q983)/5),0),M983)</f>
        <v>all_class_dmg</v>
      </c>
      <c r="N984" s="76">
        <f ca="1">IF(MOD(COUNTIF($Q$11:Q983,Q983),5)=0,OFFSET(装备属性!$K$1083,1+INT(COUNTA($Q$11:Q983)/5),0),N983)</f>
        <v>0.044</v>
      </c>
      <c r="O984" s="76">
        <f ca="1">IF(MOD(COUNTIF($Q$11:Q983,Q983),5)=0,OFFSET(装备属性!$L$1083,1+INT(COUNTA($Q$11:Q983)/5),0),O983)</f>
        <v>0.058</v>
      </c>
      <c r="Q984" s="89" t="str">
        <f ca="1">IF(MOD(COUNTIF($Q$11:Q983,Q983),5)=0,OFFSET(装备属性!$M$1083,1+INT(COUNTA($Q$11:Q983)/5),0),Q983)</f>
        <v>通用属性</v>
      </c>
      <c r="R984" s="83">
        <f ca="1">IF(MOD(COUNTIF($Q$11:Q983,Q983),5)=0,10000*SUBSTITUTE(SUBSTITUTE(OFFSET(装备属性!$F$1083,1+INT(COUNTA($Q$11:Q983)/5),0),"[",""),"]","")+_xlfn.XLOOKUP(C984,$M$3:$M$7,$N$3:$N$7)*100,R983)</f>
        <v>40500</v>
      </c>
    </row>
    <row r="985" customHeight="1" spans="1:18">
      <c r="A985" s="78">
        <f ca="1" t="shared" si="45"/>
        <v>40501</v>
      </c>
      <c r="B985" s="82">
        <f ca="1">IFERROR(R985+COUNTIFS($R$11:$R985,R985),"")</f>
        <v>40510</v>
      </c>
      <c r="C985" s="83" t="str">
        <f ca="1">IF(MOD(COUNTIF($Q$11:Q984,Q984),5)=0,OFFSET(装备属性!$D$1083,1+INT(COUNTA($Q$11:Q984)/5),0),C984)</f>
        <v>橙</v>
      </c>
      <c r="D985" s="82">
        <f t="shared" si="47"/>
        <v>1000</v>
      </c>
      <c r="F985" s="82">
        <f ca="1" t="shared" si="46"/>
        <v>40501</v>
      </c>
      <c r="G985" s="78" t="str">
        <f ca="1">IF(AND(LEFT("[{"&amp;M985&amp;","&amp;CEILING(N985*10000+(O985-N985)/4*(COUNTIF($F$11:F985,F985)-1)*10000,10)&amp;"}]",7)="[{equip",MID("[{"&amp;M985&amp;","&amp;CEILING(N985*10000+(O985-N985)/4*(COUNTIF($F$11:F985,F985)-1)*10000,10)&amp;"}]",8,1)&lt;&gt;"_"),"[{"&amp;M985&amp;","&amp;1&amp;"}]","[{"&amp;M985&amp;","&amp;CEILING(N985*10000+(O985-N985)/4*(COUNTIF($F$11:F985,F985)-1)*10000,10)&amp;"}]")</f>
        <v>[{all_class_dmg,580}]</v>
      </c>
      <c r="H985" s="82" t="s">
        <v>563</v>
      </c>
      <c r="J985" s="78">
        <f ca="1">IF(MOD(COUNTIF($Q$11:Q984,Q984),5)=0,OFFSET(装备属性!$P$1083,1+INT(COUNTA($Q$11:Q984)/5),0),J984)</f>
        <v>2</v>
      </c>
      <c r="K985" s="83" t="str">
        <f ca="1">IF(RIGHT(G985,13)="rune_slot,1}]",_xlfn.XLOOKUP(LEFT(SUBSTITUTE(G985,"[{",""),FIND(",",SUBSTITUTE(G985,"[{",""))-1),Sheet2!B:B,Sheet2!C:C)&amp;"+"&amp;1,_xlfn.XLOOKUP(LEFT(SUBSTITUTE(G985,"[{",""),FIND(",",SUBSTITUTE(G985,"[{",""))-1),Sheet2!B:B,Sheet2!C:C)&amp;"+"&amp;SUBSTITUTE(RIGHT(G985,LEN(G985)-FIND(",",G985)),"}]","")/100&amp;"%")</f>
        <v>上阵五个不同职业增伤+5.8%</v>
      </c>
      <c r="L985" s="83" t="str">
        <f ca="1">IF(MOD(COUNTIF($Q$11:Q984,Q984),5)=0,OFFSET(装备属性!$G$1083,1+INT(COUNTA($Q$11:Q984)/5),0),L984)</f>
        <v>全员出力Ⅱ</v>
      </c>
      <c r="M985" s="89" t="str">
        <f ca="1">IF(MOD(COUNTIF($Q$11:Q984,Q984),5)=0,OFFSET(装备属性!$H$1083,1+INT(COUNTA($Q$11:Q984)/5),0),M984)</f>
        <v>all_class_dmg</v>
      </c>
      <c r="N985" s="76">
        <f ca="1">IF(MOD(COUNTIF($Q$11:Q984,Q984),5)=0,OFFSET(装备属性!$K$1083,1+INT(COUNTA($Q$11:Q984)/5),0),N984)</f>
        <v>0.044</v>
      </c>
      <c r="O985" s="76">
        <f ca="1">IF(MOD(COUNTIF($Q$11:Q984,Q984),5)=0,OFFSET(装备属性!$L$1083,1+INT(COUNTA($Q$11:Q984)/5),0),O984)</f>
        <v>0.058</v>
      </c>
      <c r="Q985" s="89" t="str">
        <f ca="1">IF(MOD(COUNTIF($Q$11:Q984,Q984),5)=0,OFFSET(装备属性!$M$1083,1+INT(COUNTA($Q$11:Q984)/5),0),Q984)</f>
        <v>通用属性</v>
      </c>
      <c r="R985" s="83">
        <f ca="1">IF(MOD(COUNTIF($Q$11:Q984,Q984),5)=0,10000*SUBSTITUTE(SUBSTITUTE(OFFSET(装备属性!$F$1083,1+INT(COUNTA($Q$11:Q984)/5),0),"[",""),"]","")+_xlfn.XLOOKUP(C985,$M$3:$M$7,$N$3:$N$7)*100,R984)</f>
        <v>40500</v>
      </c>
    </row>
    <row r="986" customHeight="1" spans="1:18">
      <c r="A986" s="78" t="str">
        <f ca="1" t="shared" si="45"/>
        <v/>
      </c>
      <c r="B986" s="82" t="str">
        <f ca="1">IFERROR(R986+COUNTIFS($R$11:$R986,R986),"")</f>
        <v/>
      </c>
      <c r="C986" s="83">
        <f ca="1">IF(MOD(COUNTIF($Q$11:Q985,Q985),5)=0,OFFSET(装备属性!$D$1083,1+INT(COUNTA($Q$11:Q985)/5),0),C985)</f>
        <v>0</v>
      </c>
      <c r="D986" s="82">
        <f t="shared" si="47"/>
        <v>3000</v>
      </c>
      <c r="F986" s="82" t="str">
        <f ca="1" t="shared" si="46"/>
        <v/>
      </c>
      <c r="G986" s="78" t="str">
        <f ca="1">IF(AND(LEFT("[{"&amp;M986&amp;","&amp;CEILING(N986*10000+(O986-N986)/4*(COUNTIF($F$11:F986,F986)-1)*10000,10)&amp;"}]",7)="[{equip",MID("[{"&amp;M986&amp;","&amp;CEILING(N986*10000+(O986-N986)/4*(COUNTIF($F$11:F986,F986)-1)*10000,10)&amp;"}]",8,1)&lt;&gt;"_"),"[{"&amp;M986&amp;","&amp;1&amp;"}]","[{"&amp;M986&amp;","&amp;CEILING(N986*10000+(O986-N986)/4*(COUNTIF($F$11:F986,F986)-1)*10000,10)&amp;"}]")</f>
        <v>[{exp_boost,2000}]</v>
      </c>
      <c r="H986" s="82" t="s">
        <v>563</v>
      </c>
      <c r="J986" s="78">
        <f ca="1">IF(MOD(COUNTIF($Q$11:Q985,Q985),5)=0,OFFSET(装备属性!$P$1083,1+INT(COUNTA($Q$11:Q985)/5),0),J985)</f>
        <v>9</v>
      </c>
      <c r="K986" s="83" t="str">
        <f ca="1">IF(RIGHT(G986,13)="rune_slot,1}]",_xlfn.XLOOKUP(LEFT(SUBSTITUTE(G986,"[{",""),FIND(",",SUBSTITUTE(G986,"[{",""))-1),Sheet2!B:B,Sheet2!C:C)&amp;"+"&amp;1,_xlfn.XLOOKUP(LEFT(SUBSTITUTE(G986,"[{",""),FIND(",",SUBSTITUTE(G986,"[{",""))-1),Sheet2!B:B,Sheet2!C:C)&amp;"+"&amp;SUBSTITUTE(RIGHT(G986,LEN(G986)-FIND(",",G986)),"}]","")/100&amp;"%")</f>
        <v>经验加成+20%</v>
      </c>
      <c r="L986" s="83" t="str">
        <f ca="1">IF(MOD(COUNTIF($Q$11:Q985,Q985),5)=0,OFFSET(装备属性!$G$1083,1+INT(COUNTA($Q$11:Q985)/5),0),L985)</f>
        <v>涨见识</v>
      </c>
      <c r="M986" s="89" t="str">
        <f ca="1">IF(MOD(COUNTIF($Q$11:Q985,Q985),5)=0,OFFSET(装备属性!$H$1083,1+INT(COUNTA($Q$11:Q985)/5),0),M985)</f>
        <v>exp_boost</v>
      </c>
      <c r="N986" s="76">
        <f ca="1">IF(MOD(COUNTIF($Q$11:Q985,Q985),5)=0,OFFSET(装备属性!$K$1083,1+INT(COUNTA($Q$11:Q985)/5),0),N985)</f>
        <v>0.2</v>
      </c>
      <c r="O986" s="76">
        <f ca="1">IF(MOD(COUNTIF($Q$11:Q985,Q985),5)=0,OFFSET(装备属性!$L$1083,1+INT(COUNTA($Q$11:Q985)/5),0),O985)</f>
        <v>0.2</v>
      </c>
      <c r="Q986" s="89" t="str">
        <f ca="1">IF(MOD(COUNTIF($Q$11:Q985,Q985),5)=0,OFFSET(装备属性!$M$1083,1+INT(COUNTA($Q$11:Q985)/5),0),Q985)</f>
        <v>稀有词条</v>
      </c>
      <c r="R986" s="83" t="e">
        <f ca="1">IF(MOD(COUNTIF($Q$11:Q985,Q985),5)=0,10000*SUBSTITUTE(SUBSTITUTE(OFFSET(装备属性!$F$1083,1+INT(COUNTA($Q$11:Q985)/5),0),"[",""),"]","")+_xlfn.XLOOKUP(C986,$M$3:$M$7,$N$3:$N$7)*100,R985)</f>
        <v>#N/A</v>
      </c>
    </row>
    <row r="987" customHeight="1" spans="1:18">
      <c r="A987" s="78" t="str">
        <f ca="1" t="shared" si="45"/>
        <v/>
      </c>
      <c r="B987" s="82" t="str">
        <f ca="1">IFERROR(R987+COUNTIFS($R$11:$R987,R987),"")</f>
        <v/>
      </c>
      <c r="C987" s="83">
        <f ca="1">IF(MOD(COUNTIF($Q$11:Q986,Q986),5)=0,OFFSET(装备属性!$D$1083,1+INT(COUNTA($Q$11:Q986)/5),0),C986)</f>
        <v>0</v>
      </c>
      <c r="D987" s="82">
        <f t="shared" si="47"/>
        <v>2500</v>
      </c>
      <c r="F987" s="82" t="str">
        <f ca="1" t="shared" si="46"/>
        <v/>
      </c>
      <c r="G987" s="78" t="str">
        <f ca="1">IF(AND(LEFT("[{"&amp;M987&amp;","&amp;CEILING(N987*10000+(O987-N987)/4*(COUNTIF($F$11:F987,F987)-1)*10000,10)&amp;"}]",7)="[{equip",MID("[{"&amp;M987&amp;","&amp;CEILING(N987*10000+(O987-N987)/4*(COUNTIF($F$11:F987,F987)-1)*10000,10)&amp;"}]",8,1)&lt;&gt;"_"),"[{"&amp;M987&amp;","&amp;1&amp;"}]","[{"&amp;M987&amp;","&amp;CEILING(N987*10000+(O987-N987)/4*(COUNTIF($F$11:F987,F987)-1)*10000,10)&amp;"}]")</f>
        <v>[{exp_boost,2000}]</v>
      </c>
      <c r="H987" s="82" t="s">
        <v>563</v>
      </c>
      <c r="J987" s="78">
        <f ca="1">IF(MOD(COUNTIF($Q$11:Q986,Q986),5)=0,OFFSET(装备属性!$P$1083,1+INT(COUNTA($Q$11:Q986)/5),0),J986)</f>
        <v>9</v>
      </c>
      <c r="K987" s="83" t="str">
        <f ca="1">IF(RIGHT(G987,13)="rune_slot,1}]",_xlfn.XLOOKUP(LEFT(SUBSTITUTE(G987,"[{",""),FIND(",",SUBSTITUTE(G987,"[{",""))-1),Sheet2!B:B,Sheet2!C:C)&amp;"+"&amp;1,_xlfn.XLOOKUP(LEFT(SUBSTITUTE(G987,"[{",""),FIND(",",SUBSTITUTE(G987,"[{",""))-1),Sheet2!B:B,Sheet2!C:C)&amp;"+"&amp;SUBSTITUTE(RIGHT(G987,LEN(G987)-FIND(",",G987)),"}]","")/100&amp;"%")</f>
        <v>经验加成+20%</v>
      </c>
      <c r="L987" s="83" t="str">
        <f ca="1">IF(MOD(COUNTIF($Q$11:Q986,Q986),5)=0,OFFSET(装备属性!$G$1083,1+INT(COUNTA($Q$11:Q986)/5),0),L986)</f>
        <v>涨见识</v>
      </c>
      <c r="M987" s="89" t="str">
        <f ca="1">IF(MOD(COUNTIF($Q$11:Q986,Q986),5)=0,OFFSET(装备属性!$H$1083,1+INT(COUNTA($Q$11:Q986)/5),0),M986)</f>
        <v>exp_boost</v>
      </c>
      <c r="N987" s="76">
        <f ca="1">IF(MOD(COUNTIF($Q$11:Q986,Q986),5)=0,OFFSET(装备属性!$K$1083,1+INT(COUNTA($Q$11:Q986)/5),0),N986)</f>
        <v>0.2</v>
      </c>
      <c r="O987" s="76">
        <f ca="1">IF(MOD(COUNTIF($Q$11:Q986,Q986),5)=0,OFFSET(装备属性!$L$1083,1+INT(COUNTA($Q$11:Q986)/5),0),O986)</f>
        <v>0.2</v>
      </c>
      <c r="Q987" s="89" t="str">
        <f ca="1">IF(MOD(COUNTIF($Q$11:Q986,Q986),5)=0,OFFSET(装备属性!$M$1083,1+INT(COUNTA($Q$11:Q986)/5),0),Q986)</f>
        <v>稀有词条</v>
      </c>
      <c r="R987" s="83" t="e">
        <f ca="1">IF(MOD(COUNTIF($Q$11:Q986,Q986),5)=0,10000*SUBSTITUTE(SUBSTITUTE(OFFSET(装备属性!$F$1083,1+INT(COUNTA($Q$11:Q986)/5),0),"[",""),"]","")+_xlfn.XLOOKUP(C987,$M$3:$M$7,$N$3:$N$7)*100,R986)</f>
        <v>#N/A</v>
      </c>
    </row>
    <row r="988" customHeight="1" spans="1:18">
      <c r="A988" s="78" t="str">
        <f ca="1" t="shared" si="45"/>
        <v/>
      </c>
      <c r="B988" s="82" t="str">
        <f ca="1">IFERROR(R988+COUNTIFS($R$11:$R988,R988),"")</f>
        <v/>
      </c>
      <c r="C988" s="83">
        <f ca="1">IF(MOD(COUNTIF($Q$11:Q987,Q987),5)=0,OFFSET(装备属性!$D$1083,1+INT(COUNTA($Q$11:Q987)/5),0),C987)</f>
        <v>0</v>
      </c>
      <c r="D988" s="82">
        <f t="shared" si="47"/>
        <v>2000</v>
      </c>
      <c r="F988" s="82" t="str">
        <f ca="1" t="shared" si="46"/>
        <v/>
      </c>
      <c r="G988" s="78" t="str">
        <f ca="1">IF(AND(LEFT("[{"&amp;M988&amp;","&amp;CEILING(N988*10000+(O988-N988)/4*(COUNTIF($F$11:F988,F988)-1)*10000,10)&amp;"}]",7)="[{equip",MID("[{"&amp;M988&amp;","&amp;CEILING(N988*10000+(O988-N988)/4*(COUNTIF($F$11:F988,F988)-1)*10000,10)&amp;"}]",8,1)&lt;&gt;"_"),"[{"&amp;M988&amp;","&amp;1&amp;"}]","[{"&amp;M988&amp;","&amp;CEILING(N988*10000+(O988-N988)/4*(COUNTIF($F$11:F988,F988)-1)*10000,10)&amp;"}]")</f>
        <v>[{exp_boost,2000}]</v>
      </c>
      <c r="H988" s="82" t="s">
        <v>563</v>
      </c>
      <c r="J988" s="78">
        <f ca="1">IF(MOD(COUNTIF($Q$11:Q987,Q987),5)=0,OFFSET(装备属性!$P$1083,1+INT(COUNTA($Q$11:Q987)/5),0),J987)</f>
        <v>9</v>
      </c>
      <c r="K988" s="83" t="str">
        <f ca="1">IF(RIGHT(G988,13)="rune_slot,1}]",_xlfn.XLOOKUP(LEFT(SUBSTITUTE(G988,"[{",""),FIND(",",SUBSTITUTE(G988,"[{",""))-1),Sheet2!B:B,Sheet2!C:C)&amp;"+"&amp;1,_xlfn.XLOOKUP(LEFT(SUBSTITUTE(G988,"[{",""),FIND(",",SUBSTITUTE(G988,"[{",""))-1),Sheet2!B:B,Sheet2!C:C)&amp;"+"&amp;SUBSTITUTE(RIGHT(G988,LEN(G988)-FIND(",",G988)),"}]","")/100&amp;"%")</f>
        <v>经验加成+20%</v>
      </c>
      <c r="L988" s="83" t="str">
        <f ca="1">IF(MOD(COUNTIF($Q$11:Q987,Q987),5)=0,OFFSET(装备属性!$G$1083,1+INT(COUNTA($Q$11:Q987)/5),0),L987)</f>
        <v>涨见识</v>
      </c>
      <c r="M988" s="89" t="str">
        <f ca="1">IF(MOD(COUNTIF($Q$11:Q987,Q987),5)=0,OFFSET(装备属性!$H$1083,1+INT(COUNTA($Q$11:Q987)/5),0),M987)</f>
        <v>exp_boost</v>
      </c>
      <c r="N988" s="76">
        <f ca="1">IF(MOD(COUNTIF($Q$11:Q987,Q987),5)=0,OFFSET(装备属性!$K$1083,1+INT(COUNTA($Q$11:Q987)/5),0),N987)</f>
        <v>0.2</v>
      </c>
      <c r="O988" s="76">
        <f ca="1">IF(MOD(COUNTIF($Q$11:Q987,Q987),5)=0,OFFSET(装备属性!$L$1083,1+INT(COUNTA($Q$11:Q987)/5),0),O987)</f>
        <v>0.2</v>
      </c>
      <c r="Q988" s="89" t="str">
        <f ca="1">IF(MOD(COUNTIF($Q$11:Q987,Q987),5)=0,OFFSET(装备属性!$M$1083,1+INT(COUNTA($Q$11:Q987)/5),0),Q987)</f>
        <v>稀有词条</v>
      </c>
      <c r="R988" s="83" t="e">
        <f ca="1">IF(MOD(COUNTIF($Q$11:Q987,Q987),5)=0,10000*SUBSTITUTE(SUBSTITUTE(OFFSET(装备属性!$F$1083,1+INT(COUNTA($Q$11:Q987)/5),0),"[",""),"]","")+_xlfn.XLOOKUP(C988,$M$3:$M$7,$N$3:$N$7)*100,R987)</f>
        <v>#N/A</v>
      </c>
    </row>
    <row r="989" customHeight="1" spans="1:18">
      <c r="A989" s="78" t="str">
        <f ca="1" t="shared" si="45"/>
        <v/>
      </c>
      <c r="B989" s="82" t="str">
        <f ca="1">IFERROR(R989+COUNTIFS($R$11:$R989,R989),"")</f>
        <v/>
      </c>
      <c r="C989" s="83">
        <f ca="1">IF(MOD(COUNTIF($Q$11:Q988,Q988),5)=0,OFFSET(装备属性!$D$1083,1+INT(COUNTA($Q$11:Q988)/5),0),C988)</f>
        <v>0</v>
      </c>
      <c r="D989" s="82">
        <f t="shared" si="47"/>
        <v>1500</v>
      </c>
      <c r="F989" s="82" t="str">
        <f ca="1" t="shared" si="46"/>
        <v/>
      </c>
      <c r="G989" s="78" t="str">
        <f ca="1">IF(AND(LEFT("[{"&amp;M989&amp;","&amp;CEILING(N989*10000+(O989-N989)/4*(COUNTIF($F$11:F989,F989)-1)*10000,10)&amp;"}]",7)="[{equip",MID("[{"&amp;M989&amp;","&amp;CEILING(N989*10000+(O989-N989)/4*(COUNTIF($F$11:F989,F989)-1)*10000,10)&amp;"}]",8,1)&lt;&gt;"_"),"[{"&amp;M989&amp;","&amp;1&amp;"}]","[{"&amp;M989&amp;","&amp;CEILING(N989*10000+(O989-N989)/4*(COUNTIF($F$11:F989,F989)-1)*10000,10)&amp;"}]")</f>
        <v>[{exp_boost,2000}]</v>
      </c>
      <c r="H989" s="82" t="s">
        <v>563</v>
      </c>
      <c r="J989" s="78">
        <f ca="1">IF(MOD(COUNTIF($Q$11:Q988,Q988),5)=0,OFFSET(装备属性!$P$1083,1+INT(COUNTA($Q$11:Q988)/5),0),J988)</f>
        <v>9</v>
      </c>
      <c r="K989" s="83" t="str">
        <f ca="1">IF(RIGHT(G989,13)="rune_slot,1}]",_xlfn.XLOOKUP(LEFT(SUBSTITUTE(G989,"[{",""),FIND(",",SUBSTITUTE(G989,"[{",""))-1),Sheet2!B:B,Sheet2!C:C)&amp;"+"&amp;1,_xlfn.XLOOKUP(LEFT(SUBSTITUTE(G989,"[{",""),FIND(",",SUBSTITUTE(G989,"[{",""))-1),Sheet2!B:B,Sheet2!C:C)&amp;"+"&amp;SUBSTITUTE(RIGHT(G989,LEN(G989)-FIND(",",G989)),"}]","")/100&amp;"%")</f>
        <v>经验加成+20%</v>
      </c>
      <c r="L989" s="83" t="str">
        <f ca="1">IF(MOD(COUNTIF($Q$11:Q988,Q988),5)=0,OFFSET(装备属性!$G$1083,1+INT(COUNTA($Q$11:Q988)/5),0),L988)</f>
        <v>涨见识</v>
      </c>
      <c r="M989" s="89" t="str">
        <f ca="1">IF(MOD(COUNTIF($Q$11:Q988,Q988),5)=0,OFFSET(装备属性!$H$1083,1+INT(COUNTA($Q$11:Q988)/5),0),M988)</f>
        <v>exp_boost</v>
      </c>
      <c r="N989" s="76">
        <f ca="1">IF(MOD(COUNTIF($Q$11:Q988,Q988),5)=0,OFFSET(装备属性!$K$1083,1+INT(COUNTA($Q$11:Q988)/5),0),N988)</f>
        <v>0.2</v>
      </c>
      <c r="O989" s="76">
        <f ca="1">IF(MOD(COUNTIF($Q$11:Q988,Q988),5)=0,OFFSET(装备属性!$L$1083,1+INT(COUNTA($Q$11:Q988)/5),0),O988)</f>
        <v>0.2</v>
      </c>
      <c r="Q989" s="89" t="str">
        <f ca="1">IF(MOD(COUNTIF($Q$11:Q988,Q988),5)=0,OFFSET(装备属性!$M$1083,1+INT(COUNTA($Q$11:Q988)/5),0),Q988)</f>
        <v>稀有词条</v>
      </c>
      <c r="R989" s="83" t="e">
        <f ca="1">IF(MOD(COUNTIF($Q$11:Q988,Q988),5)=0,10000*SUBSTITUTE(SUBSTITUTE(OFFSET(装备属性!$F$1083,1+INT(COUNTA($Q$11:Q988)/5),0),"[",""),"]","")+_xlfn.XLOOKUP(C989,$M$3:$M$7,$N$3:$N$7)*100,R988)</f>
        <v>#N/A</v>
      </c>
    </row>
    <row r="990" customHeight="1" spans="1:18">
      <c r="A990" s="78" t="str">
        <f ca="1" t="shared" si="45"/>
        <v/>
      </c>
      <c r="B990" s="82" t="str">
        <f ca="1">IFERROR(R990+COUNTIFS($R$11:$R990,R990),"")</f>
        <v/>
      </c>
      <c r="C990" s="83">
        <f ca="1">IF(MOD(COUNTIF($Q$11:Q989,Q989),5)=0,OFFSET(装备属性!$D$1083,1+INT(COUNTA($Q$11:Q989)/5),0),C989)</f>
        <v>0</v>
      </c>
      <c r="D990" s="82">
        <f t="shared" si="47"/>
        <v>1000</v>
      </c>
      <c r="F990" s="82" t="str">
        <f ca="1" t="shared" si="46"/>
        <v/>
      </c>
      <c r="G990" s="78" t="str">
        <f ca="1">IF(AND(LEFT("[{"&amp;M990&amp;","&amp;CEILING(N990*10000+(O990-N990)/4*(COUNTIF($F$11:F990,F990)-1)*10000,10)&amp;"}]",7)="[{equip",MID("[{"&amp;M990&amp;","&amp;CEILING(N990*10000+(O990-N990)/4*(COUNTIF($F$11:F990,F990)-1)*10000,10)&amp;"}]",8,1)&lt;&gt;"_"),"[{"&amp;M990&amp;","&amp;1&amp;"}]","[{"&amp;M990&amp;","&amp;CEILING(N990*10000+(O990-N990)/4*(COUNTIF($F$11:F990,F990)-1)*10000,10)&amp;"}]")</f>
        <v>[{exp_boost,2000}]</v>
      </c>
      <c r="H990" s="82" t="s">
        <v>563</v>
      </c>
      <c r="J990" s="78">
        <f ca="1">IF(MOD(COUNTIF($Q$11:Q989,Q989),5)=0,OFFSET(装备属性!$P$1083,1+INT(COUNTA($Q$11:Q989)/5),0),J989)</f>
        <v>9</v>
      </c>
      <c r="K990" s="83" t="str">
        <f ca="1">IF(RIGHT(G990,13)="rune_slot,1}]",_xlfn.XLOOKUP(LEFT(SUBSTITUTE(G990,"[{",""),FIND(",",SUBSTITUTE(G990,"[{",""))-1),Sheet2!B:B,Sheet2!C:C)&amp;"+"&amp;1,_xlfn.XLOOKUP(LEFT(SUBSTITUTE(G990,"[{",""),FIND(",",SUBSTITUTE(G990,"[{",""))-1),Sheet2!B:B,Sheet2!C:C)&amp;"+"&amp;SUBSTITUTE(RIGHT(G990,LEN(G990)-FIND(",",G990)),"}]","")/100&amp;"%")</f>
        <v>经验加成+20%</v>
      </c>
      <c r="L990" s="83" t="str">
        <f ca="1">IF(MOD(COUNTIF($Q$11:Q989,Q989),5)=0,OFFSET(装备属性!$G$1083,1+INT(COUNTA($Q$11:Q989)/5),0),L989)</f>
        <v>涨见识</v>
      </c>
      <c r="M990" s="89" t="str">
        <f ca="1">IF(MOD(COUNTIF($Q$11:Q989,Q989),5)=0,OFFSET(装备属性!$H$1083,1+INT(COUNTA($Q$11:Q989)/5),0),M989)</f>
        <v>exp_boost</v>
      </c>
      <c r="N990" s="76">
        <f ca="1">IF(MOD(COUNTIF($Q$11:Q989,Q989),5)=0,OFFSET(装备属性!$K$1083,1+INT(COUNTA($Q$11:Q989)/5),0),N989)</f>
        <v>0.2</v>
      </c>
      <c r="O990" s="76">
        <f ca="1">IF(MOD(COUNTIF($Q$11:Q989,Q989),5)=0,OFFSET(装备属性!$L$1083,1+INT(COUNTA($Q$11:Q989)/5),0),O989)</f>
        <v>0.2</v>
      </c>
      <c r="Q990" s="89" t="str">
        <f ca="1">IF(MOD(COUNTIF($Q$11:Q989,Q989),5)=0,OFFSET(装备属性!$M$1083,1+INT(COUNTA($Q$11:Q989)/5),0),Q989)</f>
        <v>稀有词条</v>
      </c>
      <c r="R990" s="83" t="e">
        <f ca="1">IF(MOD(COUNTIF($Q$11:Q989,Q989),5)=0,10000*SUBSTITUTE(SUBSTITUTE(OFFSET(装备属性!$F$1083,1+INT(COUNTA($Q$11:Q989)/5),0),"[",""),"]","")+_xlfn.XLOOKUP(C990,$M$3:$M$7,$N$3:$N$7)*100,R989)</f>
        <v>#N/A</v>
      </c>
    </row>
    <row r="991" customHeight="1" spans="1:18">
      <c r="A991" s="78" t="str">
        <f ca="1" t="shared" si="45"/>
        <v/>
      </c>
      <c r="B991" s="82" t="str">
        <f ca="1">IFERROR(R991+COUNTIFS($R$11:$R991,R991),"")</f>
        <v/>
      </c>
      <c r="C991" s="83">
        <f ca="1">IF(MOD(COUNTIF($Q$11:Q990,Q990),5)=0,OFFSET(装备属性!$D$1083,1+INT(COUNTA($Q$11:Q990)/5),0),C990)</f>
        <v>0</v>
      </c>
      <c r="D991" s="82">
        <f t="shared" si="47"/>
        <v>3000</v>
      </c>
      <c r="F991" s="82" t="str">
        <f ca="1" t="shared" si="46"/>
        <v/>
      </c>
      <c r="G991" s="78" t="str">
        <f ca="1">IF(AND(LEFT("[{"&amp;M991&amp;","&amp;CEILING(N991*10000+(O991-N991)/4*(COUNTIF($F$11:F991,F991)-1)*10000,10)&amp;"}]",7)="[{equip",MID("[{"&amp;M991&amp;","&amp;CEILING(N991*10000+(O991-N991)/4*(COUNTIF($F$11:F991,F991)-1)*10000,10)&amp;"}]",8,1)&lt;&gt;"_"),"[{"&amp;M991&amp;","&amp;1&amp;"}]","[{"&amp;M991&amp;","&amp;CEILING(N991*10000+(O991-N991)/4*(COUNTIF($F$11:F991,F991)-1)*10000,10)&amp;"}]")</f>
        <v>[{equip_base_attr,2500}]</v>
      </c>
      <c r="H991" s="82" t="s">
        <v>563</v>
      </c>
      <c r="J991" s="78">
        <f ca="1">IF(MOD(COUNTIF($Q$11:Q990,Q990),5)=0,OFFSET(装备属性!$P$1083,1+INT(COUNTA($Q$11:Q990)/5),0),J990)</f>
        <v>7</v>
      </c>
      <c r="K991" s="83" t="str">
        <f ca="1">IF(RIGHT(G991,13)="rune_slot,1}]",_xlfn.XLOOKUP(LEFT(SUBSTITUTE(G991,"[{",""),FIND(",",SUBSTITUTE(G991,"[{",""))-1),Sheet2!B:B,Sheet2!C:C)&amp;"+"&amp;1,_xlfn.XLOOKUP(LEFT(SUBSTITUTE(G991,"[{",""),FIND(",",SUBSTITUTE(G991,"[{",""))-1),Sheet2!B:B,Sheet2!C:C)&amp;"+"&amp;SUBSTITUTE(RIGHT(G991,LEN(G991)-FIND(",",G991)),"}]","")/100&amp;"%")</f>
        <v>装备基础属性加成+25%</v>
      </c>
      <c r="L991" s="83" t="str">
        <f ca="1">IF(MOD(COUNTIF($Q$11:Q990,Q990),5)=0,OFFSET(装备属性!$G$1083,1+INT(COUNTA($Q$11:Q990)/5),0),L990)</f>
        <v>厚底子</v>
      </c>
      <c r="M991" s="89" t="str">
        <f ca="1">IF(MOD(COUNTIF($Q$11:Q990,Q990),5)=0,OFFSET(装备属性!$H$1083,1+INT(COUNTA($Q$11:Q990)/5),0),M990)</f>
        <v>equip_base_attr</v>
      </c>
      <c r="N991" s="76">
        <f ca="1">IF(MOD(COUNTIF($Q$11:Q990,Q990),5)=0,OFFSET(装备属性!$K$1083,1+INT(COUNTA($Q$11:Q990)/5),0),N990)</f>
        <v>0.25</v>
      </c>
      <c r="O991" s="76">
        <f ca="1">IF(MOD(COUNTIF($Q$11:Q990,Q990),5)=0,OFFSET(装备属性!$L$1083,1+INT(COUNTA($Q$11:Q990)/5),0),O990)</f>
        <v>0.25</v>
      </c>
      <c r="Q991" s="89" t="str">
        <f ca="1">IF(MOD(COUNTIF($Q$11:Q990,Q990),5)=0,OFFSET(装备属性!$M$1083,1+INT(COUNTA($Q$11:Q990)/5),0),Q990)</f>
        <v>稀有词条</v>
      </c>
      <c r="R991" s="83" t="e">
        <f ca="1">IF(MOD(COUNTIF($Q$11:Q990,Q990),5)=0,10000*SUBSTITUTE(SUBSTITUTE(OFFSET(装备属性!$F$1083,1+INT(COUNTA($Q$11:Q990)/5),0),"[",""),"]","")+_xlfn.XLOOKUP(C991,$M$3:$M$7,$N$3:$N$7)*100,R990)</f>
        <v>#N/A</v>
      </c>
    </row>
    <row r="992" customHeight="1" spans="1:18">
      <c r="A992" s="78" t="str">
        <f ca="1" t="shared" si="45"/>
        <v/>
      </c>
      <c r="B992" s="82" t="str">
        <f ca="1">IFERROR(R992+COUNTIFS($R$11:$R992,R992),"")</f>
        <v/>
      </c>
      <c r="C992" s="83">
        <f ca="1">IF(MOD(COUNTIF($Q$11:Q991,Q991),5)=0,OFFSET(装备属性!$D$1083,1+INT(COUNTA($Q$11:Q991)/5),0),C991)</f>
        <v>0</v>
      </c>
      <c r="D992" s="82">
        <f t="shared" si="47"/>
        <v>2500</v>
      </c>
      <c r="F992" s="82" t="str">
        <f ca="1" t="shared" si="46"/>
        <v/>
      </c>
      <c r="G992" s="78" t="str">
        <f ca="1">IF(AND(LEFT("[{"&amp;M992&amp;","&amp;CEILING(N992*10000+(O992-N992)/4*(COUNTIF($F$11:F992,F992)-1)*10000,10)&amp;"}]",7)="[{equip",MID("[{"&amp;M992&amp;","&amp;CEILING(N992*10000+(O992-N992)/4*(COUNTIF($F$11:F992,F992)-1)*10000,10)&amp;"}]",8,1)&lt;&gt;"_"),"[{"&amp;M992&amp;","&amp;1&amp;"}]","[{"&amp;M992&amp;","&amp;CEILING(N992*10000+(O992-N992)/4*(COUNTIF($F$11:F992,F992)-1)*10000,10)&amp;"}]")</f>
        <v>[{equip_base_attr,2500}]</v>
      </c>
      <c r="H992" s="82" t="s">
        <v>563</v>
      </c>
      <c r="J992" s="78">
        <f ca="1">IF(MOD(COUNTIF($Q$11:Q991,Q991),5)=0,OFFSET(装备属性!$P$1083,1+INT(COUNTA($Q$11:Q991)/5),0),J991)</f>
        <v>7</v>
      </c>
      <c r="K992" s="83" t="str">
        <f ca="1">IF(RIGHT(G992,13)="rune_slot,1}]",_xlfn.XLOOKUP(LEFT(SUBSTITUTE(G992,"[{",""),FIND(",",SUBSTITUTE(G992,"[{",""))-1),Sheet2!B:B,Sheet2!C:C)&amp;"+"&amp;1,_xlfn.XLOOKUP(LEFT(SUBSTITUTE(G992,"[{",""),FIND(",",SUBSTITUTE(G992,"[{",""))-1),Sheet2!B:B,Sheet2!C:C)&amp;"+"&amp;SUBSTITUTE(RIGHT(G992,LEN(G992)-FIND(",",G992)),"}]","")/100&amp;"%")</f>
        <v>装备基础属性加成+25%</v>
      </c>
      <c r="L992" s="83" t="str">
        <f ca="1">IF(MOD(COUNTIF($Q$11:Q991,Q991),5)=0,OFFSET(装备属性!$G$1083,1+INT(COUNTA($Q$11:Q991)/5),0),L991)</f>
        <v>厚底子</v>
      </c>
      <c r="M992" s="89" t="str">
        <f ca="1">IF(MOD(COUNTIF($Q$11:Q991,Q991),5)=0,OFFSET(装备属性!$H$1083,1+INT(COUNTA($Q$11:Q991)/5),0),M991)</f>
        <v>equip_base_attr</v>
      </c>
      <c r="N992" s="76">
        <f ca="1">IF(MOD(COUNTIF($Q$11:Q991,Q991),5)=0,OFFSET(装备属性!$K$1083,1+INT(COUNTA($Q$11:Q991)/5),0),N991)</f>
        <v>0.25</v>
      </c>
      <c r="O992" s="76">
        <f ca="1">IF(MOD(COUNTIF($Q$11:Q991,Q991),5)=0,OFFSET(装备属性!$L$1083,1+INT(COUNTA($Q$11:Q991)/5),0),O991)</f>
        <v>0.25</v>
      </c>
      <c r="Q992" s="89" t="str">
        <f ca="1">IF(MOD(COUNTIF($Q$11:Q991,Q991),5)=0,OFFSET(装备属性!$M$1083,1+INT(COUNTA($Q$11:Q991)/5),0),Q991)</f>
        <v>稀有词条</v>
      </c>
      <c r="R992" s="83" t="e">
        <f ca="1">IF(MOD(COUNTIF($Q$11:Q991,Q991),5)=0,10000*SUBSTITUTE(SUBSTITUTE(OFFSET(装备属性!$F$1083,1+INT(COUNTA($Q$11:Q991)/5),0),"[",""),"]","")+_xlfn.XLOOKUP(C992,$M$3:$M$7,$N$3:$N$7)*100,R991)</f>
        <v>#N/A</v>
      </c>
    </row>
    <row r="993" customHeight="1" spans="1:18">
      <c r="A993" s="78" t="str">
        <f ca="1" t="shared" si="45"/>
        <v/>
      </c>
      <c r="B993" s="82" t="str">
        <f ca="1">IFERROR(R993+COUNTIFS($R$11:$R993,R993),"")</f>
        <v/>
      </c>
      <c r="C993" s="83">
        <f ca="1">IF(MOD(COUNTIF($Q$11:Q992,Q992),5)=0,OFFSET(装备属性!$D$1083,1+INT(COUNTA($Q$11:Q992)/5),0),C992)</f>
        <v>0</v>
      </c>
      <c r="D993" s="82">
        <f t="shared" si="47"/>
        <v>2000</v>
      </c>
      <c r="F993" s="82" t="str">
        <f ca="1" t="shared" si="46"/>
        <v/>
      </c>
      <c r="G993" s="78" t="str">
        <f ca="1">IF(AND(LEFT("[{"&amp;M993&amp;","&amp;CEILING(N993*10000+(O993-N993)/4*(COUNTIF($F$11:F993,F993)-1)*10000,10)&amp;"}]",7)="[{equip",MID("[{"&amp;M993&amp;","&amp;CEILING(N993*10000+(O993-N993)/4*(COUNTIF($F$11:F993,F993)-1)*10000,10)&amp;"}]",8,1)&lt;&gt;"_"),"[{"&amp;M993&amp;","&amp;1&amp;"}]","[{"&amp;M993&amp;","&amp;CEILING(N993*10000+(O993-N993)/4*(COUNTIF($F$11:F993,F993)-1)*10000,10)&amp;"}]")</f>
        <v>[{equip_base_attr,2500}]</v>
      </c>
      <c r="H993" s="82" t="s">
        <v>563</v>
      </c>
      <c r="J993" s="78">
        <f ca="1">IF(MOD(COUNTIF($Q$11:Q992,Q992),5)=0,OFFSET(装备属性!$P$1083,1+INT(COUNTA($Q$11:Q992)/5),0),J992)</f>
        <v>7</v>
      </c>
      <c r="K993" s="83" t="str">
        <f ca="1">IF(RIGHT(G993,13)="rune_slot,1}]",_xlfn.XLOOKUP(LEFT(SUBSTITUTE(G993,"[{",""),FIND(",",SUBSTITUTE(G993,"[{",""))-1),Sheet2!B:B,Sheet2!C:C)&amp;"+"&amp;1,_xlfn.XLOOKUP(LEFT(SUBSTITUTE(G993,"[{",""),FIND(",",SUBSTITUTE(G993,"[{",""))-1),Sheet2!B:B,Sheet2!C:C)&amp;"+"&amp;SUBSTITUTE(RIGHT(G993,LEN(G993)-FIND(",",G993)),"}]","")/100&amp;"%")</f>
        <v>装备基础属性加成+25%</v>
      </c>
      <c r="L993" s="83" t="str">
        <f ca="1">IF(MOD(COUNTIF($Q$11:Q992,Q992),5)=0,OFFSET(装备属性!$G$1083,1+INT(COUNTA($Q$11:Q992)/5),0),L992)</f>
        <v>厚底子</v>
      </c>
      <c r="M993" s="89" t="str">
        <f ca="1">IF(MOD(COUNTIF($Q$11:Q992,Q992),5)=0,OFFSET(装备属性!$H$1083,1+INT(COUNTA($Q$11:Q992)/5),0),M992)</f>
        <v>equip_base_attr</v>
      </c>
      <c r="N993" s="76">
        <f ca="1">IF(MOD(COUNTIF($Q$11:Q992,Q992),5)=0,OFFSET(装备属性!$K$1083,1+INT(COUNTA($Q$11:Q992)/5),0),N992)</f>
        <v>0.25</v>
      </c>
      <c r="O993" s="76">
        <f ca="1">IF(MOD(COUNTIF($Q$11:Q992,Q992),5)=0,OFFSET(装备属性!$L$1083,1+INT(COUNTA($Q$11:Q992)/5),0),O992)</f>
        <v>0.25</v>
      </c>
      <c r="Q993" s="89" t="str">
        <f ca="1">IF(MOD(COUNTIF($Q$11:Q992,Q992),5)=0,OFFSET(装备属性!$M$1083,1+INT(COUNTA($Q$11:Q992)/5),0),Q992)</f>
        <v>稀有词条</v>
      </c>
      <c r="R993" s="83" t="e">
        <f ca="1">IF(MOD(COUNTIF($Q$11:Q992,Q992),5)=0,10000*SUBSTITUTE(SUBSTITUTE(OFFSET(装备属性!$F$1083,1+INT(COUNTA($Q$11:Q992)/5),0),"[",""),"]","")+_xlfn.XLOOKUP(C993,$M$3:$M$7,$N$3:$N$7)*100,R992)</f>
        <v>#N/A</v>
      </c>
    </row>
    <row r="994" customHeight="1" spans="1:18">
      <c r="A994" s="78" t="str">
        <f ca="1" t="shared" si="45"/>
        <v/>
      </c>
      <c r="B994" s="82" t="str">
        <f ca="1">IFERROR(R994+COUNTIFS($R$11:$R994,R994),"")</f>
        <v/>
      </c>
      <c r="C994" s="83">
        <f ca="1">IF(MOD(COUNTIF($Q$11:Q993,Q993),5)=0,OFFSET(装备属性!$D$1083,1+INT(COUNTA($Q$11:Q993)/5),0),C993)</f>
        <v>0</v>
      </c>
      <c r="D994" s="82">
        <f t="shared" si="47"/>
        <v>1500</v>
      </c>
      <c r="F994" s="82" t="str">
        <f ca="1" t="shared" si="46"/>
        <v/>
      </c>
      <c r="G994" s="78" t="str">
        <f ca="1">IF(AND(LEFT("[{"&amp;M994&amp;","&amp;CEILING(N994*10000+(O994-N994)/4*(COUNTIF($F$11:F994,F994)-1)*10000,10)&amp;"}]",7)="[{equip",MID("[{"&amp;M994&amp;","&amp;CEILING(N994*10000+(O994-N994)/4*(COUNTIF($F$11:F994,F994)-1)*10000,10)&amp;"}]",8,1)&lt;&gt;"_"),"[{"&amp;M994&amp;","&amp;1&amp;"}]","[{"&amp;M994&amp;","&amp;CEILING(N994*10000+(O994-N994)/4*(COUNTIF($F$11:F994,F994)-1)*10000,10)&amp;"}]")</f>
        <v>[{equip_base_attr,2500}]</v>
      </c>
      <c r="H994" s="82" t="s">
        <v>563</v>
      </c>
      <c r="J994" s="78">
        <f ca="1">IF(MOD(COUNTIF($Q$11:Q993,Q993),5)=0,OFFSET(装备属性!$P$1083,1+INT(COUNTA($Q$11:Q993)/5),0),J993)</f>
        <v>7</v>
      </c>
      <c r="K994" s="83" t="str">
        <f ca="1">IF(RIGHT(G994,13)="rune_slot,1}]",_xlfn.XLOOKUP(LEFT(SUBSTITUTE(G994,"[{",""),FIND(",",SUBSTITUTE(G994,"[{",""))-1),Sheet2!B:B,Sheet2!C:C)&amp;"+"&amp;1,_xlfn.XLOOKUP(LEFT(SUBSTITUTE(G994,"[{",""),FIND(",",SUBSTITUTE(G994,"[{",""))-1),Sheet2!B:B,Sheet2!C:C)&amp;"+"&amp;SUBSTITUTE(RIGHT(G994,LEN(G994)-FIND(",",G994)),"}]","")/100&amp;"%")</f>
        <v>装备基础属性加成+25%</v>
      </c>
      <c r="L994" s="83" t="str">
        <f ca="1">IF(MOD(COUNTIF($Q$11:Q993,Q993),5)=0,OFFSET(装备属性!$G$1083,1+INT(COUNTA($Q$11:Q993)/5),0),L993)</f>
        <v>厚底子</v>
      </c>
      <c r="M994" s="89" t="str">
        <f ca="1">IF(MOD(COUNTIF($Q$11:Q993,Q993),5)=0,OFFSET(装备属性!$H$1083,1+INT(COUNTA($Q$11:Q993)/5),0),M993)</f>
        <v>equip_base_attr</v>
      </c>
      <c r="N994" s="76">
        <f ca="1">IF(MOD(COUNTIF($Q$11:Q993,Q993),5)=0,OFFSET(装备属性!$K$1083,1+INT(COUNTA($Q$11:Q993)/5),0),N993)</f>
        <v>0.25</v>
      </c>
      <c r="O994" s="76">
        <f ca="1">IF(MOD(COUNTIF($Q$11:Q993,Q993),5)=0,OFFSET(装备属性!$L$1083,1+INT(COUNTA($Q$11:Q993)/5),0),O993)</f>
        <v>0.25</v>
      </c>
      <c r="Q994" s="89" t="str">
        <f ca="1">IF(MOD(COUNTIF($Q$11:Q993,Q993),5)=0,OFFSET(装备属性!$M$1083,1+INT(COUNTA($Q$11:Q993)/5),0),Q993)</f>
        <v>稀有词条</v>
      </c>
      <c r="R994" s="83" t="e">
        <f ca="1">IF(MOD(COUNTIF($Q$11:Q993,Q993),5)=0,10000*SUBSTITUTE(SUBSTITUTE(OFFSET(装备属性!$F$1083,1+INT(COUNTA($Q$11:Q993)/5),0),"[",""),"]","")+_xlfn.XLOOKUP(C994,$M$3:$M$7,$N$3:$N$7)*100,R993)</f>
        <v>#N/A</v>
      </c>
    </row>
    <row r="995" customHeight="1" spans="1:18">
      <c r="A995" s="78" t="str">
        <f ca="1" t="shared" si="45"/>
        <v/>
      </c>
      <c r="B995" s="82" t="str">
        <f ca="1">IFERROR(R995+COUNTIFS($R$11:$R995,R995),"")</f>
        <v/>
      </c>
      <c r="C995" s="83">
        <f ca="1">IF(MOD(COUNTIF($Q$11:Q994,Q994),5)=0,OFFSET(装备属性!$D$1083,1+INT(COUNTA($Q$11:Q994)/5),0),C994)</f>
        <v>0</v>
      </c>
      <c r="D995" s="82">
        <f t="shared" si="47"/>
        <v>1000</v>
      </c>
      <c r="F995" s="82" t="str">
        <f ca="1" t="shared" si="46"/>
        <v/>
      </c>
      <c r="G995" s="78" t="str">
        <f ca="1">IF(AND(LEFT("[{"&amp;M995&amp;","&amp;CEILING(N995*10000+(O995-N995)/4*(COUNTIF($F$11:F995,F995)-1)*10000,10)&amp;"}]",7)="[{equip",MID("[{"&amp;M995&amp;","&amp;CEILING(N995*10000+(O995-N995)/4*(COUNTIF($F$11:F995,F995)-1)*10000,10)&amp;"}]",8,1)&lt;&gt;"_"),"[{"&amp;M995&amp;","&amp;1&amp;"}]","[{"&amp;M995&amp;","&amp;CEILING(N995*10000+(O995-N995)/4*(COUNTIF($F$11:F995,F995)-1)*10000,10)&amp;"}]")</f>
        <v>[{equip_base_attr,2500}]</v>
      </c>
      <c r="H995" s="82" t="s">
        <v>563</v>
      </c>
      <c r="J995" s="78">
        <f ca="1">IF(MOD(COUNTIF($Q$11:Q994,Q994),5)=0,OFFSET(装备属性!$P$1083,1+INT(COUNTA($Q$11:Q994)/5),0),J994)</f>
        <v>7</v>
      </c>
      <c r="K995" s="83" t="str">
        <f ca="1">IF(RIGHT(G995,13)="rune_slot,1}]",_xlfn.XLOOKUP(LEFT(SUBSTITUTE(G995,"[{",""),FIND(",",SUBSTITUTE(G995,"[{",""))-1),Sheet2!B:B,Sheet2!C:C)&amp;"+"&amp;1,_xlfn.XLOOKUP(LEFT(SUBSTITUTE(G995,"[{",""),FIND(",",SUBSTITUTE(G995,"[{",""))-1),Sheet2!B:B,Sheet2!C:C)&amp;"+"&amp;SUBSTITUTE(RIGHT(G995,LEN(G995)-FIND(",",G995)),"}]","")/100&amp;"%")</f>
        <v>装备基础属性加成+25%</v>
      </c>
      <c r="L995" s="83" t="str">
        <f ca="1">IF(MOD(COUNTIF($Q$11:Q994,Q994),5)=0,OFFSET(装备属性!$G$1083,1+INT(COUNTA($Q$11:Q994)/5),0),L994)</f>
        <v>厚底子</v>
      </c>
      <c r="M995" s="89" t="str">
        <f ca="1">IF(MOD(COUNTIF($Q$11:Q994,Q994),5)=0,OFFSET(装备属性!$H$1083,1+INT(COUNTA($Q$11:Q994)/5),0),M994)</f>
        <v>equip_base_attr</v>
      </c>
      <c r="N995" s="76">
        <f ca="1">IF(MOD(COUNTIF($Q$11:Q994,Q994),5)=0,OFFSET(装备属性!$K$1083,1+INT(COUNTA($Q$11:Q994)/5),0),N994)</f>
        <v>0.25</v>
      </c>
      <c r="O995" s="76">
        <f ca="1">IF(MOD(COUNTIF($Q$11:Q994,Q994),5)=0,OFFSET(装备属性!$L$1083,1+INT(COUNTA($Q$11:Q994)/5),0),O994)</f>
        <v>0.25</v>
      </c>
      <c r="Q995" s="89" t="str">
        <f ca="1">IF(MOD(COUNTIF($Q$11:Q994,Q994),5)=0,OFFSET(装备属性!$M$1083,1+INT(COUNTA($Q$11:Q994)/5),0),Q994)</f>
        <v>稀有词条</v>
      </c>
      <c r="R995" s="83" t="e">
        <f ca="1">IF(MOD(COUNTIF($Q$11:Q994,Q994),5)=0,10000*SUBSTITUTE(SUBSTITUTE(OFFSET(装备属性!$F$1083,1+INT(COUNTA($Q$11:Q994)/5),0),"[",""),"]","")+_xlfn.XLOOKUP(C995,$M$3:$M$7,$N$3:$N$7)*100,R994)</f>
        <v>#N/A</v>
      </c>
    </row>
    <row r="996" customHeight="1" spans="1:18">
      <c r="A996" s="78" t="str">
        <f ca="1" t="shared" si="45"/>
        <v/>
      </c>
      <c r="B996" s="82" t="str">
        <f ca="1">IFERROR(R996+COUNTIFS($R$11:$R996,R996),"")</f>
        <v/>
      </c>
      <c r="C996" s="83">
        <f ca="1">IF(MOD(COUNTIF($Q$11:Q995,Q995),5)=0,OFFSET(装备属性!$D$1083,1+INT(COUNTA($Q$11:Q995)/5),0),C995)</f>
        <v>0</v>
      </c>
      <c r="D996" s="82">
        <f t="shared" si="47"/>
        <v>3000</v>
      </c>
      <c r="F996" s="82" t="str">
        <f ca="1" t="shared" si="46"/>
        <v/>
      </c>
      <c r="G996" s="78" t="str">
        <f ca="1">IF(AND(LEFT("[{"&amp;M996&amp;","&amp;CEILING(N996*10000+(O996-N996)/4*(COUNTIF($F$11:F996,F996)-1)*10000,10)&amp;"}]",7)="[{equip",MID("[{"&amp;M996&amp;","&amp;CEILING(N996*10000+(O996-N996)/4*(COUNTIF($F$11:F996,F996)-1)*10000,10)&amp;"}]",8,1)&lt;&gt;"_"),"[{"&amp;M996&amp;","&amp;1&amp;"}]","[{"&amp;M996&amp;","&amp;CEILING(N996*10000+(O996-N996)/4*(COUNTIF($F$11:F996,F996)-1)*10000,10)&amp;"}]")</f>
        <v>[{equip_extra_attr,5000}]</v>
      </c>
      <c r="H996" s="82" t="s">
        <v>563</v>
      </c>
      <c r="J996" s="78">
        <f ca="1">IF(MOD(COUNTIF($Q$11:Q995,Q995),5)=0,OFFSET(装备属性!$P$1083,1+INT(COUNTA($Q$11:Q995)/5),0),J995)</f>
        <v>8</v>
      </c>
      <c r="K996" s="83" t="str">
        <f ca="1">IF(RIGHT(G996,13)="rune_slot,1}]",_xlfn.XLOOKUP(LEFT(SUBSTITUTE(G996,"[{",""),FIND(",",SUBSTITUTE(G996,"[{",""))-1),Sheet2!B:B,Sheet2!C:C)&amp;"+"&amp;1,_xlfn.XLOOKUP(LEFT(SUBSTITUTE(G996,"[{",""),FIND(",",SUBSTITUTE(G996,"[{",""))-1),Sheet2!B:B,Sheet2!C:C)&amp;"+"&amp;SUBSTITUTE(RIGHT(G996,LEN(G996)-FIND(",",G996)),"}]","")/100&amp;"%")</f>
        <v>装备附加属性加成+50%</v>
      </c>
      <c r="L996" s="83" t="str">
        <f ca="1">IF(MOD(COUNTIF($Q$11:Q995,Q995),5)=0,OFFSET(装备属性!$G$1083,1+INT(COUNTA($Q$11:Q995)/5),0),L995)</f>
        <v>提成色</v>
      </c>
      <c r="M996" s="89" t="str">
        <f ca="1">IF(MOD(COUNTIF($Q$11:Q995,Q995),5)=0,OFFSET(装备属性!$H$1083,1+INT(COUNTA($Q$11:Q995)/5),0),M995)</f>
        <v>equip_extra_attr</v>
      </c>
      <c r="N996" s="76">
        <f ca="1">IF(MOD(COUNTIF($Q$11:Q995,Q995),5)=0,OFFSET(装备属性!$K$1083,1+INT(COUNTA($Q$11:Q995)/5),0),N995)</f>
        <v>0.5</v>
      </c>
      <c r="O996" s="76">
        <f ca="1">IF(MOD(COUNTIF($Q$11:Q995,Q995),5)=0,OFFSET(装备属性!$L$1083,1+INT(COUNTA($Q$11:Q995)/5),0),O995)</f>
        <v>0.5</v>
      </c>
      <c r="Q996" s="89" t="str">
        <f ca="1">IF(MOD(COUNTIF($Q$11:Q995,Q995),5)=0,OFFSET(装备属性!$M$1083,1+INT(COUNTA($Q$11:Q995)/5),0),Q995)</f>
        <v>稀有词条</v>
      </c>
      <c r="R996" s="83" t="e">
        <f ca="1">IF(MOD(COUNTIF($Q$11:Q995,Q995),5)=0,10000*SUBSTITUTE(SUBSTITUTE(OFFSET(装备属性!$F$1083,1+INT(COUNTA($Q$11:Q995)/5),0),"[",""),"]","")+_xlfn.XLOOKUP(C996,$M$3:$M$7,$N$3:$N$7)*100,R995)</f>
        <v>#N/A</v>
      </c>
    </row>
    <row r="997" customHeight="1" spans="1:18">
      <c r="A997" s="78" t="str">
        <f ca="1" t="shared" si="45"/>
        <v/>
      </c>
      <c r="B997" s="82" t="str">
        <f ca="1">IFERROR(R997+COUNTIFS($R$11:$R997,R997),"")</f>
        <v/>
      </c>
      <c r="C997" s="83">
        <f ca="1">IF(MOD(COUNTIF($Q$11:Q996,Q996),5)=0,OFFSET(装备属性!$D$1083,1+INT(COUNTA($Q$11:Q996)/5),0),C996)</f>
        <v>0</v>
      </c>
      <c r="D997" s="82">
        <f t="shared" si="47"/>
        <v>2500</v>
      </c>
      <c r="F997" s="82" t="str">
        <f ca="1" t="shared" si="46"/>
        <v/>
      </c>
      <c r="G997" s="78" t="str">
        <f ca="1">IF(AND(LEFT("[{"&amp;M997&amp;","&amp;CEILING(N997*10000+(O997-N997)/4*(COUNTIF($F$11:F997,F997)-1)*10000,10)&amp;"}]",7)="[{equip",MID("[{"&amp;M997&amp;","&amp;CEILING(N997*10000+(O997-N997)/4*(COUNTIF($F$11:F997,F997)-1)*10000,10)&amp;"}]",8,1)&lt;&gt;"_"),"[{"&amp;M997&amp;","&amp;1&amp;"}]","[{"&amp;M997&amp;","&amp;CEILING(N997*10000+(O997-N997)/4*(COUNTIF($F$11:F997,F997)-1)*10000,10)&amp;"}]")</f>
        <v>[{equip_extra_attr,5000}]</v>
      </c>
      <c r="H997" s="82" t="s">
        <v>563</v>
      </c>
      <c r="J997" s="78">
        <f ca="1">IF(MOD(COUNTIF($Q$11:Q996,Q996),5)=0,OFFSET(装备属性!$P$1083,1+INT(COUNTA($Q$11:Q996)/5),0),J996)</f>
        <v>8</v>
      </c>
      <c r="K997" s="83" t="str">
        <f ca="1">IF(RIGHT(G997,13)="rune_slot,1}]",_xlfn.XLOOKUP(LEFT(SUBSTITUTE(G997,"[{",""),FIND(",",SUBSTITUTE(G997,"[{",""))-1),Sheet2!B:B,Sheet2!C:C)&amp;"+"&amp;1,_xlfn.XLOOKUP(LEFT(SUBSTITUTE(G997,"[{",""),FIND(",",SUBSTITUTE(G997,"[{",""))-1),Sheet2!B:B,Sheet2!C:C)&amp;"+"&amp;SUBSTITUTE(RIGHT(G997,LEN(G997)-FIND(",",G997)),"}]","")/100&amp;"%")</f>
        <v>装备附加属性加成+50%</v>
      </c>
      <c r="L997" s="83" t="str">
        <f ca="1">IF(MOD(COUNTIF($Q$11:Q996,Q996),5)=0,OFFSET(装备属性!$G$1083,1+INT(COUNTA($Q$11:Q996)/5),0),L996)</f>
        <v>提成色</v>
      </c>
      <c r="M997" s="89" t="str">
        <f ca="1">IF(MOD(COUNTIF($Q$11:Q996,Q996),5)=0,OFFSET(装备属性!$H$1083,1+INT(COUNTA($Q$11:Q996)/5),0),M996)</f>
        <v>equip_extra_attr</v>
      </c>
      <c r="N997" s="76">
        <f ca="1">IF(MOD(COUNTIF($Q$11:Q996,Q996),5)=0,OFFSET(装备属性!$K$1083,1+INT(COUNTA($Q$11:Q996)/5),0),N996)</f>
        <v>0.5</v>
      </c>
      <c r="O997" s="76">
        <f ca="1">IF(MOD(COUNTIF($Q$11:Q996,Q996),5)=0,OFFSET(装备属性!$L$1083,1+INT(COUNTA($Q$11:Q996)/5),0),O996)</f>
        <v>0.5</v>
      </c>
      <c r="Q997" s="89" t="str">
        <f ca="1">IF(MOD(COUNTIF($Q$11:Q996,Q996),5)=0,OFFSET(装备属性!$M$1083,1+INT(COUNTA($Q$11:Q996)/5),0),Q996)</f>
        <v>稀有词条</v>
      </c>
      <c r="R997" s="83" t="e">
        <f ca="1">IF(MOD(COUNTIF($Q$11:Q996,Q996),5)=0,10000*SUBSTITUTE(SUBSTITUTE(OFFSET(装备属性!$F$1083,1+INT(COUNTA($Q$11:Q996)/5),0),"[",""),"]","")+_xlfn.XLOOKUP(C997,$M$3:$M$7,$N$3:$N$7)*100,R996)</f>
        <v>#N/A</v>
      </c>
    </row>
    <row r="998" customHeight="1" spans="1:18">
      <c r="A998" s="78" t="str">
        <f ca="1" t="shared" si="45"/>
        <v/>
      </c>
      <c r="B998" s="82" t="str">
        <f ca="1">IFERROR(R998+COUNTIFS($R$11:$R998,R998),"")</f>
        <v/>
      </c>
      <c r="C998" s="83">
        <f ca="1">IF(MOD(COUNTIF($Q$11:Q997,Q997),5)=0,OFFSET(装备属性!$D$1083,1+INT(COUNTA($Q$11:Q997)/5),0),C997)</f>
        <v>0</v>
      </c>
      <c r="D998" s="82">
        <f t="shared" si="47"/>
        <v>2000</v>
      </c>
      <c r="F998" s="82" t="str">
        <f ca="1" t="shared" si="46"/>
        <v/>
      </c>
      <c r="G998" s="78" t="str">
        <f ca="1">IF(AND(LEFT("[{"&amp;M998&amp;","&amp;CEILING(N998*10000+(O998-N998)/4*(COUNTIF($F$11:F998,F998)-1)*10000,10)&amp;"}]",7)="[{equip",MID("[{"&amp;M998&amp;","&amp;CEILING(N998*10000+(O998-N998)/4*(COUNTIF($F$11:F998,F998)-1)*10000,10)&amp;"}]",8,1)&lt;&gt;"_"),"[{"&amp;M998&amp;","&amp;1&amp;"}]","[{"&amp;M998&amp;","&amp;CEILING(N998*10000+(O998-N998)/4*(COUNTIF($F$11:F998,F998)-1)*10000,10)&amp;"}]")</f>
        <v>[{equip_extra_attr,5000}]</v>
      </c>
      <c r="H998" s="82" t="s">
        <v>563</v>
      </c>
      <c r="J998" s="78">
        <f ca="1">IF(MOD(COUNTIF($Q$11:Q997,Q997),5)=0,OFFSET(装备属性!$P$1083,1+INT(COUNTA($Q$11:Q997)/5),0),J997)</f>
        <v>8</v>
      </c>
      <c r="K998" s="83" t="str">
        <f ca="1">IF(RIGHT(G998,13)="rune_slot,1}]",_xlfn.XLOOKUP(LEFT(SUBSTITUTE(G998,"[{",""),FIND(",",SUBSTITUTE(G998,"[{",""))-1),Sheet2!B:B,Sheet2!C:C)&amp;"+"&amp;1,_xlfn.XLOOKUP(LEFT(SUBSTITUTE(G998,"[{",""),FIND(",",SUBSTITUTE(G998,"[{",""))-1),Sheet2!B:B,Sheet2!C:C)&amp;"+"&amp;SUBSTITUTE(RIGHT(G998,LEN(G998)-FIND(",",G998)),"}]","")/100&amp;"%")</f>
        <v>装备附加属性加成+50%</v>
      </c>
      <c r="L998" s="83" t="str">
        <f ca="1">IF(MOD(COUNTIF($Q$11:Q997,Q997),5)=0,OFFSET(装备属性!$G$1083,1+INT(COUNTA($Q$11:Q997)/5),0),L997)</f>
        <v>提成色</v>
      </c>
      <c r="M998" s="89" t="str">
        <f ca="1">IF(MOD(COUNTIF($Q$11:Q997,Q997),5)=0,OFFSET(装备属性!$H$1083,1+INT(COUNTA($Q$11:Q997)/5),0),M997)</f>
        <v>equip_extra_attr</v>
      </c>
      <c r="N998" s="76">
        <f ca="1">IF(MOD(COUNTIF($Q$11:Q997,Q997),5)=0,OFFSET(装备属性!$K$1083,1+INT(COUNTA($Q$11:Q997)/5),0),N997)</f>
        <v>0.5</v>
      </c>
      <c r="O998" s="76">
        <f ca="1">IF(MOD(COUNTIF($Q$11:Q997,Q997),5)=0,OFFSET(装备属性!$L$1083,1+INT(COUNTA($Q$11:Q997)/5),0),O997)</f>
        <v>0.5</v>
      </c>
      <c r="Q998" s="89" t="str">
        <f ca="1">IF(MOD(COUNTIF($Q$11:Q997,Q997),5)=0,OFFSET(装备属性!$M$1083,1+INT(COUNTA($Q$11:Q997)/5),0),Q997)</f>
        <v>稀有词条</v>
      </c>
      <c r="R998" s="83" t="e">
        <f ca="1">IF(MOD(COUNTIF($Q$11:Q997,Q997),5)=0,10000*SUBSTITUTE(SUBSTITUTE(OFFSET(装备属性!$F$1083,1+INT(COUNTA($Q$11:Q997)/5),0),"[",""),"]","")+_xlfn.XLOOKUP(C998,$M$3:$M$7,$N$3:$N$7)*100,R997)</f>
        <v>#N/A</v>
      </c>
    </row>
    <row r="999" customHeight="1" spans="1:18">
      <c r="A999" s="78" t="str">
        <f ca="1" t="shared" si="45"/>
        <v/>
      </c>
      <c r="B999" s="82" t="str">
        <f ca="1">IFERROR(R999+COUNTIFS($R$11:$R999,R999),"")</f>
        <v/>
      </c>
      <c r="C999" s="83">
        <f ca="1">IF(MOD(COUNTIF($Q$11:Q998,Q998),5)=0,OFFSET(装备属性!$D$1083,1+INT(COUNTA($Q$11:Q998)/5),0),C998)</f>
        <v>0</v>
      </c>
      <c r="D999" s="82">
        <f t="shared" si="47"/>
        <v>1500</v>
      </c>
      <c r="F999" s="82" t="str">
        <f ca="1" t="shared" si="46"/>
        <v/>
      </c>
      <c r="G999" s="78" t="str">
        <f ca="1">IF(AND(LEFT("[{"&amp;M999&amp;","&amp;CEILING(N999*10000+(O999-N999)/4*(COUNTIF($F$11:F999,F999)-1)*10000,10)&amp;"}]",7)="[{equip",MID("[{"&amp;M999&amp;","&amp;CEILING(N999*10000+(O999-N999)/4*(COUNTIF($F$11:F999,F999)-1)*10000,10)&amp;"}]",8,1)&lt;&gt;"_"),"[{"&amp;M999&amp;","&amp;1&amp;"}]","[{"&amp;M999&amp;","&amp;CEILING(N999*10000+(O999-N999)/4*(COUNTIF($F$11:F999,F999)-1)*10000,10)&amp;"}]")</f>
        <v>[{equip_extra_attr,5000}]</v>
      </c>
      <c r="H999" s="82" t="s">
        <v>563</v>
      </c>
      <c r="J999" s="78">
        <f ca="1">IF(MOD(COUNTIF($Q$11:Q998,Q998),5)=0,OFFSET(装备属性!$P$1083,1+INT(COUNTA($Q$11:Q998)/5),0),J998)</f>
        <v>8</v>
      </c>
      <c r="K999" s="83" t="str">
        <f ca="1">IF(RIGHT(G999,13)="rune_slot,1}]",_xlfn.XLOOKUP(LEFT(SUBSTITUTE(G999,"[{",""),FIND(",",SUBSTITUTE(G999,"[{",""))-1),Sheet2!B:B,Sheet2!C:C)&amp;"+"&amp;1,_xlfn.XLOOKUP(LEFT(SUBSTITUTE(G999,"[{",""),FIND(",",SUBSTITUTE(G999,"[{",""))-1),Sheet2!B:B,Sheet2!C:C)&amp;"+"&amp;SUBSTITUTE(RIGHT(G999,LEN(G999)-FIND(",",G999)),"}]","")/100&amp;"%")</f>
        <v>装备附加属性加成+50%</v>
      </c>
      <c r="L999" s="83" t="str">
        <f ca="1">IF(MOD(COUNTIF($Q$11:Q998,Q998),5)=0,OFFSET(装备属性!$G$1083,1+INT(COUNTA($Q$11:Q998)/5),0),L998)</f>
        <v>提成色</v>
      </c>
      <c r="M999" s="89" t="str">
        <f ca="1">IF(MOD(COUNTIF($Q$11:Q998,Q998),5)=0,OFFSET(装备属性!$H$1083,1+INT(COUNTA($Q$11:Q998)/5),0),M998)</f>
        <v>equip_extra_attr</v>
      </c>
      <c r="N999" s="76">
        <f ca="1">IF(MOD(COUNTIF($Q$11:Q998,Q998),5)=0,OFFSET(装备属性!$K$1083,1+INT(COUNTA($Q$11:Q998)/5),0),N998)</f>
        <v>0.5</v>
      </c>
      <c r="O999" s="76">
        <f ca="1">IF(MOD(COUNTIF($Q$11:Q998,Q998),5)=0,OFFSET(装备属性!$L$1083,1+INT(COUNTA($Q$11:Q998)/5),0),O998)</f>
        <v>0.5</v>
      </c>
      <c r="Q999" s="89" t="str">
        <f ca="1">IF(MOD(COUNTIF($Q$11:Q998,Q998),5)=0,OFFSET(装备属性!$M$1083,1+INT(COUNTA($Q$11:Q998)/5),0),Q998)</f>
        <v>稀有词条</v>
      </c>
      <c r="R999" s="83" t="e">
        <f ca="1">IF(MOD(COUNTIF($Q$11:Q998,Q998),5)=0,10000*SUBSTITUTE(SUBSTITUTE(OFFSET(装备属性!$F$1083,1+INT(COUNTA($Q$11:Q998)/5),0),"[",""),"]","")+_xlfn.XLOOKUP(C999,$M$3:$M$7,$N$3:$N$7)*100,R998)</f>
        <v>#N/A</v>
      </c>
    </row>
    <row r="1000" customHeight="1" spans="1:18">
      <c r="A1000" s="78" t="str">
        <f ca="1" t="shared" si="45"/>
        <v/>
      </c>
      <c r="B1000" s="82" t="str">
        <f ca="1">IFERROR(R1000+COUNTIFS($R$11:$R1000,R1000),"")</f>
        <v/>
      </c>
      <c r="C1000" s="83">
        <f ca="1">IF(MOD(COUNTIF($Q$11:Q999,Q999),5)=0,OFFSET(装备属性!$D$1083,1+INT(COUNTA($Q$11:Q999)/5),0),C999)</f>
        <v>0</v>
      </c>
      <c r="D1000" s="82">
        <f t="shared" si="47"/>
        <v>1000</v>
      </c>
      <c r="F1000" s="82" t="str">
        <f ca="1" t="shared" si="46"/>
        <v/>
      </c>
      <c r="G1000" s="78" t="str">
        <f ca="1">IF(AND(LEFT("[{"&amp;M1000&amp;","&amp;CEILING(N1000*10000+(O1000-N1000)/4*(COUNTIF($F$11:F1000,F1000)-1)*10000,10)&amp;"}]",7)="[{equip",MID("[{"&amp;M1000&amp;","&amp;CEILING(N1000*10000+(O1000-N1000)/4*(COUNTIF($F$11:F1000,F1000)-1)*10000,10)&amp;"}]",8,1)&lt;&gt;"_"),"[{"&amp;M1000&amp;","&amp;1&amp;"}]","[{"&amp;M1000&amp;","&amp;CEILING(N1000*10000+(O1000-N1000)/4*(COUNTIF($F$11:F1000,F1000)-1)*10000,10)&amp;"}]")</f>
        <v>[{equip_extra_attr,5000}]</v>
      </c>
      <c r="H1000" s="82" t="s">
        <v>563</v>
      </c>
      <c r="J1000" s="78">
        <f ca="1">IF(MOD(COUNTIF($Q$11:Q999,Q999),5)=0,OFFSET(装备属性!$P$1083,1+INT(COUNTA($Q$11:Q999)/5),0),J999)</f>
        <v>8</v>
      </c>
      <c r="K1000" s="83" t="str">
        <f ca="1">IF(RIGHT(G1000,13)="rune_slot,1}]",_xlfn.XLOOKUP(LEFT(SUBSTITUTE(G1000,"[{",""),FIND(",",SUBSTITUTE(G1000,"[{",""))-1),Sheet2!B:B,Sheet2!C:C)&amp;"+"&amp;1,_xlfn.XLOOKUP(LEFT(SUBSTITUTE(G1000,"[{",""),FIND(",",SUBSTITUTE(G1000,"[{",""))-1),Sheet2!B:B,Sheet2!C:C)&amp;"+"&amp;SUBSTITUTE(RIGHT(G1000,LEN(G1000)-FIND(",",G1000)),"}]","")/100&amp;"%")</f>
        <v>装备附加属性加成+50%</v>
      </c>
      <c r="L1000" s="83" t="str">
        <f ca="1">IF(MOD(COUNTIF($Q$11:Q999,Q999),5)=0,OFFSET(装备属性!$G$1083,1+INT(COUNTA($Q$11:Q999)/5),0),L999)</f>
        <v>提成色</v>
      </c>
      <c r="M1000" s="89" t="str">
        <f ca="1">IF(MOD(COUNTIF($Q$11:Q999,Q999),5)=0,OFFSET(装备属性!$H$1083,1+INT(COUNTA($Q$11:Q999)/5),0),M999)</f>
        <v>equip_extra_attr</v>
      </c>
      <c r="N1000" s="76">
        <f ca="1">IF(MOD(COUNTIF($Q$11:Q999,Q999),5)=0,OFFSET(装备属性!$K$1083,1+INT(COUNTA($Q$11:Q999)/5),0),N999)</f>
        <v>0.5</v>
      </c>
      <c r="O1000" s="76">
        <f ca="1">IF(MOD(COUNTIF($Q$11:Q999,Q999),5)=0,OFFSET(装备属性!$L$1083,1+INT(COUNTA($Q$11:Q999)/5),0),O999)</f>
        <v>0.5</v>
      </c>
      <c r="Q1000" s="89" t="str">
        <f ca="1">IF(MOD(COUNTIF($Q$11:Q999,Q999),5)=0,OFFSET(装备属性!$M$1083,1+INT(COUNTA($Q$11:Q999)/5),0),Q999)</f>
        <v>稀有词条</v>
      </c>
      <c r="R1000" s="83" t="e">
        <f ca="1">IF(MOD(COUNTIF($Q$11:Q999,Q999),5)=0,10000*SUBSTITUTE(SUBSTITUTE(OFFSET(装备属性!$F$1083,1+INT(COUNTA($Q$11:Q999)/5),0),"[",""),"]","")+_xlfn.XLOOKUP(C1000,$M$3:$M$7,$N$3:$N$7)*100,R999)</f>
        <v>#N/A</v>
      </c>
    </row>
    <row r="1001" customHeight="1" spans="1:18">
      <c r="A1001" s="78" t="str">
        <f ca="1" t="shared" si="45"/>
        <v/>
      </c>
      <c r="B1001" s="82" t="str">
        <f ca="1">IFERROR(R1001+COUNTIFS($R$11:$R1001,R1001),"")</f>
        <v/>
      </c>
      <c r="C1001" s="83">
        <f ca="1">IF(MOD(COUNTIF($Q$11:Q1000,Q1000),5)=0,OFFSET(装备属性!$D$1083,1+INT(COUNTA($Q$11:Q1000)/5),0),C1000)</f>
        <v>0</v>
      </c>
      <c r="D1001" s="82">
        <f t="shared" si="47"/>
        <v>3000</v>
      </c>
      <c r="F1001" s="82" t="str">
        <f ca="1" t="shared" si="46"/>
        <v/>
      </c>
      <c r="G1001" s="78" t="str">
        <f ca="1">IF(AND(LEFT("[{"&amp;M1001&amp;","&amp;CEILING(N1001*10000+(O1001-N1001)/4*(COUNTIF($F$11:F1001,F1001)-1)*10000,10)&amp;"}]",7)="[{equip",MID("[{"&amp;M1001&amp;","&amp;CEILING(N1001*10000+(O1001-N1001)/4*(COUNTIF($F$11:F1001,F1001)-1)*10000,10)&amp;"}]",8,1)&lt;&gt;"_"),"[{"&amp;M1001&amp;","&amp;1&amp;"}]","[{"&amp;M1001&amp;","&amp;CEILING(N1001*10000+(O1001-N1001)/4*(COUNTIF($F$11:F1001,F1001)-1)*10000,10)&amp;"}]")</f>
        <v>[{equip2_rune_slot,1}]</v>
      </c>
      <c r="H1001" s="82" t="s">
        <v>563</v>
      </c>
      <c r="J1001" s="78">
        <f ca="1">IF(MOD(COUNTIF($Q$11:Q1000,Q1000),5)=0,OFFSET(装备属性!$P$1083,1+INT(COUNTA($Q$11:Q1000)/5),0),J1000)</f>
        <v>1</v>
      </c>
      <c r="K1001" s="83" t="str">
        <f ca="1">IF(RIGHT(G1001,13)="rune_slot,1}]",_xlfn.XLOOKUP(LEFT(SUBSTITUTE(G1001,"[{",""),FIND(",",SUBSTITUTE(G1001,"[{",""))-1),Sheet2!B:B,Sheet2!C:C)&amp;"+"&amp;1,_xlfn.XLOOKUP(LEFT(SUBSTITUTE(G1001,"[{",""),FIND(",",SUBSTITUTE(G1001,"[{",""))-1),Sheet2!B:B,Sheet2!C:C)&amp;"+"&amp;SUBSTITUTE(RIGHT(G1001,LEN(G1001)-FIND(",",G1001)),"}]","")/100&amp;"%")</f>
        <v>裤子符文孔位+1</v>
      </c>
      <c r="L1001" s="83" t="str">
        <f ca="1">IF(MOD(COUNTIF($Q$11:Q1000,Q1000),5)=0,OFFSET(装备属性!$G$1083,1+INT(COUNTA($Q$11:Q1000)/5),0),L1000)</f>
        <v>扩符槽</v>
      </c>
      <c r="M1001" s="89" t="str">
        <f ca="1">IF(MOD(COUNTIF($Q$11:Q1000,Q1000),5)=0,OFFSET(装备属性!$H$1083,1+INT(COUNTA($Q$11:Q1000)/5),0),M1000)</f>
        <v>equip2_rune_slot</v>
      </c>
      <c r="N1001" s="76">
        <f ca="1">IF(MOD(COUNTIF($Q$11:Q1000,Q1000),5)=0,OFFSET(装备属性!$K$1083,1+INT(COUNTA($Q$11:Q1000)/5),0),N1000)</f>
        <v>1</v>
      </c>
      <c r="O1001" s="76">
        <f ca="1">IF(MOD(COUNTIF($Q$11:Q1000,Q1000),5)=0,OFFSET(装备属性!$L$1083,1+INT(COUNTA($Q$11:Q1000)/5),0),O1000)</f>
        <v>1</v>
      </c>
      <c r="Q1001" s="89" t="str">
        <f ca="1">IF(MOD(COUNTIF($Q$11:Q1000,Q1000),5)=0,OFFSET(装备属性!$M$1083,1+INT(COUNTA($Q$11:Q1000)/5),0),Q1000)</f>
        <v>稀有词条</v>
      </c>
      <c r="R1001" s="83" t="e">
        <f ca="1">IF(MOD(COUNTIF($Q$11:Q1000,Q1000),5)=0,10000*SUBSTITUTE(SUBSTITUTE(OFFSET(装备属性!$F$1083,1+INT(COUNTA($Q$11:Q1000)/5),0),"[",""),"]","")+_xlfn.XLOOKUP(C1001,$M$3:$M$7,$N$3:$N$7)*100,R1000)</f>
        <v>#N/A</v>
      </c>
    </row>
    <row r="1002" customHeight="1" spans="1:18">
      <c r="A1002" s="78" t="str">
        <f ca="1" t="shared" si="45"/>
        <v/>
      </c>
      <c r="B1002" s="82" t="str">
        <f ca="1">IFERROR(R1002+COUNTIFS($R$11:$R1002,R1002),"")</f>
        <v/>
      </c>
      <c r="C1002" s="83">
        <f ca="1">IF(MOD(COUNTIF($Q$11:Q1001,Q1001),5)=0,OFFSET(装备属性!$D$1083,1+INT(COUNTA($Q$11:Q1001)/5),0),C1001)</f>
        <v>0</v>
      </c>
      <c r="D1002" s="82">
        <f t="shared" si="47"/>
        <v>2500</v>
      </c>
      <c r="F1002" s="82" t="str">
        <f ca="1" t="shared" si="46"/>
        <v/>
      </c>
      <c r="G1002" s="78" t="str">
        <f ca="1">IF(AND(LEFT("[{"&amp;M1002&amp;","&amp;CEILING(N1002*10000+(O1002-N1002)/4*(COUNTIF($F$11:F1002,F1002)-1)*10000,10)&amp;"}]",7)="[{equip",MID("[{"&amp;M1002&amp;","&amp;CEILING(N1002*10000+(O1002-N1002)/4*(COUNTIF($F$11:F1002,F1002)-1)*10000,10)&amp;"}]",8,1)&lt;&gt;"_"),"[{"&amp;M1002&amp;","&amp;1&amp;"}]","[{"&amp;M1002&amp;","&amp;CEILING(N1002*10000+(O1002-N1002)/4*(COUNTIF($F$11:F1002,F1002)-1)*10000,10)&amp;"}]")</f>
        <v>[{equip2_rune_slot,1}]</v>
      </c>
      <c r="H1002" s="82" t="s">
        <v>563</v>
      </c>
      <c r="J1002" s="78">
        <f ca="1">IF(MOD(COUNTIF($Q$11:Q1001,Q1001),5)=0,OFFSET(装备属性!$P$1083,1+INT(COUNTA($Q$11:Q1001)/5),0),J1001)</f>
        <v>1</v>
      </c>
      <c r="K1002" s="83" t="str">
        <f ca="1">IF(RIGHT(G1002,13)="rune_slot,1}]",_xlfn.XLOOKUP(LEFT(SUBSTITUTE(G1002,"[{",""),FIND(",",SUBSTITUTE(G1002,"[{",""))-1),Sheet2!B:B,Sheet2!C:C)&amp;"+"&amp;1,_xlfn.XLOOKUP(LEFT(SUBSTITUTE(G1002,"[{",""),FIND(",",SUBSTITUTE(G1002,"[{",""))-1),Sheet2!B:B,Sheet2!C:C)&amp;"+"&amp;SUBSTITUTE(RIGHT(G1002,LEN(G1002)-FIND(",",G1002)),"}]","")/100&amp;"%")</f>
        <v>裤子符文孔位+1</v>
      </c>
      <c r="L1002" s="83" t="str">
        <f ca="1">IF(MOD(COUNTIF($Q$11:Q1001,Q1001),5)=0,OFFSET(装备属性!$G$1083,1+INT(COUNTA($Q$11:Q1001)/5),0),L1001)</f>
        <v>扩符槽</v>
      </c>
      <c r="M1002" s="89" t="str">
        <f ca="1">IF(MOD(COUNTIF($Q$11:Q1001,Q1001),5)=0,OFFSET(装备属性!$H$1083,1+INT(COUNTA($Q$11:Q1001)/5),0),M1001)</f>
        <v>equip2_rune_slot</v>
      </c>
      <c r="N1002" s="76">
        <f ca="1">IF(MOD(COUNTIF($Q$11:Q1001,Q1001),5)=0,OFFSET(装备属性!$K$1083,1+INT(COUNTA($Q$11:Q1001)/5),0),N1001)</f>
        <v>1</v>
      </c>
      <c r="O1002" s="76">
        <f ca="1">IF(MOD(COUNTIF($Q$11:Q1001,Q1001),5)=0,OFFSET(装备属性!$L$1083,1+INT(COUNTA($Q$11:Q1001)/5),0),O1001)</f>
        <v>1</v>
      </c>
      <c r="Q1002" s="89" t="str">
        <f ca="1">IF(MOD(COUNTIF($Q$11:Q1001,Q1001),5)=0,OFFSET(装备属性!$M$1083,1+INT(COUNTA($Q$11:Q1001)/5),0),Q1001)</f>
        <v>稀有词条</v>
      </c>
      <c r="R1002" s="83" t="e">
        <f ca="1">IF(MOD(COUNTIF($Q$11:Q1001,Q1001),5)=0,10000*SUBSTITUTE(SUBSTITUTE(OFFSET(装备属性!$F$1083,1+INT(COUNTA($Q$11:Q1001)/5),0),"[",""),"]","")+_xlfn.XLOOKUP(C1002,$M$3:$M$7,$N$3:$N$7)*100,R1001)</f>
        <v>#N/A</v>
      </c>
    </row>
    <row r="1003" customHeight="1" spans="1:18">
      <c r="A1003" s="78" t="str">
        <f ca="1" t="shared" si="45"/>
        <v/>
      </c>
      <c r="B1003" s="82" t="str">
        <f ca="1">IFERROR(R1003+COUNTIFS($R$11:$R1003,R1003),"")</f>
        <v/>
      </c>
      <c r="C1003" s="83">
        <f ca="1">IF(MOD(COUNTIF($Q$11:Q1002,Q1002),5)=0,OFFSET(装备属性!$D$1083,1+INT(COUNTA($Q$11:Q1002)/5),0),C1002)</f>
        <v>0</v>
      </c>
      <c r="D1003" s="82">
        <f t="shared" si="47"/>
        <v>2000</v>
      </c>
      <c r="F1003" s="82" t="str">
        <f ca="1" t="shared" si="46"/>
        <v/>
      </c>
      <c r="G1003" s="78" t="str">
        <f ca="1">IF(AND(LEFT("[{"&amp;M1003&amp;","&amp;CEILING(N1003*10000+(O1003-N1003)/4*(COUNTIF($F$11:F1003,F1003)-1)*10000,10)&amp;"}]",7)="[{equip",MID("[{"&amp;M1003&amp;","&amp;CEILING(N1003*10000+(O1003-N1003)/4*(COUNTIF($F$11:F1003,F1003)-1)*10000,10)&amp;"}]",8,1)&lt;&gt;"_"),"[{"&amp;M1003&amp;","&amp;1&amp;"}]","[{"&amp;M1003&amp;","&amp;CEILING(N1003*10000+(O1003-N1003)/4*(COUNTIF($F$11:F1003,F1003)-1)*10000,10)&amp;"}]")</f>
        <v>[{equip2_rune_slot,1}]</v>
      </c>
      <c r="H1003" s="82" t="s">
        <v>563</v>
      </c>
      <c r="J1003" s="78">
        <f ca="1">IF(MOD(COUNTIF($Q$11:Q1002,Q1002),5)=0,OFFSET(装备属性!$P$1083,1+INT(COUNTA($Q$11:Q1002)/5),0),J1002)</f>
        <v>1</v>
      </c>
      <c r="K1003" s="83" t="str">
        <f ca="1">IF(RIGHT(G1003,13)="rune_slot,1}]",_xlfn.XLOOKUP(LEFT(SUBSTITUTE(G1003,"[{",""),FIND(",",SUBSTITUTE(G1003,"[{",""))-1),Sheet2!B:B,Sheet2!C:C)&amp;"+"&amp;1,_xlfn.XLOOKUP(LEFT(SUBSTITUTE(G1003,"[{",""),FIND(",",SUBSTITUTE(G1003,"[{",""))-1),Sheet2!B:B,Sheet2!C:C)&amp;"+"&amp;SUBSTITUTE(RIGHT(G1003,LEN(G1003)-FIND(",",G1003)),"}]","")/100&amp;"%")</f>
        <v>裤子符文孔位+1</v>
      </c>
      <c r="L1003" s="83" t="str">
        <f ca="1">IF(MOD(COUNTIF($Q$11:Q1002,Q1002),5)=0,OFFSET(装备属性!$G$1083,1+INT(COUNTA($Q$11:Q1002)/5),0),L1002)</f>
        <v>扩符槽</v>
      </c>
      <c r="M1003" s="89" t="str">
        <f ca="1">IF(MOD(COUNTIF($Q$11:Q1002,Q1002),5)=0,OFFSET(装备属性!$H$1083,1+INT(COUNTA($Q$11:Q1002)/5),0),M1002)</f>
        <v>equip2_rune_slot</v>
      </c>
      <c r="N1003" s="76">
        <f ca="1">IF(MOD(COUNTIF($Q$11:Q1002,Q1002),5)=0,OFFSET(装备属性!$K$1083,1+INT(COUNTA($Q$11:Q1002)/5),0),N1002)</f>
        <v>1</v>
      </c>
      <c r="O1003" s="76">
        <f ca="1">IF(MOD(COUNTIF($Q$11:Q1002,Q1002),5)=0,OFFSET(装备属性!$L$1083,1+INT(COUNTA($Q$11:Q1002)/5),0),O1002)</f>
        <v>1</v>
      </c>
      <c r="Q1003" s="89" t="str">
        <f ca="1">IF(MOD(COUNTIF($Q$11:Q1002,Q1002),5)=0,OFFSET(装备属性!$M$1083,1+INT(COUNTA($Q$11:Q1002)/5),0),Q1002)</f>
        <v>稀有词条</v>
      </c>
      <c r="R1003" s="83" t="e">
        <f ca="1">IF(MOD(COUNTIF($Q$11:Q1002,Q1002),5)=0,10000*SUBSTITUTE(SUBSTITUTE(OFFSET(装备属性!$F$1083,1+INT(COUNTA($Q$11:Q1002)/5),0),"[",""),"]","")+_xlfn.XLOOKUP(C1003,$M$3:$M$7,$N$3:$N$7)*100,R1002)</f>
        <v>#N/A</v>
      </c>
    </row>
    <row r="1004" customHeight="1" spans="1:18">
      <c r="A1004" s="78" t="str">
        <f ca="1" t="shared" si="45"/>
        <v/>
      </c>
      <c r="B1004" s="82" t="str">
        <f ca="1">IFERROR(R1004+COUNTIFS($R$11:$R1004,R1004),"")</f>
        <v/>
      </c>
      <c r="C1004" s="83">
        <f ca="1">IF(MOD(COUNTIF($Q$11:Q1003,Q1003),5)=0,OFFSET(装备属性!$D$1083,1+INT(COUNTA($Q$11:Q1003)/5),0),C1003)</f>
        <v>0</v>
      </c>
      <c r="D1004" s="82">
        <f t="shared" si="47"/>
        <v>1500</v>
      </c>
      <c r="F1004" s="82" t="str">
        <f ca="1" t="shared" si="46"/>
        <v/>
      </c>
      <c r="G1004" s="78" t="str">
        <f ca="1">IF(AND(LEFT("[{"&amp;M1004&amp;","&amp;CEILING(N1004*10000+(O1004-N1004)/4*(COUNTIF($F$11:F1004,F1004)-1)*10000,10)&amp;"}]",7)="[{equip",MID("[{"&amp;M1004&amp;","&amp;CEILING(N1004*10000+(O1004-N1004)/4*(COUNTIF($F$11:F1004,F1004)-1)*10000,10)&amp;"}]",8,1)&lt;&gt;"_"),"[{"&amp;M1004&amp;","&amp;1&amp;"}]","[{"&amp;M1004&amp;","&amp;CEILING(N1004*10000+(O1004-N1004)/4*(COUNTIF($F$11:F1004,F1004)-1)*10000,10)&amp;"}]")</f>
        <v>[{equip2_rune_slot,1}]</v>
      </c>
      <c r="H1004" s="82" t="s">
        <v>563</v>
      </c>
      <c r="J1004" s="78">
        <f ca="1">IF(MOD(COUNTIF($Q$11:Q1003,Q1003),5)=0,OFFSET(装备属性!$P$1083,1+INT(COUNTA($Q$11:Q1003)/5),0),J1003)</f>
        <v>1</v>
      </c>
      <c r="K1004" s="83" t="str">
        <f ca="1">IF(RIGHT(G1004,13)="rune_slot,1}]",_xlfn.XLOOKUP(LEFT(SUBSTITUTE(G1004,"[{",""),FIND(",",SUBSTITUTE(G1004,"[{",""))-1),Sheet2!B:B,Sheet2!C:C)&amp;"+"&amp;1,_xlfn.XLOOKUP(LEFT(SUBSTITUTE(G1004,"[{",""),FIND(",",SUBSTITUTE(G1004,"[{",""))-1),Sheet2!B:B,Sheet2!C:C)&amp;"+"&amp;SUBSTITUTE(RIGHT(G1004,LEN(G1004)-FIND(",",G1004)),"}]","")/100&amp;"%")</f>
        <v>裤子符文孔位+1</v>
      </c>
      <c r="L1004" s="83" t="str">
        <f ca="1">IF(MOD(COUNTIF($Q$11:Q1003,Q1003),5)=0,OFFSET(装备属性!$G$1083,1+INT(COUNTA($Q$11:Q1003)/5),0),L1003)</f>
        <v>扩符槽</v>
      </c>
      <c r="M1004" s="89" t="str">
        <f ca="1">IF(MOD(COUNTIF($Q$11:Q1003,Q1003),5)=0,OFFSET(装备属性!$H$1083,1+INT(COUNTA($Q$11:Q1003)/5),0),M1003)</f>
        <v>equip2_rune_slot</v>
      </c>
      <c r="N1004" s="76">
        <f ca="1">IF(MOD(COUNTIF($Q$11:Q1003,Q1003),5)=0,OFFSET(装备属性!$K$1083,1+INT(COUNTA($Q$11:Q1003)/5),0),N1003)</f>
        <v>1</v>
      </c>
      <c r="O1004" s="76">
        <f ca="1">IF(MOD(COUNTIF($Q$11:Q1003,Q1003),5)=0,OFFSET(装备属性!$L$1083,1+INT(COUNTA($Q$11:Q1003)/5),0),O1003)</f>
        <v>1</v>
      </c>
      <c r="Q1004" s="89" t="str">
        <f ca="1">IF(MOD(COUNTIF($Q$11:Q1003,Q1003),5)=0,OFFSET(装备属性!$M$1083,1+INT(COUNTA($Q$11:Q1003)/5),0),Q1003)</f>
        <v>稀有词条</v>
      </c>
      <c r="R1004" s="83" t="e">
        <f ca="1">IF(MOD(COUNTIF($Q$11:Q1003,Q1003),5)=0,10000*SUBSTITUTE(SUBSTITUTE(OFFSET(装备属性!$F$1083,1+INT(COUNTA($Q$11:Q1003)/5),0),"[",""),"]","")+_xlfn.XLOOKUP(C1004,$M$3:$M$7,$N$3:$N$7)*100,R1003)</f>
        <v>#N/A</v>
      </c>
    </row>
    <row r="1005" customHeight="1" spans="1:18">
      <c r="A1005" s="78" t="str">
        <f ca="1" t="shared" si="45"/>
        <v/>
      </c>
      <c r="B1005" s="82" t="str">
        <f ca="1">IFERROR(R1005+COUNTIFS($R$11:$R1005,R1005),"")</f>
        <v/>
      </c>
      <c r="C1005" s="83">
        <f ca="1">IF(MOD(COUNTIF($Q$11:Q1004,Q1004),5)=0,OFFSET(装备属性!$D$1083,1+INT(COUNTA($Q$11:Q1004)/5),0),C1004)</f>
        <v>0</v>
      </c>
      <c r="D1005" s="82">
        <f t="shared" si="47"/>
        <v>1000</v>
      </c>
      <c r="F1005" s="82" t="str">
        <f ca="1" t="shared" si="46"/>
        <v/>
      </c>
      <c r="G1005" s="78" t="str">
        <f ca="1">IF(AND(LEFT("[{"&amp;M1005&amp;","&amp;CEILING(N1005*10000+(O1005-N1005)/4*(COUNTIF($F$11:F1005,F1005)-1)*10000,10)&amp;"}]",7)="[{equip",MID("[{"&amp;M1005&amp;","&amp;CEILING(N1005*10000+(O1005-N1005)/4*(COUNTIF($F$11:F1005,F1005)-1)*10000,10)&amp;"}]",8,1)&lt;&gt;"_"),"[{"&amp;M1005&amp;","&amp;1&amp;"}]","[{"&amp;M1005&amp;","&amp;CEILING(N1005*10000+(O1005-N1005)/4*(COUNTIF($F$11:F1005,F1005)-1)*10000,10)&amp;"}]")</f>
        <v>[{equip2_rune_slot,1}]</v>
      </c>
      <c r="H1005" s="82" t="s">
        <v>563</v>
      </c>
      <c r="J1005" s="78">
        <f ca="1">IF(MOD(COUNTIF($Q$11:Q1004,Q1004),5)=0,OFFSET(装备属性!$P$1083,1+INT(COUNTA($Q$11:Q1004)/5),0),J1004)</f>
        <v>1</v>
      </c>
      <c r="K1005" s="83" t="str">
        <f ca="1">IF(RIGHT(G1005,13)="rune_slot,1}]",_xlfn.XLOOKUP(LEFT(SUBSTITUTE(G1005,"[{",""),FIND(",",SUBSTITUTE(G1005,"[{",""))-1),Sheet2!B:B,Sheet2!C:C)&amp;"+"&amp;1,_xlfn.XLOOKUP(LEFT(SUBSTITUTE(G1005,"[{",""),FIND(",",SUBSTITUTE(G1005,"[{",""))-1),Sheet2!B:B,Sheet2!C:C)&amp;"+"&amp;SUBSTITUTE(RIGHT(G1005,LEN(G1005)-FIND(",",G1005)),"}]","")/100&amp;"%")</f>
        <v>裤子符文孔位+1</v>
      </c>
      <c r="L1005" s="83" t="str">
        <f ca="1">IF(MOD(COUNTIF($Q$11:Q1004,Q1004),5)=0,OFFSET(装备属性!$G$1083,1+INT(COUNTA($Q$11:Q1004)/5),0),L1004)</f>
        <v>扩符槽</v>
      </c>
      <c r="M1005" s="89" t="str">
        <f ca="1">IF(MOD(COUNTIF($Q$11:Q1004,Q1004),5)=0,OFFSET(装备属性!$H$1083,1+INT(COUNTA($Q$11:Q1004)/5),0),M1004)</f>
        <v>equip2_rune_slot</v>
      </c>
      <c r="N1005" s="76">
        <f ca="1">IF(MOD(COUNTIF($Q$11:Q1004,Q1004),5)=0,OFFSET(装备属性!$K$1083,1+INT(COUNTA($Q$11:Q1004)/5),0),N1004)</f>
        <v>1</v>
      </c>
      <c r="O1005" s="76">
        <f ca="1">IF(MOD(COUNTIF($Q$11:Q1004,Q1004),5)=0,OFFSET(装备属性!$L$1083,1+INT(COUNTA($Q$11:Q1004)/5),0),O1004)</f>
        <v>1</v>
      </c>
      <c r="Q1005" s="89" t="str">
        <f ca="1">IF(MOD(COUNTIF($Q$11:Q1004,Q1004),5)=0,OFFSET(装备属性!$M$1083,1+INT(COUNTA($Q$11:Q1004)/5),0),Q1004)</f>
        <v>稀有词条</v>
      </c>
      <c r="R1005" s="83" t="e">
        <f ca="1">IF(MOD(COUNTIF($Q$11:Q1004,Q1004),5)=0,10000*SUBSTITUTE(SUBSTITUTE(OFFSET(装备属性!$F$1083,1+INT(COUNTA($Q$11:Q1004)/5),0),"[",""),"]","")+_xlfn.XLOOKUP(C1005,$M$3:$M$7,$N$3:$N$7)*100,R1004)</f>
        <v>#N/A</v>
      </c>
    </row>
    <row r="1006" customHeight="1" spans="1:18">
      <c r="A1006" s="78" t="str">
        <f ca="1" t="shared" si="45"/>
        <v/>
      </c>
      <c r="B1006" s="82" t="str">
        <f ca="1">IFERROR(R1006+COUNTIFS($R$11:$R1006,R1006),"")</f>
        <v/>
      </c>
      <c r="C1006" s="83">
        <f ca="1">IF(MOD(COUNTIF($Q$11:Q1005,Q1005),5)=0,OFFSET(装备属性!$D$1083,1+INT(COUNTA($Q$11:Q1005)/5),0),C1005)</f>
        <v>0</v>
      </c>
      <c r="D1006" s="82">
        <f t="shared" si="47"/>
        <v>3000</v>
      </c>
      <c r="F1006" s="82" t="str">
        <f ca="1" t="shared" si="46"/>
        <v/>
      </c>
      <c r="G1006" s="78" t="str">
        <f ca="1">IF(AND(LEFT("[{"&amp;M1006&amp;","&amp;CEILING(N1006*10000+(O1006-N1006)/4*(COUNTIF($F$11:F1006,F1006)-1)*10000,10)&amp;"}]",7)="[{equip",MID("[{"&amp;M1006&amp;","&amp;CEILING(N1006*10000+(O1006-N1006)/4*(COUNTIF($F$11:F1006,F1006)-1)*10000,10)&amp;"}]",8,1)&lt;&gt;"_"),"[{"&amp;M1006&amp;","&amp;1&amp;"}]","[{"&amp;M1006&amp;","&amp;CEILING(N1006*10000+(O1006-N1006)/4*(COUNTIF($F$11:F1006,F1006)-1)*10000,10)&amp;"}]")</f>
        <v>[{chapter_pve_hit_rate,15110}]</v>
      </c>
      <c r="H1006" s="82" t="s">
        <v>563</v>
      </c>
      <c r="J1006" s="78">
        <f ca="1">IF(MOD(COUNTIF($Q$11:Q1005,Q1005),5)=0,OFFSET(装备属性!$P$1083,1+INT(COUNTA($Q$11:Q1005)/5),0),J1005)</f>
        <v>6</v>
      </c>
      <c r="K1006" s="83" t="str">
        <f ca="1">IF(RIGHT(G1006,13)="rune_slot,1}]",_xlfn.XLOOKUP(LEFT(SUBSTITUTE(G1006,"[{",""),FIND(",",SUBSTITUTE(G1006,"[{",""))-1),Sheet2!B:B,Sheet2!C:C)&amp;"+"&amp;1,_xlfn.XLOOKUP(LEFT(SUBSTITUTE(G1006,"[{",""),FIND(",",SUBSTITUTE(G1006,"[{",""))-1),Sheet2!B:B,Sheet2!C:C)&amp;"+"&amp;SUBSTITUTE(RIGHT(G1006,LEN(G1006)-FIND(",",G1006)),"}]","")/100&amp;"%")</f>
        <v>主线挑战增伤+151.1%</v>
      </c>
      <c r="L1006" s="83" t="str">
        <f ca="1">IF(MOD(COUNTIF($Q$11:Q1005,Q1005),5)=0,OFFSET(装备属性!$G$1083,1+INT(COUNTA($Q$11:Q1005)/5),0),L1005)</f>
        <v>主线清场Ⅱ</v>
      </c>
      <c r="M1006" s="89" t="str">
        <f ca="1">IF(MOD(COUNTIF($Q$11:Q1005,Q1005),5)=0,OFFSET(装备属性!$H$1083,1+INT(COUNTA($Q$11:Q1005)/5),0),M1005)</f>
        <v>chapter_pve_hit_rate</v>
      </c>
      <c r="N1006" s="76">
        <f ca="1">IF(MOD(COUNTIF($Q$11:Q1005,Q1005),5)=0,OFFSET(装备属性!$K$1083,1+INT(COUNTA($Q$11:Q1005)/5),0),N1005)</f>
        <v>0.058</v>
      </c>
      <c r="O1006" s="76">
        <f ca="1">IF(MOD(COUNTIF($Q$11:Q1005,Q1005),5)=0,OFFSET(装备属性!$L$1083,1+INT(COUNTA($Q$11:Q1005)/5),0),O1005)</f>
        <v>0.072</v>
      </c>
      <c r="Q1006" s="89" t="str">
        <f ca="1">IF(MOD(COUNTIF($Q$11:Q1005,Q1005),5)=0,OFFSET(装备属性!$M$1083,1+INT(COUNTA($Q$11:Q1005)/5),0),Q1005)</f>
        <v>玩法类</v>
      </c>
      <c r="R1006" s="83" t="e">
        <f ca="1">IF(MOD(COUNTIF($Q$11:Q1005,Q1005),5)=0,10000*SUBSTITUTE(SUBSTITUTE(OFFSET(装备属性!$F$1083,1+INT(COUNTA($Q$11:Q1005)/5),0),"[",""),"]","")+_xlfn.XLOOKUP(C1006,$M$3:$M$7,$N$3:$N$7)*100,R1005)</f>
        <v>#N/A</v>
      </c>
    </row>
    <row r="1007" customHeight="1" spans="1:18">
      <c r="A1007" s="78" t="str">
        <f ca="1" t="shared" si="45"/>
        <v/>
      </c>
      <c r="B1007" s="82" t="str">
        <f ca="1">IFERROR(R1007+COUNTIFS($R$11:$R1007,R1007),"")</f>
        <v/>
      </c>
      <c r="C1007" s="83">
        <f ca="1">IF(MOD(COUNTIF($Q$11:Q1006,Q1006),5)=0,OFFSET(装备属性!$D$1083,1+INT(COUNTA($Q$11:Q1006)/5),0),C1006)</f>
        <v>0</v>
      </c>
      <c r="D1007" s="82">
        <f t="shared" si="47"/>
        <v>2500</v>
      </c>
      <c r="F1007" s="82" t="str">
        <f ca="1" t="shared" si="46"/>
        <v/>
      </c>
      <c r="G1007" s="78" t="str">
        <f ca="1">IF(AND(LEFT("[{"&amp;M1007&amp;","&amp;CEILING(N1007*10000+(O1007-N1007)/4*(COUNTIF($F$11:F1007,F1007)-1)*10000,10)&amp;"}]",7)="[{equip",MID("[{"&amp;M1007&amp;","&amp;CEILING(N1007*10000+(O1007-N1007)/4*(COUNTIF($F$11:F1007,F1007)-1)*10000,10)&amp;"}]",8,1)&lt;&gt;"_"),"[{"&amp;M1007&amp;","&amp;1&amp;"}]","[{"&amp;M1007&amp;","&amp;CEILING(N1007*10000+(O1007-N1007)/4*(COUNTIF($F$11:F1007,F1007)-1)*10000,10)&amp;"}]")</f>
        <v>[{chapter_pve_hit_rate,15140}]</v>
      </c>
      <c r="H1007" s="82" t="s">
        <v>563</v>
      </c>
      <c r="J1007" s="78">
        <f ca="1">IF(MOD(COUNTIF($Q$11:Q1006,Q1006),5)=0,OFFSET(装备属性!$P$1083,1+INT(COUNTA($Q$11:Q1006)/5),0),J1006)</f>
        <v>6</v>
      </c>
      <c r="K1007" s="83" t="str">
        <f ca="1">IF(RIGHT(G1007,13)="rune_slot,1}]",_xlfn.XLOOKUP(LEFT(SUBSTITUTE(G1007,"[{",""),FIND(",",SUBSTITUTE(G1007,"[{",""))-1),Sheet2!B:B,Sheet2!C:C)&amp;"+"&amp;1,_xlfn.XLOOKUP(LEFT(SUBSTITUTE(G1007,"[{",""),FIND(",",SUBSTITUTE(G1007,"[{",""))-1),Sheet2!B:B,Sheet2!C:C)&amp;"+"&amp;SUBSTITUTE(RIGHT(G1007,LEN(G1007)-FIND(",",G1007)),"}]","")/100&amp;"%")</f>
        <v>主线挑战增伤+151.4%</v>
      </c>
      <c r="L1007" s="83" t="str">
        <f ca="1">IF(MOD(COUNTIF($Q$11:Q1006,Q1006),5)=0,OFFSET(装备属性!$G$1083,1+INT(COUNTA($Q$11:Q1006)/5),0),L1006)</f>
        <v>主线清场Ⅱ</v>
      </c>
      <c r="M1007" s="89" t="str">
        <f ca="1">IF(MOD(COUNTIF($Q$11:Q1006,Q1006),5)=0,OFFSET(装备属性!$H$1083,1+INT(COUNTA($Q$11:Q1006)/5),0),M1006)</f>
        <v>chapter_pve_hit_rate</v>
      </c>
      <c r="N1007" s="76">
        <f ca="1">IF(MOD(COUNTIF($Q$11:Q1006,Q1006),5)=0,OFFSET(装备属性!$K$1083,1+INT(COUNTA($Q$11:Q1006)/5),0),N1006)</f>
        <v>0.058</v>
      </c>
      <c r="O1007" s="76">
        <f ca="1">IF(MOD(COUNTIF($Q$11:Q1006,Q1006),5)=0,OFFSET(装备属性!$L$1083,1+INT(COUNTA($Q$11:Q1006)/5),0),O1006)</f>
        <v>0.072</v>
      </c>
      <c r="Q1007" s="89" t="str">
        <f ca="1">IF(MOD(COUNTIF($Q$11:Q1006,Q1006),5)=0,OFFSET(装备属性!$M$1083,1+INT(COUNTA($Q$11:Q1006)/5),0),Q1006)</f>
        <v>玩法类</v>
      </c>
      <c r="R1007" s="83" t="e">
        <f ca="1">IF(MOD(COUNTIF($Q$11:Q1006,Q1006),5)=0,10000*SUBSTITUTE(SUBSTITUTE(OFFSET(装备属性!$F$1083,1+INT(COUNTA($Q$11:Q1006)/5),0),"[",""),"]","")+_xlfn.XLOOKUP(C1007,$M$3:$M$7,$N$3:$N$7)*100,R1006)</f>
        <v>#N/A</v>
      </c>
    </row>
    <row r="1008" customHeight="1" spans="1:18">
      <c r="A1008" s="78" t="str">
        <f ca="1" t="shared" si="45"/>
        <v/>
      </c>
      <c r="B1008" s="82" t="str">
        <f ca="1">IFERROR(R1008+COUNTIFS($R$11:$R1008,R1008),"")</f>
        <v/>
      </c>
      <c r="C1008" s="83">
        <f ca="1">IF(MOD(COUNTIF($Q$11:Q1007,Q1007),5)=0,OFFSET(装备属性!$D$1083,1+INT(COUNTA($Q$11:Q1007)/5),0),C1007)</f>
        <v>0</v>
      </c>
      <c r="D1008" s="82">
        <f t="shared" si="47"/>
        <v>2000</v>
      </c>
      <c r="F1008" s="82" t="str">
        <f ca="1" t="shared" si="46"/>
        <v/>
      </c>
      <c r="G1008" s="78" t="str">
        <f ca="1">IF(AND(LEFT("[{"&amp;M1008&amp;","&amp;CEILING(N1008*10000+(O1008-N1008)/4*(COUNTIF($F$11:F1008,F1008)-1)*10000,10)&amp;"}]",7)="[{equip",MID("[{"&amp;M1008&amp;","&amp;CEILING(N1008*10000+(O1008-N1008)/4*(COUNTIF($F$11:F1008,F1008)-1)*10000,10)&amp;"}]",8,1)&lt;&gt;"_"),"[{"&amp;M1008&amp;","&amp;1&amp;"}]","[{"&amp;M1008&amp;","&amp;CEILING(N1008*10000+(O1008-N1008)/4*(COUNTIF($F$11:F1008,F1008)-1)*10000,10)&amp;"}]")</f>
        <v>[{chapter_pve_hit_rate,15180}]</v>
      </c>
      <c r="H1008" s="82" t="s">
        <v>563</v>
      </c>
      <c r="J1008" s="78">
        <f ca="1">IF(MOD(COUNTIF($Q$11:Q1007,Q1007),5)=0,OFFSET(装备属性!$P$1083,1+INT(COUNTA($Q$11:Q1007)/5),0),J1007)</f>
        <v>6</v>
      </c>
      <c r="K1008" s="83" t="str">
        <f ca="1">IF(RIGHT(G1008,13)="rune_slot,1}]",_xlfn.XLOOKUP(LEFT(SUBSTITUTE(G1008,"[{",""),FIND(",",SUBSTITUTE(G1008,"[{",""))-1),Sheet2!B:B,Sheet2!C:C)&amp;"+"&amp;1,_xlfn.XLOOKUP(LEFT(SUBSTITUTE(G1008,"[{",""),FIND(",",SUBSTITUTE(G1008,"[{",""))-1),Sheet2!B:B,Sheet2!C:C)&amp;"+"&amp;SUBSTITUTE(RIGHT(G1008,LEN(G1008)-FIND(",",G1008)),"}]","")/100&amp;"%")</f>
        <v>主线挑战增伤+151.8%</v>
      </c>
      <c r="L1008" s="83" t="str">
        <f ca="1">IF(MOD(COUNTIF($Q$11:Q1007,Q1007),5)=0,OFFSET(装备属性!$G$1083,1+INT(COUNTA($Q$11:Q1007)/5),0),L1007)</f>
        <v>主线清场Ⅱ</v>
      </c>
      <c r="M1008" s="89" t="str">
        <f ca="1">IF(MOD(COUNTIF($Q$11:Q1007,Q1007),5)=0,OFFSET(装备属性!$H$1083,1+INT(COUNTA($Q$11:Q1007)/5),0),M1007)</f>
        <v>chapter_pve_hit_rate</v>
      </c>
      <c r="N1008" s="76">
        <f ca="1">IF(MOD(COUNTIF($Q$11:Q1007,Q1007),5)=0,OFFSET(装备属性!$K$1083,1+INT(COUNTA($Q$11:Q1007)/5),0),N1007)</f>
        <v>0.058</v>
      </c>
      <c r="O1008" s="76">
        <f ca="1">IF(MOD(COUNTIF($Q$11:Q1007,Q1007),5)=0,OFFSET(装备属性!$L$1083,1+INT(COUNTA($Q$11:Q1007)/5),0),O1007)</f>
        <v>0.072</v>
      </c>
      <c r="Q1008" s="89" t="str">
        <f ca="1">IF(MOD(COUNTIF($Q$11:Q1007,Q1007),5)=0,OFFSET(装备属性!$M$1083,1+INT(COUNTA($Q$11:Q1007)/5),0),Q1007)</f>
        <v>玩法类</v>
      </c>
      <c r="R1008" s="83" t="e">
        <f ca="1">IF(MOD(COUNTIF($Q$11:Q1007,Q1007),5)=0,10000*SUBSTITUTE(SUBSTITUTE(OFFSET(装备属性!$F$1083,1+INT(COUNTA($Q$11:Q1007)/5),0),"[",""),"]","")+_xlfn.XLOOKUP(C1008,$M$3:$M$7,$N$3:$N$7)*100,R1007)</f>
        <v>#N/A</v>
      </c>
    </row>
    <row r="1009" customHeight="1" spans="1:18">
      <c r="A1009" s="78" t="str">
        <f ca="1" t="shared" si="45"/>
        <v/>
      </c>
      <c r="B1009" s="82" t="str">
        <f ca="1">IFERROR(R1009+COUNTIFS($R$11:$R1009,R1009),"")</f>
        <v/>
      </c>
      <c r="C1009" s="83">
        <f ca="1">IF(MOD(COUNTIF($Q$11:Q1008,Q1008),5)=0,OFFSET(装备属性!$D$1083,1+INT(COUNTA($Q$11:Q1008)/5),0),C1008)</f>
        <v>0</v>
      </c>
      <c r="D1009" s="82">
        <f t="shared" si="47"/>
        <v>1500</v>
      </c>
      <c r="F1009" s="82" t="str">
        <f ca="1" t="shared" si="46"/>
        <v/>
      </c>
      <c r="G1009" s="78" t="str">
        <f ca="1">IF(AND(LEFT("[{"&amp;M1009&amp;","&amp;CEILING(N1009*10000+(O1009-N1009)/4*(COUNTIF($F$11:F1009,F1009)-1)*10000,10)&amp;"}]",7)="[{equip",MID("[{"&amp;M1009&amp;","&amp;CEILING(N1009*10000+(O1009-N1009)/4*(COUNTIF($F$11:F1009,F1009)-1)*10000,10)&amp;"}]",8,1)&lt;&gt;"_"),"[{"&amp;M1009&amp;","&amp;1&amp;"}]","[{"&amp;M1009&amp;","&amp;CEILING(N1009*10000+(O1009-N1009)/4*(COUNTIF($F$11:F1009,F1009)-1)*10000,10)&amp;"}]")</f>
        <v>[{chapter_pve_hit_rate,15210}]</v>
      </c>
      <c r="H1009" s="82" t="s">
        <v>563</v>
      </c>
      <c r="J1009" s="78">
        <f ca="1">IF(MOD(COUNTIF($Q$11:Q1008,Q1008),5)=0,OFFSET(装备属性!$P$1083,1+INT(COUNTA($Q$11:Q1008)/5),0),J1008)</f>
        <v>6</v>
      </c>
      <c r="K1009" s="83" t="str">
        <f ca="1">IF(RIGHT(G1009,13)="rune_slot,1}]",_xlfn.XLOOKUP(LEFT(SUBSTITUTE(G1009,"[{",""),FIND(",",SUBSTITUTE(G1009,"[{",""))-1),Sheet2!B:B,Sheet2!C:C)&amp;"+"&amp;1,_xlfn.XLOOKUP(LEFT(SUBSTITUTE(G1009,"[{",""),FIND(",",SUBSTITUTE(G1009,"[{",""))-1),Sheet2!B:B,Sheet2!C:C)&amp;"+"&amp;SUBSTITUTE(RIGHT(G1009,LEN(G1009)-FIND(",",G1009)),"}]","")/100&amp;"%")</f>
        <v>主线挑战增伤+152.1%</v>
      </c>
      <c r="L1009" s="83" t="str">
        <f ca="1">IF(MOD(COUNTIF($Q$11:Q1008,Q1008),5)=0,OFFSET(装备属性!$G$1083,1+INT(COUNTA($Q$11:Q1008)/5),0),L1008)</f>
        <v>主线清场Ⅱ</v>
      </c>
      <c r="M1009" s="89" t="str">
        <f ca="1">IF(MOD(COUNTIF($Q$11:Q1008,Q1008),5)=0,OFFSET(装备属性!$H$1083,1+INT(COUNTA($Q$11:Q1008)/5),0),M1008)</f>
        <v>chapter_pve_hit_rate</v>
      </c>
      <c r="N1009" s="76">
        <f ca="1">IF(MOD(COUNTIF($Q$11:Q1008,Q1008),5)=0,OFFSET(装备属性!$K$1083,1+INT(COUNTA($Q$11:Q1008)/5),0),N1008)</f>
        <v>0.058</v>
      </c>
      <c r="O1009" s="76">
        <f ca="1">IF(MOD(COUNTIF($Q$11:Q1008,Q1008),5)=0,OFFSET(装备属性!$L$1083,1+INT(COUNTA($Q$11:Q1008)/5),0),O1008)</f>
        <v>0.072</v>
      </c>
      <c r="Q1009" s="89" t="str">
        <f ca="1">IF(MOD(COUNTIF($Q$11:Q1008,Q1008),5)=0,OFFSET(装备属性!$M$1083,1+INT(COUNTA($Q$11:Q1008)/5),0),Q1008)</f>
        <v>玩法类</v>
      </c>
      <c r="R1009" s="83" t="e">
        <f ca="1">IF(MOD(COUNTIF($Q$11:Q1008,Q1008),5)=0,10000*SUBSTITUTE(SUBSTITUTE(OFFSET(装备属性!$F$1083,1+INT(COUNTA($Q$11:Q1008)/5),0),"[",""),"]","")+_xlfn.XLOOKUP(C1009,$M$3:$M$7,$N$3:$N$7)*100,R1008)</f>
        <v>#N/A</v>
      </c>
    </row>
    <row r="1010" customHeight="1" spans="1:18">
      <c r="A1010" s="78" t="str">
        <f ca="1" t="shared" si="45"/>
        <v/>
      </c>
      <c r="B1010" s="82" t="str">
        <f ca="1">IFERROR(R1010+COUNTIFS($R$11:$R1010,R1010),"")</f>
        <v/>
      </c>
      <c r="C1010" s="83">
        <f ca="1">IF(MOD(COUNTIF($Q$11:Q1009,Q1009),5)=0,OFFSET(装备属性!$D$1083,1+INT(COUNTA($Q$11:Q1009)/5),0),C1009)</f>
        <v>0</v>
      </c>
      <c r="D1010" s="82">
        <f t="shared" si="47"/>
        <v>1000</v>
      </c>
      <c r="F1010" s="82" t="str">
        <f ca="1" t="shared" si="46"/>
        <v/>
      </c>
      <c r="G1010" s="78" t="str">
        <f ca="1">IF(AND(LEFT("[{"&amp;M1010&amp;","&amp;CEILING(N1010*10000+(O1010-N1010)/4*(COUNTIF($F$11:F1010,F1010)-1)*10000,10)&amp;"}]",7)="[{equip",MID("[{"&amp;M1010&amp;","&amp;CEILING(N1010*10000+(O1010-N1010)/4*(COUNTIF($F$11:F1010,F1010)-1)*10000,10)&amp;"}]",8,1)&lt;&gt;"_"),"[{"&amp;M1010&amp;","&amp;1&amp;"}]","[{"&amp;M1010&amp;","&amp;CEILING(N1010*10000+(O1010-N1010)/4*(COUNTIF($F$11:F1010,F1010)-1)*10000,10)&amp;"}]")</f>
        <v>[{chapter_pve_hit_rate,15250}]</v>
      </c>
      <c r="H1010" s="82" t="s">
        <v>563</v>
      </c>
      <c r="J1010" s="78">
        <f ca="1">IF(MOD(COUNTIF($Q$11:Q1009,Q1009),5)=0,OFFSET(装备属性!$P$1083,1+INT(COUNTA($Q$11:Q1009)/5),0),J1009)</f>
        <v>6</v>
      </c>
      <c r="K1010" s="83" t="str">
        <f ca="1">IF(RIGHT(G1010,13)="rune_slot,1}]",_xlfn.XLOOKUP(LEFT(SUBSTITUTE(G1010,"[{",""),FIND(",",SUBSTITUTE(G1010,"[{",""))-1),Sheet2!B:B,Sheet2!C:C)&amp;"+"&amp;1,_xlfn.XLOOKUP(LEFT(SUBSTITUTE(G1010,"[{",""),FIND(",",SUBSTITUTE(G1010,"[{",""))-1),Sheet2!B:B,Sheet2!C:C)&amp;"+"&amp;SUBSTITUTE(RIGHT(G1010,LEN(G1010)-FIND(",",G1010)),"}]","")/100&amp;"%")</f>
        <v>主线挑战增伤+152.5%</v>
      </c>
      <c r="L1010" s="83" t="str">
        <f ca="1">IF(MOD(COUNTIF($Q$11:Q1009,Q1009),5)=0,OFFSET(装备属性!$G$1083,1+INT(COUNTA($Q$11:Q1009)/5),0),L1009)</f>
        <v>主线清场Ⅱ</v>
      </c>
      <c r="M1010" s="89" t="str">
        <f ca="1">IF(MOD(COUNTIF($Q$11:Q1009,Q1009),5)=0,OFFSET(装备属性!$H$1083,1+INT(COUNTA($Q$11:Q1009)/5),0),M1009)</f>
        <v>chapter_pve_hit_rate</v>
      </c>
      <c r="N1010" s="76">
        <f ca="1">IF(MOD(COUNTIF($Q$11:Q1009,Q1009),5)=0,OFFSET(装备属性!$K$1083,1+INT(COUNTA($Q$11:Q1009)/5),0),N1009)</f>
        <v>0.058</v>
      </c>
      <c r="O1010" s="76">
        <f ca="1">IF(MOD(COUNTIF($Q$11:Q1009,Q1009),5)=0,OFFSET(装备属性!$L$1083,1+INT(COUNTA($Q$11:Q1009)/5),0),O1009)</f>
        <v>0.072</v>
      </c>
      <c r="Q1010" s="89" t="str">
        <f ca="1">IF(MOD(COUNTIF($Q$11:Q1009,Q1009),5)=0,OFFSET(装备属性!$M$1083,1+INT(COUNTA($Q$11:Q1009)/5),0),Q1009)</f>
        <v>玩法类</v>
      </c>
      <c r="R1010" s="83" t="e">
        <f ca="1">IF(MOD(COUNTIF($Q$11:Q1009,Q1009),5)=0,10000*SUBSTITUTE(SUBSTITUTE(OFFSET(装备属性!$F$1083,1+INT(COUNTA($Q$11:Q1009)/5),0),"[",""),"]","")+_xlfn.XLOOKUP(C1010,$M$3:$M$7,$N$3:$N$7)*100,R1009)</f>
        <v>#N/A</v>
      </c>
    </row>
    <row r="1011" customHeight="1" spans="1:18">
      <c r="A1011" s="78">
        <f ca="1" t="shared" si="45"/>
        <v>40501</v>
      </c>
      <c r="B1011" s="82">
        <f ca="1">IFERROR(R1011+COUNTIFS($R$11:$R1011,R1011),"")</f>
        <v>40511</v>
      </c>
      <c r="C1011" s="83" t="str">
        <f ca="1">IF(MOD(COUNTIF($Q$11:Q1010,Q1010),5)=0,OFFSET(装备属性!$D$1083,1+INT(COUNTA($Q$11:Q1010)/5),0),C1010)</f>
        <v>橙</v>
      </c>
      <c r="D1011" s="82">
        <f t="shared" si="47"/>
        <v>3000</v>
      </c>
      <c r="F1011" s="82">
        <f ca="1" t="shared" si="46"/>
        <v>40502</v>
      </c>
      <c r="G1011" s="78" t="str">
        <f ca="1">IF(AND(LEFT("[{"&amp;M1011&amp;","&amp;CEILING(N1011*10000+(O1011-N1011)/4*(COUNTIF($F$11:F1011,F1011)-1)*10000,10)&amp;"}]",7)="[{equip",MID("[{"&amp;M1011&amp;","&amp;CEILING(N1011*10000+(O1011-N1011)/4*(COUNTIF($F$11:F1011,F1011)-1)*10000,10)&amp;"}]",8,1)&lt;&gt;"_"),"[{"&amp;M1011&amp;","&amp;1&amp;"}]","[{"&amp;M1011&amp;","&amp;CEILING(N1011*10000+(O1011-N1011)/4*(COUNTIF($F$11:F1011,F1011)-1)*10000,10)&amp;"}]")</f>
        <v>[{drug_dmg_red_rate,200}]</v>
      </c>
      <c r="H1011" s="82" t="s">
        <v>563</v>
      </c>
      <c r="J1011" s="78">
        <f ca="1">IF(MOD(COUNTIF($Q$11:Q1010,Q1010),5)=0,OFFSET(装备属性!$P$1083,1+INT(COUNTA($Q$11:Q1010)/5),0),J1010)</f>
        <v>5</v>
      </c>
      <c r="K1011" s="83" t="str">
        <f ca="1">IF(RIGHT(G1011,13)="rune_slot,1}]",_xlfn.XLOOKUP(LEFT(SUBSTITUTE(G1011,"[{",""),FIND(",",SUBSTITUTE(G1011,"[{",""))-1),Sheet2!B:B,Sheet2!C:C)&amp;"+"&amp;1,_xlfn.XLOOKUP(LEFT(SUBSTITUTE(G1011,"[{",""),FIND(",",SUBSTITUTE(G1011,"[{",""))-1),Sheet2!B:B,Sheet2!C:C)&amp;"+"&amp;SUBSTITUTE(RIGHT(G1011,LEN(G1011)-FIND(",",G1011)),"}]","")/100&amp;"%")</f>
        <v>毒系伤害减免+2%</v>
      </c>
      <c r="L1011" s="83" t="str">
        <f ca="1">IF(MOD(COUNTIF($Q$11:Q1010,Q1010),5)=0,OFFSET(装备属性!$G$1083,1+INT(COUNTA($Q$11:Q1010)/5),0),L1010)</f>
        <v>毒毒不怕Ⅱ</v>
      </c>
      <c r="M1011" s="89" t="str">
        <f ca="1">IF(MOD(COUNTIF($Q$11:Q1010,Q1010),5)=0,OFFSET(装备属性!$H$1083,1+INT(COUNTA($Q$11:Q1010)/5),0),M1010)</f>
        <v>drug_dmg_red_rate</v>
      </c>
      <c r="N1011" s="76">
        <f ca="1">IF(MOD(COUNTIF($Q$11:Q1010,Q1010),5)=0,OFFSET(装备属性!$K$1083,1+INT(COUNTA($Q$11:Q1010)/5),0),N1010)</f>
        <v>0.02</v>
      </c>
      <c r="O1011" s="76">
        <f ca="1">IF(MOD(COUNTIF($Q$11:Q1010,Q1010),5)=0,OFFSET(装备属性!$L$1083,1+INT(COUNTA($Q$11:Q1010)/5),0),O1010)</f>
        <v>0.024</v>
      </c>
      <c r="Q1011" s="89" t="str">
        <f ca="1">IF(MOD(COUNTIF($Q$11:Q1010,Q1010),5)=0,OFFSET(装备属性!$M$1083,1+INT(COUNTA($Q$11:Q1010)/5),0),Q1010)</f>
        <v>通用属性</v>
      </c>
      <c r="R1011" s="83">
        <f ca="1">IF(MOD(COUNTIF($Q$11:Q1010,Q1010),5)=0,10000*SUBSTITUTE(SUBSTITUTE(OFFSET(装备属性!$F$1083,1+INT(COUNTA($Q$11:Q1010)/5),0),"[",""),"]","")+_xlfn.XLOOKUP(C1011,$M$3:$M$7,$N$3:$N$7)*100,R1010)</f>
        <v>40500</v>
      </c>
    </row>
    <row r="1012" customHeight="1" spans="1:18">
      <c r="A1012" s="78">
        <f ca="1" t="shared" si="45"/>
        <v>40501</v>
      </c>
      <c r="B1012" s="82">
        <f ca="1">IFERROR(R1012+COUNTIFS($R$11:$R1012,R1012),"")</f>
        <v>40512</v>
      </c>
      <c r="C1012" s="83" t="str">
        <f ca="1">IF(MOD(COUNTIF($Q$11:Q1011,Q1011),5)=0,OFFSET(装备属性!$D$1083,1+INT(COUNTA($Q$11:Q1011)/5),0),C1011)</f>
        <v>橙</v>
      </c>
      <c r="D1012" s="82">
        <f t="shared" si="47"/>
        <v>2500</v>
      </c>
      <c r="F1012" s="82">
        <f ca="1" t="shared" si="46"/>
        <v>40502</v>
      </c>
      <c r="G1012" s="78" t="str">
        <f ca="1">IF(AND(LEFT("[{"&amp;M1012&amp;","&amp;CEILING(N1012*10000+(O1012-N1012)/4*(COUNTIF($F$11:F1012,F1012)-1)*10000,10)&amp;"}]",7)="[{equip",MID("[{"&amp;M1012&amp;","&amp;CEILING(N1012*10000+(O1012-N1012)/4*(COUNTIF($F$11:F1012,F1012)-1)*10000,10)&amp;"}]",8,1)&lt;&gt;"_"),"[{"&amp;M1012&amp;","&amp;1&amp;"}]","[{"&amp;M1012&amp;","&amp;CEILING(N1012*10000+(O1012-N1012)/4*(COUNTIF($F$11:F1012,F1012)-1)*10000,10)&amp;"}]")</f>
        <v>[{drug_dmg_red_rate,210}]</v>
      </c>
      <c r="H1012" s="82" t="s">
        <v>563</v>
      </c>
      <c r="J1012" s="78">
        <f ca="1">IF(MOD(COUNTIF($Q$11:Q1011,Q1011),5)=0,OFFSET(装备属性!$P$1083,1+INT(COUNTA($Q$11:Q1011)/5),0),J1011)</f>
        <v>5</v>
      </c>
      <c r="K1012" s="83" t="str">
        <f ca="1">IF(RIGHT(G1012,13)="rune_slot,1}]",_xlfn.XLOOKUP(LEFT(SUBSTITUTE(G1012,"[{",""),FIND(",",SUBSTITUTE(G1012,"[{",""))-1),Sheet2!B:B,Sheet2!C:C)&amp;"+"&amp;1,_xlfn.XLOOKUP(LEFT(SUBSTITUTE(G1012,"[{",""),FIND(",",SUBSTITUTE(G1012,"[{",""))-1),Sheet2!B:B,Sheet2!C:C)&amp;"+"&amp;SUBSTITUTE(RIGHT(G1012,LEN(G1012)-FIND(",",G1012)),"}]","")/100&amp;"%")</f>
        <v>毒系伤害减免+2.1%</v>
      </c>
      <c r="L1012" s="83" t="str">
        <f ca="1">IF(MOD(COUNTIF($Q$11:Q1011,Q1011),5)=0,OFFSET(装备属性!$G$1083,1+INT(COUNTA($Q$11:Q1011)/5),0),L1011)</f>
        <v>毒毒不怕Ⅱ</v>
      </c>
      <c r="M1012" s="89" t="str">
        <f ca="1">IF(MOD(COUNTIF($Q$11:Q1011,Q1011),5)=0,OFFSET(装备属性!$H$1083,1+INT(COUNTA($Q$11:Q1011)/5),0),M1011)</f>
        <v>drug_dmg_red_rate</v>
      </c>
      <c r="N1012" s="76">
        <f ca="1">IF(MOD(COUNTIF($Q$11:Q1011,Q1011),5)=0,OFFSET(装备属性!$K$1083,1+INT(COUNTA($Q$11:Q1011)/5),0),N1011)</f>
        <v>0.02</v>
      </c>
      <c r="O1012" s="76">
        <f ca="1">IF(MOD(COUNTIF($Q$11:Q1011,Q1011),5)=0,OFFSET(装备属性!$L$1083,1+INT(COUNTA($Q$11:Q1011)/5),0),O1011)</f>
        <v>0.024</v>
      </c>
      <c r="Q1012" s="89" t="str">
        <f ca="1">IF(MOD(COUNTIF($Q$11:Q1011,Q1011),5)=0,OFFSET(装备属性!$M$1083,1+INT(COUNTA($Q$11:Q1011)/5),0),Q1011)</f>
        <v>通用属性</v>
      </c>
      <c r="R1012" s="83">
        <f ca="1">IF(MOD(COUNTIF($Q$11:Q1011,Q1011),5)=0,10000*SUBSTITUTE(SUBSTITUTE(OFFSET(装备属性!$F$1083,1+INT(COUNTA($Q$11:Q1011)/5),0),"[",""),"]","")+_xlfn.XLOOKUP(C1012,$M$3:$M$7,$N$3:$N$7)*100,R1011)</f>
        <v>40500</v>
      </c>
    </row>
    <row r="1013" customHeight="1" spans="1:18">
      <c r="A1013" s="78">
        <f ca="1" t="shared" si="45"/>
        <v>40501</v>
      </c>
      <c r="B1013" s="82">
        <f ca="1">IFERROR(R1013+COUNTIFS($R$11:$R1013,R1013),"")</f>
        <v>40513</v>
      </c>
      <c r="C1013" s="83" t="str">
        <f ca="1">IF(MOD(COUNTIF($Q$11:Q1012,Q1012),5)=0,OFFSET(装备属性!$D$1083,1+INT(COUNTA($Q$11:Q1012)/5),0),C1012)</f>
        <v>橙</v>
      </c>
      <c r="D1013" s="82">
        <f t="shared" si="47"/>
        <v>2000</v>
      </c>
      <c r="F1013" s="82">
        <f ca="1" t="shared" si="46"/>
        <v>40502</v>
      </c>
      <c r="G1013" s="78" t="str">
        <f ca="1">IF(AND(LEFT("[{"&amp;M1013&amp;","&amp;CEILING(N1013*10000+(O1013-N1013)/4*(COUNTIF($F$11:F1013,F1013)-1)*10000,10)&amp;"}]",7)="[{equip",MID("[{"&amp;M1013&amp;","&amp;CEILING(N1013*10000+(O1013-N1013)/4*(COUNTIF($F$11:F1013,F1013)-1)*10000,10)&amp;"}]",8,1)&lt;&gt;"_"),"[{"&amp;M1013&amp;","&amp;1&amp;"}]","[{"&amp;M1013&amp;","&amp;CEILING(N1013*10000+(O1013-N1013)/4*(COUNTIF($F$11:F1013,F1013)-1)*10000,10)&amp;"}]")</f>
        <v>[{drug_dmg_red_rate,220}]</v>
      </c>
      <c r="H1013" s="82" t="s">
        <v>563</v>
      </c>
      <c r="J1013" s="78">
        <f ca="1">IF(MOD(COUNTIF($Q$11:Q1012,Q1012),5)=0,OFFSET(装备属性!$P$1083,1+INT(COUNTA($Q$11:Q1012)/5),0),J1012)</f>
        <v>5</v>
      </c>
      <c r="K1013" s="83" t="str">
        <f ca="1">IF(RIGHT(G1013,13)="rune_slot,1}]",_xlfn.XLOOKUP(LEFT(SUBSTITUTE(G1013,"[{",""),FIND(",",SUBSTITUTE(G1013,"[{",""))-1),Sheet2!B:B,Sheet2!C:C)&amp;"+"&amp;1,_xlfn.XLOOKUP(LEFT(SUBSTITUTE(G1013,"[{",""),FIND(",",SUBSTITUTE(G1013,"[{",""))-1),Sheet2!B:B,Sheet2!C:C)&amp;"+"&amp;SUBSTITUTE(RIGHT(G1013,LEN(G1013)-FIND(",",G1013)),"}]","")/100&amp;"%")</f>
        <v>毒系伤害减免+2.2%</v>
      </c>
      <c r="L1013" s="83" t="str">
        <f ca="1">IF(MOD(COUNTIF($Q$11:Q1012,Q1012),5)=0,OFFSET(装备属性!$G$1083,1+INT(COUNTA($Q$11:Q1012)/5),0),L1012)</f>
        <v>毒毒不怕Ⅱ</v>
      </c>
      <c r="M1013" s="89" t="str">
        <f ca="1">IF(MOD(COUNTIF($Q$11:Q1012,Q1012),5)=0,OFFSET(装备属性!$H$1083,1+INT(COUNTA($Q$11:Q1012)/5),0),M1012)</f>
        <v>drug_dmg_red_rate</v>
      </c>
      <c r="N1013" s="76">
        <f ca="1">IF(MOD(COUNTIF($Q$11:Q1012,Q1012),5)=0,OFFSET(装备属性!$K$1083,1+INT(COUNTA($Q$11:Q1012)/5),0),N1012)</f>
        <v>0.02</v>
      </c>
      <c r="O1013" s="76">
        <f ca="1">IF(MOD(COUNTIF($Q$11:Q1012,Q1012),5)=0,OFFSET(装备属性!$L$1083,1+INT(COUNTA($Q$11:Q1012)/5),0),O1012)</f>
        <v>0.024</v>
      </c>
      <c r="Q1013" s="89" t="str">
        <f ca="1">IF(MOD(COUNTIF($Q$11:Q1012,Q1012),5)=0,OFFSET(装备属性!$M$1083,1+INT(COUNTA($Q$11:Q1012)/5),0),Q1012)</f>
        <v>通用属性</v>
      </c>
      <c r="R1013" s="83">
        <f ca="1">IF(MOD(COUNTIF($Q$11:Q1012,Q1012),5)=0,10000*SUBSTITUTE(SUBSTITUTE(OFFSET(装备属性!$F$1083,1+INT(COUNTA($Q$11:Q1012)/5),0),"[",""),"]","")+_xlfn.XLOOKUP(C1013,$M$3:$M$7,$N$3:$N$7)*100,R1012)</f>
        <v>40500</v>
      </c>
    </row>
    <row r="1014" customHeight="1" spans="1:18">
      <c r="A1014" s="78">
        <f ca="1" t="shared" si="45"/>
        <v>40501</v>
      </c>
      <c r="B1014" s="82">
        <f ca="1">IFERROR(R1014+COUNTIFS($R$11:$R1014,R1014),"")</f>
        <v>40514</v>
      </c>
      <c r="C1014" s="83" t="str">
        <f ca="1">IF(MOD(COUNTIF($Q$11:Q1013,Q1013),5)=0,OFFSET(装备属性!$D$1083,1+INT(COUNTA($Q$11:Q1013)/5),0),C1013)</f>
        <v>橙</v>
      </c>
      <c r="D1014" s="82">
        <f t="shared" si="47"/>
        <v>1500</v>
      </c>
      <c r="F1014" s="82">
        <f ca="1" t="shared" si="46"/>
        <v>40502</v>
      </c>
      <c r="G1014" s="78" t="str">
        <f ca="1">IF(AND(LEFT("[{"&amp;M1014&amp;","&amp;CEILING(N1014*10000+(O1014-N1014)/4*(COUNTIF($F$11:F1014,F1014)-1)*10000,10)&amp;"}]",7)="[{equip",MID("[{"&amp;M1014&amp;","&amp;CEILING(N1014*10000+(O1014-N1014)/4*(COUNTIF($F$11:F1014,F1014)-1)*10000,10)&amp;"}]",8,1)&lt;&gt;"_"),"[{"&amp;M1014&amp;","&amp;1&amp;"}]","[{"&amp;M1014&amp;","&amp;CEILING(N1014*10000+(O1014-N1014)/4*(COUNTIF($F$11:F1014,F1014)-1)*10000,10)&amp;"}]")</f>
        <v>[{drug_dmg_red_rate,230}]</v>
      </c>
      <c r="H1014" s="82" t="s">
        <v>563</v>
      </c>
      <c r="J1014" s="78">
        <f ca="1">IF(MOD(COUNTIF($Q$11:Q1013,Q1013),5)=0,OFFSET(装备属性!$P$1083,1+INT(COUNTA($Q$11:Q1013)/5),0),J1013)</f>
        <v>5</v>
      </c>
      <c r="K1014" s="83" t="str">
        <f ca="1">IF(RIGHT(G1014,13)="rune_slot,1}]",_xlfn.XLOOKUP(LEFT(SUBSTITUTE(G1014,"[{",""),FIND(",",SUBSTITUTE(G1014,"[{",""))-1),Sheet2!B:B,Sheet2!C:C)&amp;"+"&amp;1,_xlfn.XLOOKUP(LEFT(SUBSTITUTE(G1014,"[{",""),FIND(",",SUBSTITUTE(G1014,"[{",""))-1),Sheet2!B:B,Sheet2!C:C)&amp;"+"&amp;SUBSTITUTE(RIGHT(G1014,LEN(G1014)-FIND(",",G1014)),"}]","")/100&amp;"%")</f>
        <v>毒系伤害减免+2.3%</v>
      </c>
      <c r="L1014" s="83" t="str">
        <f ca="1">IF(MOD(COUNTIF($Q$11:Q1013,Q1013),5)=0,OFFSET(装备属性!$G$1083,1+INT(COUNTA($Q$11:Q1013)/5),0),L1013)</f>
        <v>毒毒不怕Ⅱ</v>
      </c>
      <c r="M1014" s="89" t="str">
        <f ca="1">IF(MOD(COUNTIF($Q$11:Q1013,Q1013),5)=0,OFFSET(装备属性!$H$1083,1+INT(COUNTA($Q$11:Q1013)/5),0),M1013)</f>
        <v>drug_dmg_red_rate</v>
      </c>
      <c r="N1014" s="76">
        <f ca="1">IF(MOD(COUNTIF($Q$11:Q1013,Q1013),5)=0,OFFSET(装备属性!$K$1083,1+INT(COUNTA($Q$11:Q1013)/5),0),N1013)</f>
        <v>0.02</v>
      </c>
      <c r="O1014" s="76">
        <f ca="1">IF(MOD(COUNTIF($Q$11:Q1013,Q1013),5)=0,OFFSET(装备属性!$L$1083,1+INT(COUNTA($Q$11:Q1013)/5),0),O1013)</f>
        <v>0.024</v>
      </c>
      <c r="Q1014" s="89" t="str">
        <f ca="1">IF(MOD(COUNTIF($Q$11:Q1013,Q1013),5)=0,OFFSET(装备属性!$M$1083,1+INT(COUNTA($Q$11:Q1013)/5),0),Q1013)</f>
        <v>通用属性</v>
      </c>
      <c r="R1014" s="83">
        <f ca="1">IF(MOD(COUNTIF($Q$11:Q1013,Q1013),5)=0,10000*SUBSTITUTE(SUBSTITUTE(OFFSET(装备属性!$F$1083,1+INT(COUNTA($Q$11:Q1013)/5),0),"[",""),"]","")+_xlfn.XLOOKUP(C1014,$M$3:$M$7,$N$3:$N$7)*100,R1013)</f>
        <v>40500</v>
      </c>
    </row>
    <row r="1015" customHeight="1" spans="1:18">
      <c r="A1015" s="78">
        <f ca="1" t="shared" si="45"/>
        <v>40501</v>
      </c>
      <c r="B1015" s="82">
        <f ca="1">IFERROR(R1015+COUNTIFS($R$11:$R1015,R1015),"")</f>
        <v>40515</v>
      </c>
      <c r="C1015" s="83" t="str">
        <f ca="1">IF(MOD(COUNTIF($Q$11:Q1014,Q1014),5)=0,OFFSET(装备属性!$D$1083,1+INT(COUNTA($Q$11:Q1014)/5),0),C1014)</f>
        <v>橙</v>
      </c>
      <c r="D1015" s="82">
        <f t="shared" si="47"/>
        <v>1000</v>
      </c>
      <c r="F1015" s="82">
        <f ca="1" t="shared" si="46"/>
        <v>40502</v>
      </c>
      <c r="G1015" s="78" t="str">
        <f ca="1">IF(AND(LEFT("[{"&amp;M1015&amp;","&amp;CEILING(N1015*10000+(O1015-N1015)/4*(COUNTIF($F$11:F1015,F1015)-1)*10000,10)&amp;"}]",7)="[{equip",MID("[{"&amp;M1015&amp;","&amp;CEILING(N1015*10000+(O1015-N1015)/4*(COUNTIF($F$11:F1015,F1015)-1)*10000,10)&amp;"}]",8,1)&lt;&gt;"_"),"[{"&amp;M1015&amp;","&amp;1&amp;"}]","[{"&amp;M1015&amp;","&amp;CEILING(N1015*10000+(O1015-N1015)/4*(COUNTIF($F$11:F1015,F1015)-1)*10000,10)&amp;"}]")</f>
        <v>[{drug_dmg_red_rate,240}]</v>
      </c>
      <c r="H1015" s="82" t="s">
        <v>563</v>
      </c>
      <c r="J1015" s="78">
        <f ca="1">IF(MOD(COUNTIF($Q$11:Q1014,Q1014),5)=0,OFFSET(装备属性!$P$1083,1+INT(COUNTA($Q$11:Q1014)/5),0),J1014)</f>
        <v>5</v>
      </c>
      <c r="K1015" s="83" t="str">
        <f ca="1">IF(RIGHT(G1015,13)="rune_slot,1}]",_xlfn.XLOOKUP(LEFT(SUBSTITUTE(G1015,"[{",""),FIND(",",SUBSTITUTE(G1015,"[{",""))-1),Sheet2!B:B,Sheet2!C:C)&amp;"+"&amp;1,_xlfn.XLOOKUP(LEFT(SUBSTITUTE(G1015,"[{",""),FIND(",",SUBSTITUTE(G1015,"[{",""))-1),Sheet2!B:B,Sheet2!C:C)&amp;"+"&amp;SUBSTITUTE(RIGHT(G1015,LEN(G1015)-FIND(",",G1015)),"}]","")/100&amp;"%")</f>
        <v>毒系伤害减免+2.4%</v>
      </c>
      <c r="L1015" s="83" t="str">
        <f ca="1">IF(MOD(COUNTIF($Q$11:Q1014,Q1014),5)=0,OFFSET(装备属性!$G$1083,1+INT(COUNTA($Q$11:Q1014)/5),0),L1014)</f>
        <v>毒毒不怕Ⅱ</v>
      </c>
      <c r="M1015" s="89" t="str">
        <f ca="1">IF(MOD(COUNTIF($Q$11:Q1014,Q1014),5)=0,OFFSET(装备属性!$H$1083,1+INT(COUNTA($Q$11:Q1014)/5),0),M1014)</f>
        <v>drug_dmg_red_rate</v>
      </c>
      <c r="N1015" s="76">
        <f ca="1">IF(MOD(COUNTIF($Q$11:Q1014,Q1014),5)=0,OFFSET(装备属性!$K$1083,1+INT(COUNTA($Q$11:Q1014)/5),0),N1014)</f>
        <v>0.02</v>
      </c>
      <c r="O1015" s="76">
        <f ca="1">IF(MOD(COUNTIF($Q$11:Q1014,Q1014),5)=0,OFFSET(装备属性!$L$1083,1+INT(COUNTA($Q$11:Q1014)/5),0),O1014)</f>
        <v>0.024</v>
      </c>
      <c r="Q1015" s="89" t="str">
        <f ca="1">IF(MOD(COUNTIF($Q$11:Q1014,Q1014),5)=0,OFFSET(装备属性!$M$1083,1+INT(COUNTA($Q$11:Q1014)/5),0),Q1014)</f>
        <v>通用属性</v>
      </c>
      <c r="R1015" s="83">
        <f ca="1">IF(MOD(COUNTIF($Q$11:Q1014,Q1014),5)=0,10000*SUBSTITUTE(SUBSTITUTE(OFFSET(装备属性!$F$1083,1+INT(COUNTA($Q$11:Q1014)/5),0),"[",""),"]","")+_xlfn.XLOOKUP(C1015,$M$3:$M$7,$N$3:$N$7)*100,R1014)</f>
        <v>40500</v>
      </c>
    </row>
    <row r="1016" customHeight="1" spans="1:18">
      <c r="A1016" s="78">
        <f ca="1" t="shared" si="45"/>
        <v>40501</v>
      </c>
      <c r="B1016" s="82">
        <f ca="1">IFERROR(R1016+COUNTIFS($R$11:$R1016,R1016),"")</f>
        <v>40516</v>
      </c>
      <c r="C1016" s="83" t="str">
        <f ca="1">IF(MOD(COUNTIF($Q$11:Q1015,Q1015),5)=0,OFFSET(装备属性!$D$1083,1+INT(COUNTA($Q$11:Q1015)/5),0),C1015)</f>
        <v>橙</v>
      </c>
      <c r="D1016" s="82">
        <f t="shared" si="47"/>
        <v>3000</v>
      </c>
      <c r="F1016" s="82">
        <f ca="1" t="shared" si="46"/>
        <v>40503</v>
      </c>
      <c r="G1016" s="78" t="str">
        <f ca="1">IF(AND(LEFT("[{"&amp;M1016&amp;","&amp;CEILING(N1016*10000+(O1016-N1016)/4*(COUNTIF($F$11:F1016,F1016)-1)*10000,10)&amp;"}]",7)="[{equip",MID("[{"&amp;M1016&amp;","&amp;CEILING(N1016*10000+(O1016-N1016)/4*(COUNTIF($F$11:F1016,F1016)-1)*10000,10)&amp;"}]",8,1)&lt;&gt;"_"),"[{"&amp;M1016&amp;","&amp;1&amp;"}]","[{"&amp;M1016&amp;","&amp;CEILING(N1016*10000+(O1016-N1016)/4*(COUNTIF($F$11:F1016,F1016)-1)*10000,10)&amp;"}]")</f>
        <v>[{drug_dmg_rate,580}]</v>
      </c>
      <c r="H1016" s="82" t="s">
        <v>563</v>
      </c>
      <c r="J1016" s="78">
        <f ca="1">IF(MOD(COUNTIF($Q$11:Q1015,Q1015),5)=0,OFFSET(装备属性!$P$1083,1+INT(COUNTA($Q$11:Q1015)/5),0),J1015)</f>
        <v>3</v>
      </c>
      <c r="K1016" s="83" t="str">
        <f ca="1">IF(RIGHT(G1016,13)="rune_slot,1}]",_xlfn.XLOOKUP(LEFT(SUBSTITUTE(G1016,"[{",""),FIND(",",SUBSTITUTE(G1016,"[{",""))-1),Sheet2!B:B,Sheet2!C:C)&amp;"+"&amp;1,_xlfn.XLOOKUP(LEFT(SUBSTITUTE(G1016,"[{",""),FIND(",",SUBSTITUTE(G1016,"[{",""))-1),Sheet2!B:B,Sheet2!C:C)&amp;"+"&amp;SUBSTITUTE(RIGHT(G1016,LEN(G1016)-FIND(",",G1016)),"}]","")/100&amp;"%")</f>
        <v>毒系伤害+5.8%</v>
      </c>
      <c r="L1016" s="83" t="str">
        <f ca="1">IF(MOD(COUNTIF($Q$11:Q1015,Q1015),5)=0,OFFSET(装备属性!$G$1083,1+INT(COUNTA($Q$11:Q1015)/5),0),L1015)</f>
        <v>毒毒加量Ⅱ</v>
      </c>
      <c r="M1016" s="89" t="str">
        <f ca="1">IF(MOD(COUNTIF($Q$11:Q1015,Q1015),5)=0,OFFSET(装备属性!$H$1083,1+INT(COUNTA($Q$11:Q1015)/5),0),M1015)</f>
        <v>drug_dmg_rate</v>
      </c>
      <c r="N1016" s="76">
        <f ca="1">IF(MOD(COUNTIF($Q$11:Q1015,Q1015),5)=0,OFFSET(装备属性!$K$1083,1+INT(COUNTA($Q$11:Q1015)/5),0),N1015)</f>
        <v>0.058</v>
      </c>
      <c r="O1016" s="76">
        <f ca="1">IF(MOD(COUNTIF($Q$11:Q1015,Q1015),5)=0,OFFSET(装备属性!$L$1083,1+INT(COUNTA($Q$11:Q1015)/5),0),O1015)</f>
        <v>0.072</v>
      </c>
      <c r="Q1016" s="89" t="str">
        <f ca="1">IF(MOD(COUNTIF($Q$11:Q1015,Q1015),5)=0,OFFSET(装备属性!$M$1083,1+INT(COUNTA($Q$11:Q1015)/5),0),Q1015)</f>
        <v>通用属性</v>
      </c>
      <c r="R1016" s="83">
        <f ca="1">IF(MOD(COUNTIF($Q$11:Q1015,Q1015),5)=0,10000*SUBSTITUTE(SUBSTITUTE(OFFSET(装备属性!$F$1083,1+INT(COUNTA($Q$11:Q1015)/5),0),"[",""),"]","")+_xlfn.XLOOKUP(C1016,$M$3:$M$7,$N$3:$N$7)*100,R1015)</f>
        <v>40500</v>
      </c>
    </row>
    <row r="1017" customHeight="1" spans="1:18">
      <c r="A1017" s="78">
        <f ca="1" t="shared" si="45"/>
        <v>40501</v>
      </c>
      <c r="B1017" s="82">
        <f ca="1">IFERROR(R1017+COUNTIFS($R$11:$R1017,R1017),"")</f>
        <v>40517</v>
      </c>
      <c r="C1017" s="83" t="str">
        <f ca="1">IF(MOD(COUNTIF($Q$11:Q1016,Q1016),5)=0,OFFSET(装备属性!$D$1083,1+INT(COUNTA($Q$11:Q1016)/5),0),C1016)</f>
        <v>橙</v>
      </c>
      <c r="D1017" s="82">
        <f t="shared" si="47"/>
        <v>2500</v>
      </c>
      <c r="F1017" s="82">
        <f ca="1" t="shared" si="46"/>
        <v>40503</v>
      </c>
      <c r="G1017" s="78" t="str">
        <f ca="1">IF(AND(LEFT("[{"&amp;M1017&amp;","&amp;CEILING(N1017*10000+(O1017-N1017)/4*(COUNTIF($F$11:F1017,F1017)-1)*10000,10)&amp;"}]",7)="[{equip",MID("[{"&amp;M1017&amp;","&amp;CEILING(N1017*10000+(O1017-N1017)/4*(COUNTIF($F$11:F1017,F1017)-1)*10000,10)&amp;"}]",8,1)&lt;&gt;"_"),"[{"&amp;M1017&amp;","&amp;1&amp;"}]","[{"&amp;M1017&amp;","&amp;CEILING(N1017*10000+(O1017-N1017)/4*(COUNTIF($F$11:F1017,F1017)-1)*10000,10)&amp;"}]")</f>
        <v>[{drug_dmg_rate,620}]</v>
      </c>
      <c r="H1017" s="82" t="s">
        <v>563</v>
      </c>
      <c r="J1017" s="78">
        <f ca="1">IF(MOD(COUNTIF($Q$11:Q1016,Q1016),5)=0,OFFSET(装备属性!$P$1083,1+INT(COUNTA($Q$11:Q1016)/5),0),J1016)</f>
        <v>3</v>
      </c>
      <c r="K1017" s="83" t="str">
        <f ca="1">IF(RIGHT(G1017,13)="rune_slot,1}]",_xlfn.XLOOKUP(LEFT(SUBSTITUTE(G1017,"[{",""),FIND(",",SUBSTITUTE(G1017,"[{",""))-1),Sheet2!B:B,Sheet2!C:C)&amp;"+"&amp;1,_xlfn.XLOOKUP(LEFT(SUBSTITUTE(G1017,"[{",""),FIND(",",SUBSTITUTE(G1017,"[{",""))-1),Sheet2!B:B,Sheet2!C:C)&amp;"+"&amp;SUBSTITUTE(RIGHT(G1017,LEN(G1017)-FIND(",",G1017)),"}]","")/100&amp;"%")</f>
        <v>毒系伤害+6.2%</v>
      </c>
      <c r="L1017" s="83" t="str">
        <f ca="1">IF(MOD(COUNTIF($Q$11:Q1016,Q1016),5)=0,OFFSET(装备属性!$G$1083,1+INT(COUNTA($Q$11:Q1016)/5),0),L1016)</f>
        <v>毒毒加量Ⅱ</v>
      </c>
      <c r="M1017" s="89" t="str">
        <f ca="1">IF(MOD(COUNTIF($Q$11:Q1016,Q1016),5)=0,OFFSET(装备属性!$H$1083,1+INT(COUNTA($Q$11:Q1016)/5),0),M1016)</f>
        <v>drug_dmg_rate</v>
      </c>
      <c r="N1017" s="76">
        <f ca="1">IF(MOD(COUNTIF($Q$11:Q1016,Q1016),5)=0,OFFSET(装备属性!$K$1083,1+INT(COUNTA($Q$11:Q1016)/5),0),N1016)</f>
        <v>0.058</v>
      </c>
      <c r="O1017" s="76">
        <f ca="1">IF(MOD(COUNTIF($Q$11:Q1016,Q1016),5)=0,OFFSET(装备属性!$L$1083,1+INT(COUNTA($Q$11:Q1016)/5),0),O1016)</f>
        <v>0.072</v>
      </c>
      <c r="Q1017" s="89" t="str">
        <f ca="1">IF(MOD(COUNTIF($Q$11:Q1016,Q1016),5)=0,OFFSET(装备属性!$M$1083,1+INT(COUNTA($Q$11:Q1016)/5),0),Q1016)</f>
        <v>通用属性</v>
      </c>
      <c r="R1017" s="83">
        <f ca="1">IF(MOD(COUNTIF($Q$11:Q1016,Q1016),5)=0,10000*SUBSTITUTE(SUBSTITUTE(OFFSET(装备属性!$F$1083,1+INT(COUNTA($Q$11:Q1016)/5),0),"[",""),"]","")+_xlfn.XLOOKUP(C1017,$M$3:$M$7,$N$3:$N$7)*100,R1016)</f>
        <v>40500</v>
      </c>
    </row>
    <row r="1018" customHeight="1" spans="1:18">
      <c r="A1018" s="78">
        <f ca="1" t="shared" si="45"/>
        <v>40501</v>
      </c>
      <c r="B1018" s="82">
        <f ca="1">IFERROR(R1018+COUNTIFS($R$11:$R1018,R1018),"")</f>
        <v>40518</v>
      </c>
      <c r="C1018" s="83" t="str">
        <f ca="1">IF(MOD(COUNTIF($Q$11:Q1017,Q1017),5)=0,OFFSET(装备属性!$D$1083,1+INT(COUNTA($Q$11:Q1017)/5),0),C1017)</f>
        <v>橙</v>
      </c>
      <c r="D1018" s="82">
        <f t="shared" si="47"/>
        <v>2000</v>
      </c>
      <c r="F1018" s="82">
        <f ca="1" t="shared" si="46"/>
        <v>40503</v>
      </c>
      <c r="G1018" s="78" t="str">
        <f ca="1">IF(AND(LEFT("[{"&amp;M1018&amp;","&amp;CEILING(N1018*10000+(O1018-N1018)/4*(COUNTIF($F$11:F1018,F1018)-1)*10000,10)&amp;"}]",7)="[{equip",MID("[{"&amp;M1018&amp;","&amp;CEILING(N1018*10000+(O1018-N1018)/4*(COUNTIF($F$11:F1018,F1018)-1)*10000,10)&amp;"}]",8,1)&lt;&gt;"_"),"[{"&amp;M1018&amp;","&amp;1&amp;"}]","[{"&amp;M1018&amp;","&amp;CEILING(N1018*10000+(O1018-N1018)/4*(COUNTIF($F$11:F1018,F1018)-1)*10000,10)&amp;"}]")</f>
        <v>[{drug_dmg_rate,650}]</v>
      </c>
      <c r="H1018" s="82" t="s">
        <v>563</v>
      </c>
      <c r="J1018" s="78">
        <f ca="1">IF(MOD(COUNTIF($Q$11:Q1017,Q1017),5)=0,OFFSET(装备属性!$P$1083,1+INT(COUNTA($Q$11:Q1017)/5),0),J1017)</f>
        <v>3</v>
      </c>
      <c r="K1018" s="83" t="str">
        <f ca="1">IF(RIGHT(G1018,13)="rune_slot,1}]",_xlfn.XLOOKUP(LEFT(SUBSTITUTE(G1018,"[{",""),FIND(",",SUBSTITUTE(G1018,"[{",""))-1),Sheet2!B:B,Sheet2!C:C)&amp;"+"&amp;1,_xlfn.XLOOKUP(LEFT(SUBSTITUTE(G1018,"[{",""),FIND(",",SUBSTITUTE(G1018,"[{",""))-1),Sheet2!B:B,Sheet2!C:C)&amp;"+"&amp;SUBSTITUTE(RIGHT(G1018,LEN(G1018)-FIND(",",G1018)),"}]","")/100&amp;"%")</f>
        <v>毒系伤害+6.5%</v>
      </c>
      <c r="L1018" s="83" t="str">
        <f ca="1">IF(MOD(COUNTIF($Q$11:Q1017,Q1017),5)=0,OFFSET(装备属性!$G$1083,1+INT(COUNTA($Q$11:Q1017)/5),0),L1017)</f>
        <v>毒毒加量Ⅱ</v>
      </c>
      <c r="M1018" s="89" t="str">
        <f ca="1">IF(MOD(COUNTIF($Q$11:Q1017,Q1017),5)=0,OFFSET(装备属性!$H$1083,1+INT(COUNTA($Q$11:Q1017)/5),0),M1017)</f>
        <v>drug_dmg_rate</v>
      </c>
      <c r="N1018" s="76">
        <f ca="1">IF(MOD(COUNTIF($Q$11:Q1017,Q1017),5)=0,OFFSET(装备属性!$K$1083,1+INT(COUNTA($Q$11:Q1017)/5),0),N1017)</f>
        <v>0.058</v>
      </c>
      <c r="O1018" s="76">
        <f ca="1">IF(MOD(COUNTIF($Q$11:Q1017,Q1017),5)=0,OFFSET(装备属性!$L$1083,1+INT(COUNTA($Q$11:Q1017)/5),0),O1017)</f>
        <v>0.072</v>
      </c>
      <c r="Q1018" s="89" t="str">
        <f ca="1">IF(MOD(COUNTIF($Q$11:Q1017,Q1017),5)=0,OFFSET(装备属性!$M$1083,1+INT(COUNTA($Q$11:Q1017)/5),0),Q1017)</f>
        <v>通用属性</v>
      </c>
      <c r="R1018" s="83">
        <f ca="1">IF(MOD(COUNTIF($Q$11:Q1017,Q1017),5)=0,10000*SUBSTITUTE(SUBSTITUTE(OFFSET(装备属性!$F$1083,1+INT(COUNTA($Q$11:Q1017)/5),0),"[",""),"]","")+_xlfn.XLOOKUP(C1018,$M$3:$M$7,$N$3:$N$7)*100,R1017)</f>
        <v>40500</v>
      </c>
    </row>
    <row r="1019" customHeight="1" spans="1:18">
      <c r="A1019" s="78">
        <f ca="1" t="shared" si="45"/>
        <v>40501</v>
      </c>
      <c r="B1019" s="82">
        <f ca="1">IFERROR(R1019+COUNTIFS($R$11:$R1019,R1019),"")</f>
        <v>40519</v>
      </c>
      <c r="C1019" s="83" t="str">
        <f ca="1">IF(MOD(COUNTIF($Q$11:Q1018,Q1018),5)=0,OFFSET(装备属性!$D$1083,1+INT(COUNTA($Q$11:Q1018)/5),0),C1018)</f>
        <v>橙</v>
      </c>
      <c r="D1019" s="82">
        <f t="shared" si="47"/>
        <v>1500</v>
      </c>
      <c r="F1019" s="82">
        <f ca="1" t="shared" si="46"/>
        <v>40503</v>
      </c>
      <c r="G1019" s="78" t="str">
        <f ca="1">IF(AND(LEFT("[{"&amp;M1019&amp;","&amp;CEILING(N1019*10000+(O1019-N1019)/4*(COUNTIF($F$11:F1019,F1019)-1)*10000,10)&amp;"}]",7)="[{equip",MID("[{"&amp;M1019&amp;","&amp;CEILING(N1019*10000+(O1019-N1019)/4*(COUNTIF($F$11:F1019,F1019)-1)*10000,10)&amp;"}]",8,1)&lt;&gt;"_"),"[{"&amp;M1019&amp;","&amp;1&amp;"}]","[{"&amp;M1019&amp;","&amp;CEILING(N1019*10000+(O1019-N1019)/4*(COUNTIF($F$11:F1019,F1019)-1)*10000,10)&amp;"}]")</f>
        <v>[{drug_dmg_rate,690}]</v>
      </c>
      <c r="H1019" s="82" t="s">
        <v>563</v>
      </c>
      <c r="J1019" s="78">
        <f ca="1">IF(MOD(COUNTIF($Q$11:Q1018,Q1018),5)=0,OFFSET(装备属性!$P$1083,1+INT(COUNTA($Q$11:Q1018)/5),0),J1018)</f>
        <v>3</v>
      </c>
      <c r="K1019" s="83" t="str">
        <f ca="1">IF(RIGHT(G1019,13)="rune_slot,1}]",_xlfn.XLOOKUP(LEFT(SUBSTITUTE(G1019,"[{",""),FIND(",",SUBSTITUTE(G1019,"[{",""))-1),Sheet2!B:B,Sheet2!C:C)&amp;"+"&amp;1,_xlfn.XLOOKUP(LEFT(SUBSTITUTE(G1019,"[{",""),FIND(",",SUBSTITUTE(G1019,"[{",""))-1),Sheet2!B:B,Sheet2!C:C)&amp;"+"&amp;SUBSTITUTE(RIGHT(G1019,LEN(G1019)-FIND(",",G1019)),"}]","")/100&amp;"%")</f>
        <v>毒系伤害+6.9%</v>
      </c>
      <c r="L1019" s="83" t="str">
        <f ca="1">IF(MOD(COUNTIF($Q$11:Q1018,Q1018),5)=0,OFFSET(装备属性!$G$1083,1+INT(COUNTA($Q$11:Q1018)/5),0),L1018)</f>
        <v>毒毒加量Ⅱ</v>
      </c>
      <c r="M1019" s="89" t="str">
        <f ca="1">IF(MOD(COUNTIF($Q$11:Q1018,Q1018),5)=0,OFFSET(装备属性!$H$1083,1+INT(COUNTA($Q$11:Q1018)/5),0),M1018)</f>
        <v>drug_dmg_rate</v>
      </c>
      <c r="N1019" s="76">
        <f ca="1">IF(MOD(COUNTIF($Q$11:Q1018,Q1018),5)=0,OFFSET(装备属性!$K$1083,1+INT(COUNTA($Q$11:Q1018)/5),0),N1018)</f>
        <v>0.058</v>
      </c>
      <c r="O1019" s="76">
        <f ca="1">IF(MOD(COUNTIF($Q$11:Q1018,Q1018),5)=0,OFFSET(装备属性!$L$1083,1+INT(COUNTA($Q$11:Q1018)/5),0),O1018)</f>
        <v>0.072</v>
      </c>
      <c r="Q1019" s="89" t="str">
        <f ca="1">IF(MOD(COUNTIF($Q$11:Q1018,Q1018),5)=0,OFFSET(装备属性!$M$1083,1+INT(COUNTA($Q$11:Q1018)/5),0),Q1018)</f>
        <v>通用属性</v>
      </c>
      <c r="R1019" s="83">
        <f ca="1">IF(MOD(COUNTIF($Q$11:Q1018,Q1018),5)=0,10000*SUBSTITUTE(SUBSTITUTE(OFFSET(装备属性!$F$1083,1+INT(COUNTA($Q$11:Q1018)/5),0),"[",""),"]","")+_xlfn.XLOOKUP(C1019,$M$3:$M$7,$N$3:$N$7)*100,R1018)</f>
        <v>40500</v>
      </c>
    </row>
    <row r="1020" customHeight="1" spans="1:18">
      <c r="A1020" s="78">
        <f ca="1" t="shared" si="45"/>
        <v>40501</v>
      </c>
      <c r="B1020" s="82">
        <f ca="1">IFERROR(R1020+COUNTIFS($R$11:$R1020,R1020),"")</f>
        <v>40520</v>
      </c>
      <c r="C1020" s="83" t="str">
        <f ca="1">IF(MOD(COUNTIF($Q$11:Q1019,Q1019),5)=0,OFFSET(装备属性!$D$1083,1+INT(COUNTA($Q$11:Q1019)/5),0),C1019)</f>
        <v>橙</v>
      </c>
      <c r="D1020" s="82">
        <f t="shared" si="47"/>
        <v>1000</v>
      </c>
      <c r="F1020" s="82">
        <f ca="1" t="shared" si="46"/>
        <v>40503</v>
      </c>
      <c r="G1020" s="78" t="str">
        <f ca="1">IF(AND(LEFT("[{"&amp;M1020&amp;","&amp;CEILING(N1020*10000+(O1020-N1020)/4*(COUNTIF($F$11:F1020,F1020)-1)*10000,10)&amp;"}]",7)="[{equip",MID("[{"&amp;M1020&amp;","&amp;CEILING(N1020*10000+(O1020-N1020)/4*(COUNTIF($F$11:F1020,F1020)-1)*10000,10)&amp;"}]",8,1)&lt;&gt;"_"),"[{"&amp;M1020&amp;","&amp;1&amp;"}]","[{"&amp;M1020&amp;","&amp;CEILING(N1020*10000+(O1020-N1020)/4*(COUNTIF($F$11:F1020,F1020)-1)*10000,10)&amp;"}]")</f>
        <v>[{drug_dmg_rate,720}]</v>
      </c>
      <c r="H1020" s="82" t="s">
        <v>563</v>
      </c>
      <c r="J1020" s="78">
        <f ca="1">IF(MOD(COUNTIF($Q$11:Q1019,Q1019),5)=0,OFFSET(装备属性!$P$1083,1+INT(COUNTA($Q$11:Q1019)/5),0),J1019)</f>
        <v>3</v>
      </c>
      <c r="K1020" s="83" t="str">
        <f ca="1">IF(RIGHT(G1020,13)="rune_slot,1}]",_xlfn.XLOOKUP(LEFT(SUBSTITUTE(G1020,"[{",""),FIND(",",SUBSTITUTE(G1020,"[{",""))-1),Sheet2!B:B,Sheet2!C:C)&amp;"+"&amp;1,_xlfn.XLOOKUP(LEFT(SUBSTITUTE(G1020,"[{",""),FIND(",",SUBSTITUTE(G1020,"[{",""))-1),Sheet2!B:B,Sheet2!C:C)&amp;"+"&amp;SUBSTITUTE(RIGHT(G1020,LEN(G1020)-FIND(",",G1020)),"}]","")/100&amp;"%")</f>
        <v>毒系伤害+7.2%</v>
      </c>
      <c r="L1020" s="83" t="str">
        <f ca="1">IF(MOD(COUNTIF($Q$11:Q1019,Q1019),5)=0,OFFSET(装备属性!$G$1083,1+INT(COUNTA($Q$11:Q1019)/5),0),L1019)</f>
        <v>毒毒加量Ⅱ</v>
      </c>
      <c r="M1020" s="89" t="str">
        <f ca="1">IF(MOD(COUNTIF($Q$11:Q1019,Q1019),5)=0,OFFSET(装备属性!$H$1083,1+INT(COUNTA($Q$11:Q1019)/5),0),M1019)</f>
        <v>drug_dmg_rate</v>
      </c>
      <c r="N1020" s="76">
        <f ca="1">IF(MOD(COUNTIF($Q$11:Q1019,Q1019),5)=0,OFFSET(装备属性!$K$1083,1+INT(COUNTA($Q$11:Q1019)/5),0),N1019)</f>
        <v>0.058</v>
      </c>
      <c r="O1020" s="76">
        <f ca="1">IF(MOD(COUNTIF($Q$11:Q1019,Q1019),5)=0,OFFSET(装备属性!$L$1083,1+INT(COUNTA($Q$11:Q1019)/5),0),O1019)</f>
        <v>0.072</v>
      </c>
      <c r="Q1020" s="89" t="str">
        <f ca="1">IF(MOD(COUNTIF($Q$11:Q1019,Q1019),5)=0,OFFSET(装备属性!$M$1083,1+INT(COUNTA($Q$11:Q1019)/5),0),Q1019)</f>
        <v>通用属性</v>
      </c>
      <c r="R1020" s="83">
        <f ca="1">IF(MOD(COUNTIF($Q$11:Q1019,Q1019),5)=0,10000*SUBSTITUTE(SUBSTITUTE(OFFSET(装备属性!$F$1083,1+INT(COUNTA($Q$11:Q1019)/5),0),"[",""),"]","")+_xlfn.XLOOKUP(C1020,$M$3:$M$7,$N$3:$N$7)*100,R1019)</f>
        <v>40500</v>
      </c>
    </row>
    <row r="1021" customHeight="1" spans="1:18">
      <c r="A1021" s="78" t="str">
        <f ca="1" t="shared" si="45"/>
        <v/>
      </c>
      <c r="B1021" s="82" t="str">
        <f ca="1">IFERROR(R1021+COUNTIFS($R$11:$R1021,R1021),"")</f>
        <v/>
      </c>
      <c r="C1021" s="83">
        <f ca="1">IF(MOD(COUNTIF($Q$11:Q1020,Q1020),5)=0,OFFSET(装备属性!$D$1083,1+INT(COUNTA($Q$11:Q1020)/5),0),C1020)</f>
        <v>0</v>
      </c>
      <c r="D1021" s="82">
        <f t="shared" si="47"/>
        <v>3000</v>
      </c>
      <c r="F1021" s="82" t="str">
        <f ca="1" t="shared" si="46"/>
        <v/>
      </c>
      <c r="G1021" s="78" t="str">
        <f ca="1">IF(AND(LEFT("[{"&amp;M1021&amp;","&amp;CEILING(N1021*10000+(O1021-N1021)/4*(COUNTIF($F$11:F1021,F1021)-1)*10000,10)&amp;"}]",7)="[{equip",MID("[{"&amp;M1021&amp;","&amp;CEILING(N1021*10000+(O1021-N1021)/4*(COUNTIF($F$11:F1021,F1021)-1)*10000,10)&amp;"}]",8,1)&lt;&gt;"_"),"[{"&amp;M1021&amp;","&amp;1&amp;"}]","[{"&amp;M1021&amp;","&amp;CEILING(N1021*10000+(O1021-N1021)/4*(COUNTIF($F$11:F1021,F1021)-1)*10000,10)&amp;"}]")</f>
        <v>[{drug_class_dmg_rate,16500}]</v>
      </c>
      <c r="H1021" s="82" t="s">
        <v>563</v>
      </c>
      <c r="J1021" s="78">
        <f ca="1">IF(MOD(COUNTIF($Q$11:Q1020,Q1020),5)=0,OFFSET(装备属性!$P$1083,1+INT(COUNTA($Q$11:Q1020)/5),0),J1020)</f>
        <v>4</v>
      </c>
      <c r="K1021" s="83" t="str">
        <f ca="1">IF(RIGHT(G1021,13)="rune_slot,1}]",_xlfn.XLOOKUP(LEFT(SUBSTITUTE(G1021,"[{",""),FIND(",",SUBSTITUTE(G1021,"[{",""))-1),Sheet2!B:B,Sheet2!C:C)&amp;"+"&amp;1,_xlfn.XLOOKUP(LEFT(SUBSTITUTE(G1021,"[{",""),FIND(",",SUBSTITUTE(G1021,"[{",""))-1),Sheet2!B:B,Sheet2!C:C)&amp;"+"&amp;SUBSTITUTE(RIGHT(G1021,LEN(G1021)-FIND(",",G1021)),"}]","")/100&amp;"%")</f>
        <v>上阵两个毒系职业增伤+165%</v>
      </c>
      <c r="L1021" s="83" t="str">
        <f ca="1">IF(MOD(COUNTIF($Q$11:Q1020,Q1020),5)=0,OFFSET(装备属性!$G$1083,1+INT(COUNTA($Q$11:Q1020)/5),0),L1020)</f>
        <v>毒毒小队Ⅱ</v>
      </c>
      <c r="M1021" s="89" t="str">
        <f ca="1">IF(MOD(COUNTIF($Q$11:Q1020,Q1020),5)=0,OFFSET(装备属性!$H$1083,1+INT(COUNTA($Q$11:Q1020)/5),0),M1020)</f>
        <v>drug_class_dmg_rate</v>
      </c>
      <c r="N1021" s="76">
        <f ca="1">IF(MOD(COUNTIF($Q$11:Q1020,Q1020),5)=0,OFFSET(装备属性!$K$1083,1+INT(COUNTA($Q$11:Q1020)/5),0),N1020)</f>
        <v>0.075</v>
      </c>
      <c r="O1021" s="76">
        <f ca="1">IF(MOD(COUNTIF($Q$11:Q1020,Q1020),5)=0,OFFSET(装备属性!$L$1083,1+INT(COUNTA($Q$11:Q1020)/5),0),O1020)</f>
        <v>0.09</v>
      </c>
      <c r="Q1021" s="89" t="str">
        <f ca="1">IF(MOD(COUNTIF($Q$11:Q1020,Q1020),5)=0,OFFSET(装备属性!$M$1083,1+INT(COUNTA($Q$11:Q1020)/5),0),Q1020)</f>
        <v>通用属性</v>
      </c>
      <c r="R1021" s="83" t="e">
        <f ca="1">IF(MOD(COUNTIF($Q$11:Q1020,Q1020),5)=0,10000*SUBSTITUTE(SUBSTITUTE(OFFSET(装备属性!$F$1083,1+INT(COUNTA($Q$11:Q1020)/5),0),"[",""),"]","")+_xlfn.XLOOKUP(C1021,$M$3:$M$7,$N$3:$N$7)*100,R1020)</f>
        <v>#N/A</v>
      </c>
    </row>
    <row r="1022" customHeight="1" spans="1:18">
      <c r="A1022" s="78" t="str">
        <f ca="1" t="shared" si="45"/>
        <v/>
      </c>
      <c r="B1022" s="82" t="str">
        <f ca="1">IFERROR(R1022+COUNTIFS($R$11:$R1022,R1022),"")</f>
        <v/>
      </c>
      <c r="C1022" s="83">
        <f ca="1">IF(MOD(COUNTIF($Q$11:Q1021,Q1021),5)=0,OFFSET(装备属性!$D$1083,1+INT(COUNTA($Q$11:Q1021)/5),0),C1021)</f>
        <v>0</v>
      </c>
      <c r="D1022" s="82">
        <f t="shared" si="47"/>
        <v>2500</v>
      </c>
      <c r="F1022" s="82" t="str">
        <f ca="1" t="shared" si="46"/>
        <v/>
      </c>
      <c r="G1022" s="78" t="str">
        <f ca="1">IF(AND(LEFT("[{"&amp;M1022&amp;","&amp;CEILING(N1022*10000+(O1022-N1022)/4*(COUNTIF($F$11:F1022,F1022)-1)*10000,10)&amp;"}]",7)="[{equip",MID("[{"&amp;M1022&amp;","&amp;CEILING(N1022*10000+(O1022-N1022)/4*(COUNTIF($F$11:F1022,F1022)-1)*10000,10)&amp;"}]",8,1)&lt;&gt;"_"),"[{"&amp;M1022&amp;","&amp;1&amp;"}]","[{"&amp;M1022&amp;","&amp;CEILING(N1022*10000+(O1022-N1022)/4*(COUNTIF($F$11:F1022,F1022)-1)*10000,10)&amp;"}]")</f>
        <v>[{drug_class_dmg_rate,16540}]</v>
      </c>
      <c r="H1022" s="82" t="s">
        <v>563</v>
      </c>
      <c r="J1022" s="78">
        <f ca="1">IF(MOD(COUNTIF($Q$11:Q1021,Q1021),5)=0,OFFSET(装备属性!$P$1083,1+INT(COUNTA($Q$11:Q1021)/5),0),J1021)</f>
        <v>4</v>
      </c>
      <c r="K1022" s="83" t="str">
        <f ca="1">IF(RIGHT(G1022,13)="rune_slot,1}]",_xlfn.XLOOKUP(LEFT(SUBSTITUTE(G1022,"[{",""),FIND(",",SUBSTITUTE(G1022,"[{",""))-1),Sheet2!B:B,Sheet2!C:C)&amp;"+"&amp;1,_xlfn.XLOOKUP(LEFT(SUBSTITUTE(G1022,"[{",""),FIND(",",SUBSTITUTE(G1022,"[{",""))-1),Sheet2!B:B,Sheet2!C:C)&amp;"+"&amp;SUBSTITUTE(RIGHT(G1022,LEN(G1022)-FIND(",",G1022)),"}]","")/100&amp;"%")</f>
        <v>上阵两个毒系职业增伤+165.4%</v>
      </c>
      <c r="L1022" s="83" t="str">
        <f ca="1">IF(MOD(COUNTIF($Q$11:Q1021,Q1021),5)=0,OFFSET(装备属性!$G$1083,1+INT(COUNTA($Q$11:Q1021)/5),0),L1021)</f>
        <v>毒毒小队Ⅱ</v>
      </c>
      <c r="M1022" s="89" t="str">
        <f ca="1">IF(MOD(COUNTIF($Q$11:Q1021,Q1021),5)=0,OFFSET(装备属性!$H$1083,1+INT(COUNTA($Q$11:Q1021)/5),0),M1021)</f>
        <v>drug_class_dmg_rate</v>
      </c>
      <c r="N1022" s="76">
        <f ca="1">IF(MOD(COUNTIF($Q$11:Q1021,Q1021),5)=0,OFFSET(装备属性!$K$1083,1+INT(COUNTA($Q$11:Q1021)/5),0),N1021)</f>
        <v>0.075</v>
      </c>
      <c r="O1022" s="76">
        <f ca="1">IF(MOD(COUNTIF($Q$11:Q1021,Q1021),5)=0,OFFSET(装备属性!$L$1083,1+INT(COUNTA($Q$11:Q1021)/5),0),O1021)</f>
        <v>0.09</v>
      </c>
      <c r="Q1022" s="89" t="str">
        <f ca="1">IF(MOD(COUNTIF($Q$11:Q1021,Q1021),5)=0,OFFSET(装备属性!$M$1083,1+INT(COUNTA($Q$11:Q1021)/5),0),Q1021)</f>
        <v>通用属性</v>
      </c>
      <c r="R1022" s="83" t="e">
        <f ca="1">IF(MOD(COUNTIF($Q$11:Q1021,Q1021),5)=0,10000*SUBSTITUTE(SUBSTITUTE(OFFSET(装备属性!$F$1083,1+INT(COUNTA($Q$11:Q1021)/5),0),"[",""),"]","")+_xlfn.XLOOKUP(C1022,$M$3:$M$7,$N$3:$N$7)*100,R1021)</f>
        <v>#N/A</v>
      </c>
    </row>
    <row r="1023" customHeight="1" spans="1:18">
      <c r="A1023" s="78" t="str">
        <f ca="1" t="shared" si="45"/>
        <v/>
      </c>
      <c r="B1023" s="82" t="str">
        <f ca="1">IFERROR(R1023+COUNTIFS($R$11:$R1023,R1023),"")</f>
        <v/>
      </c>
      <c r="C1023" s="83">
        <f ca="1">IF(MOD(COUNTIF($Q$11:Q1022,Q1022),5)=0,OFFSET(装备属性!$D$1083,1+INT(COUNTA($Q$11:Q1022)/5),0),C1022)</f>
        <v>0</v>
      </c>
      <c r="D1023" s="82">
        <f t="shared" si="47"/>
        <v>2000</v>
      </c>
      <c r="F1023" s="82" t="str">
        <f ca="1" t="shared" si="46"/>
        <v/>
      </c>
      <c r="G1023" s="78" t="str">
        <f ca="1">IF(AND(LEFT("[{"&amp;M1023&amp;","&amp;CEILING(N1023*10000+(O1023-N1023)/4*(COUNTIF($F$11:F1023,F1023)-1)*10000,10)&amp;"}]",7)="[{equip",MID("[{"&amp;M1023&amp;","&amp;CEILING(N1023*10000+(O1023-N1023)/4*(COUNTIF($F$11:F1023,F1023)-1)*10000,10)&amp;"}]",8,1)&lt;&gt;"_"),"[{"&amp;M1023&amp;","&amp;1&amp;"}]","[{"&amp;M1023&amp;","&amp;CEILING(N1023*10000+(O1023-N1023)/4*(COUNTIF($F$11:F1023,F1023)-1)*10000,10)&amp;"}]")</f>
        <v>[{drug_class_dmg_rate,16580}]</v>
      </c>
      <c r="H1023" s="82" t="s">
        <v>563</v>
      </c>
      <c r="J1023" s="78">
        <f ca="1">IF(MOD(COUNTIF($Q$11:Q1022,Q1022),5)=0,OFFSET(装备属性!$P$1083,1+INT(COUNTA($Q$11:Q1022)/5),0),J1022)</f>
        <v>4</v>
      </c>
      <c r="K1023" s="83" t="str">
        <f ca="1">IF(RIGHT(G1023,13)="rune_slot,1}]",_xlfn.XLOOKUP(LEFT(SUBSTITUTE(G1023,"[{",""),FIND(",",SUBSTITUTE(G1023,"[{",""))-1),Sheet2!B:B,Sheet2!C:C)&amp;"+"&amp;1,_xlfn.XLOOKUP(LEFT(SUBSTITUTE(G1023,"[{",""),FIND(",",SUBSTITUTE(G1023,"[{",""))-1),Sheet2!B:B,Sheet2!C:C)&amp;"+"&amp;SUBSTITUTE(RIGHT(G1023,LEN(G1023)-FIND(",",G1023)),"}]","")/100&amp;"%")</f>
        <v>上阵两个毒系职业增伤+165.8%</v>
      </c>
      <c r="L1023" s="83" t="str">
        <f ca="1">IF(MOD(COUNTIF($Q$11:Q1022,Q1022),5)=0,OFFSET(装备属性!$G$1083,1+INT(COUNTA($Q$11:Q1022)/5),0),L1022)</f>
        <v>毒毒小队Ⅱ</v>
      </c>
      <c r="M1023" s="89" t="str">
        <f ca="1">IF(MOD(COUNTIF($Q$11:Q1022,Q1022),5)=0,OFFSET(装备属性!$H$1083,1+INT(COUNTA($Q$11:Q1022)/5),0),M1022)</f>
        <v>drug_class_dmg_rate</v>
      </c>
      <c r="N1023" s="76">
        <f ca="1">IF(MOD(COUNTIF($Q$11:Q1022,Q1022),5)=0,OFFSET(装备属性!$K$1083,1+INT(COUNTA($Q$11:Q1022)/5),0),N1022)</f>
        <v>0.075</v>
      </c>
      <c r="O1023" s="76">
        <f ca="1">IF(MOD(COUNTIF($Q$11:Q1022,Q1022),5)=0,OFFSET(装备属性!$L$1083,1+INT(COUNTA($Q$11:Q1022)/5),0),O1022)</f>
        <v>0.09</v>
      </c>
      <c r="Q1023" s="89" t="str">
        <f ca="1">IF(MOD(COUNTIF($Q$11:Q1022,Q1022),5)=0,OFFSET(装备属性!$M$1083,1+INT(COUNTA($Q$11:Q1022)/5),0),Q1022)</f>
        <v>通用属性</v>
      </c>
      <c r="R1023" s="83" t="e">
        <f ca="1">IF(MOD(COUNTIF($Q$11:Q1022,Q1022),5)=0,10000*SUBSTITUTE(SUBSTITUTE(OFFSET(装备属性!$F$1083,1+INT(COUNTA($Q$11:Q1022)/5),0),"[",""),"]","")+_xlfn.XLOOKUP(C1023,$M$3:$M$7,$N$3:$N$7)*100,R1022)</f>
        <v>#N/A</v>
      </c>
    </row>
    <row r="1024" customHeight="1" spans="1:18">
      <c r="A1024" s="78" t="str">
        <f ca="1" t="shared" si="45"/>
        <v/>
      </c>
      <c r="B1024" s="82" t="str">
        <f ca="1">IFERROR(R1024+COUNTIFS($R$11:$R1024,R1024),"")</f>
        <v/>
      </c>
      <c r="C1024" s="83">
        <f ca="1">IF(MOD(COUNTIF($Q$11:Q1023,Q1023),5)=0,OFFSET(装备属性!$D$1083,1+INT(COUNTA($Q$11:Q1023)/5),0),C1023)</f>
        <v>0</v>
      </c>
      <c r="D1024" s="82">
        <f t="shared" si="47"/>
        <v>1500</v>
      </c>
      <c r="F1024" s="82" t="str">
        <f ca="1" t="shared" si="46"/>
        <v/>
      </c>
      <c r="G1024" s="78" t="str">
        <f ca="1">IF(AND(LEFT("[{"&amp;M1024&amp;","&amp;CEILING(N1024*10000+(O1024-N1024)/4*(COUNTIF($F$11:F1024,F1024)-1)*10000,10)&amp;"}]",7)="[{equip",MID("[{"&amp;M1024&amp;","&amp;CEILING(N1024*10000+(O1024-N1024)/4*(COUNTIF($F$11:F1024,F1024)-1)*10000,10)&amp;"}]",8,1)&lt;&gt;"_"),"[{"&amp;M1024&amp;","&amp;1&amp;"}]","[{"&amp;M1024&amp;","&amp;CEILING(N1024*10000+(O1024-N1024)/4*(COUNTIF($F$11:F1024,F1024)-1)*10000,10)&amp;"}]")</f>
        <v>[{drug_class_dmg_rate,16620}]</v>
      </c>
      <c r="H1024" s="82" t="s">
        <v>563</v>
      </c>
      <c r="J1024" s="78">
        <f ca="1">IF(MOD(COUNTIF($Q$11:Q1023,Q1023),5)=0,OFFSET(装备属性!$P$1083,1+INT(COUNTA($Q$11:Q1023)/5),0),J1023)</f>
        <v>4</v>
      </c>
      <c r="K1024" s="83" t="str">
        <f ca="1">IF(RIGHT(G1024,13)="rune_slot,1}]",_xlfn.XLOOKUP(LEFT(SUBSTITUTE(G1024,"[{",""),FIND(",",SUBSTITUTE(G1024,"[{",""))-1),Sheet2!B:B,Sheet2!C:C)&amp;"+"&amp;1,_xlfn.XLOOKUP(LEFT(SUBSTITUTE(G1024,"[{",""),FIND(",",SUBSTITUTE(G1024,"[{",""))-1),Sheet2!B:B,Sheet2!C:C)&amp;"+"&amp;SUBSTITUTE(RIGHT(G1024,LEN(G1024)-FIND(",",G1024)),"}]","")/100&amp;"%")</f>
        <v>上阵两个毒系职业增伤+166.2%</v>
      </c>
      <c r="L1024" s="83" t="str">
        <f ca="1">IF(MOD(COUNTIF($Q$11:Q1023,Q1023),5)=0,OFFSET(装备属性!$G$1083,1+INT(COUNTA($Q$11:Q1023)/5),0),L1023)</f>
        <v>毒毒小队Ⅱ</v>
      </c>
      <c r="M1024" s="89" t="str">
        <f ca="1">IF(MOD(COUNTIF($Q$11:Q1023,Q1023),5)=0,OFFSET(装备属性!$H$1083,1+INT(COUNTA($Q$11:Q1023)/5),0),M1023)</f>
        <v>drug_class_dmg_rate</v>
      </c>
      <c r="N1024" s="76">
        <f ca="1">IF(MOD(COUNTIF($Q$11:Q1023,Q1023),5)=0,OFFSET(装备属性!$K$1083,1+INT(COUNTA($Q$11:Q1023)/5),0),N1023)</f>
        <v>0.075</v>
      </c>
      <c r="O1024" s="76">
        <f ca="1">IF(MOD(COUNTIF($Q$11:Q1023,Q1023),5)=0,OFFSET(装备属性!$L$1083,1+INT(COUNTA($Q$11:Q1023)/5),0),O1023)</f>
        <v>0.09</v>
      </c>
      <c r="Q1024" s="89" t="str">
        <f ca="1">IF(MOD(COUNTIF($Q$11:Q1023,Q1023),5)=0,OFFSET(装备属性!$M$1083,1+INT(COUNTA($Q$11:Q1023)/5),0),Q1023)</f>
        <v>通用属性</v>
      </c>
      <c r="R1024" s="83" t="e">
        <f ca="1">IF(MOD(COUNTIF($Q$11:Q1023,Q1023),5)=0,10000*SUBSTITUTE(SUBSTITUTE(OFFSET(装备属性!$F$1083,1+INT(COUNTA($Q$11:Q1023)/5),0),"[",""),"]","")+_xlfn.XLOOKUP(C1024,$M$3:$M$7,$N$3:$N$7)*100,R1023)</f>
        <v>#N/A</v>
      </c>
    </row>
    <row r="1025" customHeight="1" spans="1:18">
      <c r="A1025" s="78" t="str">
        <f ca="1" t="shared" si="45"/>
        <v/>
      </c>
      <c r="B1025" s="82" t="str">
        <f ca="1">IFERROR(R1025+COUNTIFS($R$11:$R1025,R1025),"")</f>
        <v/>
      </c>
      <c r="C1025" s="83">
        <f ca="1">IF(MOD(COUNTIF($Q$11:Q1024,Q1024),5)=0,OFFSET(装备属性!$D$1083,1+INT(COUNTA($Q$11:Q1024)/5),0),C1024)</f>
        <v>0</v>
      </c>
      <c r="D1025" s="82">
        <f t="shared" si="47"/>
        <v>1000</v>
      </c>
      <c r="F1025" s="82" t="str">
        <f ca="1" t="shared" si="46"/>
        <v/>
      </c>
      <c r="G1025" s="78" t="str">
        <f ca="1">IF(AND(LEFT("[{"&amp;M1025&amp;","&amp;CEILING(N1025*10000+(O1025-N1025)/4*(COUNTIF($F$11:F1025,F1025)-1)*10000,10)&amp;"}]",7)="[{equip",MID("[{"&amp;M1025&amp;","&amp;CEILING(N1025*10000+(O1025-N1025)/4*(COUNTIF($F$11:F1025,F1025)-1)*10000,10)&amp;"}]",8,1)&lt;&gt;"_"),"[{"&amp;M1025&amp;","&amp;1&amp;"}]","[{"&amp;M1025&amp;","&amp;CEILING(N1025*10000+(O1025-N1025)/4*(COUNTIF($F$11:F1025,F1025)-1)*10000,10)&amp;"}]")</f>
        <v>[{drug_class_dmg_rate,16650}]</v>
      </c>
      <c r="H1025" s="82" t="s">
        <v>563</v>
      </c>
      <c r="J1025" s="78">
        <f ca="1">IF(MOD(COUNTIF($Q$11:Q1024,Q1024),5)=0,OFFSET(装备属性!$P$1083,1+INT(COUNTA($Q$11:Q1024)/5),0),J1024)</f>
        <v>4</v>
      </c>
      <c r="K1025" s="83" t="str">
        <f ca="1">IF(RIGHT(G1025,13)="rune_slot,1}]",_xlfn.XLOOKUP(LEFT(SUBSTITUTE(G1025,"[{",""),FIND(",",SUBSTITUTE(G1025,"[{",""))-1),Sheet2!B:B,Sheet2!C:C)&amp;"+"&amp;1,_xlfn.XLOOKUP(LEFT(SUBSTITUTE(G1025,"[{",""),FIND(",",SUBSTITUTE(G1025,"[{",""))-1),Sheet2!B:B,Sheet2!C:C)&amp;"+"&amp;SUBSTITUTE(RIGHT(G1025,LEN(G1025)-FIND(",",G1025)),"}]","")/100&amp;"%")</f>
        <v>上阵两个毒系职业增伤+166.5%</v>
      </c>
      <c r="L1025" s="83" t="str">
        <f ca="1">IF(MOD(COUNTIF($Q$11:Q1024,Q1024),5)=0,OFFSET(装备属性!$G$1083,1+INT(COUNTA($Q$11:Q1024)/5),0),L1024)</f>
        <v>毒毒小队Ⅱ</v>
      </c>
      <c r="M1025" s="89" t="str">
        <f ca="1">IF(MOD(COUNTIF($Q$11:Q1024,Q1024),5)=0,OFFSET(装备属性!$H$1083,1+INT(COUNTA($Q$11:Q1024)/5),0),M1024)</f>
        <v>drug_class_dmg_rate</v>
      </c>
      <c r="N1025" s="76">
        <f ca="1">IF(MOD(COUNTIF($Q$11:Q1024,Q1024),5)=0,OFFSET(装备属性!$K$1083,1+INT(COUNTA($Q$11:Q1024)/5),0),N1024)</f>
        <v>0.075</v>
      </c>
      <c r="O1025" s="76">
        <f ca="1">IF(MOD(COUNTIF($Q$11:Q1024,Q1024),5)=0,OFFSET(装备属性!$L$1083,1+INT(COUNTA($Q$11:Q1024)/5),0),O1024)</f>
        <v>0.09</v>
      </c>
      <c r="Q1025" s="89" t="str">
        <f ca="1">IF(MOD(COUNTIF($Q$11:Q1024,Q1024),5)=0,OFFSET(装备属性!$M$1083,1+INT(COUNTA($Q$11:Q1024)/5),0),Q1024)</f>
        <v>通用属性</v>
      </c>
      <c r="R1025" s="83" t="e">
        <f ca="1">IF(MOD(COUNTIF($Q$11:Q1024,Q1024),5)=0,10000*SUBSTITUTE(SUBSTITUTE(OFFSET(装备属性!$F$1083,1+INT(COUNTA($Q$11:Q1024)/5),0),"[",""),"]","")+_xlfn.XLOOKUP(C1025,$M$3:$M$7,$N$3:$N$7)*100,R1024)</f>
        <v>#N/A</v>
      </c>
    </row>
    <row r="1026" customHeight="1" spans="1:18">
      <c r="A1026" s="78">
        <f ca="1" t="shared" si="45"/>
        <v>40501</v>
      </c>
      <c r="B1026" s="82">
        <f ca="1">IFERROR(R1026+COUNTIFS($R$11:$R1026,R1026),"")</f>
        <v>40521</v>
      </c>
      <c r="C1026" s="83" t="str">
        <f ca="1">IF(MOD(COUNTIF($Q$11:Q1025,Q1025),5)=0,OFFSET(装备属性!$D$1083,1+INT(COUNTA($Q$11:Q1025)/5),0),C1025)</f>
        <v>橙</v>
      </c>
      <c r="D1026" s="82">
        <f t="shared" si="47"/>
        <v>3000</v>
      </c>
      <c r="F1026" s="82">
        <f ca="1" t="shared" si="46"/>
        <v>40504</v>
      </c>
      <c r="G1026" s="78" t="str">
        <f ca="1">IF(AND(LEFT("[{"&amp;M1026&amp;","&amp;CEILING(N1026*10000+(O1026-N1026)/4*(COUNTIF($F$11:F1026,F1026)-1)*10000,10)&amp;"}]",7)="[{equip",MID("[{"&amp;M1026&amp;","&amp;CEILING(N1026*10000+(O1026-N1026)/4*(COUNTIF($F$11:F1026,F1026)-1)*10000,10)&amp;"}]",8,1)&lt;&gt;"_"),"[{"&amp;M1026&amp;","&amp;1&amp;"}]","[{"&amp;M1026&amp;","&amp;CEILING(N1026*10000+(O1026-N1026)/4*(COUNTIF($F$11:F1026,F1026)-1)*10000,10)&amp;"}]")</f>
        <v>[{drug_crit_dmg,2400}]</v>
      </c>
      <c r="H1026" s="82" t="s">
        <v>563</v>
      </c>
      <c r="J1026" s="78">
        <f ca="1">IF(MOD(COUNTIF($Q$11:Q1025,Q1025),5)=0,OFFSET(装备属性!$P$1083,1+INT(COUNTA($Q$11:Q1025)/5),0),J1025)</f>
        <v>10</v>
      </c>
      <c r="K1026" s="83" t="str">
        <f ca="1">IF(RIGHT(G1026,13)="rune_slot,1}]",_xlfn.XLOOKUP(LEFT(SUBSTITUTE(G1026,"[{",""),FIND(",",SUBSTITUTE(G1026,"[{",""))-1),Sheet2!B:B,Sheet2!C:C)&amp;"+"&amp;1,_xlfn.XLOOKUP(LEFT(SUBSTITUTE(G1026,"[{",""),FIND(",",SUBSTITUTE(G1026,"[{",""))-1),Sheet2!B:B,Sheet2!C:C)&amp;"+"&amp;SUBSTITUTE(RIGHT(G1026,LEN(G1026)-FIND(",",G1026)),"}]","")/100&amp;"%")</f>
        <v>毒系暴击伤害+24%</v>
      </c>
      <c r="L1026" s="83" t="str">
        <f ca="1">IF(MOD(COUNTIF($Q$11:Q1025,Q1025),5)=0,OFFSET(装备属性!$G$1083,1+INT(COUNTA($Q$11:Q1025)/5),0),L1025)</f>
        <v>暴走毒毒Ⅱ</v>
      </c>
      <c r="M1026" s="89" t="str">
        <f ca="1">IF(MOD(COUNTIF($Q$11:Q1025,Q1025),5)=0,OFFSET(装备属性!$H$1083,1+INT(COUNTA($Q$11:Q1025)/5),0),M1025)</f>
        <v>drug_crit_dmg</v>
      </c>
      <c r="N1026" s="76">
        <f ca="1">IF(MOD(COUNTIF($Q$11:Q1025,Q1025),5)=0,OFFSET(装备属性!$K$1083,1+INT(COUNTA($Q$11:Q1025)/5),0),N1025)</f>
        <v>0.24</v>
      </c>
      <c r="O1026" s="76">
        <f ca="1">IF(MOD(COUNTIF($Q$11:Q1025,Q1025),5)=0,OFFSET(装备属性!$L$1083,1+INT(COUNTA($Q$11:Q1025)/5),0),O1025)</f>
        <v>0.27</v>
      </c>
      <c r="Q1026" s="89" t="str">
        <f ca="1">IF(MOD(COUNTIF($Q$11:Q1025,Q1025),5)=0,OFFSET(装备属性!$M$1083,1+INT(COUNTA($Q$11:Q1025)/5),0),Q1025)</f>
        <v>通用属性</v>
      </c>
      <c r="R1026" s="83">
        <f ca="1">IF(MOD(COUNTIF($Q$11:Q1025,Q1025),5)=0,10000*SUBSTITUTE(SUBSTITUTE(OFFSET(装备属性!$F$1083,1+INT(COUNTA($Q$11:Q1025)/5),0),"[",""),"]","")+_xlfn.XLOOKUP(C1026,$M$3:$M$7,$N$3:$N$7)*100,R1025)</f>
        <v>40500</v>
      </c>
    </row>
    <row r="1027" customHeight="1" spans="1:18">
      <c r="A1027" s="78">
        <f ca="1" t="shared" si="45"/>
        <v>40501</v>
      </c>
      <c r="B1027" s="82">
        <f ca="1">IFERROR(R1027+COUNTIFS($R$11:$R1027,R1027),"")</f>
        <v>40522</v>
      </c>
      <c r="C1027" s="83" t="str">
        <f ca="1">IF(MOD(COUNTIF($Q$11:Q1026,Q1026),5)=0,OFFSET(装备属性!$D$1083,1+INT(COUNTA($Q$11:Q1026)/5),0),C1026)</f>
        <v>橙</v>
      </c>
      <c r="D1027" s="82">
        <f t="shared" si="47"/>
        <v>2500</v>
      </c>
      <c r="F1027" s="82">
        <f ca="1" t="shared" si="46"/>
        <v>40504</v>
      </c>
      <c r="G1027" s="78" t="str">
        <f ca="1">IF(AND(LEFT("[{"&amp;M1027&amp;","&amp;CEILING(N1027*10000+(O1027-N1027)/4*(COUNTIF($F$11:F1027,F1027)-1)*10000,10)&amp;"}]",7)="[{equip",MID("[{"&amp;M1027&amp;","&amp;CEILING(N1027*10000+(O1027-N1027)/4*(COUNTIF($F$11:F1027,F1027)-1)*10000,10)&amp;"}]",8,1)&lt;&gt;"_"),"[{"&amp;M1027&amp;","&amp;1&amp;"}]","[{"&amp;M1027&amp;","&amp;CEILING(N1027*10000+(O1027-N1027)/4*(COUNTIF($F$11:F1027,F1027)-1)*10000,10)&amp;"}]")</f>
        <v>[{drug_crit_dmg,2480}]</v>
      </c>
      <c r="H1027" s="82" t="s">
        <v>563</v>
      </c>
      <c r="J1027" s="78">
        <f ca="1">IF(MOD(COUNTIF($Q$11:Q1026,Q1026),5)=0,OFFSET(装备属性!$P$1083,1+INT(COUNTA($Q$11:Q1026)/5),0),J1026)</f>
        <v>10</v>
      </c>
      <c r="K1027" s="83" t="str">
        <f ca="1">IF(RIGHT(G1027,13)="rune_slot,1}]",_xlfn.XLOOKUP(LEFT(SUBSTITUTE(G1027,"[{",""),FIND(",",SUBSTITUTE(G1027,"[{",""))-1),Sheet2!B:B,Sheet2!C:C)&amp;"+"&amp;1,_xlfn.XLOOKUP(LEFT(SUBSTITUTE(G1027,"[{",""),FIND(",",SUBSTITUTE(G1027,"[{",""))-1),Sheet2!B:B,Sheet2!C:C)&amp;"+"&amp;SUBSTITUTE(RIGHT(G1027,LEN(G1027)-FIND(",",G1027)),"}]","")/100&amp;"%")</f>
        <v>毒系暴击伤害+24.8%</v>
      </c>
      <c r="L1027" s="83" t="str">
        <f ca="1">IF(MOD(COUNTIF($Q$11:Q1026,Q1026),5)=0,OFFSET(装备属性!$G$1083,1+INT(COUNTA($Q$11:Q1026)/5),0),L1026)</f>
        <v>暴走毒毒Ⅱ</v>
      </c>
      <c r="M1027" s="89" t="str">
        <f ca="1">IF(MOD(COUNTIF($Q$11:Q1026,Q1026),5)=0,OFFSET(装备属性!$H$1083,1+INT(COUNTA($Q$11:Q1026)/5),0),M1026)</f>
        <v>drug_crit_dmg</v>
      </c>
      <c r="N1027" s="76">
        <f ca="1">IF(MOD(COUNTIF($Q$11:Q1026,Q1026),5)=0,OFFSET(装备属性!$K$1083,1+INT(COUNTA($Q$11:Q1026)/5),0),N1026)</f>
        <v>0.24</v>
      </c>
      <c r="O1027" s="76">
        <f ca="1">IF(MOD(COUNTIF($Q$11:Q1026,Q1026),5)=0,OFFSET(装备属性!$L$1083,1+INT(COUNTA($Q$11:Q1026)/5),0),O1026)</f>
        <v>0.27</v>
      </c>
      <c r="Q1027" s="89" t="str">
        <f ca="1">IF(MOD(COUNTIF($Q$11:Q1026,Q1026),5)=0,OFFSET(装备属性!$M$1083,1+INT(COUNTA($Q$11:Q1026)/5),0),Q1026)</f>
        <v>通用属性</v>
      </c>
      <c r="R1027" s="83">
        <f ca="1">IF(MOD(COUNTIF($Q$11:Q1026,Q1026),5)=0,10000*SUBSTITUTE(SUBSTITUTE(OFFSET(装备属性!$F$1083,1+INT(COUNTA($Q$11:Q1026)/5),0),"[",""),"]","")+_xlfn.XLOOKUP(C1027,$M$3:$M$7,$N$3:$N$7)*100,R1026)</f>
        <v>40500</v>
      </c>
    </row>
    <row r="1028" customHeight="1" spans="1:18">
      <c r="A1028" s="78">
        <f ca="1" t="shared" si="45"/>
        <v>40501</v>
      </c>
      <c r="B1028" s="82">
        <f ca="1">IFERROR(R1028+COUNTIFS($R$11:$R1028,R1028),"")</f>
        <v>40523</v>
      </c>
      <c r="C1028" s="83" t="str">
        <f ca="1">IF(MOD(COUNTIF($Q$11:Q1027,Q1027),5)=0,OFFSET(装备属性!$D$1083,1+INT(COUNTA($Q$11:Q1027)/5),0),C1027)</f>
        <v>橙</v>
      </c>
      <c r="D1028" s="82">
        <f t="shared" si="47"/>
        <v>2000</v>
      </c>
      <c r="F1028" s="82">
        <f ca="1" t="shared" si="46"/>
        <v>40504</v>
      </c>
      <c r="G1028" s="78" t="str">
        <f ca="1">IF(AND(LEFT("[{"&amp;M1028&amp;","&amp;CEILING(N1028*10000+(O1028-N1028)/4*(COUNTIF($F$11:F1028,F1028)-1)*10000,10)&amp;"}]",7)="[{equip",MID("[{"&amp;M1028&amp;","&amp;CEILING(N1028*10000+(O1028-N1028)/4*(COUNTIF($F$11:F1028,F1028)-1)*10000,10)&amp;"}]",8,1)&lt;&gt;"_"),"[{"&amp;M1028&amp;","&amp;1&amp;"}]","[{"&amp;M1028&amp;","&amp;CEILING(N1028*10000+(O1028-N1028)/4*(COUNTIF($F$11:F1028,F1028)-1)*10000,10)&amp;"}]")</f>
        <v>[{drug_crit_dmg,2550}]</v>
      </c>
      <c r="H1028" s="82" t="s">
        <v>563</v>
      </c>
      <c r="J1028" s="78">
        <f ca="1">IF(MOD(COUNTIF($Q$11:Q1027,Q1027),5)=0,OFFSET(装备属性!$P$1083,1+INT(COUNTA($Q$11:Q1027)/5),0),J1027)</f>
        <v>10</v>
      </c>
      <c r="K1028" s="83" t="str">
        <f ca="1">IF(RIGHT(G1028,13)="rune_slot,1}]",_xlfn.XLOOKUP(LEFT(SUBSTITUTE(G1028,"[{",""),FIND(",",SUBSTITUTE(G1028,"[{",""))-1),Sheet2!B:B,Sheet2!C:C)&amp;"+"&amp;1,_xlfn.XLOOKUP(LEFT(SUBSTITUTE(G1028,"[{",""),FIND(",",SUBSTITUTE(G1028,"[{",""))-1),Sheet2!B:B,Sheet2!C:C)&amp;"+"&amp;SUBSTITUTE(RIGHT(G1028,LEN(G1028)-FIND(",",G1028)),"}]","")/100&amp;"%")</f>
        <v>毒系暴击伤害+25.5%</v>
      </c>
      <c r="L1028" s="83" t="str">
        <f ca="1">IF(MOD(COUNTIF($Q$11:Q1027,Q1027),5)=0,OFFSET(装备属性!$G$1083,1+INT(COUNTA($Q$11:Q1027)/5),0),L1027)</f>
        <v>暴走毒毒Ⅱ</v>
      </c>
      <c r="M1028" s="89" t="str">
        <f ca="1">IF(MOD(COUNTIF($Q$11:Q1027,Q1027),5)=0,OFFSET(装备属性!$H$1083,1+INT(COUNTA($Q$11:Q1027)/5),0),M1027)</f>
        <v>drug_crit_dmg</v>
      </c>
      <c r="N1028" s="76">
        <f ca="1">IF(MOD(COUNTIF($Q$11:Q1027,Q1027),5)=0,OFFSET(装备属性!$K$1083,1+INT(COUNTA($Q$11:Q1027)/5),0),N1027)</f>
        <v>0.24</v>
      </c>
      <c r="O1028" s="76">
        <f ca="1">IF(MOD(COUNTIF($Q$11:Q1027,Q1027),5)=0,OFFSET(装备属性!$L$1083,1+INT(COUNTA($Q$11:Q1027)/5),0),O1027)</f>
        <v>0.27</v>
      </c>
      <c r="Q1028" s="89" t="str">
        <f ca="1">IF(MOD(COUNTIF($Q$11:Q1027,Q1027),5)=0,OFFSET(装备属性!$M$1083,1+INT(COUNTA($Q$11:Q1027)/5),0),Q1027)</f>
        <v>通用属性</v>
      </c>
      <c r="R1028" s="83">
        <f ca="1">IF(MOD(COUNTIF($Q$11:Q1027,Q1027),5)=0,10000*SUBSTITUTE(SUBSTITUTE(OFFSET(装备属性!$F$1083,1+INT(COUNTA($Q$11:Q1027)/5),0),"[",""),"]","")+_xlfn.XLOOKUP(C1028,$M$3:$M$7,$N$3:$N$7)*100,R1027)</f>
        <v>40500</v>
      </c>
    </row>
    <row r="1029" customHeight="1" spans="1:18">
      <c r="A1029" s="78">
        <f ca="1" t="shared" si="45"/>
        <v>40501</v>
      </c>
      <c r="B1029" s="82">
        <f ca="1">IFERROR(R1029+COUNTIFS($R$11:$R1029,R1029),"")</f>
        <v>40524</v>
      </c>
      <c r="C1029" s="83" t="str">
        <f ca="1">IF(MOD(COUNTIF($Q$11:Q1028,Q1028),5)=0,OFFSET(装备属性!$D$1083,1+INT(COUNTA($Q$11:Q1028)/5),0),C1028)</f>
        <v>橙</v>
      </c>
      <c r="D1029" s="82">
        <f t="shared" si="47"/>
        <v>1500</v>
      </c>
      <c r="F1029" s="82">
        <f ca="1" t="shared" si="46"/>
        <v>40504</v>
      </c>
      <c r="G1029" s="78" t="str">
        <f ca="1">IF(AND(LEFT("[{"&amp;M1029&amp;","&amp;CEILING(N1029*10000+(O1029-N1029)/4*(COUNTIF($F$11:F1029,F1029)-1)*10000,10)&amp;"}]",7)="[{equip",MID("[{"&amp;M1029&amp;","&amp;CEILING(N1029*10000+(O1029-N1029)/4*(COUNTIF($F$11:F1029,F1029)-1)*10000,10)&amp;"}]",8,1)&lt;&gt;"_"),"[{"&amp;M1029&amp;","&amp;1&amp;"}]","[{"&amp;M1029&amp;","&amp;CEILING(N1029*10000+(O1029-N1029)/4*(COUNTIF($F$11:F1029,F1029)-1)*10000,10)&amp;"}]")</f>
        <v>[{drug_crit_dmg,2630}]</v>
      </c>
      <c r="H1029" s="82" t="s">
        <v>563</v>
      </c>
      <c r="J1029" s="78">
        <f ca="1">IF(MOD(COUNTIF($Q$11:Q1028,Q1028),5)=0,OFFSET(装备属性!$P$1083,1+INT(COUNTA($Q$11:Q1028)/5),0),J1028)</f>
        <v>10</v>
      </c>
      <c r="K1029" s="83" t="str">
        <f ca="1">IF(RIGHT(G1029,13)="rune_slot,1}]",_xlfn.XLOOKUP(LEFT(SUBSTITUTE(G1029,"[{",""),FIND(",",SUBSTITUTE(G1029,"[{",""))-1),Sheet2!B:B,Sheet2!C:C)&amp;"+"&amp;1,_xlfn.XLOOKUP(LEFT(SUBSTITUTE(G1029,"[{",""),FIND(",",SUBSTITUTE(G1029,"[{",""))-1),Sheet2!B:B,Sheet2!C:C)&amp;"+"&amp;SUBSTITUTE(RIGHT(G1029,LEN(G1029)-FIND(",",G1029)),"}]","")/100&amp;"%")</f>
        <v>毒系暴击伤害+26.3%</v>
      </c>
      <c r="L1029" s="83" t="str">
        <f ca="1">IF(MOD(COUNTIF($Q$11:Q1028,Q1028),5)=0,OFFSET(装备属性!$G$1083,1+INT(COUNTA($Q$11:Q1028)/5),0),L1028)</f>
        <v>暴走毒毒Ⅱ</v>
      </c>
      <c r="M1029" s="89" t="str">
        <f ca="1">IF(MOD(COUNTIF($Q$11:Q1028,Q1028),5)=0,OFFSET(装备属性!$H$1083,1+INT(COUNTA($Q$11:Q1028)/5),0),M1028)</f>
        <v>drug_crit_dmg</v>
      </c>
      <c r="N1029" s="76">
        <f ca="1">IF(MOD(COUNTIF($Q$11:Q1028,Q1028),5)=0,OFFSET(装备属性!$K$1083,1+INT(COUNTA($Q$11:Q1028)/5),0),N1028)</f>
        <v>0.24</v>
      </c>
      <c r="O1029" s="76">
        <f ca="1">IF(MOD(COUNTIF($Q$11:Q1028,Q1028),5)=0,OFFSET(装备属性!$L$1083,1+INT(COUNTA($Q$11:Q1028)/5),0),O1028)</f>
        <v>0.27</v>
      </c>
      <c r="Q1029" s="89" t="str">
        <f ca="1">IF(MOD(COUNTIF($Q$11:Q1028,Q1028),5)=0,OFFSET(装备属性!$M$1083,1+INT(COUNTA($Q$11:Q1028)/5),0),Q1028)</f>
        <v>通用属性</v>
      </c>
      <c r="R1029" s="83">
        <f ca="1">IF(MOD(COUNTIF($Q$11:Q1028,Q1028),5)=0,10000*SUBSTITUTE(SUBSTITUTE(OFFSET(装备属性!$F$1083,1+INT(COUNTA($Q$11:Q1028)/5),0),"[",""),"]","")+_xlfn.XLOOKUP(C1029,$M$3:$M$7,$N$3:$N$7)*100,R1028)</f>
        <v>40500</v>
      </c>
    </row>
    <row r="1030" customHeight="1" spans="1:18">
      <c r="A1030" s="78">
        <f ca="1" t="shared" si="45"/>
        <v>40501</v>
      </c>
      <c r="B1030" s="82">
        <f ca="1">IFERROR(R1030+COUNTIFS($R$11:$R1030,R1030),"")</f>
        <v>40525</v>
      </c>
      <c r="C1030" s="83" t="str">
        <f ca="1">IF(MOD(COUNTIF($Q$11:Q1029,Q1029),5)=0,OFFSET(装备属性!$D$1083,1+INT(COUNTA($Q$11:Q1029)/5),0),C1029)</f>
        <v>橙</v>
      </c>
      <c r="D1030" s="82">
        <f t="shared" si="47"/>
        <v>1000</v>
      </c>
      <c r="F1030" s="82">
        <f ca="1" t="shared" si="46"/>
        <v>40504</v>
      </c>
      <c r="G1030" s="78" t="str">
        <f ca="1">IF(AND(LEFT("[{"&amp;M1030&amp;","&amp;CEILING(N1030*10000+(O1030-N1030)/4*(COUNTIF($F$11:F1030,F1030)-1)*10000,10)&amp;"}]",7)="[{equip",MID("[{"&amp;M1030&amp;","&amp;CEILING(N1030*10000+(O1030-N1030)/4*(COUNTIF($F$11:F1030,F1030)-1)*10000,10)&amp;"}]",8,1)&lt;&gt;"_"),"[{"&amp;M1030&amp;","&amp;1&amp;"}]","[{"&amp;M1030&amp;","&amp;CEILING(N1030*10000+(O1030-N1030)/4*(COUNTIF($F$11:F1030,F1030)-1)*10000,10)&amp;"}]")</f>
        <v>[{drug_crit_dmg,2700}]</v>
      </c>
      <c r="H1030" s="82" t="s">
        <v>563</v>
      </c>
      <c r="J1030" s="78">
        <f ca="1">IF(MOD(COUNTIF($Q$11:Q1029,Q1029),5)=0,OFFSET(装备属性!$P$1083,1+INT(COUNTA($Q$11:Q1029)/5),0),J1029)</f>
        <v>10</v>
      </c>
      <c r="K1030" s="83" t="str">
        <f ca="1">IF(RIGHT(G1030,13)="rune_slot,1}]",_xlfn.XLOOKUP(LEFT(SUBSTITUTE(G1030,"[{",""),FIND(",",SUBSTITUTE(G1030,"[{",""))-1),Sheet2!B:B,Sheet2!C:C)&amp;"+"&amp;1,_xlfn.XLOOKUP(LEFT(SUBSTITUTE(G1030,"[{",""),FIND(",",SUBSTITUTE(G1030,"[{",""))-1),Sheet2!B:B,Sheet2!C:C)&amp;"+"&amp;SUBSTITUTE(RIGHT(G1030,LEN(G1030)-FIND(",",G1030)),"}]","")/100&amp;"%")</f>
        <v>毒系暴击伤害+27%</v>
      </c>
      <c r="L1030" s="83" t="str">
        <f ca="1">IF(MOD(COUNTIF($Q$11:Q1029,Q1029),5)=0,OFFSET(装备属性!$G$1083,1+INT(COUNTA($Q$11:Q1029)/5),0),L1029)</f>
        <v>暴走毒毒Ⅱ</v>
      </c>
      <c r="M1030" s="89" t="str">
        <f ca="1">IF(MOD(COUNTIF($Q$11:Q1029,Q1029),5)=0,OFFSET(装备属性!$H$1083,1+INT(COUNTA($Q$11:Q1029)/5),0),M1029)</f>
        <v>drug_crit_dmg</v>
      </c>
      <c r="N1030" s="76">
        <f ca="1">IF(MOD(COUNTIF($Q$11:Q1029,Q1029),5)=0,OFFSET(装备属性!$K$1083,1+INT(COUNTA($Q$11:Q1029)/5),0),N1029)</f>
        <v>0.24</v>
      </c>
      <c r="O1030" s="76">
        <f ca="1">IF(MOD(COUNTIF($Q$11:Q1029,Q1029),5)=0,OFFSET(装备属性!$L$1083,1+INT(COUNTA($Q$11:Q1029)/5),0),O1029)</f>
        <v>0.27</v>
      </c>
      <c r="Q1030" s="89" t="str">
        <f ca="1">IF(MOD(COUNTIF($Q$11:Q1029,Q1029),5)=0,OFFSET(装备属性!$M$1083,1+INT(COUNTA($Q$11:Q1029)/5),0),Q1029)</f>
        <v>通用属性</v>
      </c>
      <c r="R1030" s="83">
        <f ca="1">IF(MOD(COUNTIF($Q$11:Q1029,Q1029),5)=0,10000*SUBSTITUTE(SUBSTITUTE(OFFSET(装备属性!$F$1083,1+INT(COUNTA($Q$11:Q1029)/5),0),"[",""),"]","")+_xlfn.XLOOKUP(C1030,$M$3:$M$7,$N$3:$N$7)*100,R1029)</f>
        <v>40500</v>
      </c>
    </row>
    <row r="1031" customHeight="1" spans="1:18">
      <c r="A1031" s="78" t="str">
        <f ca="1" t="shared" si="45"/>
        <v/>
      </c>
      <c r="B1031" s="82" t="str">
        <f ca="1">IFERROR(R1031+COUNTIFS($R$11:$R1031,R1031),"")</f>
        <v/>
      </c>
      <c r="C1031" s="83">
        <f ca="1">IF(MOD(COUNTIF($Q$11:Q1030,Q1030),5)=0,OFFSET(装备属性!$D$1083,1+INT(COUNTA($Q$11:Q1030)/5),0),C1030)</f>
        <v>0</v>
      </c>
      <c r="D1031" s="82">
        <f t="shared" si="47"/>
        <v>3000</v>
      </c>
      <c r="F1031" s="82" t="str">
        <f ca="1" t="shared" si="46"/>
        <v/>
      </c>
      <c r="G1031" s="78" t="str">
        <f ca="1">IF(AND(LEFT("[{"&amp;M1031&amp;","&amp;CEILING(N1031*10000+(O1031-N1031)/4*(COUNTIF($F$11:F1031,F1031)-1)*10000,10)&amp;"}]",7)="[{equip",MID("[{"&amp;M1031&amp;","&amp;CEILING(N1031*10000+(O1031-N1031)/4*(COUNTIF($F$11:F1031,F1031)-1)*10000,10)&amp;"}]",8,1)&lt;&gt;"_"),"[{"&amp;M1031&amp;","&amp;1&amp;"}]","[{"&amp;M1031&amp;","&amp;CEILING(N1031*10000+(O1031-N1031)/4*(COUNTIF($F$11:F1031,F1031)-1)*10000,10)&amp;"}]")</f>
        <v>[{global_dmg_rate,6900}]</v>
      </c>
      <c r="H1031" s="82" t="s">
        <v>563</v>
      </c>
      <c r="J1031" s="78">
        <f ca="1">IF(MOD(COUNTIF($Q$11:Q1030,Q1030),5)=0,OFFSET(装备属性!$P$1083,1+INT(COUNTA($Q$11:Q1030)/5),0),J1030)</f>
        <v>2</v>
      </c>
      <c r="K1031" s="83" t="str">
        <f ca="1">IF(RIGHT(G1031,13)="rune_slot,1}]",_xlfn.XLOOKUP(LEFT(SUBSTITUTE(G1031,"[{",""),FIND(",",SUBSTITUTE(G1031,"[{",""))-1),Sheet2!B:B,Sheet2!C:C)&amp;"+"&amp;1,_xlfn.XLOOKUP(LEFT(SUBSTITUTE(G1031,"[{",""),FIND(",",SUBSTITUTE(G1031,"[{",""))-1),Sheet2!B:B,Sheet2!C:C)&amp;"+"&amp;SUBSTITUTE(RIGHT(G1031,LEN(G1031)-FIND(",",G1031)),"}]","")/100&amp;"%")</f>
        <v>伤害加成+69%</v>
      </c>
      <c r="L1031" s="83" t="str">
        <f ca="1">IF(MOD(COUNTIF($Q$11:Q1030,Q1030),5)=0,OFFSET(装备属性!$G$1083,1+INT(COUNTA($Q$11:Q1030)/5),0),L1030)</f>
        <v>全职小队Ⅲ</v>
      </c>
      <c r="M1031" s="89" t="str">
        <f ca="1">IF(MOD(COUNTIF($Q$11:Q1030,Q1030),5)=0,OFFSET(装备属性!$H$1083,1+INT(COUNTA($Q$11:Q1030)/5),0),M1030)</f>
        <v>global_dmg_rate</v>
      </c>
      <c r="N1031" s="76">
        <f ca="1">IF(MOD(COUNTIF($Q$11:Q1030,Q1030),5)=0,OFFSET(装备属性!$K$1083,1+INT(COUNTA($Q$11:Q1030)/5),0),N1030)</f>
        <v>0.052</v>
      </c>
      <c r="O1031" s="76">
        <f ca="1">IF(MOD(COUNTIF($Q$11:Q1030,Q1030),5)=0,OFFSET(装备属性!$L$1083,1+INT(COUNTA($Q$11:Q1030)/5),0),O1030)</f>
        <v>0.058</v>
      </c>
      <c r="Q1031" s="89" t="str">
        <f ca="1">IF(MOD(COUNTIF($Q$11:Q1030,Q1030),5)=0,OFFSET(装备属性!$M$1083,1+INT(COUNTA($Q$11:Q1030)/5),0),Q1030)</f>
        <v>通用属性</v>
      </c>
      <c r="R1031" s="83" t="e">
        <f ca="1">IF(MOD(COUNTIF($Q$11:Q1030,Q1030),5)=0,10000*SUBSTITUTE(SUBSTITUTE(OFFSET(装备属性!$F$1083,1+INT(COUNTA($Q$11:Q1030)/5),0),"[",""),"]","")+_xlfn.XLOOKUP(C1031,$M$3:$M$7,$N$3:$N$7)*100,R1030)</f>
        <v>#N/A</v>
      </c>
    </row>
    <row r="1032" customHeight="1" spans="1:18">
      <c r="A1032" s="78" t="str">
        <f ca="1" t="shared" si="45"/>
        <v/>
      </c>
      <c r="B1032" s="82" t="str">
        <f ca="1">IFERROR(R1032+COUNTIFS($R$11:$R1032,R1032),"")</f>
        <v/>
      </c>
      <c r="C1032" s="83">
        <f ca="1">IF(MOD(COUNTIF($Q$11:Q1031,Q1031),5)=0,OFFSET(装备属性!$D$1083,1+INT(COUNTA($Q$11:Q1031)/5),0),C1031)</f>
        <v>0</v>
      </c>
      <c r="D1032" s="82">
        <f t="shared" si="47"/>
        <v>2500</v>
      </c>
      <c r="F1032" s="82" t="str">
        <f ca="1" t="shared" si="46"/>
        <v/>
      </c>
      <c r="G1032" s="78" t="str">
        <f ca="1">IF(AND(LEFT("[{"&amp;M1032&amp;","&amp;CEILING(N1032*10000+(O1032-N1032)/4*(COUNTIF($F$11:F1032,F1032)-1)*10000,10)&amp;"}]",7)="[{equip",MID("[{"&amp;M1032&amp;","&amp;CEILING(N1032*10000+(O1032-N1032)/4*(COUNTIF($F$11:F1032,F1032)-1)*10000,10)&amp;"}]",8,1)&lt;&gt;"_"),"[{"&amp;M1032&amp;","&amp;1&amp;"}]","[{"&amp;M1032&amp;","&amp;CEILING(N1032*10000+(O1032-N1032)/4*(COUNTIF($F$11:F1032,F1032)-1)*10000,10)&amp;"}]")</f>
        <v>[{global_dmg_rate,6920}]</v>
      </c>
      <c r="H1032" s="82" t="s">
        <v>563</v>
      </c>
      <c r="J1032" s="78">
        <f ca="1">IF(MOD(COUNTIF($Q$11:Q1031,Q1031),5)=0,OFFSET(装备属性!$P$1083,1+INT(COUNTA($Q$11:Q1031)/5),0),J1031)</f>
        <v>2</v>
      </c>
      <c r="K1032" s="83" t="str">
        <f ca="1">IF(RIGHT(G1032,13)="rune_slot,1}]",_xlfn.XLOOKUP(LEFT(SUBSTITUTE(G1032,"[{",""),FIND(",",SUBSTITUTE(G1032,"[{",""))-1),Sheet2!B:B,Sheet2!C:C)&amp;"+"&amp;1,_xlfn.XLOOKUP(LEFT(SUBSTITUTE(G1032,"[{",""),FIND(",",SUBSTITUTE(G1032,"[{",""))-1),Sheet2!B:B,Sheet2!C:C)&amp;"+"&amp;SUBSTITUTE(RIGHT(G1032,LEN(G1032)-FIND(",",G1032)),"}]","")/100&amp;"%")</f>
        <v>伤害加成+69.2%</v>
      </c>
      <c r="L1032" s="83" t="str">
        <f ca="1">IF(MOD(COUNTIF($Q$11:Q1031,Q1031),5)=0,OFFSET(装备属性!$G$1083,1+INT(COUNTA($Q$11:Q1031)/5),0),L1031)</f>
        <v>全职小队Ⅲ</v>
      </c>
      <c r="M1032" s="89" t="str">
        <f ca="1">IF(MOD(COUNTIF($Q$11:Q1031,Q1031),5)=0,OFFSET(装备属性!$H$1083,1+INT(COUNTA($Q$11:Q1031)/5),0),M1031)</f>
        <v>global_dmg_rate</v>
      </c>
      <c r="N1032" s="76">
        <f ca="1">IF(MOD(COUNTIF($Q$11:Q1031,Q1031),5)=0,OFFSET(装备属性!$K$1083,1+INT(COUNTA($Q$11:Q1031)/5),0),N1031)</f>
        <v>0.052</v>
      </c>
      <c r="O1032" s="76">
        <f ca="1">IF(MOD(COUNTIF($Q$11:Q1031,Q1031),5)=0,OFFSET(装备属性!$L$1083,1+INT(COUNTA($Q$11:Q1031)/5),0),O1031)</f>
        <v>0.058</v>
      </c>
      <c r="Q1032" s="89" t="str">
        <f ca="1">IF(MOD(COUNTIF($Q$11:Q1031,Q1031),5)=0,OFFSET(装备属性!$M$1083,1+INT(COUNTA($Q$11:Q1031)/5),0),Q1031)</f>
        <v>通用属性</v>
      </c>
      <c r="R1032" s="83" t="e">
        <f ca="1">IF(MOD(COUNTIF($Q$11:Q1031,Q1031),5)=0,10000*SUBSTITUTE(SUBSTITUTE(OFFSET(装备属性!$F$1083,1+INT(COUNTA($Q$11:Q1031)/5),0),"[",""),"]","")+_xlfn.XLOOKUP(C1032,$M$3:$M$7,$N$3:$N$7)*100,R1031)</f>
        <v>#N/A</v>
      </c>
    </row>
    <row r="1033" customHeight="1" spans="1:18">
      <c r="A1033" s="78" t="str">
        <f ca="1" t="shared" si="45"/>
        <v/>
      </c>
      <c r="B1033" s="82" t="str">
        <f ca="1">IFERROR(R1033+COUNTIFS($R$11:$R1033,R1033),"")</f>
        <v/>
      </c>
      <c r="C1033" s="83">
        <f ca="1">IF(MOD(COUNTIF($Q$11:Q1032,Q1032),5)=0,OFFSET(装备属性!$D$1083,1+INT(COUNTA($Q$11:Q1032)/5),0),C1032)</f>
        <v>0</v>
      </c>
      <c r="D1033" s="82">
        <f t="shared" si="47"/>
        <v>2000</v>
      </c>
      <c r="F1033" s="82" t="str">
        <f ca="1" t="shared" si="46"/>
        <v/>
      </c>
      <c r="G1033" s="78" t="str">
        <f ca="1">IF(AND(LEFT("[{"&amp;M1033&amp;","&amp;CEILING(N1033*10000+(O1033-N1033)/4*(COUNTIF($F$11:F1033,F1033)-1)*10000,10)&amp;"}]",7)="[{equip",MID("[{"&amp;M1033&amp;","&amp;CEILING(N1033*10000+(O1033-N1033)/4*(COUNTIF($F$11:F1033,F1033)-1)*10000,10)&amp;"}]",8,1)&lt;&gt;"_"),"[{"&amp;M1033&amp;","&amp;1&amp;"}]","[{"&amp;M1033&amp;","&amp;CEILING(N1033*10000+(O1033-N1033)/4*(COUNTIF($F$11:F1033,F1033)-1)*10000,10)&amp;"}]")</f>
        <v>[{global_dmg_rate,6930}]</v>
      </c>
      <c r="H1033" s="82" t="s">
        <v>563</v>
      </c>
      <c r="J1033" s="78">
        <f ca="1">IF(MOD(COUNTIF($Q$11:Q1032,Q1032),5)=0,OFFSET(装备属性!$P$1083,1+INT(COUNTA($Q$11:Q1032)/5),0),J1032)</f>
        <v>2</v>
      </c>
      <c r="K1033" s="83" t="str">
        <f ca="1">IF(RIGHT(G1033,13)="rune_slot,1}]",_xlfn.XLOOKUP(LEFT(SUBSTITUTE(G1033,"[{",""),FIND(",",SUBSTITUTE(G1033,"[{",""))-1),Sheet2!B:B,Sheet2!C:C)&amp;"+"&amp;1,_xlfn.XLOOKUP(LEFT(SUBSTITUTE(G1033,"[{",""),FIND(",",SUBSTITUTE(G1033,"[{",""))-1),Sheet2!B:B,Sheet2!C:C)&amp;"+"&amp;SUBSTITUTE(RIGHT(G1033,LEN(G1033)-FIND(",",G1033)),"}]","")/100&amp;"%")</f>
        <v>伤害加成+69.3%</v>
      </c>
      <c r="L1033" s="83" t="str">
        <f ca="1">IF(MOD(COUNTIF($Q$11:Q1032,Q1032),5)=0,OFFSET(装备属性!$G$1083,1+INT(COUNTA($Q$11:Q1032)/5),0),L1032)</f>
        <v>全职小队Ⅲ</v>
      </c>
      <c r="M1033" s="89" t="str">
        <f ca="1">IF(MOD(COUNTIF($Q$11:Q1032,Q1032),5)=0,OFFSET(装备属性!$H$1083,1+INT(COUNTA($Q$11:Q1032)/5),0),M1032)</f>
        <v>global_dmg_rate</v>
      </c>
      <c r="N1033" s="76">
        <f ca="1">IF(MOD(COUNTIF($Q$11:Q1032,Q1032),5)=0,OFFSET(装备属性!$K$1083,1+INT(COUNTA($Q$11:Q1032)/5),0),N1032)</f>
        <v>0.052</v>
      </c>
      <c r="O1033" s="76">
        <f ca="1">IF(MOD(COUNTIF($Q$11:Q1032,Q1032),5)=0,OFFSET(装备属性!$L$1083,1+INT(COUNTA($Q$11:Q1032)/5),0),O1032)</f>
        <v>0.058</v>
      </c>
      <c r="Q1033" s="89" t="str">
        <f ca="1">IF(MOD(COUNTIF($Q$11:Q1032,Q1032),5)=0,OFFSET(装备属性!$M$1083,1+INT(COUNTA($Q$11:Q1032)/5),0),Q1032)</f>
        <v>通用属性</v>
      </c>
      <c r="R1033" s="83" t="e">
        <f ca="1">IF(MOD(COUNTIF($Q$11:Q1032,Q1032),5)=0,10000*SUBSTITUTE(SUBSTITUTE(OFFSET(装备属性!$F$1083,1+INT(COUNTA($Q$11:Q1032)/5),0),"[",""),"]","")+_xlfn.XLOOKUP(C1033,$M$3:$M$7,$N$3:$N$7)*100,R1032)</f>
        <v>#N/A</v>
      </c>
    </row>
    <row r="1034" customHeight="1" spans="1:18">
      <c r="A1034" s="78" t="str">
        <f ca="1" t="shared" si="45"/>
        <v/>
      </c>
      <c r="B1034" s="82" t="str">
        <f ca="1">IFERROR(R1034+COUNTIFS($R$11:$R1034,R1034),"")</f>
        <v/>
      </c>
      <c r="C1034" s="83">
        <f ca="1">IF(MOD(COUNTIF($Q$11:Q1033,Q1033),5)=0,OFFSET(装备属性!$D$1083,1+INT(COUNTA($Q$11:Q1033)/5),0),C1033)</f>
        <v>0</v>
      </c>
      <c r="D1034" s="82">
        <f t="shared" si="47"/>
        <v>1500</v>
      </c>
      <c r="F1034" s="82" t="str">
        <f ca="1" t="shared" si="46"/>
        <v/>
      </c>
      <c r="G1034" s="78" t="str">
        <f ca="1">IF(AND(LEFT("[{"&amp;M1034&amp;","&amp;CEILING(N1034*10000+(O1034-N1034)/4*(COUNTIF($F$11:F1034,F1034)-1)*10000,10)&amp;"}]",7)="[{equip",MID("[{"&amp;M1034&amp;","&amp;CEILING(N1034*10000+(O1034-N1034)/4*(COUNTIF($F$11:F1034,F1034)-1)*10000,10)&amp;"}]",8,1)&lt;&gt;"_"),"[{"&amp;M1034&amp;","&amp;1&amp;"}]","[{"&amp;M1034&amp;","&amp;CEILING(N1034*10000+(O1034-N1034)/4*(COUNTIF($F$11:F1034,F1034)-1)*10000,10)&amp;"}]")</f>
        <v>[{global_dmg_rate,6950}]</v>
      </c>
      <c r="H1034" s="82" t="s">
        <v>563</v>
      </c>
      <c r="J1034" s="78">
        <f ca="1">IF(MOD(COUNTIF($Q$11:Q1033,Q1033),5)=0,OFFSET(装备属性!$P$1083,1+INT(COUNTA($Q$11:Q1033)/5),0),J1033)</f>
        <v>2</v>
      </c>
      <c r="K1034" s="83" t="str">
        <f ca="1">IF(RIGHT(G1034,13)="rune_slot,1}]",_xlfn.XLOOKUP(LEFT(SUBSTITUTE(G1034,"[{",""),FIND(",",SUBSTITUTE(G1034,"[{",""))-1),Sheet2!B:B,Sheet2!C:C)&amp;"+"&amp;1,_xlfn.XLOOKUP(LEFT(SUBSTITUTE(G1034,"[{",""),FIND(",",SUBSTITUTE(G1034,"[{",""))-1),Sheet2!B:B,Sheet2!C:C)&amp;"+"&amp;SUBSTITUTE(RIGHT(G1034,LEN(G1034)-FIND(",",G1034)),"}]","")/100&amp;"%")</f>
        <v>伤害加成+69.5%</v>
      </c>
      <c r="L1034" s="83" t="str">
        <f ca="1">IF(MOD(COUNTIF($Q$11:Q1033,Q1033),5)=0,OFFSET(装备属性!$G$1083,1+INT(COUNTA($Q$11:Q1033)/5),0),L1033)</f>
        <v>全职小队Ⅲ</v>
      </c>
      <c r="M1034" s="89" t="str">
        <f ca="1">IF(MOD(COUNTIF($Q$11:Q1033,Q1033),5)=0,OFFSET(装备属性!$H$1083,1+INT(COUNTA($Q$11:Q1033)/5),0),M1033)</f>
        <v>global_dmg_rate</v>
      </c>
      <c r="N1034" s="76">
        <f ca="1">IF(MOD(COUNTIF($Q$11:Q1033,Q1033),5)=0,OFFSET(装备属性!$K$1083,1+INT(COUNTA($Q$11:Q1033)/5),0),N1033)</f>
        <v>0.052</v>
      </c>
      <c r="O1034" s="76">
        <f ca="1">IF(MOD(COUNTIF($Q$11:Q1033,Q1033),5)=0,OFFSET(装备属性!$L$1083,1+INT(COUNTA($Q$11:Q1033)/5),0),O1033)</f>
        <v>0.058</v>
      </c>
      <c r="Q1034" s="89" t="str">
        <f ca="1">IF(MOD(COUNTIF($Q$11:Q1033,Q1033),5)=0,OFFSET(装备属性!$M$1083,1+INT(COUNTA($Q$11:Q1033)/5),0),Q1033)</f>
        <v>通用属性</v>
      </c>
      <c r="R1034" s="83" t="e">
        <f ca="1">IF(MOD(COUNTIF($Q$11:Q1033,Q1033),5)=0,10000*SUBSTITUTE(SUBSTITUTE(OFFSET(装备属性!$F$1083,1+INT(COUNTA($Q$11:Q1033)/5),0),"[",""),"]","")+_xlfn.XLOOKUP(C1034,$M$3:$M$7,$N$3:$N$7)*100,R1033)</f>
        <v>#N/A</v>
      </c>
    </row>
    <row r="1035" customHeight="1" spans="1:18">
      <c r="A1035" s="78" t="str">
        <f ca="1" t="shared" si="45"/>
        <v/>
      </c>
      <c r="B1035" s="82" t="str">
        <f ca="1">IFERROR(R1035+COUNTIFS($R$11:$R1035,R1035),"")</f>
        <v/>
      </c>
      <c r="C1035" s="83">
        <f ca="1">IF(MOD(COUNTIF($Q$11:Q1034,Q1034),5)=0,OFFSET(装备属性!$D$1083,1+INT(COUNTA($Q$11:Q1034)/5),0),C1034)</f>
        <v>0</v>
      </c>
      <c r="D1035" s="82">
        <f t="shared" si="47"/>
        <v>1000</v>
      </c>
      <c r="F1035" s="82" t="str">
        <f ca="1" t="shared" si="46"/>
        <v/>
      </c>
      <c r="G1035" s="78" t="str">
        <f ca="1">IF(AND(LEFT("[{"&amp;M1035&amp;","&amp;CEILING(N1035*10000+(O1035-N1035)/4*(COUNTIF($F$11:F1035,F1035)-1)*10000,10)&amp;"}]",7)="[{equip",MID("[{"&amp;M1035&amp;","&amp;CEILING(N1035*10000+(O1035-N1035)/4*(COUNTIF($F$11:F1035,F1035)-1)*10000,10)&amp;"}]",8,1)&lt;&gt;"_"),"[{"&amp;M1035&amp;","&amp;1&amp;"}]","[{"&amp;M1035&amp;","&amp;CEILING(N1035*10000+(O1035-N1035)/4*(COUNTIF($F$11:F1035,F1035)-1)*10000,10)&amp;"}]")</f>
        <v>[{global_dmg_rate,6960}]</v>
      </c>
      <c r="H1035" s="82" t="s">
        <v>563</v>
      </c>
      <c r="J1035" s="78">
        <f ca="1">IF(MOD(COUNTIF($Q$11:Q1034,Q1034),5)=0,OFFSET(装备属性!$P$1083,1+INT(COUNTA($Q$11:Q1034)/5),0),J1034)</f>
        <v>2</v>
      </c>
      <c r="K1035" s="83" t="str">
        <f ca="1">IF(RIGHT(G1035,13)="rune_slot,1}]",_xlfn.XLOOKUP(LEFT(SUBSTITUTE(G1035,"[{",""),FIND(",",SUBSTITUTE(G1035,"[{",""))-1),Sheet2!B:B,Sheet2!C:C)&amp;"+"&amp;1,_xlfn.XLOOKUP(LEFT(SUBSTITUTE(G1035,"[{",""),FIND(",",SUBSTITUTE(G1035,"[{",""))-1),Sheet2!B:B,Sheet2!C:C)&amp;"+"&amp;SUBSTITUTE(RIGHT(G1035,LEN(G1035)-FIND(",",G1035)),"}]","")/100&amp;"%")</f>
        <v>伤害加成+69.6%</v>
      </c>
      <c r="L1035" s="83" t="str">
        <f ca="1">IF(MOD(COUNTIF($Q$11:Q1034,Q1034),5)=0,OFFSET(装备属性!$G$1083,1+INT(COUNTA($Q$11:Q1034)/5),0),L1034)</f>
        <v>全职小队Ⅲ</v>
      </c>
      <c r="M1035" s="89" t="str">
        <f ca="1">IF(MOD(COUNTIF($Q$11:Q1034,Q1034),5)=0,OFFSET(装备属性!$H$1083,1+INT(COUNTA($Q$11:Q1034)/5),0),M1034)</f>
        <v>global_dmg_rate</v>
      </c>
      <c r="N1035" s="76">
        <f ca="1">IF(MOD(COUNTIF($Q$11:Q1034,Q1034),5)=0,OFFSET(装备属性!$K$1083,1+INT(COUNTA($Q$11:Q1034)/5),0),N1034)</f>
        <v>0.052</v>
      </c>
      <c r="O1035" s="76">
        <f ca="1">IF(MOD(COUNTIF($Q$11:Q1034,Q1034),5)=0,OFFSET(装备属性!$L$1083,1+INT(COUNTA($Q$11:Q1034)/5),0),O1034)</f>
        <v>0.058</v>
      </c>
      <c r="Q1035" s="89" t="str">
        <f ca="1">IF(MOD(COUNTIF($Q$11:Q1034,Q1034),5)=0,OFFSET(装备属性!$M$1083,1+INT(COUNTA($Q$11:Q1034)/5),0),Q1034)</f>
        <v>通用属性</v>
      </c>
      <c r="R1035" s="83" t="e">
        <f ca="1">IF(MOD(COUNTIF($Q$11:Q1034,Q1034),5)=0,10000*SUBSTITUTE(SUBSTITUTE(OFFSET(装备属性!$F$1083,1+INT(COUNTA($Q$11:Q1034)/5),0),"[",""),"]","")+_xlfn.XLOOKUP(C1035,$M$3:$M$7,$N$3:$N$7)*100,R1034)</f>
        <v>#N/A</v>
      </c>
    </row>
    <row r="1036" customHeight="1" spans="1:18">
      <c r="A1036" s="78">
        <f ca="1" t="shared" ref="A1036:A1099" si="48">IFERROR(R1036+IF(Q1036="通用属性",1,IF(Q1036="玩法类",2,IF(Q1036="稀有词条",3,0))),"")</f>
        <v>40601</v>
      </c>
      <c r="B1036" s="82">
        <f ca="1">IFERROR(R1036+COUNTIFS($R$11:$R1036,R1036),"")</f>
        <v>40601</v>
      </c>
      <c r="C1036" s="83" t="str">
        <f ca="1">IF(MOD(COUNTIF($Q$11:Q1035,Q1035),5)=0,OFFSET(装备属性!$D$1083,1+INT(COUNTA($Q$11:Q1035)/5),0),C1035)</f>
        <v>红</v>
      </c>
      <c r="D1036" s="82">
        <f t="shared" si="47"/>
        <v>3000</v>
      </c>
      <c r="F1036" s="82">
        <f ca="1" t="shared" ref="F1036:F1099" si="49">IFERROR(R1036+INT((B1036-R1036-1)/5),"")</f>
        <v>40600</v>
      </c>
      <c r="G1036" s="78" t="str">
        <f ca="1">IF(AND(LEFT("[{"&amp;M1036&amp;","&amp;CEILING(N1036*10000+(O1036-N1036)/4*(COUNTIF($F$11:F1036,F1036)-1)*10000,10)&amp;"}]",7)="[{equip",MID("[{"&amp;M1036&amp;","&amp;CEILING(N1036*10000+(O1036-N1036)/4*(COUNTIF($F$11:F1036,F1036)-1)*10000,10)&amp;"}]",8,1)&lt;&gt;"_"),"[{"&amp;M1036&amp;","&amp;1&amp;"}]","[{"&amp;M1036&amp;","&amp;CEILING(N1036*10000+(O1036-N1036)/4*(COUNTIF($F$11:F1036,F1036)-1)*10000,10)&amp;"}]")</f>
        <v>[{dmg_red_rate,200}]</v>
      </c>
      <c r="H1036" s="82" t="s">
        <v>563</v>
      </c>
      <c r="J1036" s="78">
        <f ca="1">IF(MOD(COUNTIF($Q$11:Q1035,Q1035),5)=0,OFFSET(装备属性!$P$1083,1+INT(COUNTA($Q$11:Q1035)/5),0),J1035)</f>
        <v>6</v>
      </c>
      <c r="K1036" s="83" t="str">
        <f ca="1">IF(RIGHT(G1036,13)="rune_slot,1}]",_xlfn.XLOOKUP(LEFT(SUBSTITUTE(G1036,"[{",""),FIND(",",SUBSTITUTE(G1036,"[{",""))-1),Sheet2!B:B,Sheet2!C:C)&amp;"+"&amp;1,_xlfn.XLOOKUP(LEFT(SUBSTITUTE(G1036,"[{",""),FIND(",",SUBSTITUTE(G1036,"[{",""))-1),Sheet2!B:B,Sheet2!C:C)&amp;"+"&amp;SUBSTITUTE(RIGHT(G1036,LEN(G1036)-FIND(",",G1036)),"}]","")/100&amp;"%")</f>
        <v>伤害减免+2%</v>
      </c>
      <c r="L1036" s="83" t="str">
        <f ca="1">IF(MOD(COUNTIF($Q$11:Q1035,Q1035),5)=0,OFFSET(装备属性!$G$1083,1+INT(COUNTA($Q$11:Q1035)/5),0),L1035)</f>
        <v>全员抗揍Ⅲ</v>
      </c>
      <c r="M1036" s="89" t="str">
        <f ca="1">IF(MOD(COUNTIF($Q$11:Q1035,Q1035),5)=0,OFFSET(装备属性!$H$1083,1+INT(COUNTA($Q$11:Q1035)/5),0),M1035)</f>
        <v>dmg_red_rate</v>
      </c>
      <c r="N1036" s="76">
        <f ca="1">IF(MOD(COUNTIF($Q$11:Q1035,Q1035),5)=0,OFFSET(装备属性!$K$1083,1+INT(COUNTA($Q$11:Q1035)/5),0),N1035)</f>
        <v>0.02</v>
      </c>
      <c r="O1036" s="76">
        <f ca="1">IF(MOD(COUNTIF($Q$11:Q1035,Q1035),5)=0,OFFSET(装备属性!$L$1083,1+INT(COUNTA($Q$11:Q1035)/5),0),O1035)</f>
        <v>0.024</v>
      </c>
      <c r="Q1036" s="89" t="str">
        <f ca="1">IF(MOD(COUNTIF($Q$11:Q1035,Q1035),5)=0,OFFSET(装备属性!$M$1083,1+INT(COUNTA($Q$11:Q1035)/5),0),Q1035)</f>
        <v>通用属性</v>
      </c>
      <c r="R1036" s="83">
        <f ca="1">IF(MOD(COUNTIF($Q$11:Q1035,Q1035),5)=0,10000*SUBSTITUTE(SUBSTITUTE(OFFSET(装备属性!$F$1083,1+INT(COUNTA($Q$11:Q1035)/5),0),"[",""),"]","")+_xlfn.XLOOKUP(C1036,$M$3:$M$7,$N$3:$N$7)*100,R1035)</f>
        <v>40600</v>
      </c>
    </row>
    <row r="1037" customHeight="1" spans="1:18">
      <c r="A1037" s="78">
        <f ca="1" t="shared" si="48"/>
        <v>40601</v>
      </c>
      <c r="B1037" s="82">
        <f ca="1">IFERROR(R1037+COUNTIFS($R$11:$R1037,R1037),"")</f>
        <v>40602</v>
      </c>
      <c r="C1037" s="83" t="str">
        <f ca="1">IF(MOD(COUNTIF($Q$11:Q1036,Q1036),5)=0,OFFSET(装备属性!$D$1083,1+INT(COUNTA($Q$11:Q1036)/5),0),C1036)</f>
        <v>红</v>
      </c>
      <c r="D1037" s="82">
        <f t="shared" si="47"/>
        <v>2500</v>
      </c>
      <c r="F1037" s="82">
        <f ca="1" t="shared" si="49"/>
        <v>40600</v>
      </c>
      <c r="G1037" s="78" t="str">
        <f ca="1">IF(AND(LEFT("[{"&amp;M1037&amp;","&amp;CEILING(N1037*10000+(O1037-N1037)/4*(COUNTIF($F$11:F1037,F1037)-1)*10000,10)&amp;"}]",7)="[{equip",MID("[{"&amp;M1037&amp;","&amp;CEILING(N1037*10000+(O1037-N1037)/4*(COUNTIF($F$11:F1037,F1037)-1)*10000,10)&amp;"}]",8,1)&lt;&gt;"_"),"[{"&amp;M1037&amp;","&amp;1&amp;"}]","[{"&amp;M1037&amp;","&amp;CEILING(N1037*10000+(O1037-N1037)/4*(COUNTIF($F$11:F1037,F1037)-1)*10000,10)&amp;"}]")</f>
        <v>[{dmg_red_rate,210}]</v>
      </c>
      <c r="H1037" s="82" t="s">
        <v>563</v>
      </c>
      <c r="J1037" s="78">
        <f ca="1">IF(MOD(COUNTIF($Q$11:Q1036,Q1036),5)=0,OFFSET(装备属性!$P$1083,1+INT(COUNTA($Q$11:Q1036)/5),0),J1036)</f>
        <v>6</v>
      </c>
      <c r="K1037" s="83" t="str">
        <f ca="1">IF(RIGHT(G1037,13)="rune_slot,1}]",_xlfn.XLOOKUP(LEFT(SUBSTITUTE(G1037,"[{",""),FIND(",",SUBSTITUTE(G1037,"[{",""))-1),Sheet2!B:B,Sheet2!C:C)&amp;"+"&amp;1,_xlfn.XLOOKUP(LEFT(SUBSTITUTE(G1037,"[{",""),FIND(",",SUBSTITUTE(G1037,"[{",""))-1),Sheet2!B:B,Sheet2!C:C)&amp;"+"&amp;SUBSTITUTE(RIGHT(G1037,LEN(G1037)-FIND(",",G1037)),"}]","")/100&amp;"%")</f>
        <v>伤害减免+2.1%</v>
      </c>
      <c r="L1037" s="83" t="str">
        <f ca="1">IF(MOD(COUNTIF($Q$11:Q1036,Q1036),5)=0,OFFSET(装备属性!$G$1083,1+INT(COUNTA($Q$11:Q1036)/5),0),L1036)</f>
        <v>全员抗揍Ⅲ</v>
      </c>
      <c r="M1037" s="89" t="str">
        <f ca="1">IF(MOD(COUNTIF($Q$11:Q1036,Q1036),5)=0,OFFSET(装备属性!$H$1083,1+INT(COUNTA($Q$11:Q1036)/5),0),M1036)</f>
        <v>dmg_red_rate</v>
      </c>
      <c r="N1037" s="76">
        <f ca="1">IF(MOD(COUNTIF($Q$11:Q1036,Q1036),5)=0,OFFSET(装备属性!$K$1083,1+INT(COUNTA($Q$11:Q1036)/5),0),N1036)</f>
        <v>0.02</v>
      </c>
      <c r="O1037" s="76">
        <f ca="1">IF(MOD(COUNTIF($Q$11:Q1036,Q1036),5)=0,OFFSET(装备属性!$L$1083,1+INT(COUNTA($Q$11:Q1036)/5),0),O1036)</f>
        <v>0.024</v>
      </c>
      <c r="Q1037" s="89" t="str">
        <f ca="1">IF(MOD(COUNTIF($Q$11:Q1036,Q1036),5)=0,OFFSET(装备属性!$M$1083,1+INT(COUNTA($Q$11:Q1036)/5),0),Q1036)</f>
        <v>通用属性</v>
      </c>
      <c r="R1037" s="83">
        <f ca="1">IF(MOD(COUNTIF($Q$11:Q1036,Q1036),5)=0,10000*SUBSTITUTE(SUBSTITUTE(OFFSET(装备属性!$F$1083,1+INT(COUNTA($Q$11:Q1036)/5),0),"[",""),"]","")+_xlfn.XLOOKUP(C1037,$M$3:$M$7,$N$3:$N$7)*100,R1036)</f>
        <v>40600</v>
      </c>
    </row>
    <row r="1038" customHeight="1" spans="1:18">
      <c r="A1038" s="78">
        <f ca="1" t="shared" si="48"/>
        <v>40601</v>
      </c>
      <c r="B1038" s="82">
        <f ca="1">IFERROR(R1038+COUNTIFS($R$11:$R1038,R1038),"")</f>
        <v>40603</v>
      </c>
      <c r="C1038" s="83" t="str">
        <f ca="1">IF(MOD(COUNTIF($Q$11:Q1037,Q1037),5)=0,OFFSET(装备属性!$D$1083,1+INT(COUNTA($Q$11:Q1037)/5),0),C1037)</f>
        <v>红</v>
      </c>
      <c r="D1038" s="82">
        <f t="shared" si="47"/>
        <v>2000</v>
      </c>
      <c r="F1038" s="82">
        <f ca="1" t="shared" si="49"/>
        <v>40600</v>
      </c>
      <c r="G1038" s="78" t="str">
        <f ca="1">IF(AND(LEFT("[{"&amp;M1038&amp;","&amp;CEILING(N1038*10000+(O1038-N1038)/4*(COUNTIF($F$11:F1038,F1038)-1)*10000,10)&amp;"}]",7)="[{equip",MID("[{"&amp;M1038&amp;","&amp;CEILING(N1038*10000+(O1038-N1038)/4*(COUNTIF($F$11:F1038,F1038)-1)*10000,10)&amp;"}]",8,1)&lt;&gt;"_"),"[{"&amp;M1038&amp;","&amp;1&amp;"}]","[{"&amp;M1038&amp;","&amp;CEILING(N1038*10000+(O1038-N1038)/4*(COUNTIF($F$11:F1038,F1038)-1)*10000,10)&amp;"}]")</f>
        <v>[{dmg_red_rate,220}]</v>
      </c>
      <c r="H1038" s="82" t="s">
        <v>563</v>
      </c>
      <c r="J1038" s="78">
        <f ca="1">IF(MOD(COUNTIF($Q$11:Q1037,Q1037),5)=0,OFFSET(装备属性!$P$1083,1+INT(COUNTA($Q$11:Q1037)/5),0),J1037)</f>
        <v>6</v>
      </c>
      <c r="K1038" s="83" t="str">
        <f ca="1">IF(RIGHT(G1038,13)="rune_slot,1}]",_xlfn.XLOOKUP(LEFT(SUBSTITUTE(G1038,"[{",""),FIND(",",SUBSTITUTE(G1038,"[{",""))-1),Sheet2!B:B,Sheet2!C:C)&amp;"+"&amp;1,_xlfn.XLOOKUP(LEFT(SUBSTITUTE(G1038,"[{",""),FIND(",",SUBSTITUTE(G1038,"[{",""))-1),Sheet2!B:B,Sheet2!C:C)&amp;"+"&amp;SUBSTITUTE(RIGHT(G1038,LEN(G1038)-FIND(",",G1038)),"}]","")/100&amp;"%")</f>
        <v>伤害减免+2.2%</v>
      </c>
      <c r="L1038" s="83" t="str">
        <f ca="1">IF(MOD(COUNTIF($Q$11:Q1037,Q1037),5)=0,OFFSET(装备属性!$G$1083,1+INT(COUNTA($Q$11:Q1037)/5),0),L1037)</f>
        <v>全员抗揍Ⅲ</v>
      </c>
      <c r="M1038" s="89" t="str">
        <f ca="1">IF(MOD(COUNTIF($Q$11:Q1037,Q1037),5)=0,OFFSET(装备属性!$H$1083,1+INT(COUNTA($Q$11:Q1037)/5),0),M1037)</f>
        <v>dmg_red_rate</v>
      </c>
      <c r="N1038" s="76">
        <f ca="1">IF(MOD(COUNTIF($Q$11:Q1037,Q1037),5)=0,OFFSET(装备属性!$K$1083,1+INT(COUNTA($Q$11:Q1037)/5),0),N1037)</f>
        <v>0.02</v>
      </c>
      <c r="O1038" s="76">
        <f ca="1">IF(MOD(COUNTIF($Q$11:Q1037,Q1037),5)=0,OFFSET(装备属性!$L$1083,1+INT(COUNTA($Q$11:Q1037)/5),0),O1037)</f>
        <v>0.024</v>
      </c>
      <c r="Q1038" s="89" t="str">
        <f ca="1">IF(MOD(COUNTIF($Q$11:Q1037,Q1037),5)=0,OFFSET(装备属性!$M$1083,1+INT(COUNTA($Q$11:Q1037)/5),0),Q1037)</f>
        <v>通用属性</v>
      </c>
      <c r="R1038" s="83">
        <f ca="1">IF(MOD(COUNTIF($Q$11:Q1037,Q1037),5)=0,10000*SUBSTITUTE(SUBSTITUTE(OFFSET(装备属性!$F$1083,1+INT(COUNTA($Q$11:Q1037)/5),0),"[",""),"]","")+_xlfn.XLOOKUP(C1038,$M$3:$M$7,$N$3:$N$7)*100,R1037)</f>
        <v>40600</v>
      </c>
    </row>
    <row r="1039" customHeight="1" spans="1:18">
      <c r="A1039" s="78">
        <f ca="1" t="shared" si="48"/>
        <v>40601</v>
      </c>
      <c r="B1039" s="82">
        <f ca="1">IFERROR(R1039+COUNTIFS($R$11:$R1039,R1039),"")</f>
        <v>40604</v>
      </c>
      <c r="C1039" s="83" t="str">
        <f ca="1">IF(MOD(COUNTIF($Q$11:Q1038,Q1038),5)=0,OFFSET(装备属性!$D$1083,1+INT(COUNTA($Q$11:Q1038)/5),0),C1038)</f>
        <v>红</v>
      </c>
      <c r="D1039" s="82">
        <f t="shared" si="47"/>
        <v>1500</v>
      </c>
      <c r="F1039" s="82">
        <f ca="1" t="shared" si="49"/>
        <v>40600</v>
      </c>
      <c r="G1039" s="78" t="str">
        <f ca="1">IF(AND(LEFT("[{"&amp;M1039&amp;","&amp;CEILING(N1039*10000+(O1039-N1039)/4*(COUNTIF($F$11:F1039,F1039)-1)*10000,10)&amp;"}]",7)="[{equip",MID("[{"&amp;M1039&amp;","&amp;CEILING(N1039*10000+(O1039-N1039)/4*(COUNTIF($F$11:F1039,F1039)-1)*10000,10)&amp;"}]",8,1)&lt;&gt;"_"),"[{"&amp;M1039&amp;","&amp;1&amp;"}]","[{"&amp;M1039&amp;","&amp;CEILING(N1039*10000+(O1039-N1039)/4*(COUNTIF($F$11:F1039,F1039)-1)*10000,10)&amp;"}]")</f>
        <v>[{dmg_red_rate,230}]</v>
      </c>
      <c r="H1039" s="82" t="s">
        <v>563</v>
      </c>
      <c r="J1039" s="78">
        <f ca="1">IF(MOD(COUNTIF($Q$11:Q1038,Q1038),5)=0,OFFSET(装备属性!$P$1083,1+INT(COUNTA($Q$11:Q1038)/5),0),J1038)</f>
        <v>6</v>
      </c>
      <c r="K1039" s="83" t="str">
        <f ca="1">IF(RIGHT(G1039,13)="rune_slot,1}]",_xlfn.XLOOKUP(LEFT(SUBSTITUTE(G1039,"[{",""),FIND(",",SUBSTITUTE(G1039,"[{",""))-1),Sheet2!B:B,Sheet2!C:C)&amp;"+"&amp;1,_xlfn.XLOOKUP(LEFT(SUBSTITUTE(G1039,"[{",""),FIND(",",SUBSTITUTE(G1039,"[{",""))-1),Sheet2!B:B,Sheet2!C:C)&amp;"+"&amp;SUBSTITUTE(RIGHT(G1039,LEN(G1039)-FIND(",",G1039)),"}]","")/100&amp;"%")</f>
        <v>伤害减免+2.3%</v>
      </c>
      <c r="L1039" s="83" t="str">
        <f ca="1">IF(MOD(COUNTIF($Q$11:Q1038,Q1038),5)=0,OFFSET(装备属性!$G$1083,1+INT(COUNTA($Q$11:Q1038)/5),0),L1038)</f>
        <v>全员抗揍Ⅲ</v>
      </c>
      <c r="M1039" s="89" t="str">
        <f ca="1">IF(MOD(COUNTIF($Q$11:Q1038,Q1038),5)=0,OFFSET(装备属性!$H$1083,1+INT(COUNTA($Q$11:Q1038)/5),0),M1038)</f>
        <v>dmg_red_rate</v>
      </c>
      <c r="N1039" s="76">
        <f ca="1">IF(MOD(COUNTIF($Q$11:Q1038,Q1038),5)=0,OFFSET(装备属性!$K$1083,1+INT(COUNTA($Q$11:Q1038)/5),0),N1038)</f>
        <v>0.02</v>
      </c>
      <c r="O1039" s="76">
        <f ca="1">IF(MOD(COUNTIF($Q$11:Q1038,Q1038),5)=0,OFFSET(装备属性!$L$1083,1+INT(COUNTA($Q$11:Q1038)/5),0),O1038)</f>
        <v>0.024</v>
      </c>
      <c r="Q1039" s="89" t="str">
        <f ca="1">IF(MOD(COUNTIF($Q$11:Q1038,Q1038),5)=0,OFFSET(装备属性!$M$1083,1+INT(COUNTA($Q$11:Q1038)/5),0),Q1038)</f>
        <v>通用属性</v>
      </c>
      <c r="R1039" s="83">
        <f ca="1">IF(MOD(COUNTIF($Q$11:Q1038,Q1038),5)=0,10000*SUBSTITUTE(SUBSTITUTE(OFFSET(装备属性!$F$1083,1+INT(COUNTA($Q$11:Q1038)/5),0),"[",""),"]","")+_xlfn.XLOOKUP(C1039,$M$3:$M$7,$N$3:$N$7)*100,R1038)</f>
        <v>40600</v>
      </c>
    </row>
    <row r="1040" customHeight="1" spans="1:18">
      <c r="A1040" s="78">
        <f ca="1" t="shared" si="48"/>
        <v>40601</v>
      </c>
      <c r="B1040" s="82">
        <f ca="1">IFERROR(R1040+COUNTIFS($R$11:$R1040,R1040),"")</f>
        <v>40605</v>
      </c>
      <c r="C1040" s="83" t="str">
        <f ca="1">IF(MOD(COUNTIF($Q$11:Q1039,Q1039),5)=0,OFFSET(装备属性!$D$1083,1+INT(COUNTA($Q$11:Q1039)/5),0),C1039)</f>
        <v>红</v>
      </c>
      <c r="D1040" s="82">
        <f t="shared" si="47"/>
        <v>1000</v>
      </c>
      <c r="F1040" s="82">
        <f ca="1" t="shared" si="49"/>
        <v>40600</v>
      </c>
      <c r="G1040" s="78" t="str">
        <f ca="1">IF(AND(LEFT("[{"&amp;M1040&amp;","&amp;CEILING(N1040*10000+(O1040-N1040)/4*(COUNTIF($F$11:F1040,F1040)-1)*10000,10)&amp;"}]",7)="[{equip",MID("[{"&amp;M1040&amp;","&amp;CEILING(N1040*10000+(O1040-N1040)/4*(COUNTIF($F$11:F1040,F1040)-1)*10000,10)&amp;"}]",8,1)&lt;&gt;"_"),"[{"&amp;M1040&amp;","&amp;1&amp;"}]","[{"&amp;M1040&amp;","&amp;CEILING(N1040*10000+(O1040-N1040)/4*(COUNTIF($F$11:F1040,F1040)-1)*10000,10)&amp;"}]")</f>
        <v>[{dmg_red_rate,240}]</v>
      </c>
      <c r="H1040" s="82" t="s">
        <v>563</v>
      </c>
      <c r="J1040" s="78">
        <f ca="1">IF(MOD(COUNTIF($Q$11:Q1039,Q1039),5)=0,OFFSET(装备属性!$P$1083,1+INT(COUNTA($Q$11:Q1039)/5),0),J1039)</f>
        <v>6</v>
      </c>
      <c r="K1040" s="83" t="str">
        <f ca="1">IF(RIGHT(G1040,13)="rune_slot,1}]",_xlfn.XLOOKUP(LEFT(SUBSTITUTE(G1040,"[{",""),FIND(",",SUBSTITUTE(G1040,"[{",""))-1),Sheet2!B:B,Sheet2!C:C)&amp;"+"&amp;1,_xlfn.XLOOKUP(LEFT(SUBSTITUTE(G1040,"[{",""),FIND(",",SUBSTITUTE(G1040,"[{",""))-1),Sheet2!B:B,Sheet2!C:C)&amp;"+"&amp;SUBSTITUTE(RIGHT(G1040,LEN(G1040)-FIND(",",G1040)),"}]","")/100&amp;"%")</f>
        <v>伤害减免+2.4%</v>
      </c>
      <c r="L1040" s="83" t="str">
        <f ca="1">IF(MOD(COUNTIF($Q$11:Q1039,Q1039),5)=0,OFFSET(装备属性!$G$1083,1+INT(COUNTA($Q$11:Q1039)/5),0),L1039)</f>
        <v>全员抗揍Ⅲ</v>
      </c>
      <c r="M1040" s="89" t="str">
        <f ca="1">IF(MOD(COUNTIF($Q$11:Q1039,Q1039),5)=0,OFFSET(装备属性!$H$1083,1+INT(COUNTA($Q$11:Q1039)/5),0),M1039)</f>
        <v>dmg_red_rate</v>
      </c>
      <c r="N1040" s="76">
        <f ca="1">IF(MOD(COUNTIF($Q$11:Q1039,Q1039),5)=0,OFFSET(装备属性!$K$1083,1+INT(COUNTA($Q$11:Q1039)/5),0),N1039)</f>
        <v>0.02</v>
      </c>
      <c r="O1040" s="76">
        <f ca="1">IF(MOD(COUNTIF($Q$11:Q1039,Q1039),5)=0,OFFSET(装备属性!$L$1083,1+INT(COUNTA($Q$11:Q1039)/5),0),O1039)</f>
        <v>0.024</v>
      </c>
      <c r="Q1040" s="89" t="str">
        <f ca="1">IF(MOD(COUNTIF($Q$11:Q1039,Q1039),5)=0,OFFSET(装备属性!$M$1083,1+INT(COUNTA($Q$11:Q1039)/5),0),Q1039)</f>
        <v>通用属性</v>
      </c>
      <c r="R1040" s="83">
        <f ca="1">IF(MOD(COUNTIF($Q$11:Q1039,Q1039),5)=0,10000*SUBSTITUTE(SUBSTITUTE(OFFSET(装备属性!$F$1083,1+INT(COUNTA($Q$11:Q1039)/5),0),"[",""),"]","")+_xlfn.XLOOKUP(C1040,$M$3:$M$7,$N$3:$N$7)*100,R1039)</f>
        <v>40600</v>
      </c>
    </row>
    <row r="1041" customHeight="1" spans="1:18">
      <c r="A1041" s="78">
        <f ca="1" t="shared" si="48"/>
        <v>40601</v>
      </c>
      <c r="B1041" s="82">
        <f ca="1">IFERROR(R1041+COUNTIFS($R$11:$R1041,R1041),"")</f>
        <v>40606</v>
      </c>
      <c r="C1041" s="83" t="str">
        <f ca="1">IF(MOD(COUNTIF($Q$11:Q1040,Q1040),5)=0,OFFSET(装备属性!$D$1083,1+INT(COUNTA($Q$11:Q1040)/5),0),C1040)</f>
        <v>红</v>
      </c>
      <c r="D1041" s="82">
        <f t="shared" ref="D1041:D1104" si="50">D1036</f>
        <v>3000</v>
      </c>
      <c r="F1041" s="82">
        <f ca="1" t="shared" si="49"/>
        <v>40601</v>
      </c>
      <c r="G1041" s="78" t="str">
        <f ca="1">IF(AND(LEFT("[{"&amp;M1041&amp;","&amp;CEILING(N1041*10000+(O1041-N1041)/4*(COUNTIF($F$11:F1041,F1041)-1)*10000,10)&amp;"}]",7)="[{equip",MID("[{"&amp;M1041&amp;","&amp;CEILING(N1041*10000+(O1041-N1041)/4*(COUNTIF($F$11:F1041,F1041)-1)*10000,10)&amp;"}]",8,1)&lt;&gt;"_"),"[{"&amp;M1041&amp;","&amp;1&amp;"}]","[{"&amp;M1041&amp;","&amp;CEILING(N1041*10000+(O1041-N1041)/4*(COUNTIF($F$11:F1041,F1041)-1)*10000,10)&amp;"}]")</f>
        <v>[{all_class_dmg,520}]</v>
      </c>
      <c r="H1041" s="82" t="s">
        <v>563</v>
      </c>
      <c r="J1041" s="78">
        <f ca="1">IF(MOD(COUNTIF($Q$11:Q1040,Q1040),5)=0,OFFSET(装备属性!$P$1083,1+INT(COUNTA($Q$11:Q1040)/5),0),J1040)</f>
        <v>2</v>
      </c>
      <c r="K1041" s="83" t="str">
        <f ca="1">IF(RIGHT(G1041,13)="rune_slot,1}]",_xlfn.XLOOKUP(LEFT(SUBSTITUTE(G1041,"[{",""),FIND(",",SUBSTITUTE(G1041,"[{",""))-1),Sheet2!B:B,Sheet2!C:C)&amp;"+"&amp;1,_xlfn.XLOOKUP(LEFT(SUBSTITUTE(G1041,"[{",""),FIND(",",SUBSTITUTE(G1041,"[{",""))-1),Sheet2!B:B,Sheet2!C:C)&amp;"+"&amp;SUBSTITUTE(RIGHT(G1041,LEN(G1041)-FIND(",",G1041)),"}]","")/100&amp;"%")</f>
        <v>上阵五个不同职业增伤+5.2%</v>
      </c>
      <c r="L1041" s="83" t="str">
        <f ca="1">IF(MOD(COUNTIF($Q$11:Q1040,Q1040),5)=0,OFFSET(装备属性!$G$1083,1+INT(COUNTA($Q$11:Q1040)/5),0),L1040)</f>
        <v>全员出力Ⅲ</v>
      </c>
      <c r="M1041" s="89" t="str">
        <f ca="1">IF(MOD(COUNTIF($Q$11:Q1040,Q1040),5)=0,OFFSET(装备属性!$H$1083,1+INT(COUNTA($Q$11:Q1040)/5),0),M1040)</f>
        <v>all_class_dmg</v>
      </c>
      <c r="N1041" s="76">
        <f ca="1">IF(MOD(COUNTIF($Q$11:Q1040,Q1040),5)=0,OFFSET(装备属性!$K$1083,1+INT(COUNTA($Q$11:Q1040)/5),0),N1040)</f>
        <v>0.052</v>
      </c>
      <c r="O1041" s="76">
        <f ca="1">IF(MOD(COUNTIF($Q$11:Q1040,Q1040),5)=0,OFFSET(装备属性!$L$1083,1+INT(COUNTA($Q$11:Q1040)/5),0),O1040)</f>
        <v>0.058</v>
      </c>
      <c r="Q1041" s="89" t="str">
        <f ca="1">IF(MOD(COUNTIF($Q$11:Q1040,Q1040),5)=0,OFFSET(装备属性!$M$1083,1+INT(COUNTA($Q$11:Q1040)/5),0),Q1040)</f>
        <v>通用属性</v>
      </c>
      <c r="R1041" s="83">
        <f ca="1">IF(MOD(COUNTIF($Q$11:Q1040,Q1040),5)=0,10000*SUBSTITUTE(SUBSTITUTE(OFFSET(装备属性!$F$1083,1+INT(COUNTA($Q$11:Q1040)/5),0),"[",""),"]","")+_xlfn.XLOOKUP(C1041,$M$3:$M$7,$N$3:$N$7)*100,R1040)</f>
        <v>40600</v>
      </c>
    </row>
    <row r="1042" customHeight="1" spans="1:18">
      <c r="A1042" s="78">
        <f ca="1" t="shared" si="48"/>
        <v>40601</v>
      </c>
      <c r="B1042" s="82">
        <f ca="1">IFERROR(R1042+COUNTIFS($R$11:$R1042,R1042),"")</f>
        <v>40607</v>
      </c>
      <c r="C1042" s="83" t="str">
        <f ca="1">IF(MOD(COUNTIF($Q$11:Q1041,Q1041),5)=0,OFFSET(装备属性!$D$1083,1+INT(COUNTA($Q$11:Q1041)/5),0),C1041)</f>
        <v>红</v>
      </c>
      <c r="D1042" s="82">
        <f t="shared" si="50"/>
        <v>2500</v>
      </c>
      <c r="F1042" s="82">
        <f ca="1" t="shared" si="49"/>
        <v>40601</v>
      </c>
      <c r="G1042" s="78" t="str">
        <f ca="1">IF(AND(LEFT("[{"&amp;M1042&amp;","&amp;CEILING(N1042*10000+(O1042-N1042)/4*(COUNTIF($F$11:F1042,F1042)-1)*10000,10)&amp;"}]",7)="[{equip",MID("[{"&amp;M1042&amp;","&amp;CEILING(N1042*10000+(O1042-N1042)/4*(COUNTIF($F$11:F1042,F1042)-1)*10000,10)&amp;"}]",8,1)&lt;&gt;"_"),"[{"&amp;M1042&amp;","&amp;1&amp;"}]","[{"&amp;M1042&amp;","&amp;CEILING(N1042*10000+(O1042-N1042)/4*(COUNTIF($F$11:F1042,F1042)-1)*10000,10)&amp;"}]")</f>
        <v>[{all_class_dmg,540}]</v>
      </c>
      <c r="H1042" s="82" t="s">
        <v>563</v>
      </c>
      <c r="J1042" s="78">
        <f ca="1">IF(MOD(COUNTIF($Q$11:Q1041,Q1041),5)=0,OFFSET(装备属性!$P$1083,1+INT(COUNTA($Q$11:Q1041)/5),0),J1041)</f>
        <v>2</v>
      </c>
      <c r="K1042" s="83" t="str">
        <f ca="1">IF(RIGHT(G1042,13)="rune_slot,1}]",_xlfn.XLOOKUP(LEFT(SUBSTITUTE(G1042,"[{",""),FIND(",",SUBSTITUTE(G1042,"[{",""))-1),Sheet2!B:B,Sheet2!C:C)&amp;"+"&amp;1,_xlfn.XLOOKUP(LEFT(SUBSTITUTE(G1042,"[{",""),FIND(",",SUBSTITUTE(G1042,"[{",""))-1),Sheet2!B:B,Sheet2!C:C)&amp;"+"&amp;SUBSTITUTE(RIGHT(G1042,LEN(G1042)-FIND(",",G1042)),"}]","")/100&amp;"%")</f>
        <v>上阵五个不同职业增伤+5.4%</v>
      </c>
      <c r="L1042" s="83" t="str">
        <f ca="1">IF(MOD(COUNTIF($Q$11:Q1041,Q1041),5)=0,OFFSET(装备属性!$G$1083,1+INT(COUNTA($Q$11:Q1041)/5),0),L1041)</f>
        <v>全员出力Ⅲ</v>
      </c>
      <c r="M1042" s="89" t="str">
        <f ca="1">IF(MOD(COUNTIF($Q$11:Q1041,Q1041),5)=0,OFFSET(装备属性!$H$1083,1+INT(COUNTA($Q$11:Q1041)/5),0),M1041)</f>
        <v>all_class_dmg</v>
      </c>
      <c r="N1042" s="76">
        <f ca="1">IF(MOD(COUNTIF($Q$11:Q1041,Q1041),5)=0,OFFSET(装备属性!$K$1083,1+INT(COUNTA($Q$11:Q1041)/5),0),N1041)</f>
        <v>0.052</v>
      </c>
      <c r="O1042" s="76">
        <f ca="1">IF(MOD(COUNTIF($Q$11:Q1041,Q1041),5)=0,OFFSET(装备属性!$L$1083,1+INT(COUNTA($Q$11:Q1041)/5),0),O1041)</f>
        <v>0.058</v>
      </c>
      <c r="Q1042" s="89" t="str">
        <f ca="1">IF(MOD(COUNTIF($Q$11:Q1041,Q1041),5)=0,OFFSET(装备属性!$M$1083,1+INT(COUNTA($Q$11:Q1041)/5),0),Q1041)</f>
        <v>通用属性</v>
      </c>
      <c r="R1042" s="83">
        <f ca="1">IF(MOD(COUNTIF($Q$11:Q1041,Q1041),5)=0,10000*SUBSTITUTE(SUBSTITUTE(OFFSET(装备属性!$F$1083,1+INT(COUNTA($Q$11:Q1041)/5),0),"[",""),"]","")+_xlfn.XLOOKUP(C1042,$M$3:$M$7,$N$3:$N$7)*100,R1041)</f>
        <v>40600</v>
      </c>
    </row>
    <row r="1043" customHeight="1" spans="1:18">
      <c r="A1043" s="78">
        <f ca="1" t="shared" si="48"/>
        <v>40601</v>
      </c>
      <c r="B1043" s="82">
        <f ca="1">IFERROR(R1043+COUNTIFS($R$11:$R1043,R1043),"")</f>
        <v>40608</v>
      </c>
      <c r="C1043" s="83" t="str">
        <f ca="1">IF(MOD(COUNTIF($Q$11:Q1042,Q1042),5)=0,OFFSET(装备属性!$D$1083,1+INT(COUNTA($Q$11:Q1042)/5),0),C1042)</f>
        <v>红</v>
      </c>
      <c r="D1043" s="82">
        <f t="shared" si="50"/>
        <v>2000</v>
      </c>
      <c r="F1043" s="82">
        <f ca="1" t="shared" si="49"/>
        <v>40601</v>
      </c>
      <c r="G1043" s="78" t="str">
        <f ca="1">IF(AND(LEFT("[{"&amp;M1043&amp;","&amp;CEILING(N1043*10000+(O1043-N1043)/4*(COUNTIF($F$11:F1043,F1043)-1)*10000,10)&amp;"}]",7)="[{equip",MID("[{"&amp;M1043&amp;","&amp;CEILING(N1043*10000+(O1043-N1043)/4*(COUNTIF($F$11:F1043,F1043)-1)*10000,10)&amp;"}]",8,1)&lt;&gt;"_"),"[{"&amp;M1043&amp;","&amp;1&amp;"}]","[{"&amp;M1043&amp;","&amp;CEILING(N1043*10000+(O1043-N1043)/4*(COUNTIF($F$11:F1043,F1043)-1)*10000,10)&amp;"}]")</f>
        <v>[{all_class_dmg,550}]</v>
      </c>
      <c r="H1043" s="82" t="s">
        <v>563</v>
      </c>
      <c r="J1043" s="78">
        <f ca="1">IF(MOD(COUNTIF($Q$11:Q1042,Q1042),5)=0,OFFSET(装备属性!$P$1083,1+INT(COUNTA($Q$11:Q1042)/5),0),J1042)</f>
        <v>2</v>
      </c>
      <c r="K1043" s="83" t="str">
        <f ca="1">IF(RIGHT(G1043,13)="rune_slot,1}]",_xlfn.XLOOKUP(LEFT(SUBSTITUTE(G1043,"[{",""),FIND(",",SUBSTITUTE(G1043,"[{",""))-1),Sheet2!B:B,Sheet2!C:C)&amp;"+"&amp;1,_xlfn.XLOOKUP(LEFT(SUBSTITUTE(G1043,"[{",""),FIND(",",SUBSTITUTE(G1043,"[{",""))-1),Sheet2!B:B,Sheet2!C:C)&amp;"+"&amp;SUBSTITUTE(RIGHT(G1043,LEN(G1043)-FIND(",",G1043)),"}]","")/100&amp;"%")</f>
        <v>上阵五个不同职业增伤+5.5%</v>
      </c>
      <c r="L1043" s="83" t="str">
        <f ca="1">IF(MOD(COUNTIF($Q$11:Q1042,Q1042),5)=0,OFFSET(装备属性!$G$1083,1+INT(COUNTA($Q$11:Q1042)/5),0),L1042)</f>
        <v>全员出力Ⅲ</v>
      </c>
      <c r="M1043" s="89" t="str">
        <f ca="1">IF(MOD(COUNTIF($Q$11:Q1042,Q1042),5)=0,OFFSET(装备属性!$H$1083,1+INT(COUNTA($Q$11:Q1042)/5),0),M1042)</f>
        <v>all_class_dmg</v>
      </c>
      <c r="N1043" s="76">
        <f ca="1">IF(MOD(COUNTIF($Q$11:Q1042,Q1042),5)=0,OFFSET(装备属性!$K$1083,1+INT(COUNTA($Q$11:Q1042)/5),0),N1042)</f>
        <v>0.052</v>
      </c>
      <c r="O1043" s="76">
        <f ca="1">IF(MOD(COUNTIF($Q$11:Q1042,Q1042),5)=0,OFFSET(装备属性!$L$1083,1+INT(COUNTA($Q$11:Q1042)/5),0),O1042)</f>
        <v>0.058</v>
      </c>
      <c r="Q1043" s="89" t="str">
        <f ca="1">IF(MOD(COUNTIF($Q$11:Q1042,Q1042),5)=0,OFFSET(装备属性!$M$1083,1+INT(COUNTA($Q$11:Q1042)/5),0),Q1042)</f>
        <v>通用属性</v>
      </c>
      <c r="R1043" s="83">
        <f ca="1">IF(MOD(COUNTIF($Q$11:Q1042,Q1042),5)=0,10000*SUBSTITUTE(SUBSTITUTE(OFFSET(装备属性!$F$1083,1+INT(COUNTA($Q$11:Q1042)/5),0),"[",""),"]","")+_xlfn.XLOOKUP(C1043,$M$3:$M$7,$N$3:$N$7)*100,R1042)</f>
        <v>40600</v>
      </c>
    </row>
    <row r="1044" customHeight="1" spans="1:18">
      <c r="A1044" s="78">
        <f ca="1" t="shared" si="48"/>
        <v>40601</v>
      </c>
      <c r="B1044" s="82">
        <f ca="1">IFERROR(R1044+COUNTIFS($R$11:$R1044,R1044),"")</f>
        <v>40609</v>
      </c>
      <c r="C1044" s="83" t="str">
        <f ca="1">IF(MOD(COUNTIF($Q$11:Q1043,Q1043),5)=0,OFFSET(装备属性!$D$1083,1+INT(COUNTA($Q$11:Q1043)/5),0),C1043)</f>
        <v>红</v>
      </c>
      <c r="D1044" s="82">
        <f t="shared" si="50"/>
        <v>1500</v>
      </c>
      <c r="F1044" s="82">
        <f ca="1" t="shared" si="49"/>
        <v>40601</v>
      </c>
      <c r="G1044" s="78" t="str">
        <f ca="1">IF(AND(LEFT("[{"&amp;M1044&amp;","&amp;CEILING(N1044*10000+(O1044-N1044)/4*(COUNTIF($F$11:F1044,F1044)-1)*10000,10)&amp;"}]",7)="[{equip",MID("[{"&amp;M1044&amp;","&amp;CEILING(N1044*10000+(O1044-N1044)/4*(COUNTIF($F$11:F1044,F1044)-1)*10000,10)&amp;"}]",8,1)&lt;&gt;"_"),"[{"&amp;M1044&amp;","&amp;1&amp;"}]","[{"&amp;M1044&amp;","&amp;CEILING(N1044*10000+(O1044-N1044)/4*(COUNTIF($F$11:F1044,F1044)-1)*10000,10)&amp;"}]")</f>
        <v>[{all_class_dmg,570}]</v>
      </c>
      <c r="H1044" s="82" t="s">
        <v>563</v>
      </c>
      <c r="J1044" s="78">
        <f ca="1">IF(MOD(COUNTIF($Q$11:Q1043,Q1043),5)=0,OFFSET(装备属性!$P$1083,1+INT(COUNTA($Q$11:Q1043)/5),0),J1043)</f>
        <v>2</v>
      </c>
      <c r="K1044" s="83" t="str">
        <f ca="1">IF(RIGHT(G1044,13)="rune_slot,1}]",_xlfn.XLOOKUP(LEFT(SUBSTITUTE(G1044,"[{",""),FIND(",",SUBSTITUTE(G1044,"[{",""))-1),Sheet2!B:B,Sheet2!C:C)&amp;"+"&amp;1,_xlfn.XLOOKUP(LEFT(SUBSTITUTE(G1044,"[{",""),FIND(",",SUBSTITUTE(G1044,"[{",""))-1),Sheet2!B:B,Sheet2!C:C)&amp;"+"&amp;SUBSTITUTE(RIGHT(G1044,LEN(G1044)-FIND(",",G1044)),"}]","")/100&amp;"%")</f>
        <v>上阵五个不同职业增伤+5.7%</v>
      </c>
      <c r="L1044" s="83" t="str">
        <f ca="1">IF(MOD(COUNTIF($Q$11:Q1043,Q1043),5)=0,OFFSET(装备属性!$G$1083,1+INT(COUNTA($Q$11:Q1043)/5),0),L1043)</f>
        <v>全员出力Ⅲ</v>
      </c>
      <c r="M1044" s="89" t="str">
        <f ca="1">IF(MOD(COUNTIF($Q$11:Q1043,Q1043),5)=0,OFFSET(装备属性!$H$1083,1+INT(COUNTA($Q$11:Q1043)/5),0),M1043)</f>
        <v>all_class_dmg</v>
      </c>
      <c r="N1044" s="76">
        <f ca="1">IF(MOD(COUNTIF($Q$11:Q1043,Q1043),5)=0,OFFSET(装备属性!$K$1083,1+INT(COUNTA($Q$11:Q1043)/5),0),N1043)</f>
        <v>0.052</v>
      </c>
      <c r="O1044" s="76">
        <f ca="1">IF(MOD(COUNTIF($Q$11:Q1043,Q1043),5)=0,OFFSET(装备属性!$L$1083,1+INT(COUNTA($Q$11:Q1043)/5),0),O1043)</f>
        <v>0.058</v>
      </c>
      <c r="Q1044" s="89" t="str">
        <f ca="1">IF(MOD(COUNTIF($Q$11:Q1043,Q1043),5)=0,OFFSET(装备属性!$M$1083,1+INT(COUNTA($Q$11:Q1043)/5),0),Q1043)</f>
        <v>通用属性</v>
      </c>
      <c r="R1044" s="83">
        <f ca="1">IF(MOD(COUNTIF($Q$11:Q1043,Q1043),5)=0,10000*SUBSTITUTE(SUBSTITUTE(OFFSET(装备属性!$F$1083,1+INT(COUNTA($Q$11:Q1043)/5),0),"[",""),"]","")+_xlfn.XLOOKUP(C1044,$M$3:$M$7,$N$3:$N$7)*100,R1043)</f>
        <v>40600</v>
      </c>
    </row>
    <row r="1045" customHeight="1" spans="1:18">
      <c r="A1045" s="78">
        <f ca="1" t="shared" si="48"/>
        <v>40601</v>
      </c>
      <c r="B1045" s="82">
        <f ca="1">IFERROR(R1045+COUNTIFS($R$11:$R1045,R1045),"")</f>
        <v>40610</v>
      </c>
      <c r="C1045" s="83" t="str">
        <f ca="1">IF(MOD(COUNTIF($Q$11:Q1044,Q1044),5)=0,OFFSET(装备属性!$D$1083,1+INT(COUNTA($Q$11:Q1044)/5),0),C1044)</f>
        <v>红</v>
      </c>
      <c r="D1045" s="82">
        <f t="shared" si="50"/>
        <v>1000</v>
      </c>
      <c r="F1045" s="82">
        <f ca="1" t="shared" si="49"/>
        <v>40601</v>
      </c>
      <c r="G1045" s="78" t="str">
        <f ca="1">IF(AND(LEFT("[{"&amp;M1045&amp;","&amp;CEILING(N1045*10000+(O1045-N1045)/4*(COUNTIF($F$11:F1045,F1045)-1)*10000,10)&amp;"}]",7)="[{equip",MID("[{"&amp;M1045&amp;","&amp;CEILING(N1045*10000+(O1045-N1045)/4*(COUNTIF($F$11:F1045,F1045)-1)*10000,10)&amp;"}]",8,1)&lt;&gt;"_"),"[{"&amp;M1045&amp;","&amp;1&amp;"}]","[{"&amp;M1045&amp;","&amp;CEILING(N1045*10000+(O1045-N1045)/4*(COUNTIF($F$11:F1045,F1045)-1)*10000,10)&amp;"}]")</f>
        <v>[{all_class_dmg,580}]</v>
      </c>
      <c r="H1045" s="82" t="s">
        <v>563</v>
      </c>
      <c r="J1045" s="78">
        <f ca="1">IF(MOD(COUNTIF($Q$11:Q1044,Q1044),5)=0,OFFSET(装备属性!$P$1083,1+INT(COUNTA($Q$11:Q1044)/5),0),J1044)</f>
        <v>2</v>
      </c>
      <c r="K1045" s="83" t="str">
        <f ca="1">IF(RIGHT(G1045,13)="rune_slot,1}]",_xlfn.XLOOKUP(LEFT(SUBSTITUTE(G1045,"[{",""),FIND(",",SUBSTITUTE(G1045,"[{",""))-1),Sheet2!B:B,Sheet2!C:C)&amp;"+"&amp;1,_xlfn.XLOOKUP(LEFT(SUBSTITUTE(G1045,"[{",""),FIND(",",SUBSTITUTE(G1045,"[{",""))-1),Sheet2!B:B,Sheet2!C:C)&amp;"+"&amp;SUBSTITUTE(RIGHT(G1045,LEN(G1045)-FIND(",",G1045)),"}]","")/100&amp;"%")</f>
        <v>上阵五个不同职业增伤+5.8%</v>
      </c>
      <c r="L1045" s="83" t="str">
        <f ca="1">IF(MOD(COUNTIF($Q$11:Q1044,Q1044),5)=0,OFFSET(装备属性!$G$1083,1+INT(COUNTA($Q$11:Q1044)/5),0),L1044)</f>
        <v>全员出力Ⅲ</v>
      </c>
      <c r="M1045" s="89" t="str">
        <f ca="1">IF(MOD(COUNTIF($Q$11:Q1044,Q1044),5)=0,OFFSET(装备属性!$H$1083,1+INT(COUNTA($Q$11:Q1044)/5),0),M1044)</f>
        <v>all_class_dmg</v>
      </c>
      <c r="N1045" s="76">
        <f ca="1">IF(MOD(COUNTIF($Q$11:Q1044,Q1044),5)=0,OFFSET(装备属性!$K$1083,1+INT(COUNTA($Q$11:Q1044)/5),0),N1044)</f>
        <v>0.052</v>
      </c>
      <c r="O1045" s="76">
        <f ca="1">IF(MOD(COUNTIF($Q$11:Q1044,Q1044),5)=0,OFFSET(装备属性!$L$1083,1+INT(COUNTA($Q$11:Q1044)/5),0),O1044)</f>
        <v>0.058</v>
      </c>
      <c r="Q1045" s="89" t="str">
        <f ca="1">IF(MOD(COUNTIF($Q$11:Q1044,Q1044),5)=0,OFFSET(装备属性!$M$1083,1+INT(COUNTA($Q$11:Q1044)/5),0),Q1044)</f>
        <v>通用属性</v>
      </c>
      <c r="R1045" s="83">
        <f ca="1">IF(MOD(COUNTIF($Q$11:Q1044,Q1044),5)=0,10000*SUBSTITUTE(SUBSTITUTE(OFFSET(装备属性!$F$1083,1+INT(COUNTA($Q$11:Q1044)/5),0),"[",""),"]","")+_xlfn.XLOOKUP(C1045,$M$3:$M$7,$N$3:$N$7)*100,R1044)</f>
        <v>40600</v>
      </c>
    </row>
    <row r="1046" customHeight="1" spans="1:18">
      <c r="A1046" s="78" t="str">
        <f ca="1" t="shared" si="48"/>
        <v/>
      </c>
      <c r="B1046" s="82" t="str">
        <f ca="1">IFERROR(R1046+COUNTIFS($R$11:$R1046,R1046),"")</f>
        <v/>
      </c>
      <c r="C1046" s="83">
        <f ca="1">IF(MOD(COUNTIF($Q$11:Q1045,Q1045),5)=0,OFFSET(装备属性!$D$1083,1+INT(COUNTA($Q$11:Q1045)/5),0),C1045)</f>
        <v>0</v>
      </c>
      <c r="D1046" s="82">
        <f t="shared" si="50"/>
        <v>3000</v>
      </c>
      <c r="F1046" s="82" t="str">
        <f ca="1" t="shared" si="49"/>
        <v/>
      </c>
      <c r="G1046" s="78" t="str">
        <f ca="1">IF(AND(LEFT("[{"&amp;M1046&amp;","&amp;CEILING(N1046*10000+(O1046-N1046)/4*(COUNTIF($F$11:F1046,F1046)-1)*10000,10)&amp;"}]",7)="[{equip",MID("[{"&amp;M1046&amp;","&amp;CEILING(N1046*10000+(O1046-N1046)/4*(COUNTIF($F$11:F1046,F1046)-1)*10000,10)&amp;"}]",8,1)&lt;&gt;"_"),"[{"&amp;M1046&amp;","&amp;1&amp;"}]","[{"&amp;M1046&amp;","&amp;CEILING(N1046*10000+(O1046-N1046)/4*(COUNTIF($F$11:F1046,F1046)-1)*10000,10)&amp;"}]")</f>
        <v>[{exp_boost,2000}]</v>
      </c>
      <c r="H1046" s="82" t="s">
        <v>563</v>
      </c>
      <c r="J1046" s="78">
        <f ca="1">IF(MOD(COUNTIF($Q$11:Q1045,Q1045),5)=0,OFFSET(装备属性!$P$1083,1+INT(COUNTA($Q$11:Q1045)/5),0),J1045)</f>
        <v>9</v>
      </c>
      <c r="K1046" s="83" t="str">
        <f ca="1">IF(RIGHT(G1046,13)="rune_slot,1}]",_xlfn.XLOOKUP(LEFT(SUBSTITUTE(G1046,"[{",""),FIND(",",SUBSTITUTE(G1046,"[{",""))-1),Sheet2!B:B,Sheet2!C:C)&amp;"+"&amp;1,_xlfn.XLOOKUP(LEFT(SUBSTITUTE(G1046,"[{",""),FIND(",",SUBSTITUTE(G1046,"[{",""))-1),Sheet2!B:B,Sheet2!C:C)&amp;"+"&amp;SUBSTITUTE(RIGHT(G1046,LEN(G1046)-FIND(",",G1046)),"}]","")/100&amp;"%")</f>
        <v>经验加成+20%</v>
      </c>
      <c r="L1046" s="83" t="str">
        <f ca="1">IF(MOD(COUNTIF($Q$11:Q1045,Q1045),5)=0,OFFSET(装备属性!$G$1083,1+INT(COUNTA($Q$11:Q1045)/5),0),L1045)</f>
        <v>涨见识</v>
      </c>
      <c r="M1046" s="89" t="str">
        <f ca="1">IF(MOD(COUNTIF($Q$11:Q1045,Q1045),5)=0,OFFSET(装备属性!$H$1083,1+INT(COUNTA($Q$11:Q1045)/5),0),M1045)</f>
        <v>exp_boost</v>
      </c>
      <c r="N1046" s="76">
        <f ca="1">IF(MOD(COUNTIF($Q$11:Q1045,Q1045),5)=0,OFFSET(装备属性!$K$1083,1+INT(COUNTA($Q$11:Q1045)/5),0),N1045)</f>
        <v>0.2</v>
      </c>
      <c r="O1046" s="76">
        <f ca="1">IF(MOD(COUNTIF($Q$11:Q1045,Q1045),5)=0,OFFSET(装备属性!$L$1083,1+INT(COUNTA($Q$11:Q1045)/5),0),O1045)</f>
        <v>0.2</v>
      </c>
      <c r="Q1046" s="89" t="str">
        <f ca="1">IF(MOD(COUNTIF($Q$11:Q1045,Q1045),5)=0,OFFSET(装备属性!$M$1083,1+INT(COUNTA($Q$11:Q1045)/5),0),Q1045)</f>
        <v>稀有词条</v>
      </c>
      <c r="R1046" s="83" t="e">
        <f ca="1">IF(MOD(COUNTIF($Q$11:Q1045,Q1045),5)=0,10000*SUBSTITUTE(SUBSTITUTE(OFFSET(装备属性!$F$1083,1+INT(COUNTA($Q$11:Q1045)/5),0),"[",""),"]","")+_xlfn.XLOOKUP(C1046,$M$3:$M$7,$N$3:$N$7)*100,R1045)</f>
        <v>#N/A</v>
      </c>
    </row>
    <row r="1047" customHeight="1" spans="1:18">
      <c r="A1047" s="78" t="str">
        <f ca="1" t="shared" si="48"/>
        <v/>
      </c>
      <c r="B1047" s="82" t="str">
        <f ca="1">IFERROR(R1047+COUNTIFS($R$11:$R1047,R1047),"")</f>
        <v/>
      </c>
      <c r="C1047" s="83">
        <f ca="1">IF(MOD(COUNTIF($Q$11:Q1046,Q1046),5)=0,OFFSET(装备属性!$D$1083,1+INT(COUNTA($Q$11:Q1046)/5),0),C1046)</f>
        <v>0</v>
      </c>
      <c r="D1047" s="82">
        <f t="shared" si="50"/>
        <v>2500</v>
      </c>
      <c r="F1047" s="82" t="str">
        <f ca="1" t="shared" si="49"/>
        <v/>
      </c>
      <c r="G1047" s="78" t="str">
        <f ca="1">IF(AND(LEFT("[{"&amp;M1047&amp;","&amp;CEILING(N1047*10000+(O1047-N1047)/4*(COUNTIF($F$11:F1047,F1047)-1)*10000,10)&amp;"}]",7)="[{equip",MID("[{"&amp;M1047&amp;","&amp;CEILING(N1047*10000+(O1047-N1047)/4*(COUNTIF($F$11:F1047,F1047)-1)*10000,10)&amp;"}]",8,1)&lt;&gt;"_"),"[{"&amp;M1047&amp;","&amp;1&amp;"}]","[{"&amp;M1047&amp;","&amp;CEILING(N1047*10000+(O1047-N1047)/4*(COUNTIF($F$11:F1047,F1047)-1)*10000,10)&amp;"}]")</f>
        <v>[{exp_boost,2000}]</v>
      </c>
      <c r="H1047" s="82" t="s">
        <v>563</v>
      </c>
      <c r="J1047" s="78">
        <f ca="1">IF(MOD(COUNTIF($Q$11:Q1046,Q1046),5)=0,OFFSET(装备属性!$P$1083,1+INT(COUNTA($Q$11:Q1046)/5),0),J1046)</f>
        <v>9</v>
      </c>
      <c r="K1047" s="83" t="str">
        <f ca="1">IF(RIGHT(G1047,13)="rune_slot,1}]",_xlfn.XLOOKUP(LEFT(SUBSTITUTE(G1047,"[{",""),FIND(",",SUBSTITUTE(G1047,"[{",""))-1),Sheet2!B:B,Sheet2!C:C)&amp;"+"&amp;1,_xlfn.XLOOKUP(LEFT(SUBSTITUTE(G1047,"[{",""),FIND(",",SUBSTITUTE(G1047,"[{",""))-1),Sheet2!B:B,Sheet2!C:C)&amp;"+"&amp;SUBSTITUTE(RIGHT(G1047,LEN(G1047)-FIND(",",G1047)),"}]","")/100&amp;"%")</f>
        <v>经验加成+20%</v>
      </c>
      <c r="L1047" s="83" t="str">
        <f ca="1">IF(MOD(COUNTIF($Q$11:Q1046,Q1046),5)=0,OFFSET(装备属性!$G$1083,1+INT(COUNTA($Q$11:Q1046)/5),0),L1046)</f>
        <v>涨见识</v>
      </c>
      <c r="M1047" s="89" t="str">
        <f ca="1">IF(MOD(COUNTIF($Q$11:Q1046,Q1046),5)=0,OFFSET(装备属性!$H$1083,1+INT(COUNTA($Q$11:Q1046)/5),0),M1046)</f>
        <v>exp_boost</v>
      </c>
      <c r="N1047" s="76">
        <f ca="1">IF(MOD(COUNTIF($Q$11:Q1046,Q1046),5)=0,OFFSET(装备属性!$K$1083,1+INT(COUNTA($Q$11:Q1046)/5),0),N1046)</f>
        <v>0.2</v>
      </c>
      <c r="O1047" s="76">
        <f ca="1">IF(MOD(COUNTIF($Q$11:Q1046,Q1046),5)=0,OFFSET(装备属性!$L$1083,1+INT(COUNTA($Q$11:Q1046)/5),0),O1046)</f>
        <v>0.2</v>
      </c>
      <c r="Q1047" s="89" t="str">
        <f ca="1">IF(MOD(COUNTIF($Q$11:Q1046,Q1046),5)=0,OFFSET(装备属性!$M$1083,1+INT(COUNTA($Q$11:Q1046)/5),0),Q1046)</f>
        <v>稀有词条</v>
      </c>
      <c r="R1047" s="83" t="e">
        <f ca="1">IF(MOD(COUNTIF($Q$11:Q1046,Q1046),5)=0,10000*SUBSTITUTE(SUBSTITUTE(OFFSET(装备属性!$F$1083,1+INT(COUNTA($Q$11:Q1046)/5),0),"[",""),"]","")+_xlfn.XLOOKUP(C1047,$M$3:$M$7,$N$3:$N$7)*100,R1046)</f>
        <v>#N/A</v>
      </c>
    </row>
    <row r="1048" customHeight="1" spans="1:18">
      <c r="A1048" s="78" t="str">
        <f ca="1" t="shared" si="48"/>
        <v/>
      </c>
      <c r="B1048" s="82" t="str">
        <f ca="1">IFERROR(R1048+COUNTIFS($R$11:$R1048,R1048),"")</f>
        <v/>
      </c>
      <c r="C1048" s="83">
        <f ca="1">IF(MOD(COUNTIF($Q$11:Q1047,Q1047),5)=0,OFFSET(装备属性!$D$1083,1+INT(COUNTA($Q$11:Q1047)/5),0),C1047)</f>
        <v>0</v>
      </c>
      <c r="D1048" s="82">
        <f t="shared" si="50"/>
        <v>2000</v>
      </c>
      <c r="F1048" s="82" t="str">
        <f ca="1" t="shared" si="49"/>
        <v/>
      </c>
      <c r="G1048" s="78" t="str">
        <f ca="1">IF(AND(LEFT("[{"&amp;M1048&amp;","&amp;CEILING(N1048*10000+(O1048-N1048)/4*(COUNTIF($F$11:F1048,F1048)-1)*10000,10)&amp;"}]",7)="[{equip",MID("[{"&amp;M1048&amp;","&amp;CEILING(N1048*10000+(O1048-N1048)/4*(COUNTIF($F$11:F1048,F1048)-1)*10000,10)&amp;"}]",8,1)&lt;&gt;"_"),"[{"&amp;M1048&amp;","&amp;1&amp;"}]","[{"&amp;M1048&amp;","&amp;CEILING(N1048*10000+(O1048-N1048)/4*(COUNTIF($F$11:F1048,F1048)-1)*10000,10)&amp;"}]")</f>
        <v>[{exp_boost,2000}]</v>
      </c>
      <c r="H1048" s="82" t="s">
        <v>563</v>
      </c>
      <c r="J1048" s="78">
        <f ca="1">IF(MOD(COUNTIF($Q$11:Q1047,Q1047),5)=0,OFFSET(装备属性!$P$1083,1+INT(COUNTA($Q$11:Q1047)/5),0),J1047)</f>
        <v>9</v>
      </c>
      <c r="K1048" s="83" t="str">
        <f ca="1">IF(RIGHT(G1048,13)="rune_slot,1}]",_xlfn.XLOOKUP(LEFT(SUBSTITUTE(G1048,"[{",""),FIND(",",SUBSTITUTE(G1048,"[{",""))-1),Sheet2!B:B,Sheet2!C:C)&amp;"+"&amp;1,_xlfn.XLOOKUP(LEFT(SUBSTITUTE(G1048,"[{",""),FIND(",",SUBSTITUTE(G1048,"[{",""))-1),Sheet2!B:B,Sheet2!C:C)&amp;"+"&amp;SUBSTITUTE(RIGHT(G1048,LEN(G1048)-FIND(",",G1048)),"}]","")/100&amp;"%")</f>
        <v>经验加成+20%</v>
      </c>
      <c r="L1048" s="83" t="str">
        <f ca="1">IF(MOD(COUNTIF($Q$11:Q1047,Q1047),5)=0,OFFSET(装备属性!$G$1083,1+INT(COUNTA($Q$11:Q1047)/5),0),L1047)</f>
        <v>涨见识</v>
      </c>
      <c r="M1048" s="89" t="str">
        <f ca="1">IF(MOD(COUNTIF($Q$11:Q1047,Q1047),5)=0,OFFSET(装备属性!$H$1083,1+INT(COUNTA($Q$11:Q1047)/5),0),M1047)</f>
        <v>exp_boost</v>
      </c>
      <c r="N1048" s="76">
        <f ca="1">IF(MOD(COUNTIF($Q$11:Q1047,Q1047),5)=0,OFFSET(装备属性!$K$1083,1+INT(COUNTA($Q$11:Q1047)/5),0),N1047)</f>
        <v>0.2</v>
      </c>
      <c r="O1048" s="76">
        <f ca="1">IF(MOD(COUNTIF($Q$11:Q1047,Q1047),5)=0,OFFSET(装备属性!$L$1083,1+INT(COUNTA($Q$11:Q1047)/5),0),O1047)</f>
        <v>0.2</v>
      </c>
      <c r="Q1048" s="89" t="str">
        <f ca="1">IF(MOD(COUNTIF($Q$11:Q1047,Q1047),5)=0,OFFSET(装备属性!$M$1083,1+INT(COUNTA($Q$11:Q1047)/5),0),Q1047)</f>
        <v>稀有词条</v>
      </c>
      <c r="R1048" s="83" t="e">
        <f ca="1">IF(MOD(COUNTIF($Q$11:Q1047,Q1047),5)=0,10000*SUBSTITUTE(SUBSTITUTE(OFFSET(装备属性!$F$1083,1+INT(COUNTA($Q$11:Q1047)/5),0),"[",""),"]","")+_xlfn.XLOOKUP(C1048,$M$3:$M$7,$N$3:$N$7)*100,R1047)</f>
        <v>#N/A</v>
      </c>
    </row>
    <row r="1049" customHeight="1" spans="1:18">
      <c r="A1049" s="78" t="str">
        <f ca="1" t="shared" si="48"/>
        <v/>
      </c>
      <c r="B1049" s="82" t="str">
        <f ca="1">IFERROR(R1049+COUNTIFS($R$11:$R1049,R1049),"")</f>
        <v/>
      </c>
      <c r="C1049" s="83">
        <f ca="1">IF(MOD(COUNTIF($Q$11:Q1048,Q1048),5)=0,OFFSET(装备属性!$D$1083,1+INT(COUNTA($Q$11:Q1048)/5),0),C1048)</f>
        <v>0</v>
      </c>
      <c r="D1049" s="82">
        <f t="shared" si="50"/>
        <v>1500</v>
      </c>
      <c r="F1049" s="82" t="str">
        <f ca="1" t="shared" si="49"/>
        <v/>
      </c>
      <c r="G1049" s="78" t="str">
        <f ca="1">IF(AND(LEFT("[{"&amp;M1049&amp;","&amp;CEILING(N1049*10000+(O1049-N1049)/4*(COUNTIF($F$11:F1049,F1049)-1)*10000,10)&amp;"}]",7)="[{equip",MID("[{"&amp;M1049&amp;","&amp;CEILING(N1049*10000+(O1049-N1049)/4*(COUNTIF($F$11:F1049,F1049)-1)*10000,10)&amp;"}]",8,1)&lt;&gt;"_"),"[{"&amp;M1049&amp;","&amp;1&amp;"}]","[{"&amp;M1049&amp;","&amp;CEILING(N1049*10000+(O1049-N1049)/4*(COUNTIF($F$11:F1049,F1049)-1)*10000,10)&amp;"}]")</f>
        <v>[{exp_boost,2000}]</v>
      </c>
      <c r="H1049" s="82" t="s">
        <v>563</v>
      </c>
      <c r="J1049" s="78">
        <f ca="1">IF(MOD(COUNTIF($Q$11:Q1048,Q1048),5)=0,OFFSET(装备属性!$P$1083,1+INT(COUNTA($Q$11:Q1048)/5),0),J1048)</f>
        <v>9</v>
      </c>
      <c r="K1049" s="83" t="str">
        <f ca="1">IF(RIGHT(G1049,13)="rune_slot,1}]",_xlfn.XLOOKUP(LEFT(SUBSTITUTE(G1049,"[{",""),FIND(",",SUBSTITUTE(G1049,"[{",""))-1),Sheet2!B:B,Sheet2!C:C)&amp;"+"&amp;1,_xlfn.XLOOKUP(LEFT(SUBSTITUTE(G1049,"[{",""),FIND(",",SUBSTITUTE(G1049,"[{",""))-1),Sheet2!B:B,Sheet2!C:C)&amp;"+"&amp;SUBSTITUTE(RIGHT(G1049,LEN(G1049)-FIND(",",G1049)),"}]","")/100&amp;"%")</f>
        <v>经验加成+20%</v>
      </c>
      <c r="L1049" s="83" t="str">
        <f ca="1">IF(MOD(COUNTIF($Q$11:Q1048,Q1048),5)=0,OFFSET(装备属性!$G$1083,1+INT(COUNTA($Q$11:Q1048)/5),0),L1048)</f>
        <v>涨见识</v>
      </c>
      <c r="M1049" s="89" t="str">
        <f ca="1">IF(MOD(COUNTIF($Q$11:Q1048,Q1048),5)=0,OFFSET(装备属性!$H$1083,1+INT(COUNTA($Q$11:Q1048)/5),0),M1048)</f>
        <v>exp_boost</v>
      </c>
      <c r="N1049" s="76">
        <f ca="1">IF(MOD(COUNTIF($Q$11:Q1048,Q1048),5)=0,OFFSET(装备属性!$K$1083,1+INT(COUNTA($Q$11:Q1048)/5),0),N1048)</f>
        <v>0.2</v>
      </c>
      <c r="O1049" s="76">
        <f ca="1">IF(MOD(COUNTIF($Q$11:Q1048,Q1048),5)=0,OFFSET(装备属性!$L$1083,1+INT(COUNTA($Q$11:Q1048)/5),0),O1048)</f>
        <v>0.2</v>
      </c>
      <c r="Q1049" s="89" t="str">
        <f ca="1">IF(MOD(COUNTIF($Q$11:Q1048,Q1048),5)=0,OFFSET(装备属性!$M$1083,1+INT(COUNTA($Q$11:Q1048)/5),0),Q1048)</f>
        <v>稀有词条</v>
      </c>
      <c r="R1049" s="83" t="e">
        <f ca="1">IF(MOD(COUNTIF($Q$11:Q1048,Q1048),5)=0,10000*SUBSTITUTE(SUBSTITUTE(OFFSET(装备属性!$F$1083,1+INT(COUNTA($Q$11:Q1048)/5),0),"[",""),"]","")+_xlfn.XLOOKUP(C1049,$M$3:$M$7,$N$3:$N$7)*100,R1048)</f>
        <v>#N/A</v>
      </c>
    </row>
    <row r="1050" customHeight="1" spans="1:18">
      <c r="A1050" s="78" t="str">
        <f ca="1" t="shared" si="48"/>
        <v/>
      </c>
      <c r="B1050" s="82" t="str">
        <f ca="1">IFERROR(R1050+COUNTIFS($R$11:$R1050,R1050),"")</f>
        <v/>
      </c>
      <c r="C1050" s="83">
        <f ca="1">IF(MOD(COUNTIF($Q$11:Q1049,Q1049),5)=0,OFFSET(装备属性!$D$1083,1+INT(COUNTA($Q$11:Q1049)/5),0),C1049)</f>
        <v>0</v>
      </c>
      <c r="D1050" s="82">
        <f t="shared" si="50"/>
        <v>1000</v>
      </c>
      <c r="F1050" s="82" t="str">
        <f ca="1" t="shared" si="49"/>
        <v/>
      </c>
      <c r="G1050" s="78" t="str">
        <f ca="1">IF(AND(LEFT("[{"&amp;M1050&amp;","&amp;CEILING(N1050*10000+(O1050-N1050)/4*(COUNTIF($F$11:F1050,F1050)-1)*10000,10)&amp;"}]",7)="[{equip",MID("[{"&amp;M1050&amp;","&amp;CEILING(N1050*10000+(O1050-N1050)/4*(COUNTIF($F$11:F1050,F1050)-1)*10000,10)&amp;"}]",8,1)&lt;&gt;"_"),"[{"&amp;M1050&amp;","&amp;1&amp;"}]","[{"&amp;M1050&amp;","&amp;CEILING(N1050*10000+(O1050-N1050)/4*(COUNTIF($F$11:F1050,F1050)-1)*10000,10)&amp;"}]")</f>
        <v>[{exp_boost,2000}]</v>
      </c>
      <c r="H1050" s="82" t="s">
        <v>563</v>
      </c>
      <c r="J1050" s="78">
        <f ca="1">IF(MOD(COUNTIF($Q$11:Q1049,Q1049),5)=0,OFFSET(装备属性!$P$1083,1+INT(COUNTA($Q$11:Q1049)/5),0),J1049)</f>
        <v>9</v>
      </c>
      <c r="K1050" s="83" t="str">
        <f ca="1">IF(RIGHT(G1050,13)="rune_slot,1}]",_xlfn.XLOOKUP(LEFT(SUBSTITUTE(G1050,"[{",""),FIND(",",SUBSTITUTE(G1050,"[{",""))-1),Sheet2!B:B,Sheet2!C:C)&amp;"+"&amp;1,_xlfn.XLOOKUP(LEFT(SUBSTITUTE(G1050,"[{",""),FIND(",",SUBSTITUTE(G1050,"[{",""))-1),Sheet2!B:B,Sheet2!C:C)&amp;"+"&amp;SUBSTITUTE(RIGHT(G1050,LEN(G1050)-FIND(",",G1050)),"}]","")/100&amp;"%")</f>
        <v>经验加成+20%</v>
      </c>
      <c r="L1050" s="83" t="str">
        <f ca="1">IF(MOD(COUNTIF($Q$11:Q1049,Q1049),5)=0,OFFSET(装备属性!$G$1083,1+INT(COUNTA($Q$11:Q1049)/5),0),L1049)</f>
        <v>涨见识</v>
      </c>
      <c r="M1050" s="89" t="str">
        <f ca="1">IF(MOD(COUNTIF($Q$11:Q1049,Q1049),5)=0,OFFSET(装备属性!$H$1083,1+INT(COUNTA($Q$11:Q1049)/5),0),M1049)</f>
        <v>exp_boost</v>
      </c>
      <c r="N1050" s="76">
        <f ca="1">IF(MOD(COUNTIF($Q$11:Q1049,Q1049),5)=0,OFFSET(装备属性!$K$1083,1+INT(COUNTA($Q$11:Q1049)/5),0),N1049)</f>
        <v>0.2</v>
      </c>
      <c r="O1050" s="76">
        <f ca="1">IF(MOD(COUNTIF($Q$11:Q1049,Q1049),5)=0,OFFSET(装备属性!$L$1083,1+INT(COUNTA($Q$11:Q1049)/5),0),O1049)</f>
        <v>0.2</v>
      </c>
      <c r="Q1050" s="89" t="str">
        <f ca="1">IF(MOD(COUNTIF($Q$11:Q1049,Q1049),5)=0,OFFSET(装备属性!$M$1083,1+INT(COUNTA($Q$11:Q1049)/5),0),Q1049)</f>
        <v>稀有词条</v>
      </c>
      <c r="R1050" s="83" t="e">
        <f ca="1">IF(MOD(COUNTIF($Q$11:Q1049,Q1049),5)=0,10000*SUBSTITUTE(SUBSTITUTE(OFFSET(装备属性!$F$1083,1+INT(COUNTA($Q$11:Q1049)/5),0),"[",""),"]","")+_xlfn.XLOOKUP(C1050,$M$3:$M$7,$N$3:$N$7)*100,R1049)</f>
        <v>#N/A</v>
      </c>
    </row>
    <row r="1051" customHeight="1" spans="1:18">
      <c r="A1051" s="78" t="str">
        <f ca="1" t="shared" si="48"/>
        <v/>
      </c>
      <c r="B1051" s="82" t="str">
        <f ca="1">IFERROR(R1051+COUNTIFS($R$11:$R1051,R1051),"")</f>
        <v/>
      </c>
      <c r="C1051" s="83">
        <f ca="1">IF(MOD(COUNTIF($Q$11:Q1050,Q1050),5)=0,OFFSET(装备属性!$D$1083,1+INT(COUNTA($Q$11:Q1050)/5),0),C1050)</f>
        <v>0</v>
      </c>
      <c r="D1051" s="82">
        <f t="shared" si="50"/>
        <v>3000</v>
      </c>
      <c r="F1051" s="82" t="str">
        <f ca="1" t="shared" si="49"/>
        <v/>
      </c>
      <c r="G1051" s="78" t="str">
        <f ca="1">IF(AND(LEFT("[{"&amp;M1051&amp;","&amp;CEILING(N1051*10000+(O1051-N1051)/4*(COUNTIF($F$11:F1051,F1051)-1)*10000,10)&amp;"}]",7)="[{equip",MID("[{"&amp;M1051&amp;","&amp;CEILING(N1051*10000+(O1051-N1051)/4*(COUNTIF($F$11:F1051,F1051)-1)*10000,10)&amp;"}]",8,1)&lt;&gt;"_"),"[{"&amp;M1051&amp;","&amp;1&amp;"}]","[{"&amp;M1051&amp;","&amp;CEILING(N1051*10000+(O1051-N1051)/4*(COUNTIF($F$11:F1051,F1051)-1)*10000,10)&amp;"}]")</f>
        <v>[{equip_base_attr,2500}]</v>
      </c>
      <c r="H1051" s="82" t="s">
        <v>563</v>
      </c>
      <c r="J1051" s="78">
        <f ca="1">IF(MOD(COUNTIF($Q$11:Q1050,Q1050),5)=0,OFFSET(装备属性!$P$1083,1+INT(COUNTA($Q$11:Q1050)/5),0),J1050)</f>
        <v>7</v>
      </c>
      <c r="K1051" s="83" t="str">
        <f ca="1">IF(RIGHT(G1051,13)="rune_slot,1}]",_xlfn.XLOOKUP(LEFT(SUBSTITUTE(G1051,"[{",""),FIND(",",SUBSTITUTE(G1051,"[{",""))-1),Sheet2!B:B,Sheet2!C:C)&amp;"+"&amp;1,_xlfn.XLOOKUP(LEFT(SUBSTITUTE(G1051,"[{",""),FIND(",",SUBSTITUTE(G1051,"[{",""))-1),Sheet2!B:B,Sheet2!C:C)&amp;"+"&amp;SUBSTITUTE(RIGHT(G1051,LEN(G1051)-FIND(",",G1051)),"}]","")/100&amp;"%")</f>
        <v>装备基础属性加成+25%</v>
      </c>
      <c r="L1051" s="83" t="str">
        <f ca="1">IF(MOD(COUNTIF($Q$11:Q1050,Q1050),5)=0,OFFSET(装备属性!$G$1083,1+INT(COUNTA($Q$11:Q1050)/5),0),L1050)</f>
        <v>厚底子</v>
      </c>
      <c r="M1051" s="89" t="str">
        <f ca="1">IF(MOD(COUNTIF($Q$11:Q1050,Q1050),5)=0,OFFSET(装备属性!$H$1083,1+INT(COUNTA($Q$11:Q1050)/5),0),M1050)</f>
        <v>equip_base_attr</v>
      </c>
      <c r="N1051" s="76">
        <f ca="1">IF(MOD(COUNTIF($Q$11:Q1050,Q1050),5)=0,OFFSET(装备属性!$K$1083,1+INT(COUNTA($Q$11:Q1050)/5),0),N1050)</f>
        <v>0.25</v>
      </c>
      <c r="O1051" s="76">
        <f ca="1">IF(MOD(COUNTIF($Q$11:Q1050,Q1050),5)=0,OFFSET(装备属性!$L$1083,1+INT(COUNTA($Q$11:Q1050)/5),0),O1050)</f>
        <v>0.25</v>
      </c>
      <c r="Q1051" s="89" t="str">
        <f ca="1">IF(MOD(COUNTIF($Q$11:Q1050,Q1050),5)=0,OFFSET(装备属性!$M$1083,1+INT(COUNTA($Q$11:Q1050)/5),0),Q1050)</f>
        <v>稀有词条</v>
      </c>
      <c r="R1051" s="83" t="e">
        <f ca="1">IF(MOD(COUNTIF($Q$11:Q1050,Q1050),5)=0,10000*SUBSTITUTE(SUBSTITUTE(OFFSET(装备属性!$F$1083,1+INT(COUNTA($Q$11:Q1050)/5),0),"[",""),"]","")+_xlfn.XLOOKUP(C1051,$M$3:$M$7,$N$3:$N$7)*100,R1050)</f>
        <v>#N/A</v>
      </c>
    </row>
    <row r="1052" customHeight="1" spans="1:18">
      <c r="A1052" s="78" t="str">
        <f ca="1" t="shared" si="48"/>
        <v/>
      </c>
      <c r="B1052" s="82" t="str">
        <f ca="1">IFERROR(R1052+COUNTIFS($R$11:$R1052,R1052),"")</f>
        <v/>
      </c>
      <c r="C1052" s="83">
        <f ca="1">IF(MOD(COUNTIF($Q$11:Q1051,Q1051),5)=0,OFFSET(装备属性!$D$1083,1+INT(COUNTA($Q$11:Q1051)/5),0),C1051)</f>
        <v>0</v>
      </c>
      <c r="D1052" s="82">
        <f t="shared" si="50"/>
        <v>2500</v>
      </c>
      <c r="F1052" s="82" t="str">
        <f ca="1" t="shared" si="49"/>
        <v/>
      </c>
      <c r="G1052" s="78" t="str">
        <f ca="1">IF(AND(LEFT("[{"&amp;M1052&amp;","&amp;CEILING(N1052*10000+(O1052-N1052)/4*(COUNTIF($F$11:F1052,F1052)-1)*10000,10)&amp;"}]",7)="[{equip",MID("[{"&amp;M1052&amp;","&amp;CEILING(N1052*10000+(O1052-N1052)/4*(COUNTIF($F$11:F1052,F1052)-1)*10000,10)&amp;"}]",8,1)&lt;&gt;"_"),"[{"&amp;M1052&amp;","&amp;1&amp;"}]","[{"&amp;M1052&amp;","&amp;CEILING(N1052*10000+(O1052-N1052)/4*(COUNTIF($F$11:F1052,F1052)-1)*10000,10)&amp;"}]")</f>
        <v>[{equip_base_attr,2500}]</v>
      </c>
      <c r="H1052" s="82" t="s">
        <v>563</v>
      </c>
      <c r="J1052" s="78">
        <f ca="1">IF(MOD(COUNTIF($Q$11:Q1051,Q1051),5)=0,OFFSET(装备属性!$P$1083,1+INT(COUNTA($Q$11:Q1051)/5),0),J1051)</f>
        <v>7</v>
      </c>
      <c r="K1052" s="83" t="str">
        <f ca="1">IF(RIGHT(G1052,13)="rune_slot,1}]",_xlfn.XLOOKUP(LEFT(SUBSTITUTE(G1052,"[{",""),FIND(",",SUBSTITUTE(G1052,"[{",""))-1),Sheet2!B:B,Sheet2!C:C)&amp;"+"&amp;1,_xlfn.XLOOKUP(LEFT(SUBSTITUTE(G1052,"[{",""),FIND(",",SUBSTITUTE(G1052,"[{",""))-1),Sheet2!B:B,Sheet2!C:C)&amp;"+"&amp;SUBSTITUTE(RIGHT(G1052,LEN(G1052)-FIND(",",G1052)),"}]","")/100&amp;"%")</f>
        <v>装备基础属性加成+25%</v>
      </c>
      <c r="L1052" s="83" t="str">
        <f ca="1">IF(MOD(COUNTIF($Q$11:Q1051,Q1051),5)=0,OFFSET(装备属性!$G$1083,1+INT(COUNTA($Q$11:Q1051)/5),0),L1051)</f>
        <v>厚底子</v>
      </c>
      <c r="M1052" s="89" t="str">
        <f ca="1">IF(MOD(COUNTIF($Q$11:Q1051,Q1051),5)=0,OFFSET(装备属性!$H$1083,1+INT(COUNTA($Q$11:Q1051)/5),0),M1051)</f>
        <v>equip_base_attr</v>
      </c>
      <c r="N1052" s="76">
        <f ca="1">IF(MOD(COUNTIF($Q$11:Q1051,Q1051),5)=0,OFFSET(装备属性!$K$1083,1+INT(COUNTA($Q$11:Q1051)/5),0),N1051)</f>
        <v>0.25</v>
      </c>
      <c r="O1052" s="76">
        <f ca="1">IF(MOD(COUNTIF($Q$11:Q1051,Q1051),5)=0,OFFSET(装备属性!$L$1083,1+INT(COUNTA($Q$11:Q1051)/5),0),O1051)</f>
        <v>0.25</v>
      </c>
      <c r="Q1052" s="89" t="str">
        <f ca="1">IF(MOD(COUNTIF($Q$11:Q1051,Q1051),5)=0,OFFSET(装备属性!$M$1083,1+INT(COUNTA($Q$11:Q1051)/5),0),Q1051)</f>
        <v>稀有词条</v>
      </c>
      <c r="R1052" s="83" t="e">
        <f ca="1">IF(MOD(COUNTIF($Q$11:Q1051,Q1051),5)=0,10000*SUBSTITUTE(SUBSTITUTE(OFFSET(装备属性!$F$1083,1+INT(COUNTA($Q$11:Q1051)/5),0),"[",""),"]","")+_xlfn.XLOOKUP(C1052,$M$3:$M$7,$N$3:$N$7)*100,R1051)</f>
        <v>#N/A</v>
      </c>
    </row>
    <row r="1053" customHeight="1" spans="1:18">
      <c r="A1053" s="78" t="str">
        <f ca="1" t="shared" si="48"/>
        <v/>
      </c>
      <c r="B1053" s="82" t="str">
        <f ca="1">IFERROR(R1053+COUNTIFS($R$11:$R1053,R1053),"")</f>
        <v/>
      </c>
      <c r="C1053" s="83">
        <f ca="1">IF(MOD(COUNTIF($Q$11:Q1052,Q1052),5)=0,OFFSET(装备属性!$D$1083,1+INT(COUNTA($Q$11:Q1052)/5),0),C1052)</f>
        <v>0</v>
      </c>
      <c r="D1053" s="82">
        <f t="shared" si="50"/>
        <v>2000</v>
      </c>
      <c r="F1053" s="82" t="str">
        <f ca="1" t="shared" si="49"/>
        <v/>
      </c>
      <c r="G1053" s="78" t="str">
        <f ca="1">IF(AND(LEFT("[{"&amp;M1053&amp;","&amp;CEILING(N1053*10000+(O1053-N1053)/4*(COUNTIF($F$11:F1053,F1053)-1)*10000,10)&amp;"}]",7)="[{equip",MID("[{"&amp;M1053&amp;","&amp;CEILING(N1053*10000+(O1053-N1053)/4*(COUNTIF($F$11:F1053,F1053)-1)*10000,10)&amp;"}]",8,1)&lt;&gt;"_"),"[{"&amp;M1053&amp;","&amp;1&amp;"}]","[{"&amp;M1053&amp;","&amp;CEILING(N1053*10000+(O1053-N1053)/4*(COUNTIF($F$11:F1053,F1053)-1)*10000,10)&amp;"}]")</f>
        <v>[{equip_base_attr,2500}]</v>
      </c>
      <c r="H1053" s="82" t="s">
        <v>563</v>
      </c>
      <c r="J1053" s="78">
        <f ca="1">IF(MOD(COUNTIF($Q$11:Q1052,Q1052),5)=0,OFFSET(装备属性!$P$1083,1+INT(COUNTA($Q$11:Q1052)/5),0),J1052)</f>
        <v>7</v>
      </c>
      <c r="K1053" s="83" t="str">
        <f ca="1">IF(RIGHT(G1053,13)="rune_slot,1}]",_xlfn.XLOOKUP(LEFT(SUBSTITUTE(G1053,"[{",""),FIND(",",SUBSTITUTE(G1053,"[{",""))-1),Sheet2!B:B,Sheet2!C:C)&amp;"+"&amp;1,_xlfn.XLOOKUP(LEFT(SUBSTITUTE(G1053,"[{",""),FIND(",",SUBSTITUTE(G1053,"[{",""))-1),Sheet2!B:B,Sheet2!C:C)&amp;"+"&amp;SUBSTITUTE(RIGHT(G1053,LEN(G1053)-FIND(",",G1053)),"}]","")/100&amp;"%")</f>
        <v>装备基础属性加成+25%</v>
      </c>
      <c r="L1053" s="83" t="str">
        <f ca="1">IF(MOD(COUNTIF($Q$11:Q1052,Q1052),5)=0,OFFSET(装备属性!$G$1083,1+INT(COUNTA($Q$11:Q1052)/5),0),L1052)</f>
        <v>厚底子</v>
      </c>
      <c r="M1053" s="89" t="str">
        <f ca="1">IF(MOD(COUNTIF($Q$11:Q1052,Q1052),5)=0,OFFSET(装备属性!$H$1083,1+INT(COUNTA($Q$11:Q1052)/5),0),M1052)</f>
        <v>equip_base_attr</v>
      </c>
      <c r="N1053" s="76">
        <f ca="1">IF(MOD(COUNTIF($Q$11:Q1052,Q1052),5)=0,OFFSET(装备属性!$K$1083,1+INT(COUNTA($Q$11:Q1052)/5),0),N1052)</f>
        <v>0.25</v>
      </c>
      <c r="O1053" s="76">
        <f ca="1">IF(MOD(COUNTIF($Q$11:Q1052,Q1052),5)=0,OFFSET(装备属性!$L$1083,1+INT(COUNTA($Q$11:Q1052)/5),0),O1052)</f>
        <v>0.25</v>
      </c>
      <c r="Q1053" s="89" t="str">
        <f ca="1">IF(MOD(COUNTIF($Q$11:Q1052,Q1052),5)=0,OFFSET(装备属性!$M$1083,1+INT(COUNTA($Q$11:Q1052)/5),0),Q1052)</f>
        <v>稀有词条</v>
      </c>
      <c r="R1053" s="83" t="e">
        <f ca="1">IF(MOD(COUNTIF($Q$11:Q1052,Q1052),5)=0,10000*SUBSTITUTE(SUBSTITUTE(OFFSET(装备属性!$F$1083,1+INT(COUNTA($Q$11:Q1052)/5),0),"[",""),"]","")+_xlfn.XLOOKUP(C1053,$M$3:$M$7,$N$3:$N$7)*100,R1052)</f>
        <v>#N/A</v>
      </c>
    </row>
    <row r="1054" customHeight="1" spans="1:18">
      <c r="A1054" s="78" t="str">
        <f ca="1" t="shared" si="48"/>
        <v/>
      </c>
      <c r="B1054" s="82" t="str">
        <f ca="1">IFERROR(R1054+COUNTIFS($R$11:$R1054,R1054),"")</f>
        <v/>
      </c>
      <c r="C1054" s="83">
        <f ca="1">IF(MOD(COUNTIF($Q$11:Q1053,Q1053),5)=0,OFFSET(装备属性!$D$1083,1+INT(COUNTA($Q$11:Q1053)/5),0),C1053)</f>
        <v>0</v>
      </c>
      <c r="D1054" s="82">
        <f t="shared" si="50"/>
        <v>1500</v>
      </c>
      <c r="F1054" s="82" t="str">
        <f ca="1" t="shared" si="49"/>
        <v/>
      </c>
      <c r="G1054" s="78" t="str">
        <f ca="1">IF(AND(LEFT("[{"&amp;M1054&amp;","&amp;CEILING(N1054*10000+(O1054-N1054)/4*(COUNTIF($F$11:F1054,F1054)-1)*10000,10)&amp;"}]",7)="[{equip",MID("[{"&amp;M1054&amp;","&amp;CEILING(N1054*10000+(O1054-N1054)/4*(COUNTIF($F$11:F1054,F1054)-1)*10000,10)&amp;"}]",8,1)&lt;&gt;"_"),"[{"&amp;M1054&amp;","&amp;1&amp;"}]","[{"&amp;M1054&amp;","&amp;CEILING(N1054*10000+(O1054-N1054)/4*(COUNTIF($F$11:F1054,F1054)-1)*10000,10)&amp;"}]")</f>
        <v>[{equip_base_attr,2500}]</v>
      </c>
      <c r="H1054" s="82" t="s">
        <v>563</v>
      </c>
      <c r="J1054" s="78">
        <f ca="1">IF(MOD(COUNTIF($Q$11:Q1053,Q1053),5)=0,OFFSET(装备属性!$P$1083,1+INT(COUNTA($Q$11:Q1053)/5),0),J1053)</f>
        <v>7</v>
      </c>
      <c r="K1054" s="83" t="str">
        <f ca="1">IF(RIGHT(G1054,13)="rune_slot,1}]",_xlfn.XLOOKUP(LEFT(SUBSTITUTE(G1054,"[{",""),FIND(",",SUBSTITUTE(G1054,"[{",""))-1),Sheet2!B:B,Sheet2!C:C)&amp;"+"&amp;1,_xlfn.XLOOKUP(LEFT(SUBSTITUTE(G1054,"[{",""),FIND(",",SUBSTITUTE(G1054,"[{",""))-1),Sheet2!B:B,Sheet2!C:C)&amp;"+"&amp;SUBSTITUTE(RIGHT(G1054,LEN(G1054)-FIND(",",G1054)),"}]","")/100&amp;"%")</f>
        <v>装备基础属性加成+25%</v>
      </c>
      <c r="L1054" s="83" t="str">
        <f ca="1">IF(MOD(COUNTIF($Q$11:Q1053,Q1053),5)=0,OFFSET(装备属性!$G$1083,1+INT(COUNTA($Q$11:Q1053)/5),0),L1053)</f>
        <v>厚底子</v>
      </c>
      <c r="M1054" s="89" t="str">
        <f ca="1">IF(MOD(COUNTIF($Q$11:Q1053,Q1053),5)=0,OFFSET(装备属性!$H$1083,1+INT(COUNTA($Q$11:Q1053)/5),0),M1053)</f>
        <v>equip_base_attr</v>
      </c>
      <c r="N1054" s="76">
        <f ca="1">IF(MOD(COUNTIF($Q$11:Q1053,Q1053),5)=0,OFFSET(装备属性!$K$1083,1+INT(COUNTA($Q$11:Q1053)/5),0),N1053)</f>
        <v>0.25</v>
      </c>
      <c r="O1054" s="76">
        <f ca="1">IF(MOD(COUNTIF($Q$11:Q1053,Q1053),5)=0,OFFSET(装备属性!$L$1083,1+INT(COUNTA($Q$11:Q1053)/5),0),O1053)</f>
        <v>0.25</v>
      </c>
      <c r="Q1054" s="89" t="str">
        <f ca="1">IF(MOD(COUNTIF($Q$11:Q1053,Q1053),5)=0,OFFSET(装备属性!$M$1083,1+INT(COUNTA($Q$11:Q1053)/5),0),Q1053)</f>
        <v>稀有词条</v>
      </c>
      <c r="R1054" s="83" t="e">
        <f ca="1">IF(MOD(COUNTIF($Q$11:Q1053,Q1053),5)=0,10000*SUBSTITUTE(SUBSTITUTE(OFFSET(装备属性!$F$1083,1+INT(COUNTA($Q$11:Q1053)/5),0),"[",""),"]","")+_xlfn.XLOOKUP(C1054,$M$3:$M$7,$N$3:$N$7)*100,R1053)</f>
        <v>#N/A</v>
      </c>
    </row>
    <row r="1055" customHeight="1" spans="1:18">
      <c r="A1055" s="78" t="str">
        <f ca="1" t="shared" si="48"/>
        <v/>
      </c>
      <c r="B1055" s="82" t="str">
        <f ca="1">IFERROR(R1055+COUNTIFS($R$11:$R1055,R1055),"")</f>
        <v/>
      </c>
      <c r="C1055" s="83">
        <f ca="1">IF(MOD(COUNTIF($Q$11:Q1054,Q1054),5)=0,OFFSET(装备属性!$D$1083,1+INT(COUNTA($Q$11:Q1054)/5),0),C1054)</f>
        <v>0</v>
      </c>
      <c r="D1055" s="82">
        <f t="shared" si="50"/>
        <v>1000</v>
      </c>
      <c r="F1055" s="82" t="str">
        <f ca="1" t="shared" si="49"/>
        <v/>
      </c>
      <c r="G1055" s="78" t="str">
        <f ca="1">IF(AND(LEFT("[{"&amp;M1055&amp;","&amp;CEILING(N1055*10000+(O1055-N1055)/4*(COUNTIF($F$11:F1055,F1055)-1)*10000,10)&amp;"}]",7)="[{equip",MID("[{"&amp;M1055&amp;","&amp;CEILING(N1055*10000+(O1055-N1055)/4*(COUNTIF($F$11:F1055,F1055)-1)*10000,10)&amp;"}]",8,1)&lt;&gt;"_"),"[{"&amp;M1055&amp;","&amp;1&amp;"}]","[{"&amp;M1055&amp;","&amp;CEILING(N1055*10000+(O1055-N1055)/4*(COUNTIF($F$11:F1055,F1055)-1)*10000,10)&amp;"}]")</f>
        <v>[{equip_base_attr,2500}]</v>
      </c>
      <c r="H1055" s="82" t="s">
        <v>563</v>
      </c>
      <c r="J1055" s="78">
        <f ca="1">IF(MOD(COUNTIF($Q$11:Q1054,Q1054),5)=0,OFFSET(装备属性!$P$1083,1+INT(COUNTA($Q$11:Q1054)/5),0),J1054)</f>
        <v>7</v>
      </c>
      <c r="K1055" s="83" t="str">
        <f ca="1">IF(RIGHT(G1055,13)="rune_slot,1}]",_xlfn.XLOOKUP(LEFT(SUBSTITUTE(G1055,"[{",""),FIND(",",SUBSTITUTE(G1055,"[{",""))-1),Sheet2!B:B,Sheet2!C:C)&amp;"+"&amp;1,_xlfn.XLOOKUP(LEFT(SUBSTITUTE(G1055,"[{",""),FIND(",",SUBSTITUTE(G1055,"[{",""))-1),Sheet2!B:B,Sheet2!C:C)&amp;"+"&amp;SUBSTITUTE(RIGHT(G1055,LEN(G1055)-FIND(",",G1055)),"}]","")/100&amp;"%")</f>
        <v>装备基础属性加成+25%</v>
      </c>
      <c r="L1055" s="83" t="str">
        <f ca="1">IF(MOD(COUNTIF($Q$11:Q1054,Q1054),5)=0,OFFSET(装备属性!$G$1083,1+INT(COUNTA($Q$11:Q1054)/5),0),L1054)</f>
        <v>厚底子</v>
      </c>
      <c r="M1055" s="89" t="str">
        <f ca="1">IF(MOD(COUNTIF($Q$11:Q1054,Q1054),5)=0,OFFSET(装备属性!$H$1083,1+INT(COUNTA($Q$11:Q1054)/5),0),M1054)</f>
        <v>equip_base_attr</v>
      </c>
      <c r="N1055" s="76">
        <f ca="1">IF(MOD(COUNTIF($Q$11:Q1054,Q1054),5)=0,OFFSET(装备属性!$K$1083,1+INT(COUNTA($Q$11:Q1054)/5),0),N1054)</f>
        <v>0.25</v>
      </c>
      <c r="O1055" s="76">
        <f ca="1">IF(MOD(COUNTIF($Q$11:Q1054,Q1054),5)=0,OFFSET(装备属性!$L$1083,1+INT(COUNTA($Q$11:Q1054)/5),0),O1054)</f>
        <v>0.25</v>
      </c>
      <c r="Q1055" s="89" t="str">
        <f ca="1">IF(MOD(COUNTIF($Q$11:Q1054,Q1054),5)=0,OFFSET(装备属性!$M$1083,1+INT(COUNTA($Q$11:Q1054)/5),0),Q1054)</f>
        <v>稀有词条</v>
      </c>
      <c r="R1055" s="83" t="e">
        <f ca="1">IF(MOD(COUNTIF($Q$11:Q1054,Q1054),5)=0,10000*SUBSTITUTE(SUBSTITUTE(OFFSET(装备属性!$F$1083,1+INT(COUNTA($Q$11:Q1054)/5),0),"[",""),"]","")+_xlfn.XLOOKUP(C1055,$M$3:$M$7,$N$3:$N$7)*100,R1054)</f>
        <v>#N/A</v>
      </c>
    </row>
    <row r="1056" customHeight="1" spans="1:18">
      <c r="A1056" s="78" t="str">
        <f ca="1" t="shared" si="48"/>
        <v/>
      </c>
      <c r="B1056" s="82" t="str">
        <f ca="1">IFERROR(R1056+COUNTIFS($R$11:$R1056,R1056),"")</f>
        <v/>
      </c>
      <c r="C1056" s="83">
        <f ca="1">IF(MOD(COUNTIF($Q$11:Q1055,Q1055),5)=0,OFFSET(装备属性!$D$1083,1+INT(COUNTA($Q$11:Q1055)/5),0),C1055)</f>
        <v>0</v>
      </c>
      <c r="D1056" s="82">
        <f t="shared" si="50"/>
        <v>3000</v>
      </c>
      <c r="F1056" s="82" t="str">
        <f ca="1" t="shared" si="49"/>
        <v/>
      </c>
      <c r="G1056" s="78" t="str">
        <f ca="1">IF(AND(LEFT("[{"&amp;M1056&amp;","&amp;CEILING(N1056*10000+(O1056-N1056)/4*(COUNTIF($F$11:F1056,F1056)-1)*10000,10)&amp;"}]",7)="[{equip",MID("[{"&amp;M1056&amp;","&amp;CEILING(N1056*10000+(O1056-N1056)/4*(COUNTIF($F$11:F1056,F1056)-1)*10000,10)&amp;"}]",8,1)&lt;&gt;"_"),"[{"&amp;M1056&amp;","&amp;1&amp;"}]","[{"&amp;M1056&amp;","&amp;CEILING(N1056*10000+(O1056-N1056)/4*(COUNTIF($F$11:F1056,F1056)-1)*10000,10)&amp;"}]")</f>
        <v>[{equip_extra_attr,5000}]</v>
      </c>
      <c r="H1056" s="82" t="s">
        <v>563</v>
      </c>
      <c r="J1056" s="78">
        <f ca="1">IF(MOD(COUNTIF($Q$11:Q1055,Q1055),5)=0,OFFSET(装备属性!$P$1083,1+INT(COUNTA($Q$11:Q1055)/5),0),J1055)</f>
        <v>8</v>
      </c>
      <c r="K1056" s="83" t="str">
        <f ca="1">IF(RIGHT(G1056,13)="rune_slot,1}]",_xlfn.XLOOKUP(LEFT(SUBSTITUTE(G1056,"[{",""),FIND(",",SUBSTITUTE(G1056,"[{",""))-1),Sheet2!B:B,Sheet2!C:C)&amp;"+"&amp;1,_xlfn.XLOOKUP(LEFT(SUBSTITUTE(G1056,"[{",""),FIND(",",SUBSTITUTE(G1056,"[{",""))-1),Sheet2!B:B,Sheet2!C:C)&amp;"+"&amp;SUBSTITUTE(RIGHT(G1056,LEN(G1056)-FIND(",",G1056)),"}]","")/100&amp;"%")</f>
        <v>装备附加属性加成+50%</v>
      </c>
      <c r="L1056" s="83" t="str">
        <f ca="1">IF(MOD(COUNTIF($Q$11:Q1055,Q1055),5)=0,OFFSET(装备属性!$G$1083,1+INT(COUNTA($Q$11:Q1055)/5),0),L1055)</f>
        <v>提成色</v>
      </c>
      <c r="M1056" s="89" t="str">
        <f ca="1">IF(MOD(COUNTIF($Q$11:Q1055,Q1055),5)=0,OFFSET(装备属性!$H$1083,1+INT(COUNTA($Q$11:Q1055)/5),0),M1055)</f>
        <v>equip_extra_attr</v>
      </c>
      <c r="N1056" s="76">
        <f ca="1">IF(MOD(COUNTIF($Q$11:Q1055,Q1055),5)=0,OFFSET(装备属性!$K$1083,1+INT(COUNTA($Q$11:Q1055)/5),0),N1055)</f>
        <v>0.5</v>
      </c>
      <c r="O1056" s="76">
        <f ca="1">IF(MOD(COUNTIF($Q$11:Q1055,Q1055),5)=0,OFFSET(装备属性!$L$1083,1+INT(COUNTA($Q$11:Q1055)/5),0),O1055)</f>
        <v>0.5</v>
      </c>
      <c r="Q1056" s="89" t="str">
        <f ca="1">IF(MOD(COUNTIF($Q$11:Q1055,Q1055),5)=0,OFFSET(装备属性!$M$1083,1+INT(COUNTA($Q$11:Q1055)/5),0),Q1055)</f>
        <v>稀有词条</v>
      </c>
      <c r="R1056" s="83" t="e">
        <f ca="1">IF(MOD(COUNTIF($Q$11:Q1055,Q1055),5)=0,10000*SUBSTITUTE(SUBSTITUTE(OFFSET(装备属性!$F$1083,1+INT(COUNTA($Q$11:Q1055)/5),0),"[",""),"]","")+_xlfn.XLOOKUP(C1056,$M$3:$M$7,$N$3:$N$7)*100,R1055)</f>
        <v>#N/A</v>
      </c>
    </row>
    <row r="1057" customHeight="1" spans="1:18">
      <c r="A1057" s="78" t="str">
        <f ca="1" t="shared" si="48"/>
        <v/>
      </c>
      <c r="B1057" s="82" t="str">
        <f ca="1">IFERROR(R1057+COUNTIFS($R$11:$R1057,R1057),"")</f>
        <v/>
      </c>
      <c r="C1057" s="83">
        <f ca="1">IF(MOD(COUNTIF($Q$11:Q1056,Q1056),5)=0,OFFSET(装备属性!$D$1083,1+INT(COUNTA($Q$11:Q1056)/5),0),C1056)</f>
        <v>0</v>
      </c>
      <c r="D1057" s="82">
        <f t="shared" si="50"/>
        <v>2500</v>
      </c>
      <c r="F1057" s="82" t="str">
        <f ca="1" t="shared" si="49"/>
        <v/>
      </c>
      <c r="G1057" s="78" t="str">
        <f ca="1">IF(AND(LEFT("[{"&amp;M1057&amp;","&amp;CEILING(N1057*10000+(O1057-N1057)/4*(COUNTIF($F$11:F1057,F1057)-1)*10000,10)&amp;"}]",7)="[{equip",MID("[{"&amp;M1057&amp;","&amp;CEILING(N1057*10000+(O1057-N1057)/4*(COUNTIF($F$11:F1057,F1057)-1)*10000,10)&amp;"}]",8,1)&lt;&gt;"_"),"[{"&amp;M1057&amp;","&amp;1&amp;"}]","[{"&amp;M1057&amp;","&amp;CEILING(N1057*10000+(O1057-N1057)/4*(COUNTIF($F$11:F1057,F1057)-1)*10000,10)&amp;"}]")</f>
        <v>[{equip_extra_attr,5000}]</v>
      </c>
      <c r="H1057" s="82" t="s">
        <v>563</v>
      </c>
      <c r="J1057" s="78">
        <f ca="1">IF(MOD(COUNTIF($Q$11:Q1056,Q1056),5)=0,OFFSET(装备属性!$P$1083,1+INT(COUNTA($Q$11:Q1056)/5),0),J1056)</f>
        <v>8</v>
      </c>
      <c r="K1057" s="83" t="str">
        <f ca="1">IF(RIGHT(G1057,13)="rune_slot,1}]",_xlfn.XLOOKUP(LEFT(SUBSTITUTE(G1057,"[{",""),FIND(",",SUBSTITUTE(G1057,"[{",""))-1),Sheet2!B:B,Sheet2!C:C)&amp;"+"&amp;1,_xlfn.XLOOKUP(LEFT(SUBSTITUTE(G1057,"[{",""),FIND(",",SUBSTITUTE(G1057,"[{",""))-1),Sheet2!B:B,Sheet2!C:C)&amp;"+"&amp;SUBSTITUTE(RIGHT(G1057,LEN(G1057)-FIND(",",G1057)),"}]","")/100&amp;"%")</f>
        <v>装备附加属性加成+50%</v>
      </c>
      <c r="L1057" s="83" t="str">
        <f ca="1">IF(MOD(COUNTIF($Q$11:Q1056,Q1056),5)=0,OFFSET(装备属性!$G$1083,1+INT(COUNTA($Q$11:Q1056)/5),0),L1056)</f>
        <v>提成色</v>
      </c>
      <c r="M1057" s="89" t="str">
        <f ca="1">IF(MOD(COUNTIF($Q$11:Q1056,Q1056),5)=0,OFFSET(装备属性!$H$1083,1+INT(COUNTA($Q$11:Q1056)/5),0),M1056)</f>
        <v>equip_extra_attr</v>
      </c>
      <c r="N1057" s="76">
        <f ca="1">IF(MOD(COUNTIF($Q$11:Q1056,Q1056),5)=0,OFFSET(装备属性!$K$1083,1+INT(COUNTA($Q$11:Q1056)/5),0),N1056)</f>
        <v>0.5</v>
      </c>
      <c r="O1057" s="76">
        <f ca="1">IF(MOD(COUNTIF($Q$11:Q1056,Q1056),5)=0,OFFSET(装备属性!$L$1083,1+INT(COUNTA($Q$11:Q1056)/5),0),O1056)</f>
        <v>0.5</v>
      </c>
      <c r="Q1057" s="89" t="str">
        <f ca="1">IF(MOD(COUNTIF($Q$11:Q1056,Q1056),5)=0,OFFSET(装备属性!$M$1083,1+INT(COUNTA($Q$11:Q1056)/5),0),Q1056)</f>
        <v>稀有词条</v>
      </c>
      <c r="R1057" s="83" t="e">
        <f ca="1">IF(MOD(COUNTIF($Q$11:Q1056,Q1056),5)=0,10000*SUBSTITUTE(SUBSTITUTE(OFFSET(装备属性!$F$1083,1+INT(COUNTA($Q$11:Q1056)/5),0),"[",""),"]","")+_xlfn.XLOOKUP(C1057,$M$3:$M$7,$N$3:$N$7)*100,R1056)</f>
        <v>#N/A</v>
      </c>
    </row>
    <row r="1058" customHeight="1" spans="1:18">
      <c r="A1058" s="78" t="str">
        <f ca="1" t="shared" si="48"/>
        <v/>
      </c>
      <c r="B1058" s="82" t="str">
        <f ca="1">IFERROR(R1058+COUNTIFS($R$11:$R1058,R1058),"")</f>
        <v/>
      </c>
      <c r="C1058" s="83">
        <f ca="1">IF(MOD(COUNTIF($Q$11:Q1057,Q1057),5)=0,OFFSET(装备属性!$D$1083,1+INT(COUNTA($Q$11:Q1057)/5),0),C1057)</f>
        <v>0</v>
      </c>
      <c r="D1058" s="82">
        <f t="shared" si="50"/>
        <v>2000</v>
      </c>
      <c r="F1058" s="82" t="str">
        <f ca="1" t="shared" si="49"/>
        <v/>
      </c>
      <c r="G1058" s="78" t="str">
        <f ca="1">IF(AND(LEFT("[{"&amp;M1058&amp;","&amp;CEILING(N1058*10000+(O1058-N1058)/4*(COUNTIF($F$11:F1058,F1058)-1)*10000,10)&amp;"}]",7)="[{equip",MID("[{"&amp;M1058&amp;","&amp;CEILING(N1058*10000+(O1058-N1058)/4*(COUNTIF($F$11:F1058,F1058)-1)*10000,10)&amp;"}]",8,1)&lt;&gt;"_"),"[{"&amp;M1058&amp;","&amp;1&amp;"}]","[{"&amp;M1058&amp;","&amp;CEILING(N1058*10000+(O1058-N1058)/4*(COUNTIF($F$11:F1058,F1058)-1)*10000,10)&amp;"}]")</f>
        <v>[{equip_extra_attr,5000}]</v>
      </c>
      <c r="H1058" s="82" t="s">
        <v>563</v>
      </c>
      <c r="J1058" s="78">
        <f ca="1">IF(MOD(COUNTIF($Q$11:Q1057,Q1057),5)=0,OFFSET(装备属性!$P$1083,1+INT(COUNTA($Q$11:Q1057)/5),0),J1057)</f>
        <v>8</v>
      </c>
      <c r="K1058" s="83" t="str">
        <f ca="1">IF(RIGHT(G1058,13)="rune_slot,1}]",_xlfn.XLOOKUP(LEFT(SUBSTITUTE(G1058,"[{",""),FIND(",",SUBSTITUTE(G1058,"[{",""))-1),Sheet2!B:B,Sheet2!C:C)&amp;"+"&amp;1,_xlfn.XLOOKUP(LEFT(SUBSTITUTE(G1058,"[{",""),FIND(",",SUBSTITUTE(G1058,"[{",""))-1),Sheet2!B:B,Sheet2!C:C)&amp;"+"&amp;SUBSTITUTE(RIGHT(G1058,LEN(G1058)-FIND(",",G1058)),"}]","")/100&amp;"%")</f>
        <v>装备附加属性加成+50%</v>
      </c>
      <c r="L1058" s="83" t="str">
        <f ca="1">IF(MOD(COUNTIF($Q$11:Q1057,Q1057),5)=0,OFFSET(装备属性!$G$1083,1+INT(COUNTA($Q$11:Q1057)/5),0),L1057)</f>
        <v>提成色</v>
      </c>
      <c r="M1058" s="89" t="str">
        <f ca="1">IF(MOD(COUNTIF($Q$11:Q1057,Q1057),5)=0,OFFSET(装备属性!$H$1083,1+INT(COUNTA($Q$11:Q1057)/5),0),M1057)</f>
        <v>equip_extra_attr</v>
      </c>
      <c r="N1058" s="76">
        <f ca="1">IF(MOD(COUNTIF($Q$11:Q1057,Q1057),5)=0,OFFSET(装备属性!$K$1083,1+INT(COUNTA($Q$11:Q1057)/5),0),N1057)</f>
        <v>0.5</v>
      </c>
      <c r="O1058" s="76">
        <f ca="1">IF(MOD(COUNTIF($Q$11:Q1057,Q1057),5)=0,OFFSET(装备属性!$L$1083,1+INT(COUNTA($Q$11:Q1057)/5),0),O1057)</f>
        <v>0.5</v>
      </c>
      <c r="Q1058" s="89" t="str">
        <f ca="1">IF(MOD(COUNTIF($Q$11:Q1057,Q1057),5)=0,OFFSET(装备属性!$M$1083,1+INT(COUNTA($Q$11:Q1057)/5),0),Q1057)</f>
        <v>稀有词条</v>
      </c>
      <c r="R1058" s="83" t="e">
        <f ca="1">IF(MOD(COUNTIF($Q$11:Q1057,Q1057),5)=0,10000*SUBSTITUTE(SUBSTITUTE(OFFSET(装备属性!$F$1083,1+INT(COUNTA($Q$11:Q1057)/5),0),"[",""),"]","")+_xlfn.XLOOKUP(C1058,$M$3:$M$7,$N$3:$N$7)*100,R1057)</f>
        <v>#N/A</v>
      </c>
    </row>
    <row r="1059" customHeight="1" spans="1:18">
      <c r="A1059" s="78" t="str">
        <f ca="1" t="shared" si="48"/>
        <v/>
      </c>
      <c r="B1059" s="82" t="str">
        <f ca="1">IFERROR(R1059+COUNTIFS($R$11:$R1059,R1059),"")</f>
        <v/>
      </c>
      <c r="C1059" s="83">
        <f ca="1">IF(MOD(COUNTIF($Q$11:Q1058,Q1058),5)=0,OFFSET(装备属性!$D$1083,1+INT(COUNTA($Q$11:Q1058)/5),0),C1058)</f>
        <v>0</v>
      </c>
      <c r="D1059" s="82">
        <f t="shared" si="50"/>
        <v>1500</v>
      </c>
      <c r="F1059" s="82" t="str">
        <f ca="1" t="shared" si="49"/>
        <v/>
      </c>
      <c r="G1059" s="78" t="str">
        <f ca="1">IF(AND(LEFT("[{"&amp;M1059&amp;","&amp;CEILING(N1059*10000+(O1059-N1059)/4*(COUNTIF($F$11:F1059,F1059)-1)*10000,10)&amp;"}]",7)="[{equip",MID("[{"&amp;M1059&amp;","&amp;CEILING(N1059*10000+(O1059-N1059)/4*(COUNTIF($F$11:F1059,F1059)-1)*10000,10)&amp;"}]",8,1)&lt;&gt;"_"),"[{"&amp;M1059&amp;","&amp;1&amp;"}]","[{"&amp;M1059&amp;","&amp;CEILING(N1059*10000+(O1059-N1059)/4*(COUNTIF($F$11:F1059,F1059)-1)*10000,10)&amp;"}]")</f>
        <v>[{equip_extra_attr,5000}]</v>
      </c>
      <c r="H1059" s="82" t="s">
        <v>563</v>
      </c>
      <c r="J1059" s="78">
        <f ca="1">IF(MOD(COUNTIF($Q$11:Q1058,Q1058),5)=0,OFFSET(装备属性!$P$1083,1+INT(COUNTA($Q$11:Q1058)/5),0),J1058)</f>
        <v>8</v>
      </c>
      <c r="K1059" s="83" t="str">
        <f ca="1">IF(RIGHT(G1059,13)="rune_slot,1}]",_xlfn.XLOOKUP(LEFT(SUBSTITUTE(G1059,"[{",""),FIND(",",SUBSTITUTE(G1059,"[{",""))-1),Sheet2!B:B,Sheet2!C:C)&amp;"+"&amp;1,_xlfn.XLOOKUP(LEFT(SUBSTITUTE(G1059,"[{",""),FIND(",",SUBSTITUTE(G1059,"[{",""))-1),Sheet2!B:B,Sheet2!C:C)&amp;"+"&amp;SUBSTITUTE(RIGHT(G1059,LEN(G1059)-FIND(",",G1059)),"}]","")/100&amp;"%")</f>
        <v>装备附加属性加成+50%</v>
      </c>
      <c r="L1059" s="83" t="str">
        <f ca="1">IF(MOD(COUNTIF($Q$11:Q1058,Q1058),5)=0,OFFSET(装备属性!$G$1083,1+INT(COUNTA($Q$11:Q1058)/5),0),L1058)</f>
        <v>提成色</v>
      </c>
      <c r="M1059" s="89" t="str">
        <f ca="1">IF(MOD(COUNTIF($Q$11:Q1058,Q1058),5)=0,OFFSET(装备属性!$H$1083,1+INT(COUNTA($Q$11:Q1058)/5),0),M1058)</f>
        <v>equip_extra_attr</v>
      </c>
      <c r="N1059" s="76">
        <f ca="1">IF(MOD(COUNTIF($Q$11:Q1058,Q1058),5)=0,OFFSET(装备属性!$K$1083,1+INT(COUNTA($Q$11:Q1058)/5),0),N1058)</f>
        <v>0.5</v>
      </c>
      <c r="O1059" s="76">
        <f ca="1">IF(MOD(COUNTIF($Q$11:Q1058,Q1058),5)=0,OFFSET(装备属性!$L$1083,1+INT(COUNTA($Q$11:Q1058)/5),0),O1058)</f>
        <v>0.5</v>
      </c>
      <c r="Q1059" s="89" t="str">
        <f ca="1">IF(MOD(COUNTIF($Q$11:Q1058,Q1058),5)=0,OFFSET(装备属性!$M$1083,1+INT(COUNTA($Q$11:Q1058)/5),0),Q1058)</f>
        <v>稀有词条</v>
      </c>
      <c r="R1059" s="83" t="e">
        <f ca="1">IF(MOD(COUNTIF($Q$11:Q1058,Q1058),5)=0,10000*SUBSTITUTE(SUBSTITUTE(OFFSET(装备属性!$F$1083,1+INT(COUNTA($Q$11:Q1058)/5),0),"[",""),"]","")+_xlfn.XLOOKUP(C1059,$M$3:$M$7,$N$3:$N$7)*100,R1058)</f>
        <v>#N/A</v>
      </c>
    </row>
    <row r="1060" customHeight="1" spans="1:18">
      <c r="A1060" s="78" t="str">
        <f ca="1" t="shared" si="48"/>
        <v/>
      </c>
      <c r="B1060" s="82" t="str">
        <f ca="1">IFERROR(R1060+COUNTIFS($R$11:$R1060,R1060),"")</f>
        <v/>
      </c>
      <c r="C1060" s="83">
        <f ca="1">IF(MOD(COUNTIF($Q$11:Q1059,Q1059),5)=0,OFFSET(装备属性!$D$1083,1+INT(COUNTA($Q$11:Q1059)/5),0),C1059)</f>
        <v>0</v>
      </c>
      <c r="D1060" s="82">
        <f t="shared" si="50"/>
        <v>1000</v>
      </c>
      <c r="F1060" s="82" t="str">
        <f ca="1" t="shared" si="49"/>
        <v/>
      </c>
      <c r="G1060" s="78" t="str">
        <f ca="1">IF(AND(LEFT("[{"&amp;M1060&amp;","&amp;CEILING(N1060*10000+(O1060-N1060)/4*(COUNTIF($F$11:F1060,F1060)-1)*10000,10)&amp;"}]",7)="[{equip",MID("[{"&amp;M1060&amp;","&amp;CEILING(N1060*10000+(O1060-N1060)/4*(COUNTIF($F$11:F1060,F1060)-1)*10000,10)&amp;"}]",8,1)&lt;&gt;"_"),"[{"&amp;M1060&amp;","&amp;1&amp;"}]","[{"&amp;M1060&amp;","&amp;CEILING(N1060*10000+(O1060-N1060)/4*(COUNTIF($F$11:F1060,F1060)-1)*10000,10)&amp;"}]")</f>
        <v>[{equip_extra_attr,5000}]</v>
      </c>
      <c r="H1060" s="82" t="s">
        <v>563</v>
      </c>
      <c r="J1060" s="78">
        <f ca="1">IF(MOD(COUNTIF($Q$11:Q1059,Q1059),5)=0,OFFSET(装备属性!$P$1083,1+INT(COUNTA($Q$11:Q1059)/5),0),J1059)</f>
        <v>8</v>
      </c>
      <c r="K1060" s="83" t="str">
        <f ca="1">IF(RIGHT(G1060,13)="rune_slot,1}]",_xlfn.XLOOKUP(LEFT(SUBSTITUTE(G1060,"[{",""),FIND(",",SUBSTITUTE(G1060,"[{",""))-1),Sheet2!B:B,Sheet2!C:C)&amp;"+"&amp;1,_xlfn.XLOOKUP(LEFT(SUBSTITUTE(G1060,"[{",""),FIND(",",SUBSTITUTE(G1060,"[{",""))-1),Sheet2!B:B,Sheet2!C:C)&amp;"+"&amp;SUBSTITUTE(RIGHT(G1060,LEN(G1060)-FIND(",",G1060)),"}]","")/100&amp;"%")</f>
        <v>装备附加属性加成+50%</v>
      </c>
      <c r="L1060" s="83" t="str">
        <f ca="1">IF(MOD(COUNTIF($Q$11:Q1059,Q1059),5)=0,OFFSET(装备属性!$G$1083,1+INT(COUNTA($Q$11:Q1059)/5),0),L1059)</f>
        <v>提成色</v>
      </c>
      <c r="M1060" s="89" t="str">
        <f ca="1">IF(MOD(COUNTIF($Q$11:Q1059,Q1059),5)=0,OFFSET(装备属性!$H$1083,1+INT(COUNTA($Q$11:Q1059)/5),0),M1059)</f>
        <v>equip_extra_attr</v>
      </c>
      <c r="N1060" s="76">
        <f ca="1">IF(MOD(COUNTIF($Q$11:Q1059,Q1059),5)=0,OFFSET(装备属性!$K$1083,1+INT(COUNTA($Q$11:Q1059)/5),0),N1059)</f>
        <v>0.5</v>
      </c>
      <c r="O1060" s="76">
        <f ca="1">IF(MOD(COUNTIF($Q$11:Q1059,Q1059),5)=0,OFFSET(装备属性!$L$1083,1+INT(COUNTA($Q$11:Q1059)/5),0),O1059)</f>
        <v>0.5</v>
      </c>
      <c r="Q1060" s="89" t="str">
        <f ca="1">IF(MOD(COUNTIF($Q$11:Q1059,Q1059),5)=0,OFFSET(装备属性!$M$1083,1+INT(COUNTA($Q$11:Q1059)/5),0),Q1059)</f>
        <v>稀有词条</v>
      </c>
      <c r="R1060" s="83" t="e">
        <f ca="1">IF(MOD(COUNTIF($Q$11:Q1059,Q1059),5)=0,10000*SUBSTITUTE(SUBSTITUTE(OFFSET(装备属性!$F$1083,1+INT(COUNTA($Q$11:Q1059)/5),0),"[",""),"]","")+_xlfn.XLOOKUP(C1060,$M$3:$M$7,$N$3:$N$7)*100,R1059)</f>
        <v>#N/A</v>
      </c>
    </row>
    <row r="1061" customHeight="1" spans="1:18">
      <c r="A1061" s="78" t="str">
        <f ca="1" t="shared" si="48"/>
        <v/>
      </c>
      <c r="B1061" s="82" t="str">
        <f ca="1">IFERROR(R1061+COUNTIFS($R$11:$R1061,R1061),"")</f>
        <v/>
      </c>
      <c r="C1061" s="83">
        <f ca="1">IF(MOD(COUNTIF($Q$11:Q1060,Q1060),5)=0,OFFSET(装备属性!$D$1083,1+INT(COUNTA($Q$11:Q1060)/5),0),C1060)</f>
        <v>0</v>
      </c>
      <c r="D1061" s="82">
        <f t="shared" si="50"/>
        <v>3000</v>
      </c>
      <c r="F1061" s="82" t="str">
        <f ca="1" t="shared" si="49"/>
        <v/>
      </c>
      <c r="G1061" s="78" t="str">
        <f ca="1">IF(AND(LEFT("[{"&amp;M1061&amp;","&amp;CEILING(N1061*10000+(O1061-N1061)/4*(COUNTIF($F$11:F1061,F1061)-1)*10000,10)&amp;"}]",7)="[{equip",MID("[{"&amp;M1061&amp;","&amp;CEILING(N1061*10000+(O1061-N1061)/4*(COUNTIF($F$11:F1061,F1061)-1)*10000,10)&amp;"}]",8,1)&lt;&gt;"_"),"[{"&amp;M1061&amp;","&amp;1&amp;"}]","[{"&amp;M1061&amp;","&amp;CEILING(N1061*10000+(O1061-N1061)/4*(COUNTIF($F$11:F1061,F1061)-1)*10000,10)&amp;"}]")</f>
        <v>[{equip2_rune_slot,1}]</v>
      </c>
      <c r="H1061" s="82" t="s">
        <v>563</v>
      </c>
      <c r="J1061" s="78">
        <f ca="1">IF(MOD(COUNTIF($Q$11:Q1060,Q1060),5)=0,OFFSET(装备属性!$P$1083,1+INT(COUNTA($Q$11:Q1060)/5),0),J1060)</f>
        <v>1</v>
      </c>
      <c r="K1061" s="83" t="str">
        <f ca="1">IF(RIGHT(G1061,13)="rune_slot,1}]",_xlfn.XLOOKUP(LEFT(SUBSTITUTE(G1061,"[{",""),FIND(",",SUBSTITUTE(G1061,"[{",""))-1),Sheet2!B:B,Sheet2!C:C)&amp;"+"&amp;1,_xlfn.XLOOKUP(LEFT(SUBSTITUTE(G1061,"[{",""),FIND(",",SUBSTITUTE(G1061,"[{",""))-1),Sheet2!B:B,Sheet2!C:C)&amp;"+"&amp;SUBSTITUTE(RIGHT(G1061,LEN(G1061)-FIND(",",G1061)),"}]","")/100&amp;"%")</f>
        <v>裤子符文孔位+1</v>
      </c>
      <c r="L1061" s="83" t="str">
        <f ca="1">IF(MOD(COUNTIF($Q$11:Q1060,Q1060),5)=0,OFFSET(装备属性!$G$1083,1+INT(COUNTA($Q$11:Q1060)/5),0),L1060)</f>
        <v>扩符槽</v>
      </c>
      <c r="M1061" s="89" t="str">
        <f ca="1">IF(MOD(COUNTIF($Q$11:Q1060,Q1060),5)=0,OFFSET(装备属性!$H$1083,1+INT(COUNTA($Q$11:Q1060)/5),0),M1060)</f>
        <v>equip2_rune_slot</v>
      </c>
      <c r="N1061" s="76">
        <f ca="1">IF(MOD(COUNTIF($Q$11:Q1060,Q1060),5)=0,OFFSET(装备属性!$K$1083,1+INT(COUNTA($Q$11:Q1060)/5),0),N1060)</f>
        <v>1</v>
      </c>
      <c r="O1061" s="76">
        <f ca="1">IF(MOD(COUNTIF($Q$11:Q1060,Q1060),5)=0,OFFSET(装备属性!$L$1083,1+INT(COUNTA($Q$11:Q1060)/5),0),O1060)</f>
        <v>1</v>
      </c>
      <c r="Q1061" s="89" t="str">
        <f ca="1">IF(MOD(COUNTIF($Q$11:Q1060,Q1060),5)=0,OFFSET(装备属性!$M$1083,1+INT(COUNTA($Q$11:Q1060)/5),0),Q1060)</f>
        <v>稀有词条</v>
      </c>
      <c r="R1061" s="83" t="e">
        <f ca="1">IF(MOD(COUNTIF($Q$11:Q1060,Q1060),5)=0,10000*SUBSTITUTE(SUBSTITUTE(OFFSET(装备属性!$F$1083,1+INT(COUNTA($Q$11:Q1060)/5),0),"[",""),"]","")+_xlfn.XLOOKUP(C1061,$M$3:$M$7,$N$3:$N$7)*100,R1060)</f>
        <v>#N/A</v>
      </c>
    </row>
    <row r="1062" customHeight="1" spans="1:18">
      <c r="A1062" s="78" t="str">
        <f ca="1" t="shared" si="48"/>
        <v/>
      </c>
      <c r="B1062" s="82" t="str">
        <f ca="1">IFERROR(R1062+COUNTIFS($R$11:$R1062,R1062),"")</f>
        <v/>
      </c>
      <c r="C1062" s="83">
        <f ca="1">IF(MOD(COUNTIF($Q$11:Q1061,Q1061),5)=0,OFFSET(装备属性!$D$1083,1+INT(COUNTA($Q$11:Q1061)/5),0),C1061)</f>
        <v>0</v>
      </c>
      <c r="D1062" s="82">
        <f t="shared" si="50"/>
        <v>2500</v>
      </c>
      <c r="F1062" s="82" t="str">
        <f ca="1" t="shared" si="49"/>
        <v/>
      </c>
      <c r="G1062" s="78" t="str">
        <f ca="1">IF(AND(LEFT("[{"&amp;M1062&amp;","&amp;CEILING(N1062*10000+(O1062-N1062)/4*(COUNTIF($F$11:F1062,F1062)-1)*10000,10)&amp;"}]",7)="[{equip",MID("[{"&amp;M1062&amp;","&amp;CEILING(N1062*10000+(O1062-N1062)/4*(COUNTIF($F$11:F1062,F1062)-1)*10000,10)&amp;"}]",8,1)&lt;&gt;"_"),"[{"&amp;M1062&amp;","&amp;1&amp;"}]","[{"&amp;M1062&amp;","&amp;CEILING(N1062*10000+(O1062-N1062)/4*(COUNTIF($F$11:F1062,F1062)-1)*10000,10)&amp;"}]")</f>
        <v>[{equip2_rune_slot,1}]</v>
      </c>
      <c r="H1062" s="82" t="s">
        <v>563</v>
      </c>
      <c r="J1062" s="78">
        <f ca="1">IF(MOD(COUNTIF($Q$11:Q1061,Q1061),5)=0,OFFSET(装备属性!$P$1083,1+INT(COUNTA($Q$11:Q1061)/5),0),J1061)</f>
        <v>1</v>
      </c>
      <c r="K1062" s="83" t="str">
        <f ca="1">IF(RIGHT(G1062,13)="rune_slot,1}]",_xlfn.XLOOKUP(LEFT(SUBSTITUTE(G1062,"[{",""),FIND(",",SUBSTITUTE(G1062,"[{",""))-1),Sheet2!B:B,Sheet2!C:C)&amp;"+"&amp;1,_xlfn.XLOOKUP(LEFT(SUBSTITUTE(G1062,"[{",""),FIND(",",SUBSTITUTE(G1062,"[{",""))-1),Sheet2!B:B,Sheet2!C:C)&amp;"+"&amp;SUBSTITUTE(RIGHT(G1062,LEN(G1062)-FIND(",",G1062)),"}]","")/100&amp;"%")</f>
        <v>裤子符文孔位+1</v>
      </c>
      <c r="L1062" s="83" t="str">
        <f ca="1">IF(MOD(COUNTIF($Q$11:Q1061,Q1061),5)=0,OFFSET(装备属性!$G$1083,1+INT(COUNTA($Q$11:Q1061)/5),0),L1061)</f>
        <v>扩符槽</v>
      </c>
      <c r="M1062" s="89" t="str">
        <f ca="1">IF(MOD(COUNTIF($Q$11:Q1061,Q1061),5)=0,OFFSET(装备属性!$H$1083,1+INT(COUNTA($Q$11:Q1061)/5),0),M1061)</f>
        <v>equip2_rune_slot</v>
      </c>
      <c r="N1062" s="76">
        <f ca="1">IF(MOD(COUNTIF($Q$11:Q1061,Q1061),5)=0,OFFSET(装备属性!$K$1083,1+INT(COUNTA($Q$11:Q1061)/5),0),N1061)</f>
        <v>1</v>
      </c>
      <c r="O1062" s="76">
        <f ca="1">IF(MOD(COUNTIF($Q$11:Q1061,Q1061),5)=0,OFFSET(装备属性!$L$1083,1+INT(COUNTA($Q$11:Q1061)/5),0),O1061)</f>
        <v>1</v>
      </c>
      <c r="Q1062" s="89" t="str">
        <f ca="1">IF(MOD(COUNTIF($Q$11:Q1061,Q1061),5)=0,OFFSET(装备属性!$M$1083,1+INT(COUNTA($Q$11:Q1061)/5),0),Q1061)</f>
        <v>稀有词条</v>
      </c>
      <c r="R1062" s="83" t="e">
        <f ca="1">IF(MOD(COUNTIF($Q$11:Q1061,Q1061),5)=0,10000*SUBSTITUTE(SUBSTITUTE(OFFSET(装备属性!$F$1083,1+INT(COUNTA($Q$11:Q1061)/5),0),"[",""),"]","")+_xlfn.XLOOKUP(C1062,$M$3:$M$7,$N$3:$N$7)*100,R1061)</f>
        <v>#N/A</v>
      </c>
    </row>
    <row r="1063" customHeight="1" spans="1:18">
      <c r="A1063" s="78" t="str">
        <f ca="1" t="shared" si="48"/>
        <v/>
      </c>
      <c r="B1063" s="82" t="str">
        <f ca="1">IFERROR(R1063+COUNTIFS($R$11:$R1063,R1063),"")</f>
        <v/>
      </c>
      <c r="C1063" s="83">
        <f ca="1">IF(MOD(COUNTIF($Q$11:Q1062,Q1062),5)=0,OFFSET(装备属性!$D$1083,1+INT(COUNTA($Q$11:Q1062)/5),0),C1062)</f>
        <v>0</v>
      </c>
      <c r="D1063" s="82">
        <f t="shared" si="50"/>
        <v>2000</v>
      </c>
      <c r="F1063" s="82" t="str">
        <f ca="1" t="shared" si="49"/>
        <v/>
      </c>
      <c r="G1063" s="78" t="str">
        <f ca="1">IF(AND(LEFT("[{"&amp;M1063&amp;","&amp;CEILING(N1063*10000+(O1063-N1063)/4*(COUNTIF($F$11:F1063,F1063)-1)*10000,10)&amp;"}]",7)="[{equip",MID("[{"&amp;M1063&amp;","&amp;CEILING(N1063*10000+(O1063-N1063)/4*(COUNTIF($F$11:F1063,F1063)-1)*10000,10)&amp;"}]",8,1)&lt;&gt;"_"),"[{"&amp;M1063&amp;","&amp;1&amp;"}]","[{"&amp;M1063&amp;","&amp;CEILING(N1063*10000+(O1063-N1063)/4*(COUNTIF($F$11:F1063,F1063)-1)*10000,10)&amp;"}]")</f>
        <v>[{equip2_rune_slot,1}]</v>
      </c>
      <c r="H1063" s="82" t="s">
        <v>563</v>
      </c>
      <c r="J1063" s="78">
        <f ca="1">IF(MOD(COUNTIF($Q$11:Q1062,Q1062),5)=0,OFFSET(装备属性!$P$1083,1+INT(COUNTA($Q$11:Q1062)/5),0),J1062)</f>
        <v>1</v>
      </c>
      <c r="K1063" s="83" t="str">
        <f ca="1">IF(RIGHT(G1063,13)="rune_slot,1}]",_xlfn.XLOOKUP(LEFT(SUBSTITUTE(G1063,"[{",""),FIND(",",SUBSTITUTE(G1063,"[{",""))-1),Sheet2!B:B,Sheet2!C:C)&amp;"+"&amp;1,_xlfn.XLOOKUP(LEFT(SUBSTITUTE(G1063,"[{",""),FIND(",",SUBSTITUTE(G1063,"[{",""))-1),Sheet2!B:B,Sheet2!C:C)&amp;"+"&amp;SUBSTITUTE(RIGHT(G1063,LEN(G1063)-FIND(",",G1063)),"}]","")/100&amp;"%")</f>
        <v>裤子符文孔位+1</v>
      </c>
      <c r="L1063" s="83" t="str">
        <f ca="1">IF(MOD(COUNTIF($Q$11:Q1062,Q1062),5)=0,OFFSET(装备属性!$G$1083,1+INT(COUNTA($Q$11:Q1062)/5),0),L1062)</f>
        <v>扩符槽</v>
      </c>
      <c r="M1063" s="89" t="str">
        <f ca="1">IF(MOD(COUNTIF($Q$11:Q1062,Q1062),5)=0,OFFSET(装备属性!$H$1083,1+INT(COUNTA($Q$11:Q1062)/5),0),M1062)</f>
        <v>equip2_rune_slot</v>
      </c>
      <c r="N1063" s="76">
        <f ca="1">IF(MOD(COUNTIF($Q$11:Q1062,Q1062),5)=0,OFFSET(装备属性!$K$1083,1+INT(COUNTA($Q$11:Q1062)/5),0),N1062)</f>
        <v>1</v>
      </c>
      <c r="O1063" s="76">
        <f ca="1">IF(MOD(COUNTIF($Q$11:Q1062,Q1062),5)=0,OFFSET(装备属性!$L$1083,1+INT(COUNTA($Q$11:Q1062)/5),0),O1062)</f>
        <v>1</v>
      </c>
      <c r="Q1063" s="89" t="str">
        <f ca="1">IF(MOD(COUNTIF($Q$11:Q1062,Q1062),5)=0,OFFSET(装备属性!$M$1083,1+INT(COUNTA($Q$11:Q1062)/5),0),Q1062)</f>
        <v>稀有词条</v>
      </c>
      <c r="R1063" s="83" t="e">
        <f ca="1">IF(MOD(COUNTIF($Q$11:Q1062,Q1062),5)=0,10000*SUBSTITUTE(SUBSTITUTE(OFFSET(装备属性!$F$1083,1+INT(COUNTA($Q$11:Q1062)/5),0),"[",""),"]","")+_xlfn.XLOOKUP(C1063,$M$3:$M$7,$N$3:$N$7)*100,R1062)</f>
        <v>#N/A</v>
      </c>
    </row>
    <row r="1064" customHeight="1" spans="1:18">
      <c r="A1064" s="78" t="str">
        <f ca="1" t="shared" si="48"/>
        <v/>
      </c>
      <c r="B1064" s="82" t="str">
        <f ca="1">IFERROR(R1064+COUNTIFS($R$11:$R1064,R1064),"")</f>
        <v/>
      </c>
      <c r="C1064" s="83">
        <f ca="1">IF(MOD(COUNTIF($Q$11:Q1063,Q1063),5)=0,OFFSET(装备属性!$D$1083,1+INT(COUNTA($Q$11:Q1063)/5),0),C1063)</f>
        <v>0</v>
      </c>
      <c r="D1064" s="82">
        <f t="shared" si="50"/>
        <v>1500</v>
      </c>
      <c r="F1064" s="82" t="str">
        <f ca="1" t="shared" si="49"/>
        <v/>
      </c>
      <c r="G1064" s="78" t="str">
        <f ca="1">IF(AND(LEFT("[{"&amp;M1064&amp;","&amp;CEILING(N1064*10000+(O1064-N1064)/4*(COUNTIF($F$11:F1064,F1064)-1)*10000,10)&amp;"}]",7)="[{equip",MID("[{"&amp;M1064&amp;","&amp;CEILING(N1064*10000+(O1064-N1064)/4*(COUNTIF($F$11:F1064,F1064)-1)*10000,10)&amp;"}]",8,1)&lt;&gt;"_"),"[{"&amp;M1064&amp;","&amp;1&amp;"}]","[{"&amp;M1064&amp;","&amp;CEILING(N1064*10000+(O1064-N1064)/4*(COUNTIF($F$11:F1064,F1064)-1)*10000,10)&amp;"}]")</f>
        <v>[{equip2_rune_slot,1}]</v>
      </c>
      <c r="H1064" s="82" t="s">
        <v>563</v>
      </c>
      <c r="J1064" s="78">
        <f ca="1">IF(MOD(COUNTIF($Q$11:Q1063,Q1063),5)=0,OFFSET(装备属性!$P$1083,1+INT(COUNTA($Q$11:Q1063)/5),0),J1063)</f>
        <v>1</v>
      </c>
      <c r="K1064" s="83" t="str">
        <f ca="1">IF(RIGHT(G1064,13)="rune_slot,1}]",_xlfn.XLOOKUP(LEFT(SUBSTITUTE(G1064,"[{",""),FIND(",",SUBSTITUTE(G1064,"[{",""))-1),Sheet2!B:B,Sheet2!C:C)&amp;"+"&amp;1,_xlfn.XLOOKUP(LEFT(SUBSTITUTE(G1064,"[{",""),FIND(",",SUBSTITUTE(G1064,"[{",""))-1),Sheet2!B:B,Sheet2!C:C)&amp;"+"&amp;SUBSTITUTE(RIGHT(G1064,LEN(G1064)-FIND(",",G1064)),"}]","")/100&amp;"%")</f>
        <v>裤子符文孔位+1</v>
      </c>
      <c r="L1064" s="83" t="str">
        <f ca="1">IF(MOD(COUNTIF($Q$11:Q1063,Q1063),5)=0,OFFSET(装备属性!$G$1083,1+INT(COUNTA($Q$11:Q1063)/5),0),L1063)</f>
        <v>扩符槽</v>
      </c>
      <c r="M1064" s="89" t="str">
        <f ca="1">IF(MOD(COUNTIF($Q$11:Q1063,Q1063),5)=0,OFFSET(装备属性!$H$1083,1+INT(COUNTA($Q$11:Q1063)/5),0),M1063)</f>
        <v>equip2_rune_slot</v>
      </c>
      <c r="N1064" s="76">
        <f ca="1">IF(MOD(COUNTIF($Q$11:Q1063,Q1063),5)=0,OFFSET(装备属性!$K$1083,1+INT(COUNTA($Q$11:Q1063)/5),0),N1063)</f>
        <v>1</v>
      </c>
      <c r="O1064" s="76">
        <f ca="1">IF(MOD(COUNTIF($Q$11:Q1063,Q1063),5)=0,OFFSET(装备属性!$L$1083,1+INT(COUNTA($Q$11:Q1063)/5),0),O1063)</f>
        <v>1</v>
      </c>
      <c r="Q1064" s="89" t="str">
        <f ca="1">IF(MOD(COUNTIF($Q$11:Q1063,Q1063),5)=0,OFFSET(装备属性!$M$1083,1+INT(COUNTA($Q$11:Q1063)/5),0),Q1063)</f>
        <v>稀有词条</v>
      </c>
      <c r="R1064" s="83" t="e">
        <f ca="1">IF(MOD(COUNTIF($Q$11:Q1063,Q1063),5)=0,10000*SUBSTITUTE(SUBSTITUTE(OFFSET(装备属性!$F$1083,1+INT(COUNTA($Q$11:Q1063)/5),0),"[",""),"]","")+_xlfn.XLOOKUP(C1064,$M$3:$M$7,$N$3:$N$7)*100,R1063)</f>
        <v>#N/A</v>
      </c>
    </row>
    <row r="1065" customHeight="1" spans="1:18">
      <c r="A1065" s="78" t="str">
        <f ca="1" t="shared" si="48"/>
        <v/>
      </c>
      <c r="B1065" s="82" t="str">
        <f ca="1">IFERROR(R1065+COUNTIFS($R$11:$R1065,R1065),"")</f>
        <v/>
      </c>
      <c r="C1065" s="83">
        <f ca="1">IF(MOD(COUNTIF($Q$11:Q1064,Q1064),5)=0,OFFSET(装备属性!$D$1083,1+INT(COUNTA($Q$11:Q1064)/5),0),C1064)</f>
        <v>0</v>
      </c>
      <c r="D1065" s="82">
        <f t="shared" si="50"/>
        <v>1000</v>
      </c>
      <c r="F1065" s="82" t="str">
        <f ca="1" t="shared" si="49"/>
        <v/>
      </c>
      <c r="G1065" s="78" t="str">
        <f ca="1">IF(AND(LEFT("[{"&amp;M1065&amp;","&amp;CEILING(N1065*10000+(O1065-N1065)/4*(COUNTIF($F$11:F1065,F1065)-1)*10000,10)&amp;"}]",7)="[{equip",MID("[{"&amp;M1065&amp;","&amp;CEILING(N1065*10000+(O1065-N1065)/4*(COUNTIF($F$11:F1065,F1065)-1)*10000,10)&amp;"}]",8,1)&lt;&gt;"_"),"[{"&amp;M1065&amp;","&amp;1&amp;"}]","[{"&amp;M1065&amp;","&amp;CEILING(N1065*10000+(O1065-N1065)/4*(COUNTIF($F$11:F1065,F1065)-1)*10000,10)&amp;"}]")</f>
        <v>[{equip2_rune_slot,1}]</v>
      </c>
      <c r="H1065" s="82" t="s">
        <v>563</v>
      </c>
      <c r="J1065" s="78">
        <f ca="1">IF(MOD(COUNTIF($Q$11:Q1064,Q1064),5)=0,OFFSET(装备属性!$P$1083,1+INT(COUNTA($Q$11:Q1064)/5),0),J1064)</f>
        <v>1</v>
      </c>
      <c r="K1065" s="83" t="str">
        <f ca="1">IF(RIGHT(G1065,13)="rune_slot,1}]",_xlfn.XLOOKUP(LEFT(SUBSTITUTE(G1065,"[{",""),FIND(",",SUBSTITUTE(G1065,"[{",""))-1),Sheet2!B:B,Sheet2!C:C)&amp;"+"&amp;1,_xlfn.XLOOKUP(LEFT(SUBSTITUTE(G1065,"[{",""),FIND(",",SUBSTITUTE(G1065,"[{",""))-1),Sheet2!B:B,Sheet2!C:C)&amp;"+"&amp;SUBSTITUTE(RIGHT(G1065,LEN(G1065)-FIND(",",G1065)),"}]","")/100&amp;"%")</f>
        <v>裤子符文孔位+1</v>
      </c>
      <c r="L1065" s="83" t="str">
        <f ca="1">IF(MOD(COUNTIF($Q$11:Q1064,Q1064),5)=0,OFFSET(装备属性!$G$1083,1+INT(COUNTA($Q$11:Q1064)/5),0),L1064)</f>
        <v>扩符槽</v>
      </c>
      <c r="M1065" s="89" t="str">
        <f ca="1">IF(MOD(COUNTIF($Q$11:Q1064,Q1064),5)=0,OFFSET(装备属性!$H$1083,1+INT(COUNTA($Q$11:Q1064)/5),0),M1064)</f>
        <v>equip2_rune_slot</v>
      </c>
      <c r="N1065" s="76">
        <f ca="1">IF(MOD(COUNTIF($Q$11:Q1064,Q1064),5)=0,OFFSET(装备属性!$K$1083,1+INT(COUNTA($Q$11:Q1064)/5),0),N1064)</f>
        <v>1</v>
      </c>
      <c r="O1065" s="76">
        <f ca="1">IF(MOD(COUNTIF($Q$11:Q1064,Q1064),5)=0,OFFSET(装备属性!$L$1083,1+INT(COUNTA($Q$11:Q1064)/5),0),O1064)</f>
        <v>1</v>
      </c>
      <c r="Q1065" s="89" t="str">
        <f ca="1">IF(MOD(COUNTIF($Q$11:Q1064,Q1064),5)=0,OFFSET(装备属性!$M$1083,1+INT(COUNTA($Q$11:Q1064)/5),0),Q1064)</f>
        <v>稀有词条</v>
      </c>
      <c r="R1065" s="83" t="e">
        <f ca="1">IF(MOD(COUNTIF($Q$11:Q1064,Q1064),5)=0,10000*SUBSTITUTE(SUBSTITUTE(OFFSET(装备属性!$F$1083,1+INT(COUNTA($Q$11:Q1064)/5),0),"[",""),"]","")+_xlfn.XLOOKUP(C1065,$M$3:$M$7,$N$3:$N$7)*100,R1064)</f>
        <v>#N/A</v>
      </c>
    </row>
    <row r="1066" customHeight="1" spans="1:18">
      <c r="A1066" s="78">
        <f ca="1" t="shared" si="48"/>
        <v>40602</v>
      </c>
      <c r="B1066" s="82">
        <f ca="1">IFERROR(R1066+COUNTIFS($R$11:$R1066,R1066),"")</f>
        <v>40611</v>
      </c>
      <c r="C1066" s="83" t="str">
        <f ca="1">IF(MOD(COUNTIF($Q$11:Q1065,Q1065),5)=0,OFFSET(装备属性!$D$1083,1+INT(COUNTA($Q$11:Q1065)/5),0),C1065)</f>
        <v>红</v>
      </c>
      <c r="D1066" s="82">
        <f t="shared" si="50"/>
        <v>3000</v>
      </c>
      <c r="F1066" s="82">
        <f ca="1" t="shared" si="49"/>
        <v>40602</v>
      </c>
      <c r="G1066" s="78" t="str">
        <f ca="1">IF(AND(LEFT("[{"&amp;M1066&amp;","&amp;CEILING(N1066*10000+(O1066-N1066)/4*(COUNTIF($F$11:F1066,F1066)-1)*10000,10)&amp;"}]",7)="[{equip",MID("[{"&amp;M1066&amp;","&amp;CEILING(N1066*10000+(O1066-N1066)/4*(COUNTIF($F$11:F1066,F1066)-1)*10000,10)&amp;"}]",8,1)&lt;&gt;"_"),"[{"&amp;M1066&amp;","&amp;1&amp;"}]","[{"&amp;M1066&amp;","&amp;CEILING(N1066*10000+(O1066-N1066)/4*(COUNTIF($F$11:F1066,F1066)-1)*10000,10)&amp;"}]")</f>
        <v>[{chapter_pve_hit_rate,720}]</v>
      </c>
      <c r="H1066" s="82" t="s">
        <v>563</v>
      </c>
      <c r="J1066" s="78">
        <f ca="1">IF(MOD(COUNTIF($Q$11:Q1065,Q1065),5)=0,OFFSET(装备属性!$P$1083,1+INT(COUNTA($Q$11:Q1065)/5),0),J1065)</f>
        <v>6</v>
      </c>
      <c r="K1066" s="83" t="str">
        <f ca="1">IF(RIGHT(G1066,13)="rune_slot,1}]",_xlfn.XLOOKUP(LEFT(SUBSTITUTE(G1066,"[{",""),FIND(",",SUBSTITUTE(G1066,"[{",""))-1),Sheet2!B:B,Sheet2!C:C)&amp;"+"&amp;1,_xlfn.XLOOKUP(LEFT(SUBSTITUTE(G1066,"[{",""),FIND(",",SUBSTITUTE(G1066,"[{",""))-1),Sheet2!B:B,Sheet2!C:C)&amp;"+"&amp;SUBSTITUTE(RIGHT(G1066,LEN(G1066)-FIND(",",G1066)),"}]","")/100&amp;"%")</f>
        <v>主线挑战增伤+7.2%</v>
      </c>
      <c r="L1066" s="83" t="str">
        <f ca="1">IF(MOD(COUNTIF($Q$11:Q1065,Q1065),5)=0,OFFSET(装备属性!$G$1083,1+INT(COUNTA($Q$11:Q1065)/5),0),L1065)</f>
        <v>主线清场Ⅲ</v>
      </c>
      <c r="M1066" s="89" t="str">
        <f ca="1">IF(MOD(COUNTIF($Q$11:Q1065,Q1065),5)=0,OFFSET(装备属性!$H$1083,1+INT(COUNTA($Q$11:Q1065)/5),0),M1065)</f>
        <v>chapter_pve_hit_rate</v>
      </c>
      <c r="N1066" s="76">
        <f ca="1">IF(MOD(COUNTIF($Q$11:Q1065,Q1065),5)=0,OFFSET(装备属性!$K$1083,1+INT(COUNTA($Q$11:Q1065)/5),0),N1065)</f>
        <v>0.072</v>
      </c>
      <c r="O1066" s="76">
        <f ca="1">IF(MOD(COUNTIF($Q$11:Q1065,Q1065),5)=0,OFFSET(装备属性!$L$1083,1+INT(COUNTA($Q$11:Q1065)/5),0),O1065)</f>
        <v>0.086</v>
      </c>
      <c r="Q1066" s="89" t="str">
        <f ca="1">IF(MOD(COUNTIF($Q$11:Q1065,Q1065),5)=0,OFFSET(装备属性!$M$1083,1+INT(COUNTA($Q$11:Q1065)/5),0),Q1065)</f>
        <v>玩法类</v>
      </c>
      <c r="R1066" s="83">
        <f ca="1">IF(MOD(COUNTIF($Q$11:Q1065,Q1065),5)=0,10000*SUBSTITUTE(SUBSTITUTE(OFFSET(装备属性!$F$1083,1+INT(COUNTA($Q$11:Q1065)/5),0),"[",""),"]","")+_xlfn.XLOOKUP(C1066,$M$3:$M$7,$N$3:$N$7)*100,R1065)</f>
        <v>40600</v>
      </c>
    </row>
    <row r="1067" customHeight="1" spans="1:18">
      <c r="A1067" s="78">
        <f ca="1" t="shared" si="48"/>
        <v>40602</v>
      </c>
      <c r="B1067" s="82">
        <f ca="1">IFERROR(R1067+COUNTIFS($R$11:$R1067,R1067),"")</f>
        <v>40612</v>
      </c>
      <c r="C1067" s="83" t="str">
        <f ca="1">IF(MOD(COUNTIF($Q$11:Q1066,Q1066),5)=0,OFFSET(装备属性!$D$1083,1+INT(COUNTA($Q$11:Q1066)/5),0),C1066)</f>
        <v>红</v>
      </c>
      <c r="D1067" s="82">
        <f t="shared" si="50"/>
        <v>2500</v>
      </c>
      <c r="F1067" s="82">
        <f ca="1" t="shared" si="49"/>
        <v>40602</v>
      </c>
      <c r="G1067" s="78" t="str">
        <f ca="1">IF(AND(LEFT("[{"&amp;M1067&amp;","&amp;CEILING(N1067*10000+(O1067-N1067)/4*(COUNTIF($F$11:F1067,F1067)-1)*10000,10)&amp;"}]",7)="[{equip",MID("[{"&amp;M1067&amp;","&amp;CEILING(N1067*10000+(O1067-N1067)/4*(COUNTIF($F$11:F1067,F1067)-1)*10000,10)&amp;"}]",8,1)&lt;&gt;"_"),"[{"&amp;M1067&amp;","&amp;1&amp;"}]","[{"&amp;M1067&amp;","&amp;CEILING(N1067*10000+(O1067-N1067)/4*(COUNTIF($F$11:F1067,F1067)-1)*10000,10)&amp;"}]")</f>
        <v>[{chapter_pve_hit_rate,760}]</v>
      </c>
      <c r="H1067" s="82" t="s">
        <v>563</v>
      </c>
      <c r="J1067" s="78">
        <f ca="1">IF(MOD(COUNTIF($Q$11:Q1066,Q1066),5)=0,OFFSET(装备属性!$P$1083,1+INT(COUNTA($Q$11:Q1066)/5),0),J1066)</f>
        <v>6</v>
      </c>
      <c r="K1067" s="83" t="str">
        <f ca="1">IF(RIGHT(G1067,13)="rune_slot,1}]",_xlfn.XLOOKUP(LEFT(SUBSTITUTE(G1067,"[{",""),FIND(",",SUBSTITUTE(G1067,"[{",""))-1),Sheet2!B:B,Sheet2!C:C)&amp;"+"&amp;1,_xlfn.XLOOKUP(LEFT(SUBSTITUTE(G1067,"[{",""),FIND(",",SUBSTITUTE(G1067,"[{",""))-1),Sheet2!B:B,Sheet2!C:C)&amp;"+"&amp;SUBSTITUTE(RIGHT(G1067,LEN(G1067)-FIND(",",G1067)),"}]","")/100&amp;"%")</f>
        <v>主线挑战增伤+7.6%</v>
      </c>
      <c r="L1067" s="83" t="str">
        <f ca="1">IF(MOD(COUNTIF($Q$11:Q1066,Q1066),5)=0,OFFSET(装备属性!$G$1083,1+INT(COUNTA($Q$11:Q1066)/5),0),L1066)</f>
        <v>主线清场Ⅲ</v>
      </c>
      <c r="M1067" s="89" t="str">
        <f ca="1">IF(MOD(COUNTIF($Q$11:Q1066,Q1066),5)=0,OFFSET(装备属性!$H$1083,1+INT(COUNTA($Q$11:Q1066)/5),0),M1066)</f>
        <v>chapter_pve_hit_rate</v>
      </c>
      <c r="N1067" s="76">
        <f ca="1">IF(MOD(COUNTIF($Q$11:Q1066,Q1066),5)=0,OFFSET(装备属性!$K$1083,1+INT(COUNTA($Q$11:Q1066)/5),0),N1066)</f>
        <v>0.072</v>
      </c>
      <c r="O1067" s="76">
        <f ca="1">IF(MOD(COUNTIF($Q$11:Q1066,Q1066),5)=0,OFFSET(装备属性!$L$1083,1+INT(COUNTA($Q$11:Q1066)/5),0),O1066)</f>
        <v>0.086</v>
      </c>
      <c r="Q1067" s="89" t="str">
        <f ca="1">IF(MOD(COUNTIF($Q$11:Q1066,Q1066),5)=0,OFFSET(装备属性!$M$1083,1+INT(COUNTA($Q$11:Q1066)/5),0),Q1066)</f>
        <v>玩法类</v>
      </c>
      <c r="R1067" s="83">
        <f ca="1">IF(MOD(COUNTIF($Q$11:Q1066,Q1066),5)=0,10000*SUBSTITUTE(SUBSTITUTE(OFFSET(装备属性!$F$1083,1+INT(COUNTA($Q$11:Q1066)/5),0),"[",""),"]","")+_xlfn.XLOOKUP(C1067,$M$3:$M$7,$N$3:$N$7)*100,R1066)</f>
        <v>40600</v>
      </c>
    </row>
    <row r="1068" customHeight="1" spans="1:18">
      <c r="A1068" s="78">
        <f ca="1" t="shared" si="48"/>
        <v>40602</v>
      </c>
      <c r="B1068" s="82">
        <f ca="1">IFERROR(R1068+COUNTIFS($R$11:$R1068,R1068),"")</f>
        <v>40613</v>
      </c>
      <c r="C1068" s="83" t="str">
        <f ca="1">IF(MOD(COUNTIF($Q$11:Q1067,Q1067),5)=0,OFFSET(装备属性!$D$1083,1+INT(COUNTA($Q$11:Q1067)/5),0),C1067)</f>
        <v>红</v>
      </c>
      <c r="D1068" s="82">
        <f t="shared" si="50"/>
        <v>2000</v>
      </c>
      <c r="F1068" s="82">
        <f ca="1" t="shared" si="49"/>
        <v>40602</v>
      </c>
      <c r="G1068" s="78" t="str">
        <f ca="1">IF(AND(LEFT("[{"&amp;M1068&amp;","&amp;CEILING(N1068*10000+(O1068-N1068)/4*(COUNTIF($F$11:F1068,F1068)-1)*10000,10)&amp;"}]",7)="[{equip",MID("[{"&amp;M1068&amp;","&amp;CEILING(N1068*10000+(O1068-N1068)/4*(COUNTIF($F$11:F1068,F1068)-1)*10000,10)&amp;"}]",8,1)&lt;&gt;"_"),"[{"&amp;M1068&amp;","&amp;1&amp;"}]","[{"&amp;M1068&amp;","&amp;CEILING(N1068*10000+(O1068-N1068)/4*(COUNTIF($F$11:F1068,F1068)-1)*10000,10)&amp;"}]")</f>
        <v>[{chapter_pve_hit_rate,790}]</v>
      </c>
      <c r="H1068" s="82" t="s">
        <v>563</v>
      </c>
      <c r="J1068" s="78">
        <f ca="1">IF(MOD(COUNTIF($Q$11:Q1067,Q1067),5)=0,OFFSET(装备属性!$P$1083,1+INT(COUNTA($Q$11:Q1067)/5),0),J1067)</f>
        <v>6</v>
      </c>
      <c r="K1068" s="83" t="str">
        <f ca="1">IF(RIGHT(G1068,13)="rune_slot,1}]",_xlfn.XLOOKUP(LEFT(SUBSTITUTE(G1068,"[{",""),FIND(",",SUBSTITUTE(G1068,"[{",""))-1),Sheet2!B:B,Sheet2!C:C)&amp;"+"&amp;1,_xlfn.XLOOKUP(LEFT(SUBSTITUTE(G1068,"[{",""),FIND(",",SUBSTITUTE(G1068,"[{",""))-1),Sheet2!B:B,Sheet2!C:C)&amp;"+"&amp;SUBSTITUTE(RIGHT(G1068,LEN(G1068)-FIND(",",G1068)),"}]","")/100&amp;"%")</f>
        <v>主线挑战增伤+7.9%</v>
      </c>
      <c r="L1068" s="83" t="str">
        <f ca="1">IF(MOD(COUNTIF($Q$11:Q1067,Q1067),5)=0,OFFSET(装备属性!$G$1083,1+INT(COUNTA($Q$11:Q1067)/5),0),L1067)</f>
        <v>主线清场Ⅲ</v>
      </c>
      <c r="M1068" s="89" t="str">
        <f ca="1">IF(MOD(COUNTIF($Q$11:Q1067,Q1067),5)=0,OFFSET(装备属性!$H$1083,1+INT(COUNTA($Q$11:Q1067)/5),0),M1067)</f>
        <v>chapter_pve_hit_rate</v>
      </c>
      <c r="N1068" s="76">
        <f ca="1">IF(MOD(COUNTIF($Q$11:Q1067,Q1067),5)=0,OFFSET(装备属性!$K$1083,1+INT(COUNTA($Q$11:Q1067)/5),0),N1067)</f>
        <v>0.072</v>
      </c>
      <c r="O1068" s="76">
        <f ca="1">IF(MOD(COUNTIF($Q$11:Q1067,Q1067),5)=0,OFFSET(装备属性!$L$1083,1+INT(COUNTA($Q$11:Q1067)/5),0),O1067)</f>
        <v>0.086</v>
      </c>
      <c r="Q1068" s="89" t="str">
        <f ca="1">IF(MOD(COUNTIF($Q$11:Q1067,Q1067),5)=0,OFFSET(装备属性!$M$1083,1+INT(COUNTA($Q$11:Q1067)/5),0),Q1067)</f>
        <v>玩法类</v>
      </c>
      <c r="R1068" s="83">
        <f ca="1">IF(MOD(COUNTIF($Q$11:Q1067,Q1067),5)=0,10000*SUBSTITUTE(SUBSTITUTE(OFFSET(装备属性!$F$1083,1+INT(COUNTA($Q$11:Q1067)/5),0),"[",""),"]","")+_xlfn.XLOOKUP(C1068,$M$3:$M$7,$N$3:$N$7)*100,R1067)</f>
        <v>40600</v>
      </c>
    </row>
    <row r="1069" customHeight="1" spans="1:18">
      <c r="A1069" s="78">
        <f ca="1" t="shared" si="48"/>
        <v>40602</v>
      </c>
      <c r="B1069" s="82">
        <f ca="1">IFERROR(R1069+COUNTIFS($R$11:$R1069,R1069),"")</f>
        <v>40614</v>
      </c>
      <c r="C1069" s="83" t="str">
        <f ca="1">IF(MOD(COUNTIF($Q$11:Q1068,Q1068),5)=0,OFFSET(装备属性!$D$1083,1+INT(COUNTA($Q$11:Q1068)/5),0),C1068)</f>
        <v>红</v>
      </c>
      <c r="D1069" s="82">
        <f t="shared" si="50"/>
        <v>1500</v>
      </c>
      <c r="F1069" s="82">
        <f ca="1" t="shared" si="49"/>
        <v>40602</v>
      </c>
      <c r="G1069" s="78" t="str">
        <f ca="1">IF(AND(LEFT("[{"&amp;M1069&amp;","&amp;CEILING(N1069*10000+(O1069-N1069)/4*(COUNTIF($F$11:F1069,F1069)-1)*10000,10)&amp;"}]",7)="[{equip",MID("[{"&amp;M1069&amp;","&amp;CEILING(N1069*10000+(O1069-N1069)/4*(COUNTIF($F$11:F1069,F1069)-1)*10000,10)&amp;"}]",8,1)&lt;&gt;"_"),"[{"&amp;M1069&amp;","&amp;1&amp;"}]","[{"&amp;M1069&amp;","&amp;CEILING(N1069*10000+(O1069-N1069)/4*(COUNTIF($F$11:F1069,F1069)-1)*10000,10)&amp;"}]")</f>
        <v>[{chapter_pve_hit_rate,830}]</v>
      </c>
      <c r="H1069" s="82" t="s">
        <v>563</v>
      </c>
      <c r="J1069" s="78">
        <f ca="1">IF(MOD(COUNTIF($Q$11:Q1068,Q1068),5)=0,OFFSET(装备属性!$P$1083,1+INT(COUNTA($Q$11:Q1068)/5),0),J1068)</f>
        <v>6</v>
      </c>
      <c r="K1069" s="83" t="str">
        <f ca="1">IF(RIGHT(G1069,13)="rune_slot,1}]",_xlfn.XLOOKUP(LEFT(SUBSTITUTE(G1069,"[{",""),FIND(",",SUBSTITUTE(G1069,"[{",""))-1),Sheet2!B:B,Sheet2!C:C)&amp;"+"&amp;1,_xlfn.XLOOKUP(LEFT(SUBSTITUTE(G1069,"[{",""),FIND(",",SUBSTITUTE(G1069,"[{",""))-1),Sheet2!B:B,Sheet2!C:C)&amp;"+"&amp;SUBSTITUTE(RIGHT(G1069,LEN(G1069)-FIND(",",G1069)),"}]","")/100&amp;"%")</f>
        <v>主线挑战增伤+8.3%</v>
      </c>
      <c r="L1069" s="83" t="str">
        <f ca="1">IF(MOD(COUNTIF($Q$11:Q1068,Q1068),5)=0,OFFSET(装备属性!$G$1083,1+INT(COUNTA($Q$11:Q1068)/5),0),L1068)</f>
        <v>主线清场Ⅲ</v>
      </c>
      <c r="M1069" s="89" t="str">
        <f ca="1">IF(MOD(COUNTIF($Q$11:Q1068,Q1068),5)=0,OFFSET(装备属性!$H$1083,1+INT(COUNTA($Q$11:Q1068)/5),0),M1068)</f>
        <v>chapter_pve_hit_rate</v>
      </c>
      <c r="N1069" s="76">
        <f ca="1">IF(MOD(COUNTIF($Q$11:Q1068,Q1068),5)=0,OFFSET(装备属性!$K$1083,1+INT(COUNTA($Q$11:Q1068)/5),0),N1068)</f>
        <v>0.072</v>
      </c>
      <c r="O1069" s="76">
        <f ca="1">IF(MOD(COUNTIF($Q$11:Q1068,Q1068),5)=0,OFFSET(装备属性!$L$1083,1+INT(COUNTA($Q$11:Q1068)/5),0),O1068)</f>
        <v>0.086</v>
      </c>
      <c r="Q1069" s="89" t="str">
        <f ca="1">IF(MOD(COUNTIF($Q$11:Q1068,Q1068),5)=0,OFFSET(装备属性!$M$1083,1+INT(COUNTA($Q$11:Q1068)/5),0),Q1068)</f>
        <v>玩法类</v>
      </c>
      <c r="R1069" s="83">
        <f ca="1">IF(MOD(COUNTIF($Q$11:Q1068,Q1068),5)=0,10000*SUBSTITUTE(SUBSTITUTE(OFFSET(装备属性!$F$1083,1+INT(COUNTA($Q$11:Q1068)/5),0),"[",""),"]","")+_xlfn.XLOOKUP(C1069,$M$3:$M$7,$N$3:$N$7)*100,R1068)</f>
        <v>40600</v>
      </c>
    </row>
    <row r="1070" customHeight="1" spans="1:18">
      <c r="A1070" s="78">
        <f ca="1" t="shared" si="48"/>
        <v>40602</v>
      </c>
      <c r="B1070" s="82">
        <f ca="1">IFERROR(R1070+COUNTIFS($R$11:$R1070,R1070),"")</f>
        <v>40615</v>
      </c>
      <c r="C1070" s="83" t="str">
        <f ca="1">IF(MOD(COUNTIF($Q$11:Q1069,Q1069),5)=0,OFFSET(装备属性!$D$1083,1+INT(COUNTA($Q$11:Q1069)/5),0),C1069)</f>
        <v>红</v>
      </c>
      <c r="D1070" s="82">
        <f t="shared" si="50"/>
        <v>1000</v>
      </c>
      <c r="F1070" s="82">
        <f ca="1" t="shared" si="49"/>
        <v>40602</v>
      </c>
      <c r="G1070" s="78" t="str">
        <f ca="1">IF(AND(LEFT("[{"&amp;M1070&amp;","&amp;CEILING(N1070*10000+(O1070-N1070)/4*(COUNTIF($F$11:F1070,F1070)-1)*10000,10)&amp;"}]",7)="[{equip",MID("[{"&amp;M1070&amp;","&amp;CEILING(N1070*10000+(O1070-N1070)/4*(COUNTIF($F$11:F1070,F1070)-1)*10000,10)&amp;"}]",8,1)&lt;&gt;"_"),"[{"&amp;M1070&amp;","&amp;1&amp;"}]","[{"&amp;M1070&amp;","&amp;CEILING(N1070*10000+(O1070-N1070)/4*(COUNTIF($F$11:F1070,F1070)-1)*10000,10)&amp;"}]")</f>
        <v>[{chapter_pve_hit_rate,860}]</v>
      </c>
      <c r="H1070" s="82" t="s">
        <v>563</v>
      </c>
      <c r="J1070" s="78">
        <f ca="1">IF(MOD(COUNTIF($Q$11:Q1069,Q1069),5)=0,OFFSET(装备属性!$P$1083,1+INT(COUNTA($Q$11:Q1069)/5),0),J1069)</f>
        <v>6</v>
      </c>
      <c r="K1070" s="83" t="str">
        <f ca="1">IF(RIGHT(G1070,13)="rune_slot,1}]",_xlfn.XLOOKUP(LEFT(SUBSTITUTE(G1070,"[{",""),FIND(",",SUBSTITUTE(G1070,"[{",""))-1),Sheet2!B:B,Sheet2!C:C)&amp;"+"&amp;1,_xlfn.XLOOKUP(LEFT(SUBSTITUTE(G1070,"[{",""),FIND(",",SUBSTITUTE(G1070,"[{",""))-1),Sheet2!B:B,Sheet2!C:C)&amp;"+"&amp;SUBSTITUTE(RIGHT(G1070,LEN(G1070)-FIND(",",G1070)),"}]","")/100&amp;"%")</f>
        <v>主线挑战增伤+8.6%</v>
      </c>
      <c r="L1070" s="83" t="str">
        <f ca="1">IF(MOD(COUNTIF($Q$11:Q1069,Q1069),5)=0,OFFSET(装备属性!$G$1083,1+INT(COUNTA($Q$11:Q1069)/5),0),L1069)</f>
        <v>主线清场Ⅲ</v>
      </c>
      <c r="M1070" s="89" t="str">
        <f ca="1">IF(MOD(COUNTIF($Q$11:Q1069,Q1069),5)=0,OFFSET(装备属性!$H$1083,1+INT(COUNTA($Q$11:Q1069)/5),0),M1069)</f>
        <v>chapter_pve_hit_rate</v>
      </c>
      <c r="N1070" s="76">
        <f ca="1">IF(MOD(COUNTIF($Q$11:Q1069,Q1069),5)=0,OFFSET(装备属性!$K$1083,1+INT(COUNTA($Q$11:Q1069)/5),0),N1069)</f>
        <v>0.072</v>
      </c>
      <c r="O1070" s="76">
        <f ca="1">IF(MOD(COUNTIF($Q$11:Q1069,Q1069),5)=0,OFFSET(装备属性!$L$1083,1+INT(COUNTA($Q$11:Q1069)/5),0),O1069)</f>
        <v>0.086</v>
      </c>
      <c r="Q1070" s="89" t="str">
        <f ca="1">IF(MOD(COUNTIF($Q$11:Q1069,Q1069),5)=0,OFFSET(装备属性!$M$1083,1+INT(COUNTA($Q$11:Q1069)/5),0),Q1069)</f>
        <v>玩法类</v>
      </c>
      <c r="R1070" s="83">
        <f ca="1">IF(MOD(COUNTIF($Q$11:Q1069,Q1069),5)=0,10000*SUBSTITUTE(SUBSTITUTE(OFFSET(装备属性!$F$1083,1+INT(COUNTA($Q$11:Q1069)/5),0),"[",""),"]","")+_xlfn.XLOOKUP(C1070,$M$3:$M$7,$N$3:$N$7)*100,R1069)</f>
        <v>40600</v>
      </c>
    </row>
    <row r="1071" customHeight="1" spans="1:18">
      <c r="A1071" s="78">
        <f ca="1" t="shared" si="48"/>
        <v>40601</v>
      </c>
      <c r="B1071" s="82">
        <f ca="1">IFERROR(R1071+COUNTIFS($R$11:$R1071,R1071),"")</f>
        <v>40616</v>
      </c>
      <c r="C1071" s="83" t="str">
        <f ca="1">IF(MOD(COUNTIF($Q$11:Q1070,Q1070),5)=0,OFFSET(装备属性!$D$1083,1+INT(COUNTA($Q$11:Q1070)/5),0),C1070)</f>
        <v>红</v>
      </c>
      <c r="D1071" s="82">
        <f t="shared" si="50"/>
        <v>3000</v>
      </c>
      <c r="F1071" s="82">
        <f ca="1" t="shared" si="49"/>
        <v>40603</v>
      </c>
      <c r="G1071" s="78" t="str">
        <f ca="1">IF(AND(LEFT("[{"&amp;M1071&amp;","&amp;CEILING(N1071*10000+(O1071-N1071)/4*(COUNTIF($F$11:F1071,F1071)-1)*10000,10)&amp;"}]",7)="[{equip",MID("[{"&amp;M1071&amp;","&amp;CEILING(N1071*10000+(O1071-N1071)/4*(COUNTIF($F$11:F1071,F1071)-1)*10000,10)&amp;"}]",8,1)&lt;&gt;"_"),"[{"&amp;M1071&amp;","&amp;1&amp;"}]","[{"&amp;M1071&amp;","&amp;CEILING(N1071*10000+(O1071-N1071)/4*(COUNTIF($F$11:F1071,F1071)-1)*10000,10)&amp;"}]")</f>
        <v>[{drug_dmg_red_rate,250}]</v>
      </c>
      <c r="H1071" s="82" t="s">
        <v>563</v>
      </c>
      <c r="J1071" s="78">
        <f ca="1">IF(MOD(COUNTIF($Q$11:Q1070,Q1070),5)=0,OFFSET(装备属性!$P$1083,1+INT(COUNTA($Q$11:Q1070)/5),0),J1070)</f>
        <v>5</v>
      </c>
      <c r="K1071" s="83" t="str">
        <f ca="1">IF(RIGHT(G1071,13)="rune_slot,1}]",_xlfn.XLOOKUP(LEFT(SUBSTITUTE(G1071,"[{",""),FIND(",",SUBSTITUTE(G1071,"[{",""))-1),Sheet2!B:B,Sheet2!C:C)&amp;"+"&amp;1,_xlfn.XLOOKUP(LEFT(SUBSTITUTE(G1071,"[{",""),FIND(",",SUBSTITUTE(G1071,"[{",""))-1),Sheet2!B:B,Sheet2!C:C)&amp;"+"&amp;SUBSTITUTE(RIGHT(G1071,LEN(G1071)-FIND(",",G1071)),"}]","")/100&amp;"%")</f>
        <v>毒系伤害减免+2.5%</v>
      </c>
      <c r="L1071" s="83" t="str">
        <f ca="1">IF(MOD(COUNTIF($Q$11:Q1070,Q1070),5)=0,OFFSET(装备属性!$G$1083,1+INT(COUNTA($Q$11:Q1070)/5),0),L1070)</f>
        <v>毒毒不怕Ⅲ</v>
      </c>
      <c r="M1071" s="89" t="str">
        <f ca="1">IF(MOD(COUNTIF($Q$11:Q1070,Q1070),5)=0,OFFSET(装备属性!$H$1083,1+INT(COUNTA($Q$11:Q1070)/5),0),M1070)</f>
        <v>drug_dmg_red_rate</v>
      </c>
      <c r="N1071" s="76">
        <f ca="1">IF(MOD(COUNTIF($Q$11:Q1070,Q1070),5)=0,OFFSET(装备属性!$K$1083,1+INT(COUNTA($Q$11:Q1070)/5),0),N1070)</f>
        <v>0.025</v>
      </c>
      <c r="O1071" s="76">
        <f ca="1">IF(MOD(COUNTIF($Q$11:Q1070,Q1070),5)=0,OFFSET(装备属性!$L$1083,1+INT(COUNTA($Q$11:Q1070)/5),0),O1070)</f>
        <v>0.029</v>
      </c>
      <c r="Q1071" s="89" t="str">
        <f ca="1">IF(MOD(COUNTIF($Q$11:Q1070,Q1070),5)=0,OFFSET(装备属性!$M$1083,1+INT(COUNTA($Q$11:Q1070)/5),0),Q1070)</f>
        <v>通用属性</v>
      </c>
      <c r="R1071" s="83">
        <f ca="1">IF(MOD(COUNTIF($Q$11:Q1070,Q1070),5)=0,10000*SUBSTITUTE(SUBSTITUTE(OFFSET(装备属性!$F$1083,1+INT(COUNTA($Q$11:Q1070)/5),0),"[",""),"]","")+_xlfn.XLOOKUP(C1071,$M$3:$M$7,$N$3:$N$7)*100,R1070)</f>
        <v>40600</v>
      </c>
    </row>
    <row r="1072" customHeight="1" spans="1:18">
      <c r="A1072" s="78">
        <f ca="1" t="shared" si="48"/>
        <v>40601</v>
      </c>
      <c r="B1072" s="82">
        <f ca="1">IFERROR(R1072+COUNTIFS($R$11:$R1072,R1072),"")</f>
        <v>40617</v>
      </c>
      <c r="C1072" s="83" t="str">
        <f ca="1">IF(MOD(COUNTIF($Q$11:Q1071,Q1071),5)=0,OFFSET(装备属性!$D$1083,1+INT(COUNTA($Q$11:Q1071)/5),0),C1071)</f>
        <v>红</v>
      </c>
      <c r="D1072" s="82">
        <f t="shared" si="50"/>
        <v>2500</v>
      </c>
      <c r="F1072" s="82">
        <f ca="1" t="shared" si="49"/>
        <v>40603</v>
      </c>
      <c r="G1072" s="78" t="str">
        <f ca="1">IF(AND(LEFT("[{"&amp;M1072&amp;","&amp;CEILING(N1072*10000+(O1072-N1072)/4*(COUNTIF($F$11:F1072,F1072)-1)*10000,10)&amp;"}]",7)="[{equip",MID("[{"&amp;M1072&amp;","&amp;CEILING(N1072*10000+(O1072-N1072)/4*(COUNTIF($F$11:F1072,F1072)-1)*10000,10)&amp;"}]",8,1)&lt;&gt;"_"),"[{"&amp;M1072&amp;","&amp;1&amp;"}]","[{"&amp;M1072&amp;","&amp;CEILING(N1072*10000+(O1072-N1072)/4*(COUNTIF($F$11:F1072,F1072)-1)*10000,10)&amp;"}]")</f>
        <v>[{drug_dmg_red_rate,260}]</v>
      </c>
      <c r="H1072" s="82" t="s">
        <v>563</v>
      </c>
      <c r="J1072" s="78">
        <f ca="1">IF(MOD(COUNTIF($Q$11:Q1071,Q1071),5)=0,OFFSET(装备属性!$P$1083,1+INT(COUNTA($Q$11:Q1071)/5),0),J1071)</f>
        <v>5</v>
      </c>
      <c r="K1072" s="83" t="str">
        <f ca="1">IF(RIGHT(G1072,13)="rune_slot,1}]",_xlfn.XLOOKUP(LEFT(SUBSTITUTE(G1072,"[{",""),FIND(",",SUBSTITUTE(G1072,"[{",""))-1),Sheet2!B:B,Sheet2!C:C)&amp;"+"&amp;1,_xlfn.XLOOKUP(LEFT(SUBSTITUTE(G1072,"[{",""),FIND(",",SUBSTITUTE(G1072,"[{",""))-1),Sheet2!B:B,Sheet2!C:C)&amp;"+"&amp;SUBSTITUTE(RIGHT(G1072,LEN(G1072)-FIND(",",G1072)),"}]","")/100&amp;"%")</f>
        <v>毒系伤害减免+2.6%</v>
      </c>
      <c r="L1072" s="83" t="str">
        <f ca="1">IF(MOD(COUNTIF($Q$11:Q1071,Q1071),5)=0,OFFSET(装备属性!$G$1083,1+INT(COUNTA($Q$11:Q1071)/5),0),L1071)</f>
        <v>毒毒不怕Ⅲ</v>
      </c>
      <c r="M1072" s="89" t="str">
        <f ca="1">IF(MOD(COUNTIF($Q$11:Q1071,Q1071),5)=0,OFFSET(装备属性!$H$1083,1+INT(COUNTA($Q$11:Q1071)/5),0),M1071)</f>
        <v>drug_dmg_red_rate</v>
      </c>
      <c r="N1072" s="76">
        <f ca="1">IF(MOD(COUNTIF($Q$11:Q1071,Q1071),5)=0,OFFSET(装备属性!$K$1083,1+INT(COUNTA($Q$11:Q1071)/5),0),N1071)</f>
        <v>0.025</v>
      </c>
      <c r="O1072" s="76">
        <f ca="1">IF(MOD(COUNTIF($Q$11:Q1071,Q1071),5)=0,OFFSET(装备属性!$L$1083,1+INT(COUNTA($Q$11:Q1071)/5),0),O1071)</f>
        <v>0.029</v>
      </c>
      <c r="Q1072" s="89" t="str">
        <f ca="1">IF(MOD(COUNTIF($Q$11:Q1071,Q1071),5)=0,OFFSET(装备属性!$M$1083,1+INT(COUNTA($Q$11:Q1071)/5),0),Q1071)</f>
        <v>通用属性</v>
      </c>
      <c r="R1072" s="83">
        <f ca="1">IF(MOD(COUNTIF($Q$11:Q1071,Q1071),5)=0,10000*SUBSTITUTE(SUBSTITUTE(OFFSET(装备属性!$F$1083,1+INT(COUNTA($Q$11:Q1071)/5),0),"[",""),"]","")+_xlfn.XLOOKUP(C1072,$M$3:$M$7,$N$3:$N$7)*100,R1071)</f>
        <v>40600</v>
      </c>
    </row>
    <row r="1073" customHeight="1" spans="1:18">
      <c r="A1073" s="78">
        <f ca="1" t="shared" si="48"/>
        <v>40601</v>
      </c>
      <c r="B1073" s="82">
        <f ca="1">IFERROR(R1073+COUNTIFS($R$11:$R1073,R1073),"")</f>
        <v>40618</v>
      </c>
      <c r="C1073" s="83" t="str">
        <f ca="1">IF(MOD(COUNTIF($Q$11:Q1072,Q1072),5)=0,OFFSET(装备属性!$D$1083,1+INT(COUNTA($Q$11:Q1072)/5),0),C1072)</f>
        <v>红</v>
      </c>
      <c r="D1073" s="82">
        <f t="shared" si="50"/>
        <v>2000</v>
      </c>
      <c r="F1073" s="82">
        <f ca="1" t="shared" si="49"/>
        <v>40603</v>
      </c>
      <c r="G1073" s="78" t="str">
        <f ca="1">IF(AND(LEFT("[{"&amp;M1073&amp;","&amp;CEILING(N1073*10000+(O1073-N1073)/4*(COUNTIF($F$11:F1073,F1073)-1)*10000,10)&amp;"}]",7)="[{equip",MID("[{"&amp;M1073&amp;","&amp;CEILING(N1073*10000+(O1073-N1073)/4*(COUNTIF($F$11:F1073,F1073)-1)*10000,10)&amp;"}]",8,1)&lt;&gt;"_"),"[{"&amp;M1073&amp;","&amp;1&amp;"}]","[{"&amp;M1073&amp;","&amp;CEILING(N1073*10000+(O1073-N1073)/4*(COUNTIF($F$11:F1073,F1073)-1)*10000,10)&amp;"}]")</f>
        <v>[{drug_dmg_red_rate,270}]</v>
      </c>
      <c r="H1073" s="82" t="s">
        <v>563</v>
      </c>
      <c r="J1073" s="78">
        <f ca="1">IF(MOD(COUNTIF($Q$11:Q1072,Q1072),5)=0,OFFSET(装备属性!$P$1083,1+INT(COUNTA($Q$11:Q1072)/5),0),J1072)</f>
        <v>5</v>
      </c>
      <c r="K1073" s="83" t="str">
        <f ca="1">IF(RIGHT(G1073,13)="rune_slot,1}]",_xlfn.XLOOKUP(LEFT(SUBSTITUTE(G1073,"[{",""),FIND(",",SUBSTITUTE(G1073,"[{",""))-1),Sheet2!B:B,Sheet2!C:C)&amp;"+"&amp;1,_xlfn.XLOOKUP(LEFT(SUBSTITUTE(G1073,"[{",""),FIND(",",SUBSTITUTE(G1073,"[{",""))-1),Sheet2!B:B,Sheet2!C:C)&amp;"+"&amp;SUBSTITUTE(RIGHT(G1073,LEN(G1073)-FIND(",",G1073)),"}]","")/100&amp;"%")</f>
        <v>毒系伤害减免+2.7%</v>
      </c>
      <c r="L1073" s="83" t="str">
        <f ca="1">IF(MOD(COUNTIF($Q$11:Q1072,Q1072),5)=0,OFFSET(装备属性!$G$1083,1+INT(COUNTA($Q$11:Q1072)/5),0),L1072)</f>
        <v>毒毒不怕Ⅲ</v>
      </c>
      <c r="M1073" s="89" t="str">
        <f ca="1">IF(MOD(COUNTIF($Q$11:Q1072,Q1072),5)=0,OFFSET(装备属性!$H$1083,1+INT(COUNTA($Q$11:Q1072)/5),0),M1072)</f>
        <v>drug_dmg_red_rate</v>
      </c>
      <c r="N1073" s="76">
        <f ca="1">IF(MOD(COUNTIF($Q$11:Q1072,Q1072),5)=0,OFFSET(装备属性!$K$1083,1+INT(COUNTA($Q$11:Q1072)/5),0),N1072)</f>
        <v>0.025</v>
      </c>
      <c r="O1073" s="76">
        <f ca="1">IF(MOD(COUNTIF($Q$11:Q1072,Q1072),5)=0,OFFSET(装备属性!$L$1083,1+INT(COUNTA($Q$11:Q1072)/5),0),O1072)</f>
        <v>0.029</v>
      </c>
      <c r="Q1073" s="89" t="str">
        <f ca="1">IF(MOD(COUNTIF($Q$11:Q1072,Q1072),5)=0,OFFSET(装备属性!$M$1083,1+INT(COUNTA($Q$11:Q1072)/5),0),Q1072)</f>
        <v>通用属性</v>
      </c>
      <c r="R1073" s="83">
        <f ca="1">IF(MOD(COUNTIF($Q$11:Q1072,Q1072),5)=0,10000*SUBSTITUTE(SUBSTITUTE(OFFSET(装备属性!$F$1083,1+INT(COUNTA($Q$11:Q1072)/5),0),"[",""),"]","")+_xlfn.XLOOKUP(C1073,$M$3:$M$7,$N$3:$N$7)*100,R1072)</f>
        <v>40600</v>
      </c>
    </row>
    <row r="1074" customHeight="1" spans="1:18">
      <c r="A1074" s="78">
        <f ca="1" t="shared" si="48"/>
        <v>40601</v>
      </c>
      <c r="B1074" s="82">
        <f ca="1">IFERROR(R1074+COUNTIFS($R$11:$R1074,R1074),"")</f>
        <v>40619</v>
      </c>
      <c r="C1074" s="83" t="str">
        <f ca="1">IF(MOD(COUNTIF($Q$11:Q1073,Q1073),5)=0,OFFSET(装备属性!$D$1083,1+INT(COUNTA($Q$11:Q1073)/5),0),C1073)</f>
        <v>红</v>
      </c>
      <c r="D1074" s="82">
        <f t="shared" si="50"/>
        <v>1500</v>
      </c>
      <c r="F1074" s="82">
        <f ca="1" t="shared" si="49"/>
        <v>40603</v>
      </c>
      <c r="G1074" s="78" t="str">
        <f ca="1">IF(AND(LEFT("[{"&amp;M1074&amp;","&amp;CEILING(N1074*10000+(O1074-N1074)/4*(COUNTIF($F$11:F1074,F1074)-1)*10000,10)&amp;"}]",7)="[{equip",MID("[{"&amp;M1074&amp;","&amp;CEILING(N1074*10000+(O1074-N1074)/4*(COUNTIF($F$11:F1074,F1074)-1)*10000,10)&amp;"}]",8,1)&lt;&gt;"_"),"[{"&amp;M1074&amp;","&amp;1&amp;"}]","[{"&amp;M1074&amp;","&amp;CEILING(N1074*10000+(O1074-N1074)/4*(COUNTIF($F$11:F1074,F1074)-1)*10000,10)&amp;"}]")</f>
        <v>[{drug_dmg_red_rate,280}]</v>
      </c>
      <c r="H1074" s="82" t="s">
        <v>563</v>
      </c>
      <c r="J1074" s="78">
        <f ca="1">IF(MOD(COUNTIF($Q$11:Q1073,Q1073),5)=0,OFFSET(装备属性!$P$1083,1+INT(COUNTA($Q$11:Q1073)/5),0),J1073)</f>
        <v>5</v>
      </c>
      <c r="K1074" s="83" t="str">
        <f ca="1">IF(RIGHT(G1074,13)="rune_slot,1}]",_xlfn.XLOOKUP(LEFT(SUBSTITUTE(G1074,"[{",""),FIND(",",SUBSTITUTE(G1074,"[{",""))-1),Sheet2!B:B,Sheet2!C:C)&amp;"+"&amp;1,_xlfn.XLOOKUP(LEFT(SUBSTITUTE(G1074,"[{",""),FIND(",",SUBSTITUTE(G1074,"[{",""))-1),Sheet2!B:B,Sheet2!C:C)&amp;"+"&amp;SUBSTITUTE(RIGHT(G1074,LEN(G1074)-FIND(",",G1074)),"}]","")/100&amp;"%")</f>
        <v>毒系伤害减免+2.8%</v>
      </c>
      <c r="L1074" s="83" t="str">
        <f ca="1">IF(MOD(COUNTIF($Q$11:Q1073,Q1073),5)=0,OFFSET(装备属性!$G$1083,1+INT(COUNTA($Q$11:Q1073)/5),0),L1073)</f>
        <v>毒毒不怕Ⅲ</v>
      </c>
      <c r="M1074" s="89" t="str">
        <f ca="1">IF(MOD(COUNTIF($Q$11:Q1073,Q1073),5)=0,OFFSET(装备属性!$H$1083,1+INT(COUNTA($Q$11:Q1073)/5),0),M1073)</f>
        <v>drug_dmg_red_rate</v>
      </c>
      <c r="N1074" s="76">
        <f ca="1">IF(MOD(COUNTIF($Q$11:Q1073,Q1073),5)=0,OFFSET(装备属性!$K$1083,1+INT(COUNTA($Q$11:Q1073)/5),0),N1073)</f>
        <v>0.025</v>
      </c>
      <c r="O1074" s="76">
        <f ca="1">IF(MOD(COUNTIF($Q$11:Q1073,Q1073),5)=0,OFFSET(装备属性!$L$1083,1+INT(COUNTA($Q$11:Q1073)/5),0),O1073)</f>
        <v>0.029</v>
      </c>
      <c r="Q1074" s="89" t="str">
        <f ca="1">IF(MOD(COUNTIF($Q$11:Q1073,Q1073),5)=0,OFFSET(装备属性!$M$1083,1+INT(COUNTA($Q$11:Q1073)/5),0),Q1073)</f>
        <v>通用属性</v>
      </c>
      <c r="R1074" s="83">
        <f ca="1">IF(MOD(COUNTIF($Q$11:Q1073,Q1073),5)=0,10000*SUBSTITUTE(SUBSTITUTE(OFFSET(装备属性!$F$1083,1+INT(COUNTA($Q$11:Q1073)/5),0),"[",""),"]","")+_xlfn.XLOOKUP(C1074,$M$3:$M$7,$N$3:$N$7)*100,R1073)</f>
        <v>40600</v>
      </c>
    </row>
    <row r="1075" customHeight="1" spans="1:18">
      <c r="A1075" s="78">
        <f ca="1" t="shared" si="48"/>
        <v>40601</v>
      </c>
      <c r="B1075" s="82">
        <f ca="1">IFERROR(R1075+COUNTIFS($R$11:$R1075,R1075),"")</f>
        <v>40620</v>
      </c>
      <c r="C1075" s="83" t="str">
        <f ca="1">IF(MOD(COUNTIF($Q$11:Q1074,Q1074),5)=0,OFFSET(装备属性!$D$1083,1+INT(COUNTA($Q$11:Q1074)/5),0),C1074)</f>
        <v>红</v>
      </c>
      <c r="D1075" s="82">
        <f t="shared" si="50"/>
        <v>1000</v>
      </c>
      <c r="F1075" s="82">
        <f ca="1" t="shared" si="49"/>
        <v>40603</v>
      </c>
      <c r="G1075" s="78" t="str">
        <f ca="1">IF(AND(LEFT("[{"&amp;M1075&amp;","&amp;CEILING(N1075*10000+(O1075-N1075)/4*(COUNTIF($F$11:F1075,F1075)-1)*10000,10)&amp;"}]",7)="[{equip",MID("[{"&amp;M1075&amp;","&amp;CEILING(N1075*10000+(O1075-N1075)/4*(COUNTIF($F$11:F1075,F1075)-1)*10000,10)&amp;"}]",8,1)&lt;&gt;"_"),"[{"&amp;M1075&amp;","&amp;1&amp;"}]","[{"&amp;M1075&amp;","&amp;CEILING(N1075*10000+(O1075-N1075)/4*(COUNTIF($F$11:F1075,F1075)-1)*10000,10)&amp;"}]")</f>
        <v>[{drug_dmg_red_rate,290}]</v>
      </c>
      <c r="H1075" s="82" t="s">
        <v>563</v>
      </c>
      <c r="J1075" s="78">
        <f ca="1">IF(MOD(COUNTIF($Q$11:Q1074,Q1074),5)=0,OFFSET(装备属性!$P$1083,1+INT(COUNTA($Q$11:Q1074)/5),0),J1074)</f>
        <v>5</v>
      </c>
      <c r="K1075" s="83" t="str">
        <f ca="1">IF(RIGHT(G1075,13)="rune_slot,1}]",_xlfn.XLOOKUP(LEFT(SUBSTITUTE(G1075,"[{",""),FIND(",",SUBSTITUTE(G1075,"[{",""))-1),Sheet2!B:B,Sheet2!C:C)&amp;"+"&amp;1,_xlfn.XLOOKUP(LEFT(SUBSTITUTE(G1075,"[{",""),FIND(",",SUBSTITUTE(G1075,"[{",""))-1),Sheet2!B:B,Sheet2!C:C)&amp;"+"&amp;SUBSTITUTE(RIGHT(G1075,LEN(G1075)-FIND(",",G1075)),"}]","")/100&amp;"%")</f>
        <v>毒系伤害减免+2.9%</v>
      </c>
      <c r="L1075" s="83" t="str">
        <f ca="1">IF(MOD(COUNTIF($Q$11:Q1074,Q1074),5)=0,OFFSET(装备属性!$G$1083,1+INT(COUNTA($Q$11:Q1074)/5),0),L1074)</f>
        <v>毒毒不怕Ⅲ</v>
      </c>
      <c r="M1075" s="89" t="str">
        <f ca="1">IF(MOD(COUNTIF($Q$11:Q1074,Q1074),5)=0,OFFSET(装备属性!$H$1083,1+INT(COUNTA($Q$11:Q1074)/5),0),M1074)</f>
        <v>drug_dmg_red_rate</v>
      </c>
      <c r="N1075" s="76">
        <f ca="1">IF(MOD(COUNTIF($Q$11:Q1074,Q1074),5)=0,OFFSET(装备属性!$K$1083,1+INT(COUNTA($Q$11:Q1074)/5),0),N1074)</f>
        <v>0.025</v>
      </c>
      <c r="O1075" s="76">
        <f ca="1">IF(MOD(COUNTIF($Q$11:Q1074,Q1074),5)=0,OFFSET(装备属性!$L$1083,1+INT(COUNTA($Q$11:Q1074)/5),0),O1074)</f>
        <v>0.029</v>
      </c>
      <c r="Q1075" s="89" t="str">
        <f ca="1">IF(MOD(COUNTIF($Q$11:Q1074,Q1074),5)=0,OFFSET(装备属性!$M$1083,1+INT(COUNTA($Q$11:Q1074)/5),0),Q1074)</f>
        <v>通用属性</v>
      </c>
      <c r="R1075" s="83">
        <f ca="1">IF(MOD(COUNTIF($Q$11:Q1074,Q1074),5)=0,10000*SUBSTITUTE(SUBSTITUTE(OFFSET(装备属性!$F$1083,1+INT(COUNTA($Q$11:Q1074)/5),0),"[",""),"]","")+_xlfn.XLOOKUP(C1075,$M$3:$M$7,$N$3:$N$7)*100,R1074)</f>
        <v>40600</v>
      </c>
    </row>
    <row r="1076" customHeight="1" spans="1:18">
      <c r="A1076" s="78">
        <f ca="1" t="shared" si="48"/>
        <v>40601</v>
      </c>
      <c r="B1076" s="82">
        <f ca="1">IFERROR(R1076+COUNTIFS($R$11:$R1076,R1076),"")</f>
        <v>40621</v>
      </c>
      <c r="C1076" s="83" t="str">
        <f ca="1">IF(MOD(COUNTIF($Q$11:Q1075,Q1075),5)=0,OFFSET(装备属性!$D$1083,1+INT(COUNTA($Q$11:Q1075)/5),0),C1075)</f>
        <v>红</v>
      </c>
      <c r="D1076" s="82">
        <f t="shared" si="50"/>
        <v>3000</v>
      </c>
      <c r="F1076" s="82">
        <f ca="1" t="shared" si="49"/>
        <v>40604</v>
      </c>
      <c r="G1076" s="78" t="str">
        <f ca="1">IF(AND(LEFT("[{"&amp;M1076&amp;","&amp;CEILING(N1076*10000+(O1076-N1076)/4*(COUNTIF($F$11:F1076,F1076)-1)*10000,10)&amp;"}]",7)="[{equip",MID("[{"&amp;M1076&amp;","&amp;CEILING(N1076*10000+(O1076-N1076)/4*(COUNTIF($F$11:F1076,F1076)-1)*10000,10)&amp;"}]",8,1)&lt;&gt;"_"),"[{"&amp;M1076&amp;","&amp;1&amp;"}]","[{"&amp;M1076&amp;","&amp;CEILING(N1076*10000+(O1076-N1076)/4*(COUNTIF($F$11:F1076,F1076)-1)*10000,10)&amp;"}]")</f>
        <v>[{drug_dmg_rate,720}]</v>
      </c>
      <c r="H1076" s="82" t="s">
        <v>563</v>
      </c>
      <c r="J1076" s="78">
        <f ca="1">IF(MOD(COUNTIF($Q$11:Q1075,Q1075),5)=0,OFFSET(装备属性!$P$1083,1+INT(COUNTA($Q$11:Q1075)/5),0),J1075)</f>
        <v>3</v>
      </c>
      <c r="K1076" s="83" t="str">
        <f ca="1">IF(RIGHT(G1076,13)="rune_slot,1}]",_xlfn.XLOOKUP(LEFT(SUBSTITUTE(G1076,"[{",""),FIND(",",SUBSTITUTE(G1076,"[{",""))-1),Sheet2!B:B,Sheet2!C:C)&amp;"+"&amp;1,_xlfn.XLOOKUP(LEFT(SUBSTITUTE(G1076,"[{",""),FIND(",",SUBSTITUTE(G1076,"[{",""))-1),Sheet2!B:B,Sheet2!C:C)&amp;"+"&amp;SUBSTITUTE(RIGHT(G1076,LEN(G1076)-FIND(",",G1076)),"}]","")/100&amp;"%")</f>
        <v>毒系伤害+7.2%</v>
      </c>
      <c r="L1076" s="83" t="str">
        <f ca="1">IF(MOD(COUNTIF($Q$11:Q1075,Q1075),5)=0,OFFSET(装备属性!$G$1083,1+INT(COUNTA($Q$11:Q1075)/5),0),L1075)</f>
        <v>毒毒加量Ⅲ</v>
      </c>
      <c r="M1076" s="89" t="str">
        <f ca="1">IF(MOD(COUNTIF($Q$11:Q1075,Q1075),5)=0,OFFSET(装备属性!$H$1083,1+INT(COUNTA($Q$11:Q1075)/5),0),M1075)</f>
        <v>drug_dmg_rate</v>
      </c>
      <c r="N1076" s="76">
        <f ca="1">IF(MOD(COUNTIF($Q$11:Q1075,Q1075),5)=0,OFFSET(装备属性!$K$1083,1+INT(COUNTA($Q$11:Q1075)/5),0),N1075)</f>
        <v>0.072</v>
      </c>
      <c r="O1076" s="76">
        <f ca="1">IF(MOD(COUNTIF($Q$11:Q1075,Q1075),5)=0,OFFSET(装备属性!$L$1083,1+INT(COUNTA($Q$11:Q1075)/5),0),O1075)</f>
        <v>0.086</v>
      </c>
      <c r="Q1076" s="89" t="str">
        <f ca="1">IF(MOD(COUNTIF($Q$11:Q1075,Q1075),5)=0,OFFSET(装备属性!$M$1083,1+INT(COUNTA($Q$11:Q1075)/5),0),Q1075)</f>
        <v>通用属性</v>
      </c>
      <c r="R1076" s="83">
        <f ca="1">IF(MOD(COUNTIF($Q$11:Q1075,Q1075),5)=0,10000*SUBSTITUTE(SUBSTITUTE(OFFSET(装备属性!$F$1083,1+INT(COUNTA($Q$11:Q1075)/5),0),"[",""),"]","")+_xlfn.XLOOKUP(C1076,$M$3:$M$7,$N$3:$N$7)*100,R1075)</f>
        <v>40600</v>
      </c>
    </row>
    <row r="1077" customHeight="1" spans="1:18">
      <c r="A1077" s="78">
        <f ca="1" t="shared" si="48"/>
        <v>40601</v>
      </c>
      <c r="B1077" s="82">
        <f ca="1">IFERROR(R1077+COUNTIFS($R$11:$R1077,R1077),"")</f>
        <v>40622</v>
      </c>
      <c r="C1077" s="83" t="str">
        <f ca="1">IF(MOD(COUNTIF($Q$11:Q1076,Q1076),5)=0,OFFSET(装备属性!$D$1083,1+INT(COUNTA($Q$11:Q1076)/5),0),C1076)</f>
        <v>红</v>
      </c>
      <c r="D1077" s="82">
        <f t="shared" si="50"/>
        <v>2500</v>
      </c>
      <c r="F1077" s="82">
        <f ca="1" t="shared" si="49"/>
        <v>40604</v>
      </c>
      <c r="G1077" s="78" t="str">
        <f ca="1">IF(AND(LEFT("[{"&amp;M1077&amp;","&amp;CEILING(N1077*10000+(O1077-N1077)/4*(COUNTIF($F$11:F1077,F1077)-1)*10000,10)&amp;"}]",7)="[{equip",MID("[{"&amp;M1077&amp;","&amp;CEILING(N1077*10000+(O1077-N1077)/4*(COUNTIF($F$11:F1077,F1077)-1)*10000,10)&amp;"}]",8,1)&lt;&gt;"_"),"[{"&amp;M1077&amp;","&amp;1&amp;"}]","[{"&amp;M1077&amp;","&amp;CEILING(N1077*10000+(O1077-N1077)/4*(COUNTIF($F$11:F1077,F1077)-1)*10000,10)&amp;"}]")</f>
        <v>[{drug_dmg_rate,760}]</v>
      </c>
      <c r="H1077" s="82" t="s">
        <v>563</v>
      </c>
      <c r="J1077" s="78">
        <f ca="1">IF(MOD(COUNTIF($Q$11:Q1076,Q1076),5)=0,OFFSET(装备属性!$P$1083,1+INT(COUNTA($Q$11:Q1076)/5),0),J1076)</f>
        <v>3</v>
      </c>
      <c r="K1077" s="83" t="str">
        <f ca="1">IF(RIGHT(G1077,13)="rune_slot,1}]",_xlfn.XLOOKUP(LEFT(SUBSTITUTE(G1077,"[{",""),FIND(",",SUBSTITUTE(G1077,"[{",""))-1),Sheet2!B:B,Sheet2!C:C)&amp;"+"&amp;1,_xlfn.XLOOKUP(LEFT(SUBSTITUTE(G1077,"[{",""),FIND(",",SUBSTITUTE(G1077,"[{",""))-1),Sheet2!B:B,Sheet2!C:C)&amp;"+"&amp;SUBSTITUTE(RIGHT(G1077,LEN(G1077)-FIND(",",G1077)),"}]","")/100&amp;"%")</f>
        <v>毒系伤害+7.6%</v>
      </c>
      <c r="L1077" s="83" t="str">
        <f ca="1">IF(MOD(COUNTIF($Q$11:Q1076,Q1076),5)=0,OFFSET(装备属性!$G$1083,1+INT(COUNTA($Q$11:Q1076)/5),0),L1076)</f>
        <v>毒毒加量Ⅲ</v>
      </c>
      <c r="M1077" s="89" t="str">
        <f ca="1">IF(MOD(COUNTIF($Q$11:Q1076,Q1076),5)=0,OFFSET(装备属性!$H$1083,1+INT(COUNTA($Q$11:Q1076)/5),0),M1076)</f>
        <v>drug_dmg_rate</v>
      </c>
      <c r="N1077" s="76">
        <f ca="1">IF(MOD(COUNTIF($Q$11:Q1076,Q1076),5)=0,OFFSET(装备属性!$K$1083,1+INT(COUNTA($Q$11:Q1076)/5),0),N1076)</f>
        <v>0.072</v>
      </c>
      <c r="O1077" s="76">
        <f ca="1">IF(MOD(COUNTIF($Q$11:Q1076,Q1076),5)=0,OFFSET(装备属性!$L$1083,1+INT(COUNTA($Q$11:Q1076)/5),0),O1076)</f>
        <v>0.086</v>
      </c>
      <c r="Q1077" s="89" t="str">
        <f ca="1">IF(MOD(COUNTIF($Q$11:Q1076,Q1076),5)=0,OFFSET(装备属性!$M$1083,1+INT(COUNTA($Q$11:Q1076)/5),0),Q1076)</f>
        <v>通用属性</v>
      </c>
      <c r="R1077" s="83">
        <f ca="1">IF(MOD(COUNTIF($Q$11:Q1076,Q1076),5)=0,10000*SUBSTITUTE(SUBSTITUTE(OFFSET(装备属性!$F$1083,1+INT(COUNTA($Q$11:Q1076)/5),0),"[",""),"]","")+_xlfn.XLOOKUP(C1077,$M$3:$M$7,$N$3:$N$7)*100,R1076)</f>
        <v>40600</v>
      </c>
    </row>
    <row r="1078" customHeight="1" spans="1:18">
      <c r="A1078" s="78">
        <f ca="1" t="shared" si="48"/>
        <v>40601</v>
      </c>
      <c r="B1078" s="82">
        <f ca="1">IFERROR(R1078+COUNTIFS($R$11:$R1078,R1078),"")</f>
        <v>40623</v>
      </c>
      <c r="C1078" s="83" t="str">
        <f ca="1">IF(MOD(COUNTIF($Q$11:Q1077,Q1077),5)=0,OFFSET(装备属性!$D$1083,1+INT(COUNTA($Q$11:Q1077)/5),0),C1077)</f>
        <v>红</v>
      </c>
      <c r="D1078" s="82">
        <f t="shared" si="50"/>
        <v>2000</v>
      </c>
      <c r="F1078" s="82">
        <f ca="1" t="shared" si="49"/>
        <v>40604</v>
      </c>
      <c r="G1078" s="78" t="str">
        <f ca="1">IF(AND(LEFT("[{"&amp;M1078&amp;","&amp;CEILING(N1078*10000+(O1078-N1078)/4*(COUNTIF($F$11:F1078,F1078)-1)*10000,10)&amp;"}]",7)="[{equip",MID("[{"&amp;M1078&amp;","&amp;CEILING(N1078*10000+(O1078-N1078)/4*(COUNTIF($F$11:F1078,F1078)-1)*10000,10)&amp;"}]",8,1)&lt;&gt;"_"),"[{"&amp;M1078&amp;","&amp;1&amp;"}]","[{"&amp;M1078&amp;","&amp;CEILING(N1078*10000+(O1078-N1078)/4*(COUNTIF($F$11:F1078,F1078)-1)*10000,10)&amp;"}]")</f>
        <v>[{drug_dmg_rate,790}]</v>
      </c>
      <c r="H1078" s="82" t="s">
        <v>563</v>
      </c>
      <c r="J1078" s="78">
        <f ca="1">IF(MOD(COUNTIF($Q$11:Q1077,Q1077),5)=0,OFFSET(装备属性!$P$1083,1+INT(COUNTA($Q$11:Q1077)/5),0),J1077)</f>
        <v>3</v>
      </c>
      <c r="K1078" s="83" t="str">
        <f ca="1">IF(RIGHT(G1078,13)="rune_slot,1}]",_xlfn.XLOOKUP(LEFT(SUBSTITUTE(G1078,"[{",""),FIND(",",SUBSTITUTE(G1078,"[{",""))-1),Sheet2!B:B,Sheet2!C:C)&amp;"+"&amp;1,_xlfn.XLOOKUP(LEFT(SUBSTITUTE(G1078,"[{",""),FIND(",",SUBSTITUTE(G1078,"[{",""))-1),Sheet2!B:B,Sheet2!C:C)&amp;"+"&amp;SUBSTITUTE(RIGHT(G1078,LEN(G1078)-FIND(",",G1078)),"}]","")/100&amp;"%")</f>
        <v>毒系伤害+7.9%</v>
      </c>
      <c r="L1078" s="83" t="str">
        <f ca="1">IF(MOD(COUNTIF($Q$11:Q1077,Q1077),5)=0,OFFSET(装备属性!$G$1083,1+INT(COUNTA($Q$11:Q1077)/5),0),L1077)</f>
        <v>毒毒加量Ⅲ</v>
      </c>
      <c r="M1078" s="89" t="str">
        <f ca="1">IF(MOD(COUNTIF($Q$11:Q1077,Q1077),5)=0,OFFSET(装备属性!$H$1083,1+INT(COUNTA($Q$11:Q1077)/5),0),M1077)</f>
        <v>drug_dmg_rate</v>
      </c>
      <c r="N1078" s="76">
        <f ca="1">IF(MOD(COUNTIF($Q$11:Q1077,Q1077),5)=0,OFFSET(装备属性!$K$1083,1+INT(COUNTA($Q$11:Q1077)/5),0),N1077)</f>
        <v>0.072</v>
      </c>
      <c r="O1078" s="76">
        <f ca="1">IF(MOD(COUNTIF($Q$11:Q1077,Q1077),5)=0,OFFSET(装备属性!$L$1083,1+INT(COUNTA($Q$11:Q1077)/5),0),O1077)</f>
        <v>0.086</v>
      </c>
      <c r="Q1078" s="89" t="str">
        <f ca="1">IF(MOD(COUNTIF($Q$11:Q1077,Q1077),5)=0,OFFSET(装备属性!$M$1083,1+INT(COUNTA($Q$11:Q1077)/5),0),Q1077)</f>
        <v>通用属性</v>
      </c>
      <c r="R1078" s="83">
        <f ca="1">IF(MOD(COUNTIF($Q$11:Q1077,Q1077),5)=0,10000*SUBSTITUTE(SUBSTITUTE(OFFSET(装备属性!$F$1083,1+INT(COUNTA($Q$11:Q1077)/5),0),"[",""),"]","")+_xlfn.XLOOKUP(C1078,$M$3:$M$7,$N$3:$N$7)*100,R1077)</f>
        <v>40600</v>
      </c>
    </row>
    <row r="1079" customHeight="1" spans="1:18">
      <c r="A1079" s="78">
        <f ca="1" t="shared" si="48"/>
        <v>40601</v>
      </c>
      <c r="B1079" s="82">
        <f ca="1">IFERROR(R1079+COUNTIFS($R$11:$R1079,R1079),"")</f>
        <v>40624</v>
      </c>
      <c r="C1079" s="83" t="str">
        <f ca="1">IF(MOD(COUNTIF($Q$11:Q1078,Q1078),5)=0,OFFSET(装备属性!$D$1083,1+INT(COUNTA($Q$11:Q1078)/5),0),C1078)</f>
        <v>红</v>
      </c>
      <c r="D1079" s="82">
        <f t="shared" si="50"/>
        <v>1500</v>
      </c>
      <c r="F1079" s="82">
        <f ca="1" t="shared" si="49"/>
        <v>40604</v>
      </c>
      <c r="G1079" s="78" t="str">
        <f ca="1">IF(AND(LEFT("[{"&amp;M1079&amp;","&amp;CEILING(N1079*10000+(O1079-N1079)/4*(COUNTIF($F$11:F1079,F1079)-1)*10000,10)&amp;"}]",7)="[{equip",MID("[{"&amp;M1079&amp;","&amp;CEILING(N1079*10000+(O1079-N1079)/4*(COUNTIF($F$11:F1079,F1079)-1)*10000,10)&amp;"}]",8,1)&lt;&gt;"_"),"[{"&amp;M1079&amp;","&amp;1&amp;"}]","[{"&amp;M1079&amp;","&amp;CEILING(N1079*10000+(O1079-N1079)/4*(COUNTIF($F$11:F1079,F1079)-1)*10000,10)&amp;"}]")</f>
        <v>[{drug_dmg_rate,830}]</v>
      </c>
      <c r="H1079" s="82" t="s">
        <v>563</v>
      </c>
      <c r="J1079" s="78">
        <f ca="1">IF(MOD(COUNTIF($Q$11:Q1078,Q1078),5)=0,OFFSET(装备属性!$P$1083,1+INT(COUNTA($Q$11:Q1078)/5),0),J1078)</f>
        <v>3</v>
      </c>
      <c r="K1079" s="83" t="str">
        <f ca="1">IF(RIGHT(G1079,13)="rune_slot,1}]",_xlfn.XLOOKUP(LEFT(SUBSTITUTE(G1079,"[{",""),FIND(",",SUBSTITUTE(G1079,"[{",""))-1),Sheet2!B:B,Sheet2!C:C)&amp;"+"&amp;1,_xlfn.XLOOKUP(LEFT(SUBSTITUTE(G1079,"[{",""),FIND(",",SUBSTITUTE(G1079,"[{",""))-1),Sheet2!B:B,Sheet2!C:C)&amp;"+"&amp;SUBSTITUTE(RIGHT(G1079,LEN(G1079)-FIND(",",G1079)),"}]","")/100&amp;"%")</f>
        <v>毒系伤害+8.3%</v>
      </c>
      <c r="L1079" s="83" t="str">
        <f ca="1">IF(MOD(COUNTIF($Q$11:Q1078,Q1078),5)=0,OFFSET(装备属性!$G$1083,1+INT(COUNTA($Q$11:Q1078)/5),0),L1078)</f>
        <v>毒毒加量Ⅲ</v>
      </c>
      <c r="M1079" s="89" t="str">
        <f ca="1">IF(MOD(COUNTIF($Q$11:Q1078,Q1078),5)=0,OFFSET(装备属性!$H$1083,1+INT(COUNTA($Q$11:Q1078)/5),0),M1078)</f>
        <v>drug_dmg_rate</v>
      </c>
      <c r="N1079" s="76">
        <f ca="1">IF(MOD(COUNTIF($Q$11:Q1078,Q1078),5)=0,OFFSET(装备属性!$K$1083,1+INT(COUNTA($Q$11:Q1078)/5),0),N1078)</f>
        <v>0.072</v>
      </c>
      <c r="O1079" s="76">
        <f ca="1">IF(MOD(COUNTIF($Q$11:Q1078,Q1078),5)=0,OFFSET(装备属性!$L$1083,1+INT(COUNTA($Q$11:Q1078)/5),0),O1078)</f>
        <v>0.086</v>
      </c>
      <c r="Q1079" s="89" t="str">
        <f ca="1">IF(MOD(COUNTIF($Q$11:Q1078,Q1078),5)=0,OFFSET(装备属性!$M$1083,1+INT(COUNTA($Q$11:Q1078)/5),0),Q1078)</f>
        <v>通用属性</v>
      </c>
      <c r="R1079" s="83">
        <f ca="1">IF(MOD(COUNTIF($Q$11:Q1078,Q1078),5)=0,10000*SUBSTITUTE(SUBSTITUTE(OFFSET(装备属性!$F$1083,1+INT(COUNTA($Q$11:Q1078)/5),0),"[",""),"]","")+_xlfn.XLOOKUP(C1079,$M$3:$M$7,$N$3:$N$7)*100,R1078)</f>
        <v>40600</v>
      </c>
    </row>
    <row r="1080" customHeight="1" spans="1:18">
      <c r="A1080" s="78">
        <f ca="1" t="shared" si="48"/>
        <v>40601</v>
      </c>
      <c r="B1080" s="82">
        <f ca="1">IFERROR(R1080+COUNTIFS($R$11:$R1080,R1080),"")</f>
        <v>40625</v>
      </c>
      <c r="C1080" s="83" t="str">
        <f ca="1">IF(MOD(COUNTIF($Q$11:Q1079,Q1079),5)=0,OFFSET(装备属性!$D$1083,1+INT(COUNTA($Q$11:Q1079)/5),0),C1079)</f>
        <v>红</v>
      </c>
      <c r="D1080" s="82">
        <f t="shared" si="50"/>
        <v>1000</v>
      </c>
      <c r="F1080" s="82">
        <f ca="1" t="shared" si="49"/>
        <v>40604</v>
      </c>
      <c r="G1080" s="78" t="str">
        <f ca="1">IF(AND(LEFT("[{"&amp;M1080&amp;","&amp;CEILING(N1080*10000+(O1080-N1080)/4*(COUNTIF($F$11:F1080,F1080)-1)*10000,10)&amp;"}]",7)="[{equip",MID("[{"&amp;M1080&amp;","&amp;CEILING(N1080*10000+(O1080-N1080)/4*(COUNTIF($F$11:F1080,F1080)-1)*10000,10)&amp;"}]",8,1)&lt;&gt;"_"),"[{"&amp;M1080&amp;","&amp;1&amp;"}]","[{"&amp;M1080&amp;","&amp;CEILING(N1080*10000+(O1080-N1080)/4*(COUNTIF($F$11:F1080,F1080)-1)*10000,10)&amp;"}]")</f>
        <v>[{drug_dmg_rate,860}]</v>
      </c>
      <c r="H1080" s="82" t="s">
        <v>563</v>
      </c>
      <c r="J1080" s="78">
        <f ca="1">IF(MOD(COUNTIF($Q$11:Q1079,Q1079),5)=0,OFFSET(装备属性!$P$1083,1+INT(COUNTA($Q$11:Q1079)/5),0),J1079)</f>
        <v>3</v>
      </c>
      <c r="K1080" s="83" t="str">
        <f ca="1">IF(RIGHT(G1080,13)="rune_slot,1}]",_xlfn.XLOOKUP(LEFT(SUBSTITUTE(G1080,"[{",""),FIND(",",SUBSTITUTE(G1080,"[{",""))-1),Sheet2!B:B,Sheet2!C:C)&amp;"+"&amp;1,_xlfn.XLOOKUP(LEFT(SUBSTITUTE(G1080,"[{",""),FIND(",",SUBSTITUTE(G1080,"[{",""))-1),Sheet2!B:B,Sheet2!C:C)&amp;"+"&amp;SUBSTITUTE(RIGHT(G1080,LEN(G1080)-FIND(",",G1080)),"}]","")/100&amp;"%")</f>
        <v>毒系伤害+8.6%</v>
      </c>
      <c r="L1080" s="83" t="str">
        <f ca="1">IF(MOD(COUNTIF($Q$11:Q1079,Q1079),5)=0,OFFSET(装备属性!$G$1083,1+INT(COUNTA($Q$11:Q1079)/5),0),L1079)</f>
        <v>毒毒加量Ⅲ</v>
      </c>
      <c r="M1080" s="89" t="str">
        <f ca="1">IF(MOD(COUNTIF($Q$11:Q1079,Q1079),5)=0,OFFSET(装备属性!$H$1083,1+INT(COUNTA($Q$11:Q1079)/5),0),M1079)</f>
        <v>drug_dmg_rate</v>
      </c>
      <c r="N1080" s="76">
        <f ca="1">IF(MOD(COUNTIF($Q$11:Q1079,Q1079),5)=0,OFFSET(装备属性!$K$1083,1+INT(COUNTA($Q$11:Q1079)/5),0),N1079)</f>
        <v>0.072</v>
      </c>
      <c r="O1080" s="76">
        <f ca="1">IF(MOD(COUNTIF($Q$11:Q1079,Q1079),5)=0,OFFSET(装备属性!$L$1083,1+INT(COUNTA($Q$11:Q1079)/5),0),O1079)</f>
        <v>0.086</v>
      </c>
      <c r="Q1080" s="89" t="str">
        <f ca="1">IF(MOD(COUNTIF($Q$11:Q1079,Q1079),5)=0,OFFSET(装备属性!$M$1083,1+INT(COUNTA($Q$11:Q1079)/5),0),Q1079)</f>
        <v>通用属性</v>
      </c>
      <c r="R1080" s="83">
        <f ca="1">IF(MOD(COUNTIF($Q$11:Q1079,Q1079),5)=0,10000*SUBSTITUTE(SUBSTITUTE(OFFSET(装备属性!$F$1083,1+INT(COUNTA($Q$11:Q1079)/5),0),"[",""),"]","")+_xlfn.XLOOKUP(C1080,$M$3:$M$7,$N$3:$N$7)*100,R1079)</f>
        <v>40600</v>
      </c>
    </row>
    <row r="1081" customHeight="1" spans="1:18">
      <c r="A1081" s="78">
        <f ca="1" t="shared" si="48"/>
        <v>40601</v>
      </c>
      <c r="B1081" s="82">
        <f ca="1">IFERROR(R1081+COUNTIFS($R$11:$R1081,R1081),"")</f>
        <v>40626</v>
      </c>
      <c r="C1081" s="83" t="str">
        <f ca="1">IF(MOD(COUNTIF($Q$11:Q1080,Q1080),5)=0,OFFSET(装备属性!$D$1083,1+INT(COUNTA($Q$11:Q1080)/5),0),C1080)</f>
        <v>红</v>
      </c>
      <c r="D1081" s="82">
        <f t="shared" si="50"/>
        <v>3000</v>
      </c>
      <c r="F1081" s="82">
        <f ca="1" t="shared" si="49"/>
        <v>40605</v>
      </c>
      <c r="G1081" s="78" t="str">
        <f ca="1">IF(AND(LEFT("[{"&amp;M1081&amp;","&amp;CEILING(N1081*10000+(O1081-N1081)/4*(COUNTIF($F$11:F1081,F1081)-1)*10000,10)&amp;"}]",7)="[{equip",MID("[{"&amp;M1081&amp;","&amp;CEILING(N1081*10000+(O1081-N1081)/4*(COUNTIF($F$11:F1081,F1081)-1)*10000,10)&amp;"}]",8,1)&lt;&gt;"_"),"[{"&amp;M1081&amp;","&amp;1&amp;"}]","[{"&amp;M1081&amp;","&amp;CEILING(N1081*10000+(O1081-N1081)/4*(COUNTIF($F$11:F1081,F1081)-1)*10000,10)&amp;"}]")</f>
        <v>[{drug_class_dmg_rate,900}]</v>
      </c>
      <c r="H1081" s="82" t="s">
        <v>563</v>
      </c>
      <c r="J1081" s="78">
        <f ca="1">IF(MOD(COUNTIF($Q$11:Q1080,Q1080),5)=0,OFFSET(装备属性!$P$1083,1+INT(COUNTA($Q$11:Q1080)/5),0),J1080)</f>
        <v>4</v>
      </c>
      <c r="K1081" s="83" t="str">
        <f ca="1">IF(RIGHT(G1081,13)="rune_slot,1}]",_xlfn.XLOOKUP(LEFT(SUBSTITUTE(G1081,"[{",""),FIND(",",SUBSTITUTE(G1081,"[{",""))-1),Sheet2!B:B,Sheet2!C:C)&amp;"+"&amp;1,_xlfn.XLOOKUP(LEFT(SUBSTITUTE(G1081,"[{",""),FIND(",",SUBSTITUTE(G1081,"[{",""))-1),Sheet2!B:B,Sheet2!C:C)&amp;"+"&amp;SUBSTITUTE(RIGHT(G1081,LEN(G1081)-FIND(",",G1081)),"}]","")/100&amp;"%")</f>
        <v>上阵两个毒系职业增伤+9%</v>
      </c>
      <c r="L1081" s="83" t="str">
        <f ca="1">IF(MOD(COUNTIF($Q$11:Q1080,Q1080),5)=0,OFFSET(装备属性!$G$1083,1+INT(COUNTA($Q$11:Q1080)/5),0),L1080)</f>
        <v>毒毒小队Ⅲ</v>
      </c>
      <c r="M1081" s="89" t="str">
        <f ca="1">IF(MOD(COUNTIF($Q$11:Q1080,Q1080),5)=0,OFFSET(装备属性!$H$1083,1+INT(COUNTA($Q$11:Q1080)/5),0),M1080)</f>
        <v>drug_class_dmg_rate</v>
      </c>
      <c r="N1081" s="76">
        <f ca="1">IF(MOD(COUNTIF($Q$11:Q1080,Q1080),5)=0,OFFSET(装备属性!$K$1083,1+INT(COUNTA($Q$11:Q1080)/5),0),N1080)</f>
        <v>0.09</v>
      </c>
      <c r="O1081" s="76">
        <f ca="1">IF(MOD(COUNTIF($Q$11:Q1080,Q1080),5)=0,OFFSET(装备属性!$L$1083,1+INT(COUNTA($Q$11:Q1080)/5),0),O1080)</f>
        <v>0.11</v>
      </c>
      <c r="Q1081" s="89" t="str">
        <f ca="1">IF(MOD(COUNTIF($Q$11:Q1080,Q1080),5)=0,OFFSET(装备属性!$M$1083,1+INT(COUNTA($Q$11:Q1080)/5),0),Q1080)</f>
        <v>通用属性</v>
      </c>
      <c r="R1081" s="83">
        <f ca="1">IF(MOD(COUNTIF($Q$11:Q1080,Q1080),5)=0,10000*SUBSTITUTE(SUBSTITUTE(OFFSET(装备属性!$F$1083,1+INT(COUNTA($Q$11:Q1080)/5),0),"[",""),"]","")+_xlfn.XLOOKUP(C1081,$M$3:$M$7,$N$3:$N$7)*100,R1080)</f>
        <v>40600</v>
      </c>
    </row>
    <row r="1082" customHeight="1" spans="1:18">
      <c r="A1082" s="78">
        <f ca="1" t="shared" si="48"/>
        <v>40601</v>
      </c>
      <c r="B1082" s="82">
        <f ca="1">IFERROR(R1082+COUNTIFS($R$11:$R1082,R1082),"")</f>
        <v>40627</v>
      </c>
      <c r="C1082" s="83" t="str">
        <f ca="1">IF(MOD(COUNTIF($Q$11:Q1081,Q1081),5)=0,OFFSET(装备属性!$D$1083,1+INT(COUNTA($Q$11:Q1081)/5),0),C1081)</f>
        <v>红</v>
      </c>
      <c r="D1082" s="82">
        <f t="shared" si="50"/>
        <v>2500</v>
      </c>
      <c r="F1082" s="82">
        <f ca="1" t="shared" si="49"/>
        <v>40605</v>
      </c>
      <c r="G1082" s="78" t="str">
        <f ca="1">IF(AND(LEFT("[{"&amp;M1082&amp;","&amp;CEILING(N1082*10000+(O1082-N1082)/4*(COUNTIF($F$11:F1082,F1082)-1)*10000,10)&amp;"}]",7)="[{equip",MID("[{"&amp;M1082&amp;","&amp;CEILING(N1082*10000+(O1082-N1082)/4*(COUNTIF($F$11:F1082,F1082)-1)*10000,10)&amp;"}]",8,1)&lt;&gt;"_"),"[{"&amp;M1082&amp;","&amp;1&amp;"}]","[{"&amp;M1082&amp;","&amp;CEILING(N1082*10000+(O1082-N1082)/4*(COUNTIF($F$11:F1082,F1082)-1)*10000,10)&amp;"}]")</f>
        <v>[{drug_class_dmg_rate,950}]</v>
      </c>
      <c r="H1082" s="82" t="s">
        <v>563</v>
      </c>
      <c r="J1082" s="78">
        <f ca="1">IF(MOD(COUNTIF($Q$11:Q1081,Q1081),5)=0,OFFSET(装备属性!$P$1083,1+INT(COUNTA($Q$11:Q1081)/5),0),J1081)</f>
        <v>4</v>
      </c>
      <c r="K1082" s="83" t="str">
        <f ca="1">IF(RIGHT(G1082,13)="rune_slot,1}]",_xlfn.XLOOKUP(LEFT(SUBSTITUTE(G1082,"[{",""),FIND(",",SUBSTITUTE(G1082,"[{",""))-1),Sheet2!B:B,Sheet2!C:C)&amp;"+"&amp;1,_xlfn.XLOOKUP(LEFT(SUBSTITUTE(G1082,"[{",""),FIND(",",SUBSTITUTE(G1082,"[{",""))-1),Sheet2!B:B,Sheet2!C:C)&amp;"+"&amp;SUBSTITUTE(RIGHT(G1082,LEN(G1082)-FIND(",",G1082)),"}]","")/100&amp;"%")</f>
        <v>上阵两个毒系职业增伤+9.5%</v>
      </c>
      <c r="L1082" s="83" t="str">
        <f ca="1">IF(MOD(COUNTIF($Q$11:Q1081,Q1081),5)=0,OFFSET(装备属性!$G$1083,1+INT(COUNTA($Q$11:Q1081)/5),0),L1081)</f>
        <v>毒毒小队Ⅲ</v>
      </c>
      <c r="M1082" s="89" t="str">
        <f ca="1">IF(MOD(COUNTIF($Q$11:Q1081,Q1081),5)=0,OFFSET(装备属性!$H$1083,1+INT(COUNTA($Q$11:Q1081)/5),0),M1081)</f>
        <v>drug_class_dmg_rate</v>
      </c>
      <c r="N1082" s="76">
        <f ca="1">IF(MOD(COUNTIF($Q$11:Q1081,Q1081),5)=0,OFFSET(装备属性!$K$1083,1+INT(COUNTA($Q$11:Q1081)/5),0),N1081)</f>
        <v>0.09</v>
      </c>
      <c r="O1082" s="76">
        <f ca="1">IF(MOD(COUNTIF($Q$11:Q1081,Q1081),5)=0,OFFSET(装备属性!$L$1083,1+INT(COUNTA($Q$11:Q1081)/5),0),O1081)</f>
        <v>0.11</v>
      </c>
      <c r="Q1082" s="89" t="str">
        <f ca="1">IF(MOD(COUNTIF($Q$11:Q1081,Q1081),5)=0,OFFSET(装备属性!$M$1083,1+INT(COUNTA($Q$11:Q1081)/5),0),Q1081)</f>
        <v>通用属性</v>
      </c>
      <c r="R1082" s="83">
        <f ca="1">IF(MOD(COUNTIF($Q$11:Q1081,Q1081),5)=0,10000*SUBSTITUTE(SUBSTITUTE(OFFSET(装备属性!$F$1083,1+INT(COUNTA($Q$11:Q1081)/5),0),"[",""),"]","")+_xlfn.XLOOKUP(C1082,$M$3:$M$7,$N$3:$N$7)*100,R1081)</f>
        <v>40600</v>
      </c>
    </row>
    <row r="1083" customHeight="1" spans="1:18">
      <c r="A1083" s="78">
        <f ca="1" t="shared" si="48"/>
        <v>40601</v>
      </c>
      <c r="B1083" s="82">
        <f ca="1">IFERROR(R1083+COUNTIFS($R$11:$R1083,R1083),"")</f>
        <v>40628</v>
      </c>
      <c r="C1083" s="83" t="str">
        <f ca="1">IF(MOD(COUNTIF($Q$11:Q1082,Q1082),5)=0,OFFSET(装备属性!$D$1083,1+INT(COUNTA($Q$11:Q1082)/5),0),C1082)</f>
        <v>红</v>
      </c>
      <c r="D1083" s="82">
        <f t="shared" si="50"/>
        <v>2000</v>
      </c>
      <c r="F1083" s="82">
        <f ca="1" t="shared" si="49"/>
        <v>40605</v>
      </c>
      <c r="G1083" s="78" t="str">
        <f ca="1">IF(AND(LEFT("[{"&amp;M1083&amp;","&amp;CEILING(N1083*10000+(O1083-N1083)/4*(COUNTIF($F$11:F1083,F1083)-1)*10000,10)&amp;"}]",7)="[{equip",MID("[{"&amp;M1083&amp;","&amp;CEILING(N1083*10000+(O1083-N1083)/4*(COUNTIF($F$11:F1083,F1083)-1)*10000,10)&amp;"}]",8,1)&lt;&gt;"_"),"[{"&amp;M1083&amp;","&amp;1&amp;"}]","[{"&amp;M1083&amp;","&amp;CEILING(N1083*10000+(O1083-N1083)/4*(COUNTIF($F$11:F1083,F1083)-1)*10000,10)&amp;"}]")</f>
        <v>[{drug_class_dmg_rate,1000}]</v>
      </c>
      <c r="H1083" s="82" t="s">
        <v>563</v>
      </c>
      <c r="J1083" s="78">
        <f ca="1">IF(MOD(COUNTIF($Q$11:Q1082,Q1082),5)=0,OFFSET(装备属性!$P$1083,1+INT(COUNTA($Q$11:Q1082)/5),0),J1082)</f>
        <v>4</v>
      </c>
      <c r="K1083" s="83" t="str">
        <f ca="1">IF(RIGHT(G1083,13)="rune_slot,1}]",_xlfn.XLOOKUP(LEFT(SUBSTITUTE(G1083,"[{",""),FIND(",",SUBSTITUTE(G1083,"[{",""))-1),Sheet2!B:B,Sheet2!C:C)&amp;"+"&amp;1,_xlfn.XLOOKUP(LEFT(SUBSTITUTE(G1083,"[{",""),FIND(",",SUBSTITUTE(G1083,"[{",""))-1),Sheet2!B:B,Sheet2!C:C)&amp;"+"&amp;SUBSTITUTE(RIGHT(G1083,LEN(G1083)-FIND(",",G1083)),"}]","")/100&amp;"%")</f>
        <v>上阵两个毒系职业增伤+10%</v>
      </c>
      <c r="L1083" s="83" t="str">
        <f ca="1">IF(MOD(COUNTIF($Q$11:Q1082,Q1082),5)=0,OFFSET(装备属性!$G$1083,1+INT(COUNTA($Q$11:Q1082)/5),0),L1082)</f>
        <v>毒毒小队Ⅲ</v>
      </c>
      <c r="M1083" s="89" t="str">
        <f ca="1">IF(MOD(COUNTIF($Q$11:Q1082,Q1082),5)=0,OFFSET(装备属性!$H$1083,1+INT(COUNTA($Q$11:Q1082)/5),0),M1082)</f>
        <v>drug_class_dmg_rate</v>
      </c>
      <c r="N1083" s="76">
        <f ca="1">IF(MOD(COUNTIF($Q$11:Q1082,Q1082),5)=0,OFFSET(装备属性!$K$1083,1+INT(COUNTA($Q$11:Q1082)/5),0),N1082)</f>
        <v>0.09</v>
      </c>
      <c r="O1083" s="76">
        <f ca="1">IF(MOD(COUNTIF($Q$11:Q1082,Q1082),5)=0,OFFSET(装备属性!$L$1083,1+INT(COUNTA($Q$11:Q1082)/5),0),O1082)</f>
        <v>0.11</v>
      </c>
      <c r="Q1083" s="89" t="str">
        <f ca="1">IF(MOD(COUNTIF($Q$11:Q1082,Q1082),5)=0,OFFSET(装备属性!$M$1083,1+INT(COUNTA($Q$11:Q1082)/5),0),Q1082)</f>
        <v>通用属性</v>
      </c>
      <c r="R1083" s="83">
        <f ca="1">IF(MOD(COUNTIF($Q$11:Q1082,Q1082),5)=0,10000*SUBSTITUTE(SUBSTITUTE(OFFSET(装备属性!$F$1083,1+INT(COUNTA($Q$11:Q1082)/5),0),"[",""),"]","")+_xlfn.XLOOKUP(C1083,$M$3:$M$7,$N$3:$N$7)*100,R1082)</f>
        <v>40600</v>
      </c>
    </row>
    <row r="1084" customHeight="1" spans="1:18">
      <c r="A1084" s="78">
        <f ca="1" t="shared" si="48"/>
        <v>40601</v>
      </c>
      <c r="B1084" s="82">
        <f ca="1">IFERROR(R1084+COUNTIFS($R$11:$R1084,R1084),"")</f>
        <v>40629</v>
      </c>
      <c r="C1084" s="83" t="str">
        <f ca="1">IF(MOD(COUNTIF($Q$11:Q1083,Q1083),5)=0,OFFSET(装备属性!$D$1083,1+INT(COUNTA($Q$11:Q1083)/5),0),C1083)</f>
        <v>红</v>
      </c>
      <c r="D1084" s="82">
        <f t="shared" si="50"/>
        <v>1500</v>
      </c>
      <c r="F1084" s="82">
        <f ca="1" t="shared" si="49"/>
        <v>40605</v>
      </c>
      <c r="G1084" s="78" t="str">
        <f ca="1">IF(AND(LEFT("[{"&amp;M1084&amp;","&amp;CEILING(N1084*10000+(O1084-N1084)/4*(COUNTIF($F$11:F1084,F1084)-1)*10000,10)&amp;"}]",7)="[{equip",MID("[{"&amp;M1084&amp;","&amp;CEILING(N1084*10000+(O1084-N1084)/4*(COUNTIF($F$11:F1084,F1084)-1)*10000,10)&amp;"}]",8,1)&lt;&gt;"_"),"[{"&amp;M1084&amp;","&amp;1&amp;"}]","[{"&amp;M1084&amp;","&amp;CEILING(N1084*10000+(O1084-N1084)/4*(COUNTIF($F$11:F1084,F1084)-1)*10000,10)&amp;"}]")</f>
        <v>[{drug_class_dmg_rate,1050}]</v>
      </c>
      <c r="H1084" s="82" t="s">
        <v>563</v>
      </c>
      <c r="J1084" s="78">
        <f ca="1">IF(MOD(COUNTIF($Q$11:Q1083,Q1083),5)=0,OFFSET(装备属性!$P$1083,1+INT(COUNTA($Q$11:Q1083)/5),0),J1083)</f>
        <v>4</v>
      </c>
      <c r="K1084" s="83" t="str">
        <f ca="1">IF(RIGHT(G1084,13)="rune_slot,1}]",_xlfn.XLOOKUP(LEFT(SUBSTITUTE(G1084,"[{",""),FIND(",",SUBSTITUTE(G1084,"[{",""))-1),Sheet2!B:B,Sheet2!C:C)&amp;"+"&amp;1,_xlfn.XLOOKUP(LEFT(SUBSTITUTE(G1084,"[{",""),FIND(",",SUBSTITUTE(G1084,"[{",""))-1),Sheet2!B:B,Sheet2!C:C)&amp;"+"&amp;SUBSTITUTE(RIGHT(G1084,LEN(G1084)-FIND(",",G1084)),"}]","")/100&amp;"%")</f>
        <v>上阵两个毒系职业增伤+10.5%</v>
      </c>
      <c r="L1084" s="83" t="str">
        <f ca="1">IF(MOD(COUNTIF($Q$11:Q1083,Q1083),5)=0,OFFSET(装备属性!$G$1083,1+INT(COUNTA($Q$11:Q1083)/5),0),L1083)</f>
        <v>毒毒小队Ⅲ</v>
      </c>
      <c r="M1084" s="89" t="str">
        <f ca="1">IF(MOD(COUNTIF($Q$11:Q1083,Q1083),5)=0,OFFSET(装备属性!$H$1083,1+INT(COUNTA($Q$11:Q1083)/5),0),M1083)</f>
        <v>drug_class_dmg_rate</v>
      </c>
      <c r="N1084" s="76">
        <f ca="1">IF(MOD(COUNTIF($Q$11:Q1083,Q1083),5)=0,OFFSET(装备属性!$K$1083,1+INT(COUNTA($Q$11:Q1083)/5),0),N1083)</f>
        <v>0.09</v>
      </c>
      <c r="O1084" s="76">
        <f ca="1">IF(MOD(COUNTIF($Q$11:Q1083,Q1083),5)=0,OFFSET(装备属性!$L$1083,1+INT(COUNTA($Q$11:Q1083)/5),0),O1083)</f>
        <v>0.11</v>
      </c>
      <c r="Q1084" s="89" t="str">
        <f ca="1">IF(MOD(COUNTIF($Q$11:Q1083,Q1083),5)=0,OFFSET(装备属性!$M$1083,1+INT(COUNTA($Q$11:Q1083)/5),0),Q1083)</f>
        <v>通用属性</v>
      </c>
      <c r="R1084" s="83">
        <f ca="1">IF(MOD(COUNTIF($Q$11:Q1083,Q1083),5)=0,10000*SUBSTITUTE(SUBSTITUTE(OFFSET(装备属性!$F$1083,1+INT(COUNTA($Q$11:Q1083)/5),0),"[",""),"]","")+_xlfn.XLOOKUP(C1084,$M$3:$M$7,$N$3:$N$7)*100,R1083)</f>
        <v>40600</v>
      </c>
    </row>
    <row r="1085" customHeight="1" spans="1:18">
      <c r="A1085" s="78">
        <f ca="1" t="shared" si="48"/>
        <v>40601</v>
      </c>
      <c r="B1085" s="82">
        <f ca="1">IFERROR(R1085+COUNTIFS($R$11:$R1085,R1085),"")</f>
        <v>40630</v>
      </c>
      <c r="C1085" s="83" t="str">
        <f ca="1">IF(MOD(COUNTIF($Q$11:Q1084,Q1084),5)=0,OFFSET(装备属性!$D$1083,1+INT(COUNTA($Q$11:Q1084)/5),0),C1084)</f>
        <v>红</v>
      </c>
      <c r="D1085" s="82">
        <f t="shared" si="50"/>
        <v>1000</v>
      </c>
      <c r="F1085" s="82">
        <f ca="1" t="shared" si="49"/>
        <v>40605</v>
      </c>
      <c r="G1085" s="78" t="str">
        <f ca="1">IF(AND(LEFT("[{"&amp;M1085&amp;","&amp;CEILING(N1085*10000+(O1085-N1085)/4*(COUNTIF($F$11:F1085,F1085)-1)*10000,10)&amp;"}]",7)="[{equip",MID("[{"&amp;M1085&amp;","&amp;CEILING(N1085*10000+(O1085-N1085)/4*(COUNTIF($F$11:F1085,F1085)-1)*10000,10)&amp;"}]",8,1)&lt;&gt;"_"),"[{"&amp;M1085&amp;","&amp;1&amp;"}]","[{"&amp;M1085&amp;","&amp;CEILING(N1085*10000+(O1085-N1085)/4*(COUNTIF($F$11:F1085,F1085)-1)*10000,10)&amp;"}]")</f>
        <v>[{drug_class_dmg_rate,1100}]</v>
      </c>
      <c r="H1085" s="82" t="s">
        <v>563</v>
      </c>
      <c r="J1085" s="78">
        <f ca="1">IF(MOD(COUNTIF($Q$11:Q1084,Q1084),5)=0,OFFSET(装备属性!$P$1083,1+INT(COUNTA($Q$11:Q1084)/5),0),J1084)</f>
        <v>4</v>
      </c>
      <c r="K1085" s="83" t="str">
        <f ca="1">IF(RIGHT(G1085,13)="rune_slot,1}]",_xlfn.XLOOKUP(LEFT(SUBSTITUTE(G1085,"[{",""),FIND(",",SUBSTITUTE(G1085,"[{",""))-1),Sheet2!B:B,Sheet2!C:C)&amp;"+"&amp;1,_xlfn.XLOOKUP(LEFT(SUBSTITUTE(G1085,"[{",""),FIND(",",SUBSTITUTE(G1085,"[{",""))-1),Sheet2!B:B,Sheet2!C:C)&amp;"+"&amp;SUBSTITUTE(RIGHT(G1085,LEN(G1085)-FIND(",",G1085)),"}]","")/100&amp;"%")</f>
        <v>上阵两个毒系职业增伤+11%</v>
      </c>
      <c r="L1085" s="83" t="str">
        <f ca="1">IF(MOD(COUNTIF($Q$11:Q1084,Q1084),5)=0,OFFSET(装备属性!$G$1083,1+INT(COUNTA($Q$11:Q1084)/5),0),L1084)</f>
        <v>毒毒小队Ⅲ</v>
      </c>
      <c r="M1085" s="89" t="str">
        <f ca="1">IF(MOD(COUNTIF($Q$11:Q1084,Q1084),5)=0,OFFSET(装备属性!$H$1083,1+INT(COUNTA($Q$11:Q1084)/5),0),M1084)</f>
        <v>drug_class_dmg_rate</v>
      </c>
      <c r="N1085" s="76">
        <f ca="1">IF(MOD(COUNTIF($Q$11:Q1084,Q1084),5)=0,OFFSET(装备属性!$K$1083,1+INT(COUNTA($Q$11:Q1084)/5),0),N1084)</f>
        <v>0.09</v>
      </c>
      <c r="O1085" s="76">
        <f ca="1">IF(MOD(COUNTIF($Q$11:Q1084,Q1084),5)=0,OFFSET(装备属性!$L$1083,1+INT(COUNTA($Q$11:Q1084)/5),0),O1084)</f>
        <v>0.11</v>
      </c>
      <c r="Q1085" s="89" t="str">
        <f ca="1">IF(MOD(COUNTIF($Q$11:Q1084,Q1084),5)=0,OFFSET(装备属性!$M$1083,1+INT(COUNTA($Q$11:Q1084)/5),0),Q1084)</f>
        <v>通用属性</v>
      </c>
      <c r="R1085" s="83">
        <f ca="1">IF(MOD(COUNTIF($Q$11:Q1084,Q1084),5)=0,10000*SUBSTITUTE(SUBSTITUTE(OFFSET(装备属性!$F$1083,1+INT(COUNTA($Q$11:Q1084)/5),0),"[",""),"]","")+_xlfn.XLOOKUP(C1085,$M$3:$M$7,$N$3:$N$7)*100,R1084)</f>
        <v>40600</v>
      </c>
    </row>
    <row r="1086" customHeight="1" spans="1:18">
      <c r="A1086" s="78">
        <f ca="1" t="shared" si="48"/>
        <v>40601</v>
      </c>
      <c r="B1086" s="82">
        <f ca="1">IFERROR(R1086+COUNTIFS($R$11:$R1086,R1086),"")</f>
        <v>40631</v>
      </c>
      <c r="C1086" s="83" t="str">
        <f ca="1">IF(MOD(COUNTIF($Q$11:Q1085,Q1085),5)=0,OFFSET(装备属性!$D$1083,1+INT(COUNTA($Q$11:Q1085)/5),0),C1085)</f>
        <v>红</v>
      </c>
      <c r="D1086" s="82">
        <f t="shared" si="50"/>
        <v>3000</v>
      </c>
      <c r="F1086" s="82">
        <f ca="1" t="shared" si="49"/>
        <v>40606</v>
      </c>
      <c r="G1086" s="78" t="str">
        <f ca="1">IF(AND(LEFT("[{"&amp;M1086&amp;","&amp;CEILING(N1086*10000+(O1086-N1086)/4*(COUNTIF($F$11:F1086,F1086)-1)*10000,10)&amp;"}]",7)="[{equip",MID("[{"&amp;M1086&amp;","&amp;CEILING(N1086*10000+(O1086-N1086)/4*(COUNTIF($F$11:F1086,F1086)-1)*10000,10)&amp;"}]",8,1)&lt;&gt;"_"),"[{"&amp;M1086&amp;","&amp;1&amp;"}]","[{"&amp;M1086&amp;","&amp;CEILING(N1086*10000+(O1086-N1086)/4*(COUNTIF($F$11:F1086,F1086)-1)*10000,10)&amp;"}]")</f>
        <v>[{drug_crit_dmg,2700}]</v>
      </c>
      <c r="H1086" s="82" t="s">
        <v>563</v>
      </c>
      <c r="J1086" s="78">
        <f ca="1">IF(MOD(COUNTIF($Q$11:Q1085,Q1085),5)=0,OFFSET(装备属性!$P$1083,1+INT(COUNTA($Q$11:Q1085)/5),0),J1085)</f>
        <v>10</v>
      </c>
      <c r="K1086" s="83" t="str">
        <f ca="1">IF(RIGHT(G1086,13)="rune_slot,1}]",_xlfn.XLOOKUP(LEFT(SUBSTITUTE(G1086,"[{",""),FIND(",",SUBSTITUTE(G1086,"[{",""))-1),Sheet2!B:B,Sheet2!C:C)&amp;"+"&amp;1,_xlfn.XLOOKUP(LEFT(SUBSTITUTE(G1086,"[{",""),FIND(",",SUBSTITUTE(G1086,"[{",""))-1),Sheet2!B:B,Sheet2!C:C)&amp;"+"&amp;SUBSTITUTE(RIGHT(G1086,LEN(G1086)-FIND(",",G1086)),"}]","")/100&amp;"%")</f>
        <v>毒系暴击伤害+27%</v>
      </c>
      <c r="L1086" s="83" t="str">
        <f ca="1">IF(MOD(COUNTIF($Q$11:Q1085,Q1085),5)=0,OFFSET(装备属性!$G$1083,1+INT(COUNTA($Q$11:Q1085)/5),0),L1085)</f>
        <v>暴走毒毒Ⅲ</v>
      </c>
      <c r="M1086" s="89" t="str">
        <f ca="1">IF(MOD(COUNTIF($Q$11:Q1085,Q1085),5)=0,OFFSET(装备属性!$H$1083,1+INT(COUNTA($Q$11:Q1085)/5),0),M1085)</f>
        <v>drug_crit_dmg</v>
      </c>
      <c r="N1086" s="76">
        <f ca="1">IF(MOD(COUNTIF($Q$11:Q1085,Q1085),5)=0,OFFSET(装备属性!$K$1083,1+INT(COUNTA($Q$11:Q1085)/5),0),N1085)</f>
        <v>0.27</v>
      </c>
      <c r="O1086" s="76">
        <f ca="1">IF(MOD(COUNTIF($Q$11:Q1085,Q1085),5)=0,OFFSET(装备属性!$L$1083,1+INT(COUNTA($Q$11:Q1085)/5),0),O1085)</f>
        <v>0.33</v>
      </c>
      <c r="Q1086" s="89" t="str">
        <f ca="1">IF(MOD(COUNTIF($Q$11:Q1085,Q1085),5)=0,OFFSET(装备属性!$M$1083,1+INT(COUNTA($Q$11:Q1085)/5),0),Q1085)</f>
        <v>通用属性</v>
      </c>
      <c r="R1086" s="83">
        <f ca="1">IF(MOD(COUNTIF($Q$11:Q1085,Q1085),5)=0,10000*SUBSTITUTE(SUBSTITUTE(OFFSET(装备属性!$F$1083,1+INT(COUNTA($Q$11:Q1085)/5),0),"[",""),"]","")+_xlfn.XLOOKUP(C1086,$M$3:$M$7,$N$3:$N$7)*100,R1085)</f>
        <v>40600</v>
      </c>
    </row>
    <row r="1087" customHeight="1" spans="1:18">
      <c r="A1087" s="78">
        <f ca="1" t="shared" si="48"/>
        <v>40601</v>
      </c>
      <c r="B1087" s="82">
        <f ca="1">IFERROR(R1087+COUNTIFS($R$11:$R1087,R1087),"")</f>
        <v>40632</v>
      </c>
      <c r="C1087" s="83" t="str">
        <f ca="1">IF(MOD(COUNTIF($Q$11:Q1086,Q1086),5)=0,OFFSET(装备属性!$D$1083,1+INT(COUNTA($Q$11:Q1086)/5),0),C1086)</f>
        <v>红</v>
      </c>
      <c r="D1087" s="82">
        <f t="shared" si="50"/>
        <v>2500</v>
      </c>
      <c r="F1087" s="82">
        <f ca="1" t="shared" si="49"/>
        <v>40606</v>
      </c>
      <c r="G1087" s="78" t="str">
        <f ca="1">IF(AND(LEFT("[{"&amp;M1087&amp;","&amp;CEILING(N1087*10000+(O1087-N1087)/4*(COUNTIF($F$11:F1087,F1087)-1)*10000,10)&amp;"}]",7)="[{equip",MID("[{"&amp;M1087&amp;","&amp;CEILING(N1087*10000+(O1087-N1087)/4*(COUNTIF($F$11:F1087,F1087)-1)*10000,10)&amp;"}]",8,1)&lt;&gt;"_"),"[{"&amp;M1087&amp;","&amp;1&amp;"}]","[{"&amp;M1087&amp;","&amp;CEILING(N1087*10000+(O1087-N1087)/4*(COUNTIF($F$11:F1087,F1087)-1)*10000,10)&amp;"}]")</f>
        <v>[{drug_crit_dmg,2850}]</v>
      </c>
      <c r="H1087" s="82" t="s">
        <v>563</v>
      </c>
      <c r="J1087" s="78">
        <f ca="1">IF(MOD(COUNTIF($Q$11:Q1086,Q1086),5)=0,OFFSET(装备属性!$P$1083,1+INT(COUNTA($Q$11:Q1086)/5),0),J1086)</f>
        <v>10</v>
      </c>
      <c r="K1087" s="83" t="str">
        <f ca="1">IF(RIGHT(G1087,13)="rune_slot,1}]",_xlfn.XLOOKUP(LEFT(SUBSTITUTE(G1087,"[{",""),FIND(",",SUBSTITUTE(G1087,"[{",""))-1),Sheet2!B:B,Sheet2!C:C)&amp;"+"&amp;1,_xlfn.XLOOKUP(LEFT(SUBSTITUTE(G1087,"[{",""),FIND(",",SUBSTITUTE(G1087,"[{",""))-1),Sheet2!B:B,Sheet2!C:C)&amp;"+"&amp;SUBSTITUTE(RIGHT(G1087,LEN(G1087)-FIND(",",G1087)),"}]","")/100&amp;"%")</f>
        <v>毒系暴击伤害+28.5%</v>
      </c>
      <c r="L1087" s="83" t="str">
        <f ca="1">IF(MOD(COUNTIF($Q$11:Q1086,Q1086),5)=0,OFFSET(装备属性!$G$1083,1+INT(COUNTA($Q$11:Q1086)/5),0),L1086)</f>
        <v>暴走毒毒Ⅲ</v>
      </c>
      <c r="M1087" s="89" t="str">
        <f ca="1">IF(MOD(COUNTIF($Q$11:Q1086,Q1086),5)=0,OFFSET(装备属性!$H$1083,1+INT(COUNTA($Q$11:Q1086)/5),0),M1086)</f>
        <v>drug_crit_dmg</v>
      </c>
      <c r="N1087" s="76">
        <f ca="1">IF(MOD(COUNTIF($Q$11:Q1086,Q1086),5)=0,OFFSET(装备属性!$K$1083,1+INT(COUNTA($Q$11:Q1086)/5),0),N1086)</f>
        <v>0.27</v>
      </c>
      <c r="O1087" s="76">
        <f ca="1">IF(MOD(COUNTIF($Q$11:Q1086,Q1086),5)=0,OFFSET(装备属性!$L$1083,1+INT(COUNTA($Q$11:Q1086)/5),0),O1086)</f>
        <v>0.33</v>
      </c>
      <c r="Q1087" s="89" t="str">
        <f ca="1">IF(MOD(COUNTIF($Q$11:Q1086,Q1086),5)=0,OFFSET(装备属性!$M$1083,1+INT(COUNTA($Q$11:Q1086)/5),0),Q1086)</f>
        <v>通用属性</v>
      </c>
      <c r="R1087" s="83">
        <f ca="1">IF(MOD(COUNTIF($Q$11:Q1086,Q1086),5)=0,10000*SUBSTITUTE(SUBSTITUTE(OFFSET(装备属性!$F$1083,1+INT(COUNTA($Q$11:Q1086)/5),0),"[",""),"]","")+_xlfn.XLOOKUP(C1087,$M$3:$M$7,$N$3:$N$7)*100,R1086)</f>
        <v>40600</v>
      </c>
    </row>
    <row r="1088" customHeight="1" spans="1:18">
      <c r="A1088" s="78">
        <f ca="1" t="shared" si="48"/>
        <v>40601</v>
      </c>
      <c r="B1088" s="82">
        <f ca="1">IFERROR(R1088+COUNTIFS($R$11:$R1088,R1088),"")</f>
        <v>40633</v>
      </c>
      <c r="C1088" s="83" t="str">
        <f ca="1">IF(MOD(COUNTIF($Q$11:Q1087,Q1087),5)=0,OFFSET(装备属性!$D$1083,1+INT(COUNTA($Q$11:Q1087)/5),0),C1087)</f>
        <v>红</v>
      </c>
      <c r="D1088" s="82">
        <f t="shared" si="50"/>
        <v>2000</v>
      </c>
      <c r="F1088" s="82">
        <f ca="1" t="shared" si="49"/>
        <v>40606</v>
      </c>
      <c r="G1088" s="78" t="str">
        <f ca="1">IF(AND(LEFT("[{"&amp;M1088&amp;","&amp;CEILING(N1088*10000+(O1088-N1088)/4*(COUNTIF($F$11:F1088,F1088)-1)*10000,10)&amp;"}]",7)="[{equip",MID("[{"&amp;M1088&amp;","&amp;CEILING(N1088*10000+(O1088-N1088)/4*(COUNTIF($F$11:F1088,F1088)-1)*10000,10)&amp;"}]",8,1)&lt;&gt;"_"),"[{"&amp;M1088&amp;","&amp;1&amp;"}]","[{"&amp;M1088&amp;","&amp;CEILING(N1088*10000+(O1088-N1088)/4*(COUNTIF($F$11:F1088,F1088)-1)*10000,10)&amp;"}]")</f>
        <v>[{drug_crit_dmg,3000}]</v>
      </c>
      <c r="H1088" s="82" t="s">
        <v>563</v>
      </c>
      <c r="J1088" s="78">
        <f ca="1">IF(MOD(COUNTIF($Q$11:Q1087,Q1087),5)=0,OFFSET(装备属性!$P$1083,1+INT(COUNTA($Q$11:Q1087)/5),0),J1087)</f>
        <v>10</v>
      </c>
      <c r="K1088" s="83" t="str">
        <f ca="1">IF(RIGHT(G1088,13)="rune_slot,1}]",_xlfn.XLOOKUP(LEFT(SUBSTITUTE(G1088,"[{",""),FIND(",",SUBSTITUTE(G1088,"[{",""))-1),Sheet2!B:B,Sheet2!C:C)&amp;"+"&amp;1,_xlfn.XLOOKUP(LEFT(SUBSTITUTE(G1088,"[{",""),FIND(",",SUBSTITUTE(G1088,"[{",""))-1),Sheet2!B:B,Sheet2!C:C)&amp;"+"&amp;SUBSTITUTE(RIGHT(G1088,LEN(G1088)-FIND(",",G1088)),"}]","")/100&amp;"%")</f>
        <v>毒系暴击伤害+30%</v>
      </c>
      <c r="L1088" s="83" t="str">
        <f ca="1">IF(MOD(COUNTIF($Q$11:Q1087,Q1087),5)=0,OFFSET(装备属性!$G$1083,1+INT(COUNTA($Q$11:Q1087)/5),0),L1087)</f>
        <v>暴走毒毒Ⅲ</v>
      </c>
      <c r="M1088" s="89" t="str">
        <f ca="1">IF(MOD(COUNTIF($Q$11:Q1087,Q1087),5)=0,OFFSET(装备属性!$H$1083,1+INT(COUNTA($Q$11:Q1087)/5),0),M1087)</f>
        <v>drug_crit_dmg</v>
      </c>
      <c r="N1088" s="76">
        <f ca="1">IF(MOD(COUNTIF($Q$11:Q1087,Q1087),5)=0,OFFSET(装备属性!$K$1083,1+INT(COUNTA($Q$11:Q1087)/5),0),N1087)</f>
        <v>0.27</v>
      </c>
      <c r="O1088" s="76">
        <f ca="1">IF(MOD(COUNTIF($Q$11:Q1087,Q1087),5)=0,OFFSET(装备属性!$L$1083,1+INT(COUNTA($Q$11:Q1087)/5),0),O1087)</f>
        <v>0.33</v>
      </c>
      <c r="Q1088" s="89" t="str">
        <f ca="1">IF(MOD(COUNTIF($Q$11:Q1087,Q1087),5)=0,OFFSET(装备属性!$M$1083,1+INT(COUNTA($Q$11:Q1087)/5),0),Q1087)</f>
        <v>通用属性</v>
      </c>
      <c r="R1088" s="83">
        <f ca="1">IF(MOD(COUNTIF($Q$11:Q1087,Q1087),5)=0,10000*SUBSTITUTE(SUBSTITUTE(OFFSET(装备属性!$F$1083,1+INT(COUNTA($Q$11:Q1087)/5),0),"[",""),"]","")+_xlfn.XLOOKUP(C1088,$M$3:$M$7,$N$3:$N$7)*100,R1087)</f>
        <v>40600</v>
      </c>
    </row>
    <row r="1089" customHeight="1" spans="1:18">
      <c r="A1089" s="78">
        <f ca="1" t="shared" si="48"/>
        <v>40601</v>
      </c>
      <c r="B1089" s="82">
        <f ca="1">IFERROR(R1089+COUNTIFS($R$11:$R1089,R1089),"")</f>
        <v>40634</v>
      </c>
      <c r="C1089" s="83" t="str">
        <f ca="1">IF(MOD(COUNTIF($Q$11:Q1088,Q1088),5)=0,OFFSET(装备属性!$D$1083,1+INT(COUNTA($Q$11:Q1088)/5),0),C1088)</f>
        <v>红</v>
      </c>
      <c r="D1089" s="82">
        <f t="shared" si="50"/>
        <v>1500</v>
      </c>
      <c r="F1089" s="82">
        <f ca="1" t="shared" si="49"/>
        <v>40606</v>
      </c>
      <c r="G1089" s="78" t="str">
        <f ca="1">IF(AND(LEFT("[{"&amp;M1089&amp;","&amp;CEILING(N1089*10000+(O1089-N1089)/4*(COUNTIF($F$11:F1089,F1089)-1)*10000,10)&amp;"}]",7)="[{equip",MID("[{"&amp;M1089&amp;","&amp;CEILING(N1089*10000+(O1089-N1089)/4*(COUNTIF($F$11:F1089,F1089)-1)*10000,10)&amp;"}]",8,1)&lt;&gt;"_"),"[{"&amp;M1089&amp;","&amp;1&amp;"}]","[{"&amp;M1089&amp;","&amp;CEILING(N1089*10000+(O1089-N1089)/4*(COUNTIF($F$11:F1089,F1089)-1)*10000,10)&amp;"}]")</f>
        <v>[{drug_crit_dmg,3150}]</v>
      </c>
      <c r="H1089" s="82" t="s">
        <v>563</v>
      </c>
      <c r="J1089" s="78">
        <f ca="1">IF(MOD(COUNTIF($Q$11:Q1088,Q1088),5)=0,OFFSET(装备属性!$P$1083,1+INT(COUNTA($Q$11:Q1088)/5),0),J1088)</f>
        <v>10</v>
      </c>
      <c r="K1089" s="83" t="str">
        <f ca="1">IF(RIGHT(G1089,13)="rune_slot,1}]",_xlfn.XLOOKUP(LEFT(SUBSTITUTE(G1089,"[{",""),FIND(",",SUBSTITUTE(G1089,"[{",""))-1),Sheet2!B:B,Sheet2!C:C)&amp;"+"&amp;1,_xlfn.XLOOKUP(LEFT(SUBSTITUTE(G1089,"[{",""),FIND(",",SUBSTITUTE(G1089,"[{",""))-1),Sheet2!B:B,Sheet2!C:C)&amp;"+"&amp;SUBSTITUTE(RIGHT(G1089,LEN(G1089)-FIND(",",G1089)),"}]","")/100&amp;"%")</f>
        <v>毒系暴击伤害+31.5%</v>
      </c>
      <c r="L1089" s="83" t="str">
        <f ca="1">IF(MOD(COUNTIF($Q$11:Q1088,Q1088),5)=0,OFFSET(装备属性!$G$1083,1+INT(COUNTA($Q$11:Q1088)/5),0),L1088)</f>
        <v>暴走毒毒Ⅲ</v>
      </c>
      <c r="M1089" s="89" t="str">
        <f ca="1">IF(MOD(COUNTIF($Q$11:Q1088,Q1088),5)=0,OFFSET(装备属性!$H$1083,1+INT(COUNTA($Q$11:Q1088)/5),0),M1088)</f>
        <v>drug_crit_dmg</v>
      </c>
      <c r="N1089" s="76">
        <f ca="1">IF(MOD(COUNTIF($Q$11:Q1088,Q1088),5)=0,OFFSET(装备属性!$K$1083,1+INT(COUNTA($Q$11:Q1088)/5),0),N1088)</f>
        <v>0.27</v>
      </c>
      <c r="O1089" s="76">
        <f ca="1">IF(MOD(COUNTIF($Q$11:Q1088,Q1088),5)=0,OFFSET(装备属性!$L$1083,1+INT(COUNTA($Q$11:Q1088)/5),0),O1088)</f>
        <v>0.33</v>
      </c>
      <c r="Q1089" s="89" t="str">
        <f ca="1">IF(MOD(COUNTIF($Q$11:Q1088,Q1088),5)=0,OFFSET(装备属性!$M$1083,1+INT(COUNTA($Q$11:Q1088)/5),0),Q1088)</f>
        <v>通用属性</v>
      </c>
      <c r="R1089" s="83">
        <f ca="1">IF(MOD(COUNTIF($Q$11:Q1088,Q1088),5)=0,10000*SUBSTITUTE(SUBSTITUTE(OFFSET(装备属性!$F$1083,1+INT(COUNTA($Q$11:Q1088)/5),0),"[",""),"]","")+_xlfn.XLOOKUP(C1089,$M$3:$M$7,$N$3:$N$7)*100,R1088)</f>
        <v>40600</v>
      </c>
    </row>
    <row r="1090" customHeight="1" spans="1:18">
      <c r="A1090" s="78">
        <f ca="1" t="shared" si="48"/>
        <v>40601</v>
      </c>
      <c r="B1090" s="82">
        <f ca="1">IFERROR(R1090+COUNTIFS($R$11:$R1090,R1090),"")</f>
        <v>40635</v>
      </c>
      <c r="C1090" s="83" t="str">
        <f ca="1">IF(MOD(COUNTIF($Q$11:Q1089,Q1089),5)=0,OFFSET(装备属性!$D$1083,1+INT(COUNTA($Q$11:Q1089)/5),0),C1089)</f>
        <v>红</v>
      </c>
      <c r="D1090" s="82">
        <f t="shared" si="50"/>
        <v>1000</v>
      </c>
      <c r="F1090" s="82">
        <f ca="1" t="shared" si="49"/>
        <v>40606</v>
      </c>
      <c r="G1090" s="78" t="str">
        <f ca="1">IF(AND(LEFT("[{"&amp;M1090&amp;","&amp;CEILING(N1090*10000+(O1090-N1090)/4*(COUNTIF($F$11:F1090,F1090)-1)*10000,10)&amp;"}]",7)="[{equip",MID("[{"&amp;M1090&amp;","&amp;CEILING(N1090*10000+(O1090-N1090)/4*(COUNTIF($F$11:F1090,F1090)-1)*10000,10)&amp;"}]",8,1)&lt;&gt;"_"),"[{"&amp;M1090&amp;","&amp;1&amp;"}]","[{"&amp;M1090&amp;","&amp;CEILING(N1090*10000+(O1090-N1090)/4*(COUNTIF($F$11:F1090,F1090)-1)*10000,10)&amp;"}]")</f>
        <v>[{drug_crit_dmg,3300}]</v>
      </c>
      <c r="H1090" s="82" t="s">
        <v>563</v>
      </c>
      <c r="J1090" s="78">
        <f ca="1">IF(MOD(COUNTIF($Q$11:Q1089,Q1089),5)=0,OFFSET(装备属性!$P$1083,1+INT(COUNTA($Q$11:Q1089)/5),0),J1089)</f>
        <v>10</v>
      </c>
      <c r="K1090" s="83" t="str">
        <f ca="1">IF(RIGHT(G1090,13)="rune_slot,1}]",_xlfn.XLOOKUP(LEFT(SUBSTITUTE(G1090,"[{",""),FIND(",",SUBSTITUTE(G1090,"[{",""))-1),Sheet2!B:B,Sheet2!C:C)&amp;"+"&amp;1,_xlfn.XLOOKUP(LEFT(SUBSTITUTE(G1090,"[{",""),FIND(",",SUBSTITUTE(G1090,"[{",""))-1),Sheet2!B:B,Sheet2!C:C)&amp;"+"&amp;SUBSTITUTE(RIGHT(G1090,LEN(G1090)-FIND(",",G1090)),"}]","")/100&amp;"%")</f>
        <v>毒系暴击伤害+33%</v>
      </c>
      <c r="L1090" s="83" t="str">
        <f ca="1">IF(MOD(COUNTIF($Q$11:Q1089,Q1089),5)=0,OFFSET(装备属性!$G$1083,1+INT(COUNTA($Q$11:Q1089)/5),0),L1089)</f>
        <v>暴走毒毒Ⅲ</v>
      </c>
      <c r="M1090" s="89" t="str">
        <f ca="1">IF(MOD(COUNTIF($Q$11:Q1089,Q1089),5)=0,OFFSET(装备属性!$H$1083,1+INT(COUNTA($Q$11:Q1089)/5),0),M1089)</f>
        <v>drug_crit_dmg</v>
      </c>
      <c r="N1090" s="76">
        <f ca="1">IF(MOD(COUNTIF($Q$11:Q1089,Q1089),5)=0,OFFSET(装备属性!$K$1083,1+INT(COUNTA($Q$11:Q1089)/5),0),N1089)</f>
        <v>0.27</v>
      </c>
      <c r="O1090" s="76">
        <f ca="1">IF(MOD(COUNTIF($Q$11:Q1089,Q1089),5)=0,OFFSET(装备属性!$L$1083,1+INT(COUNTA($Q$11:Q1089)/5),0),O1089)</f>
        <v>0.33</v>
      </c>
      <c r="Q1090" s="89" t="str">
        <f ca="1">IF(MOD(COUNTIF($Q$11:Q1089,Q1089),5)=0,OFFSET(装备属性!$M$1083,1+INT(COUNTA($Q$11:Q1089)/5),0),Q1089)</f>
        <v>通用属性</v>
      </c>
      <c r="R1090" s="83">
        <f ca="1">IF(MOD(COUNTIF($Q$11:Q1089,Q1089),5)=0,10000*SUBSTITUTE(SUBSTITUTE(OFFSET(装备属性!$F$1083,1+INT(COUNTA($Q$11:Q1089)/5),0),"[",""),"]","")+_xlfn.XLOOKUP(C1090,$M$3:$M$7,$N$3:$N$7)*100,R1089)</f>
        <v>40600</v>
      </c>
    </row>
    <row r="1091" customHeight="1" spans="1:18">
      <c r="A1091" s="78" t="str">
        <f ca="1" t="shared" si="48"/>
        <v/>
      </c>
      <c r="B1091" s="82" t="str">
        <f ca="1">IFERROR(R1091+COUNTIFS($R$11:$R1091,R1091),"")</f>
        <v/>
      </c>
      <c r="C1091" s="83">
        <f ca="1">IF(MOD(COUNTIF($Q$11:Q1090,Q1090),5)=0,OFFSET(装备属性!$D$1083,1+INT(COUNTA($Q$11:Q1090)/5),0),C1090)</f>
        <v>0</v>
      </c>
      <c r="D1091" s="82">
        <f t="shared" si="50"/>
        <v>3000</v>
      </c>
      <c r="F1091" s="82" t="str">
        <f ca="1" t="shared" si="49"/>
        <v/>
      </c>
      <c r="G1091" s="78" t="str">
        <f ca="1">IF(AND(LEFT("[{"&amp;M1091&amp;","&amp;CEILING(N1091*10000+(O1091-N1091)/4*(COUNTIF($F$11:F1091,F1091)-1)*10000,10)&amp;"}]",7)="[{equip",MID("[{"&amp;M1091&amp;","&amp;CEILING(N1091*10000+(O1091-N1091)/4*(COUNTIF($F$11:F1091,F1091)-1)*10000,10)&amp;"}]",8,1)&lt;&gt;"_"),"[{"&amp;M1091&amp;","&amp;1&amp;"}]","[{"&amp;M1091&amp;","&amp;CEILING(N1091*10000+(O1091-N1091)/4*(COUNTIF($F$11:F1091,F1091)-1)*10000,10)&amp;"}]")</f>
        <v>[{global_dmg_rate,16330}]</v>
      </c>
      <c r="H1091" s="82" t="s">
        <v>563</v>
      </c>
      <c r="J1091" s="78">
        <f ca="1">IF(MOD(COUNTIF($Q$11:Q1090,Q1090),5)=0,OFFSET(装备属性!$P$1083,1+INT(COUNTA($Q$11:Q1090)/5),0),J1090)</f>
        <v>2</v>
      </c>
      <c r="K1091" s="83" t="str">
        <f ca="1">IF(RIGHT(G1091,13)="rune_slot,1}]",_xlfn.XLOOKUP(LEFT(SUBSTITUTE(G1091,"[{",""),FIND(",",SUBSTITUTE(G1091,"[{",""))-1),Sheet2!B:B,Sheet2!C:C)&amp;"+"&amp;1,_xlfn.XLOOKUP(LEFT(SUBSTITUTE(G1091,"[{",""),FIND(",",SUBSTITUTE(G1091,"[{",""))-1),Sheet2!B:B,Sheet2!C:C)&amp;"+"&amp;SUBSTITUTE(RIGHT(G1091,LEN(G1091)-FIND(",",G1091)),"}]","")/100&amp;"%")</f>
        <v>伤害加成+163.3%</v>
      </c>
      <c r="L1091" s="83" t="str">
        <f ca="1">IF(MOD(COUNTIF($Q$11:Q1090,Q1090),5)=0,OFFSET(装备属性!$G$1083,1+INT(COUNTA($Q$11:Q1090)/5),0),L1090)</f>
        <v>全职小队Ⅳ</v>
      </c>
      <c r="M1091" s="89" t="str">
        <f ca="1">IF(MOD(COUNTIF($Q$11:Q1090,Q1090),5)=0,OFFSET(装备属性!$H$1083,1+INT(COUNTA($Q$11:Q1090)/5),0),M1090)</f>
        <v>global_dmg_rate</v>
      </c>
      <c r="N1091" s="76">
        <f ca="1">IF(MOD(COUNTIF($Q$11:Q1090,Q1090),5)=0,OFFSET(装备属性!$K$1083,1+INT(COUNTA($Q$11:Q1090)/5),0),N1090)</f>
        <v>0.058</v>
      </c>
      <c r="O1091" s="76">
        <f ca="1">IF(MOD(COUNTIF($Q$11:Q1090,Q1090),5)=0,OFFSET(装备属性!$L$1083,1+INT(COUNTA($Q$11:Q1090)/5),0),O1090)</f>
        <v>0.072</v>
      </c>
      <c r="Q1091" s="89" t="str">
        <f ca="1">IF(MOD(COUNTIF($Q$11:Q1090,Q1090),5)=0,OFFSET(装备属性!$M$1083,1+INT(COUNTA($Q$11:Q1090)/5),0),Q1090)</f>
        <v>通用属性</v>
      </c>
      <c r="R1091" s="83" t="e">
        <f ca="1">IF(MOD(COUNTIF($Q$11:Q1090,Q1090),5)=0,10000*SUBSTITUTE(SUBSTITUTE(OFFSET(装备属性!$F$1083,1+INT(COUNTA($Q$11:Q1090)/5),0),"[",""),"]","")+_xlfn.XLOOKUP(C1091,$M$3:$M$7,$N$3:$N$7)*100,R1090)</f>
        <v>#N/A</v>
      </c>
    </row>
    <row r="1092" customHeight="1" spans="1:18">
      <c r="A1092" s="78" t="str">
        <f ca="1" t="shared" si="48"/>
        <v/>
      </c>
      <c r="B1092" s="82" t="str">
        <f ca="1">IFERROR(R1092+COUNTIFS($R$11:$R1092,R1092),"")</f>
        <v/>
      </c>
      <c r="C1092" s="83">
        <f ca="1">IF(MOD(COUNTIF($Q$11:Q1091,Q1091),5)=0,OFFSET(装备属性!$D$1083,1+INT(COUNTA($Q$11:Q1091)/5),0),C1091)</f>
        <v>0</v>
      </c>
      <c r="D1092" s="82">
        <f t="shared" si="50"/>
        <v>2500</v>
      </c>
      <c r="F1092" s="82" t="str">
        <f ca="1" t="shared" si="49"/>
        <v/>
      </c>
      <c r="G1092" s="78" t="str">
        <f ca="1">IF(AND(LEFT("[{"&amp;M1092&amp;","&amp;CEILING(N1092*10000+(O1092-N1092)/4*(COUNTIF($F$11:F1092,F1092)-1)*10000,10)&amp;"}]",7)="[{equip",MID("[{"&amp;M1092&amp;","&amp;CEILING(N1092*10000+(O1092-N1092)/4*(COUNTIF($F$11:F1092,F1092)-1)*10000,10)&amp;"}]",8,1)&lt;&gt;"_"),"[{"&amp;M1092&amp;","&amp;1&amp;"}]","[{"&amp;M1092&amp;","&amp;CEILING(N1092*10000+(O1092-N1092)/4*(COUNTIF($F$11:F1092,F1092)-1)*10000,10)&amp;"}]")</f>
        <v>[{global_dmg_rate,16370}]</v>
      </c>
      <c r="H1092" s="82" t="s">
        <v>563</v>
      </c>
      <c r="J1092" s="78">
        <f ca="1">IF(MOD(COUNTIF($Q$11:Q1091,Q1091),5)=0,OFFSET(装备属性!$P$1083,1+INT(COUNTA($Q$11:Q1091)/5),0),J1091)</f>
        <v>2</v>
      </c>
      <c r="K1092" s="83" t="str">
        <f ca="1">IF(RIGHT(G1092,13)="rune_slot,1}]",_xlfn.XLOOKUP(LEFT(SUBSTITUTE(G1092,"[{",""),FIND(",",SUBSTITUTE(G1092,"[{",""))-1),Sheet2!B:B,Sheet2!C:C)&amp;"+"&amp;1,_xlfn.XLOOKUP(LEFT(SUBSTITUTE(G1092,"[{",""),FIND(",",SUBSTITUTE(G1092,"[{",""))-1),Sheet2!B:B,Sheet2!C:C)&amp;"+"&amp;SUBSTITUTE(RIGHT(G1092,LEN(G1092)-FIND(",",G1092)),"}]","")/100&amp;"%")</f>
        <v>伤害加成+163.7%</v>
      </c>
      <c r="L1092" s="83" t="str">
        <f ca="1">IF(MOD(COUNTIF($Q$11:Q1091,Q1091),5)=0,OFFSET(装备属性!$G$1083,1+INT(COUNTA($Q$11:Q1091)/5),0),L1091)</f>
        <v>全职小队Ⅳ</v>
      </c>
      <c r="M1092" s="89" t="str">
        <f ca="1">IF(MOD(COUNTIF($Q$11:Q1091,Q1091),5)=0,OFFSET(装备属性!$H$1083,1+INT(COUNTA($Q$11:Q1091)/5),0),M1091)</f>
        <v>global_dmg_rate</v>
      </c>
      <c r="N1092" s="76">
        <f ca="1">IF(MOD(COUNTIF($Q$11:Q1091,Q1091),5)=0,OFFSET(装备属性!$K$1083,1+INT(COUNTA($Q$11:Q1091)/5),0),N1091)</f>
        <v>0.058</v>
      </c>
      <c r="O1092" s="76">
        <f ca="1">IF(MOD(COUNTIF($Q$11:Q1091,Q1091),5)=0,OFFSET(装备属性!$L$1083,1+INT(COUNTA($Q$11:Q1091)/5),0),O1091)</f>
        <v>0.072</v>
      </c>
      <c r="Q1092" s="89" t="str">
        <f ca="1">IF(MOD(COUNTIF($Q$11:Q1091,Q1091),5)=0,OFFSET(装备属性!$M$1083,1+INT(COUNTA($Q$11:Q1091)/5),0),Q1091)</f>
        <v>通用属性</v>
      </c>
      <c r="R1092" s="83" t="e">
        <f ca="1">IF(MOD(COUNTIF($Q$11:Q1091,Q1091),5)=0,10000*SUBSTITUTE(SUBSTITUTE(OFFSET(装备属性!$F$1083,1+INT(COUNTA($Q$11:Q1091)/5),0),"[",""),"]","")+_xlfn.XLOOKUP(C1092,$M$3:$M$7,$N$3:$N$7)*100,R1091)</f>
        <v>#N/A</v>
      </c>
    </row>
    <row r="1093" customHeight="1" spans="1:18">
      <c r="A1093" s="78" t="str">
        <f ca="1" t="shared" si="48"/>
        <v/>
      </c>
      <c r="B1093" s="82" t="str">
        <f ca="1">IFERROR(R1093+COUNTIFS($R$11:$R1093,R1093),"")</f>
        <v/>
      </c>
      <c r="C1093" s="83">
        <f ca="1">IF(MOD(COUNTIF($Q$11:Q1092,Q1092),5)=0,OFFSET(装备属性!$D$1083,1+INT(COUNTA($Q$11:Q1092)/5),0),C1092)</f>
        <v>0</v>
      </c>
      <c r="D1093" s="82">
        <f t="shared" si="50"/>
        <v>2000</v>
      </c>
      <c r="F1093" s="82" t="str">
        <f ca="1" t="shared" si="49"/>
        <v/>
      </c>
      <c r="G1093" s="78" t="str">
        <f ca="1">IF(AND(LEFT("[{"&amp;M1093&amp;","&amp;CEILING(N1093*10000+(O1093-N1093)/4*(COUNTIF($F$11:F1093,F1093)-1)*10000,10)&amp;"}]",7)="[{equip",MID("[{"&amp;M1093&amp;","&amp;CEILING(N1093*10000+(O1093-N1093)/4*(COUNTIF($F$11:F1093,F1093)-1)*10000,10)&amp;"}]",8,1)&lt;&gt;"_"),"[{"&amp;M1093&amp;","&amp;1&amp;"}]","[{"&amp;M1093&amp;","&amp;CEILING(N1093*10000+(O1093-N1093)/4*(COUNTIF($F$11:F1093,F1093)-1)*10000,10)&amp;"}]")</f>
        <v>[{global_dmg_rate,16400}]</v>
      </c>
      <c r="H1093" s="82" t="s">
        <v>563</v>
      </c>
      <c r="J1093" s="78">
        <f ca="1">IF(MOD(COUNTIF($Q$11:Q1092,Q1092),5)=0,OFFSET(装备属性!$P$1083,1+INT(COUNTA($Q$11:Q1092)/5),0),J1092)</f>
        <v>2</v>
      </c>
      <c r="K1093" s="83" t="str">
        <f ca="1">IF(RIGHT(G1093,13)="rune_slot,1}]",_xlfn.XLOOKUP(LEFT(SUBSTITUTE(G1093,"[{",""),FIND(",",SUBSTITUTE(G1093,"[{",""))-1),Sheet2!B:B,Sheet2!C:C)&amp;"+"&amp;1,_xlfn.XLOOKUP(LEFT(SUBSTITUTE(G1093,"[{",""),FIND(",",SUBSTITUTE(G1093,"[{",""))-1),Sheet2!B:B,Sheet2!C:C)&amp;"+"&amp;SUBSTITUTE(RIGHT(G1093,LEN(G1093)-FIND(",",G1093)),"}]","")/100&amp;"%")</f>
        <v>伤害加成+164%</v>
      </c>
      <c r="L1093" s="83" t="str">
        <f ca="1">IF(MOD(COUNTIF($Q$11:Q1092,Q1092),5)=0,OFFSET(装备属性!$G$1083,1+INT(COUNTA($Q$11:Q1092)/5),0),L1092)</f>
        <v>全职小队Ⅳ</v>
      </c>
      <c r="M1093" s="89" t="str">
        <f ca="1">IF(MOD(COUNTIF($Q$11:Q1092,Q1092),5)=0,OFFSET(装备属性!$H$1083,1+INT(COUNTA($Q$11:Q1092)/5),0),M1092)</f>
        <v>global_dmg_rate</v>
      </c>
      <c r="N1093" s="76">
        <f ca="1">IF(MOD(COUNTIF($Q$11:Q1092,Q1092),5)=0,OFFSET(装备属性!$K$1083,1+INT(COUNTA($Q$11:Q1092)/5),0),N1092)</f>
        <v>0.058</v>
      </c>
      <c r="O1093" s="76">
        <f ca="1">IF(MOD(COUNTIF($Q$11:Q1092,Q1092),5)=0,OFFSET(装备属性!$L$1083,1+INT(COUNTA($Q$11:Q1092)/5),0),O1092)</f>
        <v>0.072</v>
      </c>
      <c r="Q1093" s="89" t="str">
        <f ca="1">IF(MOD(COUNTIF($Q$11:Q1092,Q1092),5)=0,OFFSET(装备属性!$M$1083,1+INT(COUNTA($Q$11:Q1092)/5),0),Q1092)</f>
        <v>通用属性</v>
      </c>
      <c r="R1093" s="83" t="e">
        <f ca="1">IF(MOD(COUNTIF($Q$11:Q1092,Q1092),5)=0,10000*SUBSTITUTE(SUBSTITUTE(OFFSET(装备属性!$F$1083,1+INT(COUNTA($Q$11:Q1092)/5),0),"[",""),"]","")+_xlfn.XLOOKUP(C1093,$M$3:$M$7,$N$3:$N$7)*100,R1092)</f>
        <v>#N/A</v>
      </c>
    </row>
    <row r="1094" customHeight="1" spans="1:18">
      <c r="A1094" s="78" t="str">
        <f ca="1" t="shared" si="48"/>
        <v/>
      </c>
      <c r="B1094" s="82" t="str">
        <f ca="1">IFERROR(R1094+COUNTIFS($R$11:$R1094,R1094),"")</f>
        <v/>
      </c>
      <c r="C1094" s="83">
        <f ca="1">IF(MOD(COUNTIF($Q$11:Q1093,Q1093),5)=0,OFFSET(装备属性!$D$1083,1+INT(COUNTA($Q$11:Q1093)/5),0),C1093)</f>
        <v>0</v>
      </c>
      <c r="D1094" s="82">
        <f t="shared" si="50"/>
        <v>1500</v>
      </c>
      <c r="F1094" s="82" t="str">
        <f ca="1" t="shared" si="49"/>
        <v/>
      </c>
      <c r="G1094" s="78" t="str">
        <f ca="1">IF(AND(LEFT("[{"&amp;M1094&amp;","&amp;CEILING(N1094*10000+(O1094-N1094)/4*(COUNTIF($F$11:F1094,F1094)-1)*10000,10)&amp;"}]",7)="[{equip",MID("[{"&amp;M1094&amp;","&amp;CEILING(N1094*10000+(O1094-N1094)/4*(COUNTIF($F$11:F1094,F1094)-1)*10000,10)&amp;"}]",8,1)&lt;&gt;"_"),"[{"&amp;M1094&amp;","&amp;1&amp;"}]","[{"&amp;M1094&amp;","&amp;CEILING(N1094*10000+(O1094-N1094)/4*(COUNTIF($F$11:F1094,F1094)-1)*10000,10)&amp;"}]")</f>
        <v>[{global_dmg_rate,16440}]</v>
      </c>
      <c r="H1094" s="82" t="s">
        <v>563</v>
      </c>
      <c r="J1094" s="78">
        <f ca="1">IF(MOD(COUNTIF($Q$11:Q1093,Q1093),5)=0,OFFSET(装备属性!$P$1083,1+INT(COUNTA($Q$11:Q1093)/5),0),J1093)</f>
        <v>2</v>
      </c>
      <c r="K1094" s="83" t="str">
        <f ca="1">IF(RIGHT(G1094,13)="rune_slot,1}]",_xlfn.XLOOKUP(LEFT(SUBSTITUTE(G1094,"[{",""),FIND(",",SUBSTITUTE(G1094,"[{",""))-1),Sheet2!B:B,Sheet2!C:C)&amp;"+"&amp;1,_xlfn.XLOOKUP(LEFT(SUBSTITUTE(G1094,"[{",""),FIND(",",SUBSTITUTE(G1094,"[{",""))-1),Sheet2!B:B,Sheet2!C:C)&amp;"+"&amp;SUBSTITUTE(RIGHT(G1094,LEN(G1094)-FIND(",",G1094)),"}]","")/100&amp;"%")</f>
        <v>伤害加成+164.4%</v>
      </c>
      <c r="L1094" s="83" t="str">
        <f ca="1">IF(MOD(COUNTIF($Q$11:Q1093,Q1093),5)=0,OFFSET(装备属性!$G$1083,1+INT(COUNTA($Q$11:Q1093)/5),0),L1093)</f>
        <v>全职小队Ⅳ</v>
      </c>
      <c r="M1094" s="89" t="str">
        <f ca="1">IF(MOD(COUNTIF($Q$11:Q1093,Q1093),5)=0,OFFSET(装备属性!$H$1083,1+INT(COUNTA($Q$11:Q1093)/5),0),M1093)</f>
        <v>global_dmg_rate</v>
      </c>
      <c r="N1094" s="76">
        <f ca="1">IF(MOD(COUNTIF($Q$11:Q1093,Q1093),5)=0,OFFSET(装备属性!$K$1083,1+INT(COUNTA($Q$11:Q1093)/5),0),N1093)</f>
        <v>0.058</v>
      </c>
      <c r="O1094" s="76">
        <f ca="1">IF(MOD(COUNTIF($Q$11:Q1093,Q1093),5)=0,OFFSET(装备属性!$L$1083,1+INT(COUNTA($Q$11:Q1093)/5),0),O1093)</f>
        <v>0.072</v>
      </c>
      <c r="Q1094" s="89" t="str">
        <f ca="1">IF(MOD(COUNTIF($Q$11:Q1093,Q1093),5)=0,OFFSET(装备属性!$M$1083,1+INT(COUNTA($Q$11:Q1093)/5),0),Q1093)</f>
        <v>通用属性</v>
      </c>
      <c r="R1094" s="83" t="e">
        <f ca="1">IF(MOD(COUNTIF($Q$11:Q1093,Q1093),5)=0,10000*SUBSTITUTE(SUBSTITUTE(OFFSET(装备属性!$F$1083,1+INT(COUNTA($Q$11:Q1093)/5),0),"[",""),"]","")+_xlfn.XLOOKUP(C1094,$M$3:$M$7,$N$3:$N$7)*100,R1093)</f>
        <v>#N/A</v>
      </c>
    </row>
    <row r="1095" customHeight="1" spans="1:18">
      <c r="A1095" s="78" t="str">
        <f ca="1" t="shared" si="48"/>
        <v/>
      </c>
      <c r="B1095" s="82" t="str">
        <f ca="1">IFERROR(R1095+COUNTIFS($R$11:$R1095,R1095),"")</f>
        <v/>
      </c>
      <c r="C1095" s="83">
        <f ca="1">IF(MOD(COUNTIF($Q$11:Q1094,Q1094),5)=0,OFFSET(装备属性!$D$1083,1+INT(COUNTA($Q$11:Q1094)/5),0),C1094)</f>
        <v>0</v>
      </c>
      <c r="D1095" s="82">
        <f t="shared" si="50"/>
        <v>1000</v>
      </c>
      <c r="F1095" s="82" t="str">
        <f ca="1" t="shared" si="49"/>
        <v/>
      </c>
      <c r="G1095" s="78" t="str">
        <f ca="1">IF(AND(LEFT("[{"&amp;M1095&amp;","&amp;CEILING(N1095*10000+(O1095-N1095)/4*(COUNTIF($F$11:F1095,F1095)-1)*10000,10)&amp;"}]",7)="[{equip",MID("[{"&amp;M1095&amp;","&amp;CEILING(N1095*10000+(O1095-N1095)/4*(COUNTIF($F$11:F1095,F1095)-1)*10000,10)&amp;"}]",8,1)&lt;&gt;"_"),"[{"&amp;M1095&amp;","&amp;1&amp;"}]","[{"&amp;M1095&amp;","&amp;CEILING(N1095*10000+(O1095-N1095)/4*(COUNTIF($F$11:F1095,F1095)-1)*10000,10)&amp;"}]")</f>
        <v>[{global_dmg_rate,16470}]</v>
      </c>
      <c r="H1095" s="82" t="s">
        <v>563</v>
      </c>
      <c r="J1095" s="78">
        <f ca="1">IF(MOD(COUNTIF($Q$11:Q1094,Q1094),5)=0,OFFSET(装备属性!$P$1083,1+INT(COUNTA($Q$11:Q1094)/5),0),J1094)</f>
        <v>2</v>
      </c>
      <c r="K1095" s="83" t="str">
        <f ca="1">IF(RIGHT(G1095,13)="rune_slot,1}]",_xlfn.XLOOKUP(LEFT(SUBSTITUTE(G1095,"[{",""),FIND(",",SUBSTITUTE(G1095,"[{",""))-1),Sheet2!B:B,Sheet2!C:C)&amp;"+"&amp;1,_xlfn.XLOOKUP(LEFT(SUBSTITUTE(G1095,"[{",""),FIND(",",SUBSTITUTE(G1095,"[{",""))-1),Sheet2!B:B,Sheet2!C:C)&amp;"+"&amp;SUBSTITUTE(RIGHT(G1095,LEN(G1095)-FIND(",",G1095)),"}]","")/100&amp;"%")</f>
        <v>伤害加成+164.7%</v>
      </c>
      <c r="L1095" s="83" t="str">
        <f ca="1">IF(MOD(COUNTIF($Q$11:Q1094,Q1094),5)=0,OFFSET(装备属性!$G$1083,1+INT(COUNTA($Q$11:Q1094)/5),0),L1094)</f>
        <v>全职小队Ⅳ</v>
      </c>
      <c r="M1095" s="89" t="str">
        <f ca="1">IF(MOD(COUNTIF($Q$11:Q1094,Q1094),5)=0,OFFSET(装备属性!$H$1083,1+INT(COUNTA($Q$11:Q1094)/5),0),M1094)</f>
        <v>global_dmg_rate</v>
      </c>
      <c r="N1095" s="76">
        <f ca="1">IF(MOD(COUNTIF($Q$11:Q1094,Q1094),5)=0,OFFSET(装备属性!$K$1083,1+INT(COUNTA($Q$11:Q1094)/5),0),N1094)</f>
        <v>0.058</v>
      </c>
      <c r="O1095" s="76">
        <f ca="1">IF(MOD(COUNTIF($Q$11:Q1094,Q1094),5)=0,OFFSET(装备属性!$L$1083,1+INT(COUNTA($Q$11:Q1094)/5),0),O1094)</f>
        <v>0.072</v>
      </c>
      <c r="Q1095" s="89" t="str">
        <f ca="1">IF(MOD(COUNTIF($Q$11:Q1094,Q1094),5)=0,OFFSET(装备属性!$M$1083,1+INT(COUNTA($Q$11:Q1094)/5),0),Q1094)</f>
        <v>通用属性</v>
      </c>
      <c r="R1095" s="83" t="e">
        <f ca="1">IF(MOD(COUNTIF($Q$11:Q1094,Q1094),5)=0,10000*SUBSTITUTE(SUBSTITUTE(OFFSET(装备属性!$F$1083,1+INT(COUNTA($Q$11:Q1094)/5),0),"[",""),"]","")+_xlfn.XLOOKUP(C1095,$M$3:$M$7,$N$3:$N$7)*100,R1094)</f>
        <v>#N/A</v>
      </c>
    </row>
    <row r="1096" customHeight="1" spans="1:18">
      <c r="A1096" s="78">
        <f ca="1" t="shared" si="48"/>
        <v>40701</v>
      </c>
      <c r="B1096" s="82">
        <f ca="1">IFERROR(R1096+COUNTIFS($R$11:$R1096,R1096),"")</f>
        <v>40701</v>
      </c>
      <c r="C1096" s="83" t="str">
        <f ca="1">IF(MOD(COUNTIF($Q$11:Q1095,Q1095),5)=0,OFFSET(装备属性!$D$1083,1+INT(COUNTA($Q$11:Q1095)/5),0),C1095)</f>
        <v>粉</v>
      </c>
      <c r="D1096" s="82">
        <f t="shared" si="50"/>
        <v>3000</v>
      </c>
      <c r="F1096" s="82">
        <f ca="1" t="shared" si="49"/>
        <v>40700</v>
      </c>
      <c r="G1096" s="78" t="str">
        <f ca="1">IF(AND(LEFT("[{"&amp;M1096&amp;","&amp;CEILING(N1096*10000+(O1096-N1096)/4*(COUNTIF($F$11:F1096,F1096)-1)*10000,10)&amp;"}]",7)="[{equip",MID("[{"&amp;M1096&amp;","&amp;CEILING(N1096*10000+(O1096-N1096)/4*(COUNTIF($F$11:F1096,F1096)-1)*10000,10)&amp;"}]",8,1)&lt;&gt;"_"),"[{"&amp;M1096&amp;","&amp;1&amp;"}]","[{"&amp;M1096&amp;","&amp;CEILING(N1096*10000+(O1096-N1096)/4*(COUNTIF($F$11:F1096,F1096)-1)*10000,10)&amp;"}]")</f>
        <v>[{dmg_red_rate,250}]</v>
      </c>
      <c r="H1096" s="82" t="s">
        <v>563</v>
      </c>
      <c r="J1096" s="78">
        <f ca="1">IF(MOD(COUNTIF($Q$11:Q1095,Q1095),5)=0,OFFSET(装备属性!$P$1083,1+INT(COUNTA($Q$11:Q1095)/5),0),J1095)</f>
        <v>6</v>
      </c>
      <c r="K1096" s="83" t="str">
        <f ca="1">IF(RIGHT(G1096,13)="rune_slot,1}]",_xlfn.XLOOKUP(LEFT(SUBSTITUTE(G1096,"[{",""),FIND(",",SUBSTITUTE(G1096,"[{",""))-1),Sheet2!B:B,Sheet2!C:C)&amp;"+"&amp;1,_xlfn.XLOOKUP(LEFT(SUBSTITUTE(G1096,"[{",""),FIND(",",SUBSTITUTE(G1096,"[{",""))-1),Sheet2!B:B,Sheet2!C:C)&amp;"+"&amp;SUBSTITUTE(RIGHT(G1096,LEN(G1096)-FIND(",",G1096)),"}]","")/100&amp;"%")</f>
        <v>伤害减免+2.5%</v>
      </c>
      <c r="L1096" s="83" t="str">
        <f ca="1">IF(MOD(COUNTIF($Q$11:Q1095,Q1095),5)=0,OFFSET(装备属性!$G$1083,1+INT(COUNTA($Q$11:Q1095)/5),0),L1095)</f>
        <v>全员抗揍Ⅳ</v>
      </c>
      <c r="M1096" s="89" t="str">
        <f ca="1">IF(MOD(COUNTIF($Q$11:Q1095,Q1095),5)=0,OFFSET(装备属性!$H$1083,1+INT(COUNTA($Q$11:Q1095)/5),0),M1095)</f>
        <v>dmg_red_rate</v>
      </c>
      <c r="N1096" s="76">
        <f ca="1">IF(MOD(COUNTIF($Q$11:Q1095,Q1095),5)=0,OFFSET(装备属性!$K$1083,1+INT(COUNTA($Q$11:Q1095)/5),0),N1095)</f>
        <v>0.025</v>
      </c>
      <c r="O1096" s="76">
        <f ca="1">IF(MOD(COUNTIF($Q$11:Q1095,Q1095),5)=0,OFFSET(装备属性!$L$1083,1+INT(COUNTA($Q$11:Q1095)/5),0),O1095)</f>
        <v>0.029</v>
      </c>
      <c r="Q1096" s="89" t="str">
        <f ca="1">IF(MOD(COUNTIF($Q$11:Q1095,Q1095),5)=0,OFFSET(装备属性!$M$1083,1+INT(COUNTA($Q$11:Q1095)/5),0),Q1095)</f>
        <v>通用属性</v>
      </c>
      <c r="R1096" s="83">
        <f ca="1">IF(MOD(COUNTIF($Q$11:Q1095,Q1095),5)=0,10000*SUBSTITUTE(SUBSTITUTE(OFFSET(装备属性!$F$1083,1+INT(COUNTA($Q$11:Q1095)/5),0),"[",""),"]","")+_xlfn.XLOOKUP(C1096,$M$3:$M$7,$N$3:$N$7)*100,R1095)</f>
        <v>40700</v>
      </c>
    </row>
    <row r="1097" customHeight="1" spans="1:18">
      <c r="A1097" s="78">
        <f ca="1" t="shared" si="48"/>
        <v>40701</v>
      </c>
      <c r="B1097" s="82">
        <f ca="1">IFERROR(R1097+COUNTIFS($R$11:$R1097,R1097),"")</f>
        <v>40702</v>
      </c>
      <c r="C1097" s="83" t="str">
        <f ca="1">IF(MOD(COUNTIF($Q$11:Q1096,Q1096),5)=0,OFFSET(装备属性!$D$1083,1+INT(COUNTA($Q$11:Q1096)/5),0),C1096)</f>
        <v>粉</v>
      </c>
      <c r="D1097" s="82">
        <f t="shared" si="50"/>
        <v>2500</v>
      </c>
      <c r="F1097" s="82">
        <f ca="1" t="shared" si="49"/>
        <v>40700</v>
      </c>
      <c r="G1097" s="78" t="str">
        <f ca="1">IF(AND(LEFT("[{"&amp;M1097&amp;","&amp;CEILING(N1097*10000+(O1097-N1097)/4*(COUNTIF($F$11:F1097,F1097)-1)*10000,10)&amp;"}]",7)="[{equip",MID("[{"&amp;M1097&amp;","&amp;CEILING(N1097*10000+(O1097-N1097)/4*(COUNTIF($F$11:F1097,F1097)-1)*10000,10)&amp;"}]",8,1)&lt;&gt;"_"),"[{"&amp;M1097&amp;","&amp;1&amp;"}]","[{"&amp;M1097&amp;","&amp;CEILING(N1097*10000+(O1097-N1097)/4*(COUNTIF($F$11:F1097,F1097)-1)*10000,10)&amp;"}]")</f>
        <v>[{dmg_red_rate,260}]</v>
      </c>
      <c r="H1097" s="82" t="s">
        <v>563</v>
      </c>
      <c r="J1097" s="78">
        <f ca="1">IF(MOD(COUNTIF($Q$11:Q1096,Q1096),5)=0,OFFSET(装备属性!$P$1083,1+INT(COUNTA($Q$11:Q1096)/5),0),J1096)</f>
        <v>6</v>
      </c>
      <c r="K1097" s="83" t="str">
        <f ca="1">IF(RIGHT(G1097,13)="rune_slot,1}]",_xlfn.XLOOKUP(LEFT(SUBSTITUTE(G1097,"[{",""),FIND(",",SUBSTITUTE(G1097,"[{",""))-1),Sheet2!B:B,Sheet2!C:C)&amp;"+"&amp;1,_xlfn.XLOOKUP(LEFT(SUBSTITUTE(G1097,"[{",""),FIND(",",SUBSTITUTE(G1097,"[{",""))-1),Sheet2!B:B,Sheet2!C:C)&amp;"+"&amp;SUBSTITUTE(RIGHT(G1097,LEN(G1097)-FIND(",",G1097)),"}]","")/100&amp;"%")</f>
        <v>伤害减免+2.6%</v>
      </c>
      <c r="L1097" s="83" t="str">
        <f ca="1">IF(MOD(COUNTIF($Q$11:Q1096,Q1096),5)=0,OFFSET(装备属性!$G$1083,1+INT(COUNTA($Q$11:Q1096)/5),0),L1096)</f>
        <v>全员抗揍Ⅳ</v>
      </c>
      <c r="M1097" s="89" t="str">
        <f ca="1">IF(MOD(COUNTIF($Q$11:Q1096,Q1096),5)=0,OFFSET(装备属性!$H$1083,1+INT(COUNTA($Q$11:Q1096)/5),0),M1096)</f>
        <v>dmg_red_rate</v>
      </c>
      <c r="N1097" s="76">
        <f ca="1">IF(MOD(COUNTIF($Q$11:Q1096,Q1096),5)=0,OFFSET(装备属性!$K$1083,1+INT(COUNTA($Q$11:Q1096)/5),0),N1096)</f>
        <v>0.025</v>
      </c>
      <c r="O1097" s="76">
        <f ca="1">IF(MOD(COUNTIF($Q$11:Q1096,Q1096),5)=0,OFFSET(装备属性!$L$1083,1+INT(COUNTA($Q$11:Q1096)/5),0),O1096)</f>
        <v>0.029</v>
      </c>
      <c r="Q1097" s="89" t="str">
        <f ca="1">IF(MOD(COUNTIF($Q$11:Q1096,Q1096),5)=0,OFFSET(装备属性!$M$1083,1+INT(COUNTA($Q$11:Q1096)/5),0),Q1096)</f>
        <v>通用属性</v>
      </c>
      <c r="R1097" s="83">
        <f ca="1">IF(MOD(COUNTIF($Q$11:Q1096,Q1096),5)=0,10000*SUBSTITUTE(SUBSTITUTE(OFFSET(装备属性!$F$1083,1+INT(COUNTA($Q$11:Q1096)/5),0),"[",""),"]","")+_xlfn.XLOOKUP(C1097,$M$3:$M$7,$N$3:$N$7)*100,R1096)</f>
        <v>40700</v>
      </c>
    </row>
    <row r="1098" customHeight="1" spans="1:18">
      <c r="A1098" s="78">
        <f ca="1" t="shared" si="48"/>
        <v>40701</v>
      </c>
      <c r="B1098" s="82">
        <f ca="1">IFERROR(R1098+COUNTIFS($R$11:$R1098,R1098),"")</f>
        <v>40703</v>
      </c>
      <c r="C1098" s="83" t="str">
        <f ca="1">IF(MOD(COUNTIF($Q$11:Q1097,Q1097),5)=0,OFFSET(装备属性!$D$1083,1+INT(COUNTA($Q$11:Q1097)/5),0),C1097)</f>
        <v>粉</v>
      </c>
      <c r="D1098" s="82">
        <f t="shared" si="50"/>
        <v>2000</v>
      </c>
      <c r="F1098" s="82">
        <f ca="1" t="shared" si="49"/>
        <v>40700</v>
      </c>
      <c r="G1098" s="78" t="str">
        <f ca="1">IF(AND(LEFT("[{"&amp;M1098&amp;","&amp;CEILING(N1098*10000+(O1098-N1098)/4*(COUNTIF($F$11:F1098,F1098)-1)*10000,10)&amp;"}]",7)="[{equip",MID("[{"&amp;M1098&amp;","&amp;CEILING(N1098*10000+(O1098-N1098)/4*(COUNTIF($F$11:F1098,F1098)-1)*10000,10)&amp;"}]",8,1)&lt;&gt;"_"),"[{"&amp;M1098&amp;","&amp;1&amp;"}]","[{"&amp;M1098&amp;","&amp;CEILING(N1098*10000+(O1098-N1098)/4*(COUNTIF($F$11:F1098,F1098)-1)*10000,10)&amp;"}]")</f>
        <v>[{dmg_red_rate,270}]</v>
      </c>
      <c r="H1098" s="82" t="s">
        <v>563</v>
      </c>
      <c r="J1098" s="78">
        <f ca="1">IF(MOD(COUNTIF($Q$11:Q1097,Q1097),5)=0,OFFSET(装备属性!$P$1083,1+INT(COUNTA($Q$11:Q1097)/5),0),J1097)</f>
        <v>6</v>
      </c>
      <c r="K1098" s="83" t="str">
        <f ca="1">IF(RIGHT(G1098,13)="rune_slot,1}]",_xlfn.XLOOKUP(LEFT(SUBSTITUTE(G1098,"[{",""),FIND(",",SUBSTITUTE(G1098,"[{",""))-1),Sheet2!B:B,Sheet2!C:C)&amp;"+"&amp;1,_xlfn.XLOOKUP(LEFT(SUBSTITUTE(G1098,"[{",""),FIND(",",SUBSTITUTE(G1098,"[{",""))-1),Sheet2!B:B,Sheet2!C:C)&amp;"+"&amp;SUBSTITUTE(RIGHT(G1098,LEN(G1098)-FIND(",",G1098)),"}]","")/100&amp;"%")</f>
        <v>伤害减免+2.7%</v>
      </c>
      <c r="L1098" s="83" t="str">
        <f ca="1">IF(MOD(COUNTIF($Q$11:Q1097,Q1097),5)=0,OFFSET(装备属性!$G$1083,1+INT(COUNTA($Q$11:Q1097)/5),0),L1097)</f>
        <v>全员抗揍Ⅳ</v>
      </c>
      <c r="M1098" s="89" t="str">
        <f ca="1">IF(MOD(COUNTIF($Q$11:Q1097,Q1097),5)=0,OFFSET(装备属性!$H$1083,1+INT(COUNTA($Q$11:Q1097)/5),0),M1097)</f>
        <v>dmg_red_rate</v>
      </c>
      <c r="N1098" s="76">
        <f ca="1">IF(MOD(COUNTIF($Q$11:Q1097,Q1097),5)=0,OFFSET(装备属性!$K$1083,1+INT(COUNTA($Q$11:Q1097)/5),0),N1097)</f>
        <v>0.025</v>
      </c>
      <c r="O1098" s="76">
        <f ca="1">IF(MOD(COUNTIF($Q$11:Q1097,Q1097),5)=0,OFFSET(装备属性!$L$1083,1+INT(COUNTA($Q$11:Q1097)/5),0),O1097)</f>
        <v>0.029</v>
      </c>
      <c r="Q1098" s="89" t="str">
        <f ca="1">IF(MOD(COUNTIF($Q$11:Q1097,Q1097),5)=0,OFFSET(装备属性!$M$1083,1+INT(COUNTA($Q$11:Q1097)/5),0),Q1097)</f>
        <v>通用属性</v>
      </c>
      <c r="R1098" s="83">
        <f ca="1">IF(MOD(COUNTIF($Q$11:Q1097,Q1097),5)=0,10000*SUBSTITUTE(SUBSTITUTE(OFFSET(装备属性!$F$1083,1+INT(COUNTA($Q$11:Q1097)/5),0),"[",""),"]","")+_xlfn.XLOOKUP(C1098,$M$3:$M$7,$N$3:$N$7)*100,R1097)</f>
        <v>40700</v>
      </c>
    </row>
    <row r="1099" customHeight="1" spans="1:18">
      <c r="A1099" s="78">
        <f ca="1" t="shared" si="48"/>
        <v>40701</v>
      </c>
      <c r="B1099" s="82">
        <f ca="1">IFERROR(R1099+COUNTIFS($R$11:$R1099,R1099),"")</f>
        <v>40704</v>
      </c>
      <c r="C1099" s="83" t="str">
        <f ca="1">IF(MOD(COUNTIF($Q$11:Q1098,Q1098),5)=0,OFFSET(装备属性!$D$1083,1+INT(COUNTA($Q$11:Q1098)/5),0),C1098)</f>
        <v>粉</v>
      </c>
      <c r="D1099" s="82">
        <f t="shared" si="50"/>
        <v>1500</v>
      </c>
      <c r="F1099" s="82">
        <f ca="1" t="shared" si="49"/>
        <v>40700</v>
      </c>
      <c r="G1099" s="78" t="str">
        <f ca="1">IF(AND(LEFT("[{"&amp;M1099&amp;","&amp;CEILING(N1099*10000+(O1099-N1099)/4*(COUNTIF($F$11:F1099,F1099)-1)*10000,10)&amp;"}]",7)="[{equip",MID("[{"&amp;M1099&amp;","&amp;CEILING(N1099*10000+(O1099-N1099)/4*(COUNTIF($F$11:F1099,F1099)-1)*10000,10)&amp;"}]",8,1)&lt;&gt;"_"),"[{"&amp;M1099&amp;","&amp;1&amp;"}]","[{"&amp;M1099&amp;","&amp;CEILING(N1099*10000+(O1099-N1099)/4*(COUNTIF($F$11:F1099,F1099)-1)*10000,10)&amp;"}]")</f>
        <v>[{dmg_red_rate,280}]</v>
      </c>
      <c r="H1099" s="82" t="s">
        <v>563</v>
      </c>
      <c r="J1099" s="78">
        <f ca="1">IF(MOD(COUNTIF($Q$11:Q1098,Q1098),5)=0,OFFSET(装备属性!$P$1083,1+INT(COUNTA($Q$11:Q1098)/5),0),J1098)</f>
        <v>6</v>
      </c>
      <c r="K1099" s="83" t="str">
        <f ca="1">IF(RIGHT(G1099,13)="rune_slot,1}]",_xlfn.XLOOKUP(LEFT(SUBSTITUTE(G1099,"[{",""),FIND(",",SUBSTITUTE(G1099,"[{",""))-1),Sheet2!B:B,Sheet2!C:C)&amp;"+"&amp;1,_xlfn.XLOOKUP(LEFT(SUBSTITUTE(G1099,"[{",""),FIND(",",SUBSTITUTE(G1099,"[{",""))-1),Sheet2!B:B,Sheet2!C:C)&amp;"+"&amp;SUBSTITUTE(RIGHT(G1099,LEN(G1099)-FIND(",",G1099)),"}]","")/100&amp;"%")</f>
        <v>伤害减免+2.8%</v>
      </c>
      <c r="L1099" s="83" t="str">
        <f ca="1">IF(MOD(COUNTIF($Q$11:Q1098,Q1098),5)=0,OFFSET(装备属性!$G$1083,1+INT(COUNTA($Q$11:Q1098)/5),0),L1098)</f>
        <v>全员抗揍Ⅳ</v>
      </c>
      <c r="M1099" s="89" t="str">
        <f ca="1">IF(MOD(COUNTIF($Q$11:Q1098,Q1098),5)=0,OFFSET(装备属性!$H$1083,1+INT(COUNTA($Q$11:Q1098)/5),0),M1098)</f>
        <v>dmg_red_rate</v>
      </c>
      <c r="N1099" s="76">
        <f ca="1">IF(MOD(COUNTIF($Q$11:Q1098,Q1098),5)=0,OFFSET(装备属性!$K$1083,1+INT(COUNTA($Q$11:Q1098)/5),0),N1098)</f>
        <v>0.025</v>
      </c>
      <c r="O1099" s="76">
        <f ca="1">IF(MOD(COUNTIF($Q$11:Q1098,Q1098),5)=0,OFFSET(装备属性!$L$1083,1+INT(COUNTA($Q$11:Q1098)/5),0),O1098)</f>
        <v>0.029</v>
      </c>
      <c r="Q1099" s="89" t="str">
        <f ca="1">IF(MOD(COUNTIF($Q$11:Q1098,Q1098),5)=0,OFFSET(装备属性!$M$1083,1+INT(COUNTA($Q$11:Q1098)/5),0),Q1098)</f>
        <v>通用属性</v>
      </c>
      <c r="R1099" s="83">
        <f ca="1">IF(MOD(COUNTIF($Q$11:Q1098,Q1098),5)=0,10000*SUBSTITUTE(SUBSTITUTE(OFFSET(装备属性!$F$1083,1+INT(COUNTA($Q$11:Q1098)/5),0),"[",""),"]","")+_xlfn.XLOOKUP(C1099,$M$3:$M$7,$N$3:$N$7)*100,R1098)</f>
        <v>40700</v>
      </c>
    </row>
    <row r="1100" customHeight="1" spans="1:18">
      <c r="A1100" s="78">
        <f ca="1" t="shared" ref="A1100:A1163" si="51">IFERROR(R1100+IF(Q1100="通用属性",1,IF(Q1100="玩法类",2,IF(Q1100="稀有词条",3,0))),"")</f>
        <v>40701</v>
      </c>
      <c r="B1100" s="82">
        <f ca="1">IFERROR(R1100+COUNTIFS($R$11:$R1100,R1100),"")</f>
        <v>40705</v>
      </c>
      <c r="C1100" s="83" t="str">
        <f ca="1">IF(MOD(COUNTIF($Q$11:Q1099,Q1099),5)=0,OFFSET(装备属性!$D$1083,1+INT(COUNTA($Q$11:Q1099)/5),0),C1099)</f>
        <v>粉</v>
      </c>
      <c r="D1100" s="82">
        <f t="shared" si="50"/>
        <v>1000</v>
      </c>
      <c r="F1100" s="82">
        <f ca="1" t="shared" ref="F1100:F1163" si="52">IFERROR(R1100+INT((B1100-R1100-1)/5),"")</f>
        <v>40700</v>
      </c>
      <c r="G1100" s="78" t="str">
        <f ca="1">IF(AND(LEFT("[{"&amp;M1100&amp;","&amp;CEILING(N1100*10000+(O1100-N1100)/4*(COUNTIF($F$11:F1100,F1100)-1)*10000,10)&amp;"}]",7)="[{equip",MID("[{"&amp;M1100&amp;","&amp;CEILING(N1100*10000+(O1100-N1100)/4*(COUNTIF($F$11:F1100,F1100)-1)*10000,10)&amp;"}]",8,1)&lt;&gt;"_"),"[{"&amp;M1100&amp;","&amp;1&amp;"}]","[{"&amp;M1100&amp;","&amp;CEILING(N1100*10000+(O1100-N1100)/4*(COUNTIF($F$11:F1100,F1100)-1)*10000,10)&amp;"}]")</f>
        <v>[{dmg_red_rate,290}]</v>
      </c>
      <c r="H1100" s="82" t="s">
        <v>563</v>
      </c>
      <c r="J1100" s="78">
        <f ca="1">IF(MOD(COUNTIF($Q$11:Q1099,Q1099),5)=0,OFFSET(装备属性!$P$1083,1+INT(COUNTA($Q$11:Q1099)/5),0),J1099)</f>
        <v>6</v>
      </c>
      <c r="K1100" s="83" t="str">
        <f ca="1">IF(RIGHT(G1100,13)="rune_slot,1}]",_xlfn.XLOOKUP(LEFT(SUBSTITUTE(G1100,"[{",""),FIND(",",SUBSTITUTE(G1100,"[{",""))-1),Sheet2!B:B,Sheet2!C:C)&amp;"+"&amp;1,_xlfn.XLOOKUP(LEFT(SUBSTITUTE(G1100,"[{",""),FIND(",",SUBSTITUTE(G1100,"[{",""))-1),Sheet2!B:B,Sheet2!C:C)&amp;"+"&amp;SUBSTITUTE(RIGHT(G1100,LEN(G1100)-FIND(",",G1100)),"}]","")/100&amp;"%")</f>
        <v>伤害减免+2.9%</v>
      </c>
      <c r="L1100" s="83" t="str">
        <f ca="1">IF(MOD(COUNTIF($Q$11:Q1099,Q1099),5)=0,OFFSET(装备属性!$G$1083,1+INT(COUNTA($Q$11:Q1099)/5),0),L1099)</f>
        <v>全员抗揍Ⅳ</v>
      </c>
      <c r="M1100" s="89" t="str">
        <f ca="1">IF(MOD(COUNTIF($Q$11:Q1099,Q1099),5)=0,OFFSET(装备属性!$H$1083,1+INT(COUNTA($Q$11:Q1099)/5),0),M1099)</f>
        <v>dmg_red_rate</v>
      </c>
      <c r="N1100" s="76">
        <f ca="1">IF(MOD(COUNTIF($Q$11:Q1099,Q1099),5)=0,OFFSET(装备属性!$K$1083,1+INT(COUNTA($Q$11:Q1099)/5),0),N1099)</f>
        <v>0.025</v>
      </c>
      <c r="O1100" s="76">
        <f ca="1">IF(MOD(COUNTIF($Q$11:Q1099,Q1099),5)=0,OFFSET(装备属性!$L$1083,1+INT(COUNTA($Q$11:Q1099)/5),0),O1099)</f>
        <v>0.029</v>
      </c>
      <c r="Q1100" s="89" t="str">
        <f ca="1">IF(MOD(COUNTIF($Q$11:Q1099,Q1099),5)=0,OFFSET(装备属性!$M$1083,1+INT(COUNTA($Q$11:Q1099)/5),0),Q1099)</f>
        <v>通用属性</v>
      </c>
      <c r="R1100" s="83">
        <f ca="1">IF(MOD(COUNTIF($Q$11:Q1099,Q1099),5)=0,10000*SUBSTITUTE(SUBSTITUTE(OFFSET(装备属性!$F$1083,1+INT(COUNTA($Q$11:Q1099)/5),0),"[",""),"]","")+_xlfn.XLOOKUP(C1100,$M$3:$M$7,$N$3:$N$7)*100,R1099)</f>
        <v>40700</v>
      </c>
    </row>
    <row r="1101" customHeight="1" spans="1:18">
      <c r="A1101" s="78">
        <f ca="1" t="shared" si="51"/>
        <v>40701</v>
      </c>
      <c r="B1101" s="82">
        <f ca="1">IFERROR(R1101+COUNTIFS($R$11:$R1101,R1101),"")</f>
        <v>40706</v>
      </c>
      <c r="C1101" s="83" t="str">
        <f ca="1">IF(MOD(COUNTIF($Q$11:Q1100,Q1100),5)=0,OFFSET(装备属性!$D$1083,1+INT(COUNTA($Q$11:Q1100)/5),0),C1100)</f>
        <v>粉</v>
      </c>
      <c r="D1101" s="82">
        <f t="shared" si="50"/>
        <v>3000</v>
      </c>
      <c r="F1101" s="82">
        <f ca="1" t="shared" si="52"/>
        <v>40701</v>
      </c>
      <c r="G1101" s="78" t="str">
        <f ca="1">IF(AND(LEFT("[{"&amp;M1101&amp;","&amp;CEILING(N1101*10000+(O1101-N1101)/4*(COUNTIF($F$11:F1101,F1101)-1)*10000,10)&amp;"}]",7)="[{equip",MID("[{"&amp;M1101&amp;","&amp;CEILING(N1101*10000+(O1101-N1101)/4*(COUNTIF($F$11:F1101,F1101)-1)*10000,10)&amp;"}]",8,1)&lt;&gt;"_"),"[{"&amp;M1101&amp;","&amp;1&amp;"}]","[{"&amp;M1101&amp;","&amp;CEILING(N1101*10000+(O1101-N1101)/4*(COUNTIF($F$11:F1101,F1101)-1)*10000,10)&amp;"}]")</f>
        <v>[{all_class_dmg,580}]</v>
      </c>
      <c r="H1101" s="82" t="s">
        <v>563</v>
      </c>
      <c r="J1101" s="78">
        <f ca="1">IF(MOD(COUNTIF($Q$11:Q1100,Q1100),5)=0,OFFSET(装备属性!$P$1083,1+INT(COUNTA($Q$11:Q1100)/5),0),J1100)</f>
        <v>2</v>
      </c>
      <c r="K1101" s="83" t="str">
        <f ca="1">IF(RIGHT(G1101,13)="rune_slot,1}]",_xlfn.XLOOKUP(LEFT(SUBSTITUTE(G1101,"[{",""),FIND(",",SUBSTITUTE(G1101,"[{",""))-1),Sheet2!B:B,Sheet2!C:C)&amp;"+"&amp;1,_xlfn.XLOOKUP(LEFT(SUBSTITUTE(G1101,"[{",""),FIND(",",SUBSTITUTE(G1101,"[{",""))-1),Sheet2!B:B,Sheet2!C:C)&amp;"+"&amp;SUBSTITUTE(RIGHT(G1101,LEN(G1101)-FIND(",",G1101)),"}]","")/100&amp;"%")</f>
        <v>上阵五个不同职业增伤+5.8%</v>
      </c>
      <c r="L1101" s="83" t="str">
        <f ca="1">IF(MOD(COUNTIF($Q$11:Q1100,Q1100),5)=0,OFFSET(装备属性!$G$1083,1+INT(COUNTA($Q$11:Q1100)/5),0),L1100)</f>
        <v>全员出力Ⅳ</v>
      </c>
      <c r="M1101" s="89" t="str">
        <f ca="1">IF(MOD(COUNTIF($Q$11:Q1100,Q1100),5)=0,OFFSET(装备属性!$H$1083,1+INT(COUNTA($Q$11:Q1100)/5),0),M1100)</f>
        <v>all_class_dmg</v>
      </c>
      <c r="N1101" s="76">
        <f ca="1">IF(MOD(COUNTIF($Q$11:Q1100,Q1100),5)=0,OFFSET(装备属性!$K$1083,1+INT(COUNTA($Q$11:Q1100)/5),0),N1100)</f>
        <v>0.058</v>
      </c>
      <c r="O1101" s="76">
        <f ca="1">IF(MOD(COUNTIF($Q$11:Q1100,Q1100),5)=0,OFFSET(装备属性!$L$1083,1+INT(COUNTA($Q$11:Q1100)/5),0),O1100)</f>
        <v>0.072</v>
      </c>
      <c r="Q1101" s="89" t="str">
        <f ca="1">IF(MOD(COUNTIF($Q$11:Q1100,Q1100),5)=0,OFFSET(装备属性!$M$1083,1+INT(COUNTA($Q$11:Q1100)/5),0),Q1100)</f>
        <v>通用属性</v>
      </c>
      <c r="R1101" s="83">
        <f ca="1">IF(MOD(COUNTIF($Q$11:Q1100,Q1100),5)=0,10000*SUBSTITUTE(SUBSTITUTE(OFFSET(装备属性!$F$1083,1+INT(COUNTA($Q$11:Q1100)/5),0),"[",""),"]","")+_xlfn.XLOOKUP(C1101,$M$3:$M$7,$N$3:$N$7)*100,R1100)</f>
        <v>40700</v>
      </c>
    </row>
    <row r="1102" customHeight="1" spans="1:18">
      <c r="A1102" s="78">
        <f ca="1" t="shared" si="51"/>
        <v>40701</v>
      </c>
      <c r="B1102" s="82">
        <f ca="1">IFERROR(R1102+COUNTIFS($R$11:$R1102,R1102),"")</f>
        <v>40707</v>
      </c>
      <c r="C1102" s="83" t="str">
        <f ca="1">IF(MOD(COUNTIF($Q$11:Q1101,Q1101),5)=0,OFFSET(装备属性!$D$1083,1+INT(COUNTA($Q$11:Q1101)/5),0),C1101)</f>
        <v>粉</v>
      </c>
      <c r="D1102" s="82">
        <f t="shared" si="50"/>
        <v>2500</v>
      </c>
      <c r="F1102" s="82">
        <f ca="1" t="shared" si="52"/>
        <v>40701</v>
      </c>
      <c r="G1102" s="78" t="str">
        <f ca="1">IF(AND(LEFT("[{"&amp;M1102&amp;","&amp;CEILING(N1102*10000+(O1102-N1102)/4*(COUNTIF($F$11:F1102,F1102)-1)*10000,10)&amp;"}]",7)="[{equip",MID("[{"&amp;M1102&amp;","&amp;CEILING(N1102*10000+(O1102-N1102)/4*(COUNTIF($F$11:F1102,F1102)-1)*10000,10)&amp;"}]",8,1)&lt;&gt;"_"),"[{"&amp;M1102&amp;","&amp;1&amp;"}]","[{"&amp;M1102&amp;","&amp;CEILING(N1102*10000+(O1102-N1102)/4*(COUNTIF($F$11:F1102,F1102)-1)*10000,10)&amp;"}]")</f>
        <v>[{all_class_dmg,620}]</v>
      </c>
      <c r="H1102" s="82" t="s">
        <v>563</v>
      </c>
      <c r="J1102" s="78">
        <f ca="1">IF(MOD(COUNTIF($Q$11:Q1101,Q1101),5)=0,OFFSET(装备属性!$P$1083,1+INT(COUNTA($Q$11:Q1101)/5),0),J1101)</f>
        <v>2</v>
      </c>
      <c r="K1102" s="83" t="str">
        <f ca="1">IF(RIGHT(G1102,13)="rune_slot,1}]",_xlfn.XLOOKUP(LEFT(SUBSTITUTE(G1102,"[{",""),FIND(",",SUBSTITUTE(G1102,"[{",""))-1),Sheet2!B:B,Sheet2!C:C)&amp;"+"&amp;1,_xlfn.XLOOKUP(LEFT(SUBSTITUTE(G1102,"[{",""),FIND(",",SUBSTITUTE(G1102,"[{",""))-1),Sheet2!B:B,Sheet2!C:C)&amp;"+"&amp;SUBSTITUTE(RIGHT(G1102,LEN(G1102)-FIND(",",G1102)),"}]","")/100&amp;"%")</f>
        <v>上阵五个不同职业增伤+6.2%</v>
      </c>
      <c r="L1102" s="83" t="str">
        <f ca="1">IF(MOD(COUNTIF($Q$11:Q1101,Q1101),5)=0,OFFSET(装备属性!$G$1083,1+INT(COUNTA($Q$11:Q1101)/5),0),L1101)</f>
        <v>全员出力Ⅳ</v>
      </c>
      <c r="M1102" s="89" t="str">
        <f ca="1">IF(MOD(COUNTIF($Q$11:Q1101,Q1101),5)=0,OFFSET(装备属性!$H$1083,1+INT(COUNTA($Q$11:Q1101)/5),0),M1101)</f>
        <v>all_class_dmg</v>
      </c>
      <c r="N1102" s="76">
        <f ca="1">IF(MOD(COUNTIF($Q$11:Q1101,Q1101),5)=0,OFFSET(装备属性!$K$1083,1+INT(COUNTA($Q$11:Q1101)/5),0),N1101)</f>
        <v>0.058</v>
      </c>
      <c r="O1102" s="76">
        <f ca="1">IF(MOD(COUNTIF($Q$11:Q1101,Q1101),5)=0,OFFSET(装备属性!$L$1083,1+INT(COUNTA($Q$11:Q1101)/5),0),O1101)</f>
        <v>0.072</v>
      </c>
      <c r="Q1102" s="89" t="str">
        <f ca="1">IF(MOD(COUNTIF($Q$11:Q1101,Q1101),5)=0,OFFSET(装备属性!$M$1083,1+INT(COUNTA($Q$11:Q1101)/5),0),Q1101)</f>
        <v>通用属性</v>
      </c>
      <c r="R1102" s="83">
        <f ca="1">IF(MOD(COUNTIF($Q$11:Q1101,Q1101),5)=0,10000*SUBSTITUTE(SUBSTITUTE(OFFSET(装备属性!$F$1083,1+INT(COUNTA($Q$11:Q1101)/5),0),"[",""),"]","")+_xlfn.XLOOKUP(C1102,$M$3:$M$7,$N$3:$N$7)*100,R1101)</f>
        <v>40700</v>
      </c>
    </row>
    <row r="1103" customHeight="1" spans="1:18">
      <c r="A1103" s="78">
        <f ca="1" t="shared" si="51"/>
        <v>40701</v>
      </c>
      <c r="B1103" s="82">
        <f ca="1">IFERROR(R1103+COUNTIFS($R$11:$R1103,R1103),"")</f>
        <v>40708</v>
      </c>
      <c r="C1103" s="83" t="str">
        <f ca="1">IF(MOD(COUNTIF($Q$11:Q1102,Q1102),5)=0,OFFSET(装备属性!$D$1083,1+INT(COUNTA($Q$11:Q1102)/5),0),C1102)</f>
        <v>粉</v>
      </c>
      <c r="D1103" s="82">
        <f t="shared" si="50"/>
        <v>2000</v>
      </c>
      <c r="F1103" s="82">
        <f ca="1" t="shared" si="52"/>
        <v>40701</v>
      </c>
      <c r="G1103" s="78" t="str">
        <f ca="1">IF(AND(LEFT("[{"&amp;M1103&amp;","&amp;CEILING(N1103*10000+(O1103-N1103)/4*(COUNTIF($F$11:F1103,F1103)-1)*10000,10)&amp;"}]",7)="[{equip",MID("[{"&amp;M1103&amp;","&amp;CEILING(N1103*10000+(O1103-N1103)/4*(COUNTIF($F$11:F1103,F1103)-1)*10000,10)&amp;"}]",8,1)&lt;&gt;"_"),"[{"&amp;M1103&amp;","&amp;1&amp;"}]","[{"&amp;M1103&amp;","&amp;CEILING(N1103*10000+(O1103-N1103)/4*(COUNTIF($F$11:F1103,F1103)-1)*10000,10)&amp;"}]")</f>
        <v>[{all_class_dmg,650}]</v>
      </c>
      <c r="H1103" s="82" t="s">
        <v>563</v>
      </c>
      <c r="J1103" s="78">
        <f ca="1">IF(MOD(COUNTIF($Q$11:Q1102,Q1102),5)=0,OFFSET(装备属性!$P$1083,1+INT(COUNTA($Q$11:Q1102)/5),0),J1102)</f>
        <v>2</v>
      </c>
      <c r="K1103" s="83" t="str">
        <f ca="1">IF(RIGHT(G1103,13)="rune_slot,1}]",_xlfn.XLOOKUP(LEFT(SUBSTITUTE(G1103,"[{",""),FIND(",",SUBSTITUTE(G1103,"[{",""))-1),Sheet2!B:B,Sheet2!C:C)&amp;"+"&amp;1,_xlfn.XLOOKUP(LEFT(SUBSTITUTE(G1103,"[{",""),FIND(",",SUBSTITUTE(G1103,"[{",""))-1),Sheet2!B:B,Sheet2!C:C)&amp;"+"&amp;SUBSTITUTE(RIGHT(G1103,LEN(G1103)-FIND(",",G1103)),"}]","")/100&amp;"%")</f>
        <v>上阵五个不同职业增伤+6.5%</v>
      </c>
      <c r="L1103" s="83" t="str">
        <f ca="1">IF(MOD(COUNTIF($Q$11:Q1102,Q1102),5)=0,OFFSET(装备属性!$G$1083,1+INT(COUNTA($Q$11:Q1102)/5),0),L1102)</f>
        <v>全员出力Ⅳ</v>
      </c>
      <c r="M1103" s="89" t="str">
        <f ca="1">IF(MOD(COUNTIF($Q$11:Q1102,Q1102),5)=0,OFFSET(装备属性!$H$1083,1+INT(COUNTA($Q$11:Q1102)/5),0),M1102)</f>
        <v>all_class_dmg</v>
      </c>
      <c r="N1103" s="76">
        <f ca="1">IF(MOD(COUNTIF($Q$11:Q1102,Q1102),5)=0,OFFSET(装备属性!$K$1083,1+INT(COUNTA($Q$11:Q1102)/5),0),N1102)</f>
        <v>0.058</v>
      </c>
      <c r="O1103" s="76">
        <f ca="1">IF(MOD(COUNTIF($Q$11:Q1102,Q1102),5)=0,OFFSET(装备属性!$L$1083,1+INT(COUNTA($Q$11:Q1102)/5),0),O1102)</f>
        <v>0.072</v>
      </c>
      <c r="Q1103" s="89" t="str">
        <f ca="1">IF(MOD(COUNTIF($Q$11:Q1102,Q1102),5)=0,OFFSET(装备属性!$M$1083,1+INT(COUNTA($Q$11:Q1102)/5),0),Q1102)</f>
        <v>通用属性</v>
      </c>
      <c r="R1103" s="83">
        <f ca="1">IF(MOD(COUNTIF($Q$11:Q1102,Q1102),5)=0,10000*SUBSTITUTE(SUBSTITUTE(OFFSET(装备属性!$F$1083,1+INT(COUNTA($Q$11:Q1102)/5),0),"[",""),"]","")+_xlfn.XLOOKUP(C1103,$M$3:$M$7,$N$3:$N$7)*100,R1102)</f>
        <v>40700</v>
      </c>
    </row>
    <row r="1104" customHeight="1" spans="1:18">
      <c r="A1104" s="78">
        <f ca="1" t="shared" si="51"/>
        <v>40701</v>
      </c>
      <c r="B1104" s="82">
        <f ca="1">IFERROR(R1104+COUNTIFS($R$11:$R1104,R1104),"")</f>
        <v>40709</v>
      </c>
      <c r="C1104" s="83" t="str">
        <f ca="1">IF(MOD(COUNTIF($Q$11:Q1103,Q1103),5)=0,OFFSET(装备属性!$D$1083,1+INT(COUNTA($Q$11:Q1103)/5),0),C1103)</f>
        <v>粉</v>
      </c>
      <c r="D1104" s="82">
        <f t="shared" si="50"/>
        <v>1500</v>
      </c>
      <c r="F1104" s="82">
        <f ca="1" t="shared" si="52"/>
        <v>40701</v>
      </c>
      <c r="G1104" s="78" t="str">
        <f ca="1">IF(AND(LEFT("[{"&amp;M1104&amp;","&amp;CEILING(N1104*10000+(O1104-N1104)/4*(COUNTIF($F$11:F1104,F1104)-1)*10000,10)&amp;"}]",7)="[{equip",MID("[{"&amp;M1104&amp;","&amp;CEILING(N1104*10000+(O1104-N1104)/4*(COUNTIF($F$11:F1104,F1104)-1)*10000,10)&amp;"}]",8,1)&lt;&gt;"_"),"[{"&amp;M1104&amp;","&amp;1&amp;"}]","[{"&amp;M1104&amp;","&amp;CEILING(N1104*10000+(O1104-N1104)/4*(COUNTIF($F$11:F1104,F1104)-1)*10000,10)&amp;"}]")</f>
        <v>[{all_class_dmg,690}]</v>
      </c>
      <c r="H1104" s="82" t="s">
        <v>563</v>
      </c>
      <c r="J1104" s="78">
        <f ca="1">IF(MOD(COUNTIF($Q$11:Q1103,Q1103),5)=0,OFFSET(装备属性!$P$1083,1+INT(COUNTA($Q$11:Q1103)/5),0),J1103)</f>
        <v>2</v>
      </c>
      <c r="K1104" s="83" t="str">
        <f ca="1">IF(RIGHT(G1104,13)="rune_slot,1}]",_xlfn.XLOOKUP(LEFT(SUBSTITUTE(G1104,"[{",""),FIND(",",SUBSTITUTE(G1104,"[{",""))-1),Sheet2!B:B,Sheet2!C:C)&amp;"+"&amp;1,_xlfn.XLOOKUP(LEFT(SUBSTITUTE(G1104,"[{",""),FIND(",",SUBSTITUTE(G1104,"[{",""))-1),Sheet2!B:B,Sheet2!C:C)&amp;"+"&amp;SUBSTITUTE(RIGHT(G1104,LEN(G1104)-FIND(",",G1104)),"}]","")/100&amp;"%")</f>
        <v>上阵五个不同职业增伤+6.9%</v>
      </c>
      <c r="L1104" s="83" t="str">
        <f ca="1">IF(MOD(COUNTIF($Q$11:Q1103,Q1103),5)=0,OFFSET(装备属性!$G$1083,1+INT(COUNTA($Q$11:Q1103)/5),0),L1103)</f>
        <v>全员出力Ⅳ</v>
      </c>
      <c r="M1104" s="89" t="str">
        <f ca="1">IF(MOD(COUNTIF($Q$11:Q1103,Q1103),5)=0,OFFSET(装备属性!$H$1083,1+INT(COUNTA($Q$11:Q1103)/5),0),M1103)</f>
        <v>all_class_dmg</v>
      </c>
      <c r="N1104" s="76">
        <f ca="1">IF(MOD(COUNTIF($Q$11:Q1103,Q1103),5)=0,OFFSET(装备属性!$K$1083,1+INT(COUNTA($Q$11:Q1103)/5),0),N1103)</f>
        <v>0.058</v>
      </c>
      <c r="O1104" s="76">
        <f ca="1">IF(MOD(COUNTIF($Q$11:Q1103,Q1103),5)=0,OFFSET(装备属性!$L$1083,1+INT(COUNTA($Q$11:Q1103)/5),0),O1103)</f>
        <v>0.072</v>
      </c>
      <c r="Q1104" s="89" t="str">
        <f ca="1">IF(MOD(COUNTIF($Q$11:Q1103,Q1103),5)=0,OFFSET(装备属性!$M$1083,1+INT(COUNTA($Q$11:Q1103)/5),0),Q1103)</f>
        <v>通用属性</v>
      </c>
      <c r="R1104" s="83">
        <f ca="1">IF(MOD(COUNTIF($Q$11:Q1103,Q1103),5)=0,10000*SUBSTITUTE(SUBSTITUTE(OFFSET(装备属性!$F$1083,1+INT(COUNTA($Q$11:Q1103)/5),0),"[",""),"]","")+_xlfn.XLOOKUP(C1104,$M$3:$M$7,$N$3:$N$7)*100,R1103)</f>
        <v>40700</v>
      </c>
    </row>
    <row r="1105" customHeight="1" spans="1:18">
      <c r="A1105" s="78">
        <f ca="1" t="shared" si="51"/>
        <v>40701</v>
      </c>
      <c r="B1105" s="82">
        <f ca="1">IFERROR(R1105+COUNTIFS($R$11:$R1105,R1105),"")</f>
        <v>40710</v>
      </c>
      <c r="C1105" s="83" t="str">
        <f ca="1">IF(MOD(COUNTIF($Q$11:Q1104,Q1104),5)=0,OFFSET(装备属性!$D$1083,1+INT(COUNTA($Q$11:Q1104)/5),0),C1104)</f>
        <v>粉</v>
      </c>
      <c r="D1105" s="82">
        <f t="shared" ref="D1105:D1168" si="53">D1100</f>
        <v>1000</v>
      </c>
      <c r="F1105" s="82">
        <f ca="1" t="shared" si="52"/>
        <v>40701</v>
      </c>
      <c r="G1105" s="78" t="str">
        <f ca="1">IF(AND(LEFT("[{"&amp;M1105&amp;","&amp;CEILING(N1105*10000+(O1105-N1105)/4*(COUNTIF($F$11:F1105,F1105)-1)*10000,10)&amp;"}]",7)="[{equip",MID("[{"&amp;M1105&amp;","&amp;CEILING(N1105*10000+(O1105-N1105)/4*(COUNTIF($F$11:F1105,F1105)-1)*10000,10)&amp;"}]",8,1)&lt;&gt;"_"),"[{"&amp;M1105&amp;","&amp;1&amp;"}]","[{"&amp;M1105&amp;","&amp;CEILING(N1105*10000+(O1105-N1105)/4*(COUNTIF($F$11:F1105,F1105)-1)*10000,10)&amp;"}]")</f>
        <v>[{all_class_dmg,720}]</v>
      </c>
      <c r="H1105" s="82" t="s">
        <v>563</v>
      </c>
      <c r="J1105" s="78">
        <f ca="1">IF(MOD(COUNTIF($Q$11:Q1104,Q1104),5)=0,OFFSET(装备属性!$P$1083,1+INT(COUNTA($Q$11:Q1104)/5),0),J1104)</f>
        <v>2</v>
      </c>
      <c r="K1105" s="83" t="str">
        <f ca="1">IF(RIGHT(G1105,13)="rune_slot,1}]",_xlfn.XLOOKUP(LEFT(SUBSTITUTE(G1105,"[{",""),FIND(",",SUBSTITUTE(G1105,"[{",""))-1),Sheet2!B:B,Sheet2!C:C)&amp;"+"&amp;1,_xlfn.XLOOKUP(LEFT(SUBSTITUTE(G1105,"[{",""),FIND(",",SUBSTITUTE(G1105,"[{",""))-1),Sheet2!B:B,Sheet2!C:C)&amp;"+"&amp;SUBSTITUTE(RIGHT(G1105,LEN(G1105)-FIND(",",G1105)),"}]","")/100&amp;"%")</f>
        <v>上阵五个不同职业增伤+7.2%</v>
      </c>
      <c r="L1105" s="83" t="str">
        <f ca="1">IF(MOD(COUNTIF($Q$11:Q1104,Q1104),5)=0,OFFSET(装备属性!$G$1083,1+INT(COUNTA($Q$11:Q1104)/5),0),L1104)</f>
        <v>全员出力Ⅳ</v>
      </c>
      <c r="M1105" s="89" t="str">
        <f ca="1">IF(MOD(COUNTIF($Q$11:Q1104,Q1104),5)=0,OFFSET(装备属性!$H$1083,1+INT(COUNTA($Q$11:Q1104)/5),0),M1104)</f>
        <v>all_class_dmg</v>
      </c>
      <c r="N1105" s="76">
        <f ca="1">IF(MOD(COUNTIF($Q$11:Q1104,Q1104),5)=0,OFFSET(装备属性!$K$1083,1+INT(COUNTA($Q$11:Q1104)/5),0),N1104)</f>
        <v>0.058</v>
      </c>
      <c r="O1105" s="76">
        <f ca="1">IF(MOD(COUNTIF($Q$11:Q1104,Q1104),5)=0,OFFSET(装备属性!$L$1083,1+INT(COUNTA($Q$11:Q1104)/5),0),O1104)</f>
        <v>0.072</v>
      </c>
      <c r="Q1105" s="89" t="str">
        <f ca="1">IF(MOD(COUNTIF($Q$11:Q1104,Q1104),5)=0,OFFSET(装备属性!$M$1083,1+INT(COUNTA($Q$11:Q1104)/5),0),Q1104)</f>
        <v>通用属性</v>
      </c>
      <c r="R1105" s="83">
        <f ca="1">IF(MOD(COUNTIF($Q$11:Q1104,Q1104),5)=0,10000*SUBSTITUTE(SUBSTITUTE(OFFSET(装备属性!$F$1083,1+INT(COUNTA($Q$11:Q1104)/5),0),"[",""),"]","")+_xlfn.XLOOKUP(C1105,$M$3:$M$7,$N$3:$N$7)*100,R1104)</f>
        <v>40700</v>
      </c>
    </row>
    <row r="1106" customHeight="1" spans="1:18">
      <c r="A1106" s="78">
        <f ca="1" t="shared" si="51"/>
        <v>40703</v>
      </c>
      <c r="B1106" s="82">
        <f ca="1">IFERROR(R1106+COUNTIFS($R$11:$R1106,R1106),"")</f>
        <v>40711</v>
      </c>
      <c r="C1106" s="83" t="str">
        <f ca="1">IF(MOD(COUNTIF($Q$11:Q1105,Q1105),5)=0,OFFSET(装备属性!$D$1083,1+INT(COUNTA($Q$11:Q1105)/5),0),C1105)</f>
        <v>粉</v>
      </c>
      <c r="D1106" s="82">
        <f t="shared" si="53"/>
        <v>3000</v>
      </c>
      <c r="F1106" s="82">
        <f ca="1" t="shared" si="52"/>
        <v>40702</v>
      </c>
      <c r="G1106" s="78" t="str">
        <f ca="1">IF(AND(LEFT("[{"&amp;M1106&amp;","&amp;CEILING(N1106*10000+(O1106-N1106)/4*(COUNTIF($F$11:F1106,F1106)-1)*10000,10)&amp;"}]",7)="[{equip",MID("[{"&amp;M1106&amp;","&amp;CEILING(N1106*10000+(O1106-N1106)/4*(COUNTIF($F$11:F1106,F1106)-1)*10000,10)&amp;"}]",8,1)&lt;&gt;"_"),"[{"&amp;M1106&amp;","&amp;1&amp;"}]","[{"&amp;M1106&amp;","&amp;CEILING(N1106*10000+(O1106-N1106)/4*(COUNTIF($F$11:F1106,F1106)-1)*10000,10)&amp;"}]")</f>
        <v>[{exp_boost,2000}]</v>
      </c>
      <c r="H1106" s="82" t="s">
        <v>563</v>
      </c>
      <c r="J1106" s="78">
        <f ca="1">IF(MOD(COUNTIF($Q$11:Q1105,Q1105),5)=0,OFFSET(装备属性!$P$1083,1+INT(COUNTA($Q$11:Q1105)/5),0),J1105)</f>
        <v>9</v>
      </c>
      <c r="K1106" s="83" t="str">
        <f ca="1">IF(RIGHT(G1106,13)="rune_slot,1}]",_xlfn.XLOOKUP(LEFT(SUBSTITUTE(G1106,"[{",""),FIND(",",SUBSTITUTE(G1106,"[{",""))-1),Sheet2!B:B,Sheet2!C:C)&amp;"+"&amp;1,_xlfn.XLOOKUP(LEFT(SUBSTITUTE(G1106,"[{",""),FIND(",",SUBSTITUTE(G1106,"[{",""))-1),Sheet2!B:B,Sheet2!C:C)&amp;"+"&amp;SUBSTITUTE(RIGHT(G1106,LEN(G1106)-FIND(",",G1106)),"}]","")/100&amp;"%")</f>
        <v>经验加成+20%</v>
      </c>
      <c r="L1106" s="83" t="str">
        <f ca="1">IF(MOD(COUNTIF($Q$11:Q1105,Q1105),5)=0,OFFSET(装备属性!$G$1083,1+INT(COUNTA($Q$11:Q1105)/5),0),L1105)</f>
        <v>涨见识</v>
      </c>
      <c r="M1106" s="89" t="str">
        <f ca="1">IF(MOD(COUNTIF($Q$11:Q1105,Q1105),5)=0,OFFSET(装备属性!$H$1083,1+INT(COUNTA($Q$11:Q1105)/5),0),M1105)</f>
        <v>exp_boost</v>
      </c>
      <c r="N1106" s="76">
        <f ca="1">IF(MOD(COUNTIF($Q$11:Q1105,Q1105),5)=0,OFFSET(装备属性!$K$1083,1+INT(COUNTA($Q$11:Q1105)/5),0),N1105)</f>
        <v>0.2</v>
      </c>
      <c r="O1106" s="76">
        <f ca="1">IF(MOD(COUNTIF($Q$11:Q1105,Q1105),5)=0,OFFSET(装备属性!$L$1083,1+INT(COUNTA($Q$11:Q1105)/5),0),O1105)</f>
        <v>0.2</v>
      </c>
      <c r="Q1106" s="89" t="str">
        <f ca="1">IF(MOD(COUNTIF($Q$11:Q1105,Q1105),5)=0,OFFSET(装备属性!$M$1083,1+INT(COUNTA($Q$11:Q1105)/5),0),Q1105)</f>
        <v>稀有词条</v>
      </c>
      <c r="R1106" s="83">
        <f ca="1">IF(MOD(COUNTIF($Q$11:Q1105,Q1105),5)=0,10000*SUBSTITUTE(SUBSTITUTE(OFFSET(装备属性!$F$1083,1+INT(COUNTA($Q$11:Q1105)/5),0),"[",""),"]","")+_xlfn.XLOOKUP(C1106,$M$3:$M$7,$N$3:$N$7)*100,R1105)</f>
        <v>40700</v>
      </c>
    </row>
    <row r="1107" customHeight="1" spans="1:18">
      <c r="A1107" s="78">
        <f ca="1" t="shared" si="51"/>
        <v>40703</v>
      </c>
      <c r="B1107" s="82">
        <f ca="1">IFERROR(R1107+COUNTIFS($R$11:$R1107,R1107),"")</f>
        <v>40712</v>
      </c>
      <c r="C1107" s="83" t="str">
        <f ca="1">IF(MOD(COUNTIF($Q$11:Q1106,Q1106),5)=0,OFFSET(装备属性!$D$1083,1+INT(COUNTA($Q$11:Q1106)/5),0),C1106)</f>
        <v>粉</v>
      </c>
      <c r="D1107" s="82">
        <f t="shared" si="53"/>
        <v>2500</v>
      </c>
      <c r="F1107" s="82">
        <f ca="1" t="shared" si="52"/>
        <v>40702</v>
      </c>
      <c r="G1107" s="78" t="str">
        <f ca="1">IF(AND(LEFT("[{"&amp;M1107&amp;","&amp;CEILING(N1107*10000+(O1107-N1107)/4*(COUNTIF($F$11:F1107,F1107)-1)*10000,10)&amp;"}]",7)="[{equip",MID("[{"&amp;M1107&amp;","&amp;CEILING(N1107*10000+(O1107-N1107)/4*(COUNTIF($F$11:F1107,F1107)-1)*10000,10)&amp;"}]",8,1)&lt;&gt;"_"),"[{"&amp;M1107&amp;","&amp;1&amp;"}]","[{"&amp;M1107&amp;","&amp;CEILING(N1107*10000+(O1107-N1107)/4*(COUNTIF($F$11:F1107,F1107)-1)*10000,10)&amp;"}]")</f>
        <v>[{exp_boost,2000}]</v>
      </c>
      <c r="H1107" s="82" t="s">
        <v>563</v>
      </c>
      <c r="J1107" s="78">
        <f ca="1">IF(MOD(COUNTIF($Q$11:Q1106,Q1106),5)=0,OFFSET(装备属性!$P$1083,1+INT(COUNTA($Q$11:Q1106)/5),0),J1106)</f>
        <v>9</v>
      </c>
      <c r="K1107" s="83" t="str">
        <f ca="1">IF(RIGHT(G1107,13)="rune_slot,1}]",_xlfn.XLOOKUP(LEFT(SUBSTITUTE(G1107,"[{",""),FIND(",",SUBSTITUTE(G1107,"[{",""))-1),Sheet2!B:B,Sheet2!C:C)&amp;"+"&amp;1,_xlfn.XLOOKUP(LEFT(SUBSTITUTE(G1107,"[{",""),FIND(",",SUBSTITUTE(G1107,"[{",""))-1),Sheet2!B:B,Sheet2!C:C)&amp;"+"&amp;SUBSTITUTE(RIGHT(G1107,LEN(G1107)-FIND(",",G1107)),"}]","")/100&amp;"%")</f>
        <v>经验加成+20%</v>
      </c>
      <c r="L1107" s="83" t="str">
        <f ca="1">IF(MOD(COUNTIF($Q$11:Q1106,Q1106),5)=0,OFFSET(装备属性!$G$1083,1+INT(COUNTA($Q$11:Q1106)/5),0),L1106)</f>
        <v>涨见识</v>
      </c>
      <c r="M1107" s="89" t="str">
        <f ca="1">IF(MOD(COUNTIF($Q$11:Q1106,Q1106),5)=0,OFFSET(装备属性!$H$1083,1+INT(COUNTA($Q$11:Q1106)/5),0),M1106)</f>
        <v>exp_boost</v>
      </c>
      <c r="N1107" s="76">
        <f ca="1">IF(MOD(COUNTIF($Q$11:Q1106,Q1106),5)=0,OFFSET(装备属性!$K$1083,1+INT(COUNTA($Q$11:Q1106)/5),0),N1106)</f>
        <v>0.2</v>
      </c>
      <c r="O1107" s="76">
        <f ca="1">IF(MOD(COUNTIF($Q$11:Q1106,Q1106),5)=0,OFFSET(装备属性!$L$1083,1+INT(COUNTA($Q$11:Q1106)/5),0),O1106)</f>
        <v>0.2</v>
      </c>
      <c r="Q1107" s="89" t="str">
        <f ca="1">IF(MOD(COUNTIF($Q$11:Q1106,Q1106),5)=0,OFFSET(装备属性!$M$1083,1+INT(COUNTA($Q$11:Q1106)/5),0),Q1106)</f>
        <v>稀有词条</v>
      </c>
      <c r="R1107" s="83">
        <f ca="1">IF(MOD(COUNTIF($Q$11:Q1106,Q1106),5)=0,10000*SUBSTITUTE(SUBSTITUTE(OFFSET(装备属性!$F$1083,1+INT(COUNTA($Q$11:Q1106)/5),0),"[",""),"]","")+_xlfn.XLOOKUP(C1107,$M$3:$M$7,$N$3:$N$7)*100,R1106)</f>
        <v>40700</v>
      </c>
    </row>
    <row r="1108" customHeight="1" spans="1:18">
      <c r="A1108" s="78">
        <f ca="1" t="shared" si="51"/>
        <v>40703</v>
      </c>
      <c r="B1108" s="82">
        <f ca="1">IFERROR(R1108+COUNTIFS($R$11:$R1108,R1108),"")</f>
        <v>40713</v>
      </c>
      <c r="C1108" s="83" t="str">
        <f ca="1">IF(MOD(COUNTIF($Q$11:Q1107,Q1107),5)=0,OFFSET(装备属性!$D$1083,1+INT(COUNTA($Q$11:Q1107)/5),0),C1107)</f>
        <v>粉</v>
      </c>
      <c r="D1108" s="82">
        <f t="shared" si="53"/>
        <v>2000</v>
      </c>
      <c r="F1108" s="82">
        <f ca="1" t="shared" si="52"/>
        <v>40702</v>
      </c>
      <c r="G1108" s="78" t="str">
        <f ca="1">IF(AND(LEFT("[{"&amp;M1108&amp;","&amp;CEILING(N1108*10000+(O1108-N1108)/4*(COUNTIF($F$11:F1108,F1108)-1)*10000,10)&amp;"}]",7)="[{equip",MID("[{"&amp;M1108&amp;","&amp;CEILING(N1108*10000+(O1108-N1108)/4*(COUNTIF($F$11:F1108,F1108)-1)*10000,10)&amp;"}]",8,1)&lt;&gt;"_"),"[{"&amp;M1108&amp;","&amp;1&amp;"}]","[{"&amp;M1108&amp;","&amp;CEILING(N1108*10000+(O1108-N1108)/4*(COUNTIF($F$11:F1108,F1108)-1)*10000,10)&amp;"}]")</f>
        <v>[{exp_boost,2000}]</v>
      </c>
      <c r="H1108" s="82" t="s">
        <v>563</v>
      </c>
      <c r="J1108" s="78">
        <f ca="1">IF(MOD(COUNTIF($Q$11:Q1107,Q1107),5)=0,OFFSET(装备属性!$P$1083,1+INT(COUNTA($Q$11:Q1107)/5),0),J1107)</f>
        <v>9</v>
      </c>
      <c r="K1108" s="83" t="str">
        <f ca="1">IF(RIGHT(G1108,13)="rune_slot,1}]",_xlfn.XLOOKUP(LEFT(SUBSTITUTE(G1108,"[{",""),FIND(",",SUBSTITUTE(G1108,"[{",""))-1),Sheet2!B:B,Sheet2!C:C)&amp;"+"&amp;1,_xlfn.XLOOKUP(LEFT(SUBSTITUTE(G1108,"[{",""),FIND(",",SUBSTITUTE(G1108,"[{",""))-1),Sheet2!B:B,Sheet2!C:C)&amp;"+"&amp;SUBSTITUTE(RIGHT(G1108,LEN(G1108)-FIND(",",G1108)),"}]","")/100&amp;"%")</f>
        <v>经验加成+20%</v>
      </c>
      <c r="L1108" s="83" t="str">
        <f ca="1">IF(MOD(COUNTIF($Q$11:Q1107,Q1107),5)=0,OFFSET(装备属性!$G$1083,1+INT(COUNTA($Q$11:Q1107)/5),0),L1107)</f>
        <v>涨见识</v>
      </c>
      <c r="M1108" s="89" t="str">
        <f ca="1">IF(MOD(COUNTIF($Q$11:Q1107,Q1107),5)=0,OFFSET(装备属性!$H$1083,1+INT(COUNTA($Q$11:Q1107)/5),0),M1107)</f>
        <v>exp_boost</v>
      </c>
      <c r="N1108" s="76">
        <f ca="1">IF(MOD(COUNTIF($Q$11:Q1107,Q1107),5)=0,OFFSET(装备属性!$K$1083,1+INT(COUNTA($Q$11:Q1107)/5),0),N1107)</f>
        <v>0.2</v>
      </c>
      <c r="O1108" s="76">
        <f ca="1">IF(MOD(COUNTIF($Q$11:Q1107,Q1107),5)=0,OFFSET(装备属性!$L$1083,1+INT(COUNTA($Q$11:Q1107)/5),0),O1107)</f>
        <v>0.2</v>
      </c>
      <c r="Q1108" s="89" t="str">
        <f ca="1">IF(MOD(COUNTIF($Q$11:Q1107,Q1107),5)=0,OFFSET(装备属性!$M$1083,1+INT(COUNTA($Q$11:Q1107)/5),0),Q1107)</f>
        <v>稀有词条</v>
      </c>
      <c r="R1108" s="83">
        <f ca="1">IF(MOD(COUNTIF($Q$11:Q1107,Q1107),5)=0,10000*SUBSTITUTE(SUBSTITUTE(OFFSET(装备属性!$F$1083,1+INT(COUNTA($Q$11:Q1107)/5),0),"[",""),"]","")+_xlfn.XLOOKUP(C1108,$M$3:$M$7,$N$3:$N$7)*100,R1107)</f>
        <v>40700</v>
      </c>
    </row>
    <row r="1109" customHeight="1" spans="1:18">
      <c r="A1109" s="78">
        <f ca="1" t="shared" si="51"/>
        <v>40703</v>
      </c>
      <c r="B1109" s="82">
        <f ca="1">IFERROR(R1109+COUNTIFS($R$11:$R1109,R1109),"")</f>
        <v>40714</v>
      </c>
      <c r="C1109" s="83" t="str">
        <f ca="1">IF(MOD(COUNTIF($Q$11:Q1108,Q1108),5)=0,OFFSET(装备属性!$D$1083,1+INT(COUNTA($Q$11:Q1108)/5),0),C1108)</f>
        <v>粉</v>
      </c>
      <c r="D1109" s="82">
        <f t="shared" si="53"/>
        <v>1500</v>
      </c>
      <c r="F1109" s="82">
        <f ca="1" t="shared" si="52"/>
        <v>40702</v>
      </c>
      <c r="G1109" s="78" t="str">
        <f ca="1">IF(AND(LEFT("[{"&amp;M1109&amp;","&amp;CEILING(N1109*10000+(O1109-N1109)/4*(COUNTIF($F$11:F1109,F1109)-1)*10000,10)&amp;"}]",7)="[{equip",MID("[{"&amp;M1109&amp;","&amp;CEILING(N1109*10000+(O1109-N1109)/4*(COUNTIF($F$11:F1109,F1109)-1)*10000,10)&amp;"}]",8,1)&lt;&gt;"_"),"[{"&amp;M1109&amp;","&amp;1&amp;"}]","[{"&amp;M1109&amp;","&amp;CEILING(N1109*10000+(O1109-N1109)/4*(COUNTIF($F$11:F1109,F1109)-1)*10000,10)&amp;"}]")</f>
        <v>[{exp_boost,2000}]</v>
      </c>
      <c r="H1109" s="82" t="s">
        <v>563</v>
      </c>
      <c r="J1109" s="78">
        <f ca="1">IF(MOD(COUNTIF($Q$11:Q1108,Q1108),5)=0,OFFSET(装备属性!$P$1083,1+INT(COUNTA($Q$11:Q1108)/5),0),J1108)</f>
        <v>9</v>
      </c>
      <c r="K1109" s="83" t="str">
        <f ca="1">IF(RIGHT(G1109,13)="rune_slot,1}]",_xlfn.XLOOKUP(LEFT(SUBSTITUTE(G1109,"[{",""),FIND(",",SUBSTITUTE(G1109,"[{",""))-1),Sheet2!B:B,Sheet2!C:C)&amp;"+"&amp;1,_xlfn.XLOOKUP(LEFT(SUBSTITUTE(G1109,"[{",""),FIND(",",SUBSTITUTE(G1109,"[{",""))-1),Sheet2!B:B,Sheet2!C:C)&amp;"+"&amp;SUBSTITUTE(RIGHT(G1109,LEN(G1109)-FIND(",",G1109)),"}]","")/100&amp;"%")</f>
        <v>经验加成+20%</v>
      </c>
      <c r="L1109" s="83" t="str">
        <f ca="1">IF(MOD(COUNTIF($Q$11:Q1108,Q1108),5)=0,OFFSET(装备属性!$G$1083,1+INT(COUNTA($Q$11:Q1108)/5),0),L1108)</f>
        <v>涨见识</v>
      </c>
      <c r="M1109" s="89" t="str">
        <f ca="1">IF(MOD(COUNTIF($Q$11:Q1108,Q1108),5)=0,OFFSET(装备属性!$H$1083,1+INT(COUNTA($Q$11:Q1108)/5),0),M1108)</f>
        <v>exp_boost</v>
      </c>
      <c r="N1109" s="76">
        <f ca="1">IF(MOD(COUNTIF($Q$11:Q1108,Q1108),5)=0,OFFSET(装备属性!$K$1083,1+INT(COUNTA($Q$11:Q1108)/5),0),N1108)</f>
        <v>0.2</v>
      </c>
      <c r="O1109" s="76">
        <f ca="1">IF(MOD(COUNTIF($Q$11:Q1108,Q1108),5)=0,OFFSET(装备属性!$L$1083,1+INT(COUNTA($Q$11:Q1108)/5),0),O1108)</f>
        <v>0.2</v>
      </c>
      <c r="Q1109" s="89" t="str">
        <f ca="1">IF(MOD(COUNTIF($Q$11:Q1108,Q1108),5)=0,OFFSET(装备属性!$M$1083,1+INT(COUNTA($Q$11:Q1108)/5),0),Q1108)</f>
        <v>稀有词条</v>
      </c>
      <c r="R1109" s="83">
        <f ca="1">IF(MOD(COUNTIF($Q$11:Q1108,Q1108),5)=0,10000*SUBSTITUTE(SUBSTITUTE(OFFSET(装备属性!$F$1083,1+INT(COUNTA($Q$11:Q1108)/5),0),"[",""),"]","")+_xlfn.XLOOKUP(C1109,$M$3:$M$7,$N$3:$N$7)*100,R1108)</f>
        <v>40700</v>
      </c>
    </row>
    <row r="1110" customHeight="1" spans="1:18">
      <c r="A1110" s="78">
        <f ca="1" t="shared" si="51"/>
        <v>40703</v>
      </c>
      <c r="B1110" s="82">
        <f ca="1">IFERROR(R1110+COUNTIFS($R$11:$R1110,R1110),"")</f>
        <v>40715</v>
      </c>
      <c r="C1110" s="83" t="str">
        <f ca="1">IF(MOD(COUNTIF($Q$11:Q1109,Q1109),5)=0,OFFSET(装备属性!$D$1083,1+INT(COUNTA($Q$11:Q1109)/5),0),C1109)</f>
        <v>粉</v>
      </c>
      <c r="D1110" s="82">
        <f t="shared" si="53"/>
        <v>1000</v>
      </c>
      <c r="F1110" s="82">
        <f ca="1" t="shared" si="52"/>
        <v>40702</v>
      </c>
      <c r="G1110" s="78" t="str">
        <f ca="1">IF(AND(LEFT("[{"&amp;M1110&amp;","&amp;CEILING(N1110*10000+(O1110-N1110)/4*(COUNTIF($F$11:F1110,F1110)-1)*10000,10)&amp;"}]",7)="[{equip",MID("[{"&amp;M1110&amp;","&amp;CEILING(N1110*10000+(O1110-N1110)/4*(COUNTIF($F$11:F1110,F1110)-1)*10000,10)&amp;"}]",8,1)&lt;&gt;"_"),"[{"&amp;M1110&amp;","&amp;1&amp;"}]","[{"&amp;M1110&amp;","&amp;CEILING(N1110*10000+(O1110-N1110)/4*(COUNTIF($F$11:F1110,F1110)-1)*10000,10)&amp;"}]")</f>
        <v>[{exp_boost,2000}]</v>
      </c>
      <c r="H1110" s="82" t="s">
        <v>563</v>
      </c>
      <c r="J1110" s="78">
        <f ca="1">IF(MOD(COUNTIF($Q$11:Q1109,Q1109),5)=0,OFFSET(装备属性!$P$1083,1+INT(COUNTA($Q$11:Q1109)/5),0),J1109)</f>
        <v>9</v>
      </c>
      <c r="K1110" s="83" t="str">
        <f ca="1">IF(RIGHT(G1110,13)="rune_slot,1}]",_xlfn.XLOOKUP(LEFT(SUBSTITUTE(G1110,"[{",""),FIND(",",SUBSTITUTE(G1110,"[{",""))-1),Sheet2!B:B,Sheet2!C:C)&amp;"+"&amp;1,_xlfn.XLOOKUP(LEFT(SUBSTITUTE(G1110,"[{",""),FIND(",",SUBSTITUTE(G1110,"[{",""))-1),Sheet2!B:B,Sheet2!C:C)&amp;"+"&amp;SUBSTITUTE(RIGHT(G1110,LEN(G1110)-FIND(",",G1110)),"}]","")/100&amp;"%")</f>
        <v>经验加成+20%</v>
      </c>
      <c r="L1110" s="83" t="str">
        <f ca="1">IF(MOD(COUNTIF($Q$11:Q1109,Q1109),5)=0,OFFSET(装备属性!$G$1083,1+INT(COUNTA($Q$11:Q1109)/5),0),L1109)</f>
        <v>涨见识</v>
      </c>
      <c r="M1110" s="89" t="str">
        <f ca="1">IF(MOD(COUNTIF($Q$11:Q1109,Q1109),5)=0,OFFSET(装备属性!$H$1083,1+INT(COUNTA($Q$11:Q1109)/5),0),M1109)</f>
        <v>exp_boost</v>
      </c>
      <c r="N1110" s="76">
        <f ca="1">IF(MOD(COUNTIF($Q$11:Q1109,Q1109),5)=0,OFFSET(装备属性!$K$1083,1+INT(COUNTA($Q$11:Q1109)/5),0),N1109)</f>
        <v>0.2</v>
      </c>
      <c r="O1110" s="76">
        <f ca="1">IF(MOD(COUNTIF($Q$11:Q1109,Q1109),5)=0,OFFSET(装备属性!$L$1083,1+INT(COUNTA($Q$11:Q1109)/5),0),O1109)</f>
        <v>0.2</v>
      </c>
      <c r="Q1110" s="89" t="str">
        <f ca="1">IF(MOD(COUNTIF($Q$11:Q1109,Q1109),5)=0,OFFSET(装备属性!$M$1083,1+INT(COUNTA($Q$11:Q1109)/5),0),Q1109)</f>
        <v>稀有词条</v>
      </c>
      <c r="R1110" s="83">
        <f ca="1">IF(MOD(COUNTIF($Q$11:Q1109,Q1109),5)=0,10000*SUBSTITUTE(SUBSTITUTE(OFFSET(装备属性!$F$1083,1+INT(COUNTA($Q$11:Q1109)/5),0),"[",""),"]","")+_xlfn.XLOOKUP(C1110,$M$3:$M$7,$N$3:$N$7)*100,R1109)</f>
        <v>40700</v>
      </c>
    </row>
    <row r="1111" customHeight="1" spans="1:18">
      <c r="A1111" s="78">
        <f ca="1" t="shared" si="51"/>
        <v>40703</v>
      </c>
      <c r="B1111" s="82">
        <f ca="1">IFERROR(R1111+COUNTIFS($R$11:$R1111,R1111),"")</f>
        <v>40716</v>
      </c>
      <c r="C1111" s="83" t="str">
        <f ca="1">IF(MOD(COUNTIF($Q$11:Q1110,Q1110),5)=0,OFFSET(装备属性!$D$1083,1+INT(COUNTA($Q$11:Q1110)/5),0),C1110)</f>
        <v>粉</v>
      </c>
      <c r="D1111" s="82">
        <f t="shared" si="53"/>
        <v>3000</v>
      </c>
      <c r="F1111" s="82">
        <f ca="1" t="shared" si="52"/>
        <v>40703</v>
      </c>
      <c r="G1111" s="78" t="str">
        <f ca="1">IF(AND(LEFT("[{"&amp;M1111&amp;","&amp;CEILING(N1111*10000+(O1111-N1111)/4*(COUNTIF($F$11:F1111,F1111)-1)*10000,10)&amp;"}]",7)="[{equip",MID("[{"&amp;M1111&amp;","&amp;CEILING(N1111*10000+(O1111-N1111)/4*(COUNTIF($F$11:F1111,F1111)-1)*10000,10)&amp;"}]",8,1)&lt;&gt;"_"),"[{"&amp;M1111&amp;","&amp;1&amp;"}]","[{"&amp;M1111&amp;","&amp;CEILING(N1111*10000+(O1111-N1111)/4*(COUNTIF($F$11:F1111,F1111)-1)*10000,10)&amp;"}]")</f>
        <v>[{equip_base_attr,2500}]</v>
      </c>
      <c r="H1111" s="82" t="s">
        <v>563</v>
      </c>
      <c r="J1111" s="78">
        <f ca="1">IF(MOD(COUNTIF($Q$11:Q1110,Q1110),5)=0,OFFSET(装备属性!$P$1083,1+INT(COUNTA($Q$11:Q1110)/5),0),J1110)</f>
        <v>7</v>
      </c>
      <c r="K1111" s="83" t="str">
        <f ca="1">IF(RIGHT(G1111,13)="rune_slot,1}]",_xlfn.XLOOKUP(LEFT(SUBSTITUTE(G1111,"[{",""),FIND(",",SUBSTITUTE(G1111,"[{",""))-1),Sheet2!B:B,Sheet2!C:C)&amp;"+"&amp;1,_xlfn.XLOOKUP(LEFT(SUBSTITUTE(G1111,"[{",""),FIND(",",SUBSTITUTE(G1111,"[{",""))-1),Sheet2!B:B,Sheet2!C:C)&amp;"+"&amp;SUBSTITUTE(RIGHT(G1111,LEN(G1111)-FIND(",",G1111)),"}]","")/100&amp;"%")</f>
        <v>装备基础属性加成+25%</v>
      </c>
      <c r="L1111" s="83" t="str">
        <f ca="1">IF(MOD(COUNTIF($Q$11:Q1110,Q1110),5)=0,OFFSET(装备属性!$G$1083,1+INT(COUNTA($Q$11:Q1110)/5),0),L1110)</f>
        <v>厚底子</v>
      </c>
      <c r="M1111" s="89" t="str">
        <f ca="1">IF(MOD(COUNTIF($Q$11:Q1110,Q1110),5)=0,OFFSET(装备属性!$H$1083,1+INT(COUNTA($Q$11:Q1110)/5),0),M1110)</f>
        <v>equip_base_attr</v>
      </c>
      <c r="N1111" s="76">
        <f ca="1">IF(MOD(COUNTIF($Q$11:Q1110,Q1110),5)=0,OFFSET(装备属性!$K$1083,1+INT(COUNTA($Q$11:Q1110)/5),0),N1110)</f>
        <v>0.25</v>
      </c>
      <c r="O1111" s="76">
        <f ca="1">IF(MOD(COUNTIF($Q$11:Q1110,Q1110),5)=0,OFFSET(装备属性!$L$1083,1+INT(COUNTA($Q$11:Q1110)/5),0),O1110)</f>
        <v>0.25</v>
      </c>
      <c r="Q1111" s="89" t="str">
        <f ca="1">IF(MOD(COUNTIF($Q$11:Q1110,Q1110),5)=0,OFFSET(装备属性!$M$1083,1+INT(COUNTA($Q$11:Q1110)/5),0),Q1110)</f>
        <v>稀有词条</v>
      </c>
      <c r="R1111" s="83">
        <f ca="1">IF(MOD(COUNTIF($Q$11:Q1110,Q1110),5)=0,10000*SUBSTITUTE(SUBSTITUTE(OFFSET(装备属性!$F$1083,1+INT(COUNTA($Q$11:Q1110)/5),0),"[",""),"]","")+_xlfn.XLOOKUP(C1111,$M$3:$M$7,$N$3:$N$7)*100,R1110)</f>
        <v>40700</v>
      </c>
    </row>
    <row r="1112" customHeight="1" spans="1:18">
      <c r="A1112" s="78">
        <f ca="1" t="shared" si="51"/>
        <v>40703</v>
      </c>
      <c r="B1112" s="82">
        <f ca="1">IFERROR(R1112+COUNTIFS($R$11:$R1112,R1112),"")</f>
        <v>40717</v>
      </c>
      <c r="C1112" s="83" t="str">
        <f ca="1">IF(MOD(COUNTIF($Q$11:Q1111,Q1111),5)=0,OFFSET(装备属性!$D$1083,1+INT(COUNTA($Q$11:Q1111)/5),0),C1111)</f>
        <v>粉</v>
      </c>
      <c r="D1112" s="82">
        <f t="shared" si="53"/>
        <v>2500</v>
      </c>
      <c r="F1112" s="82">
        <f ca="1" t="shared" si="52"/>
        <v>40703</v>
      </c>
      <c r="G1112" s="78" t="str">
        <f ca="1">IF(AND(LEFT("[{"&amp;M1112&amp;","&amp;CEILING(N1112*10000+(O1112-N1112)/4*(COUNTIF($F$11:F1112,F1112)-1)*10000,10)&amp;"}]",7)="[{equip",MID("[{"&amp;M1112&amp;","&amp;CEILING(N1112*10000+(O1112-N1112)/4*(COUNTIF($F$11:F1112,F1112)-1)*10000,10)&amp;"}]",8,1)&lt;&gt;"_"),"[{"&amp;M1112&amp;","&amp;1&amp;"}]","[{"&amp;M1112&amp;","&amp;CEILING(N1112*10000+(O1112-N1112)/4*(COUNTIF($F$11:F1112,F1112)-1)*10000,10)&amp;"}]")</f>
        <v>[{equip_base_attr,2500}]</v>
      </c>
      <c r="H1112" s="82" t="s">
        <v>563</v>
      </c>
      <c r="J1112" s="78">
        <f ca="1">IF(MOD(COUNTIF($Q$11:Q1111,Q1111),5)=0,OFFSET(装备属性!$P$1083,1+INT(COUNTA($Q$11:Q1111)/5),0),J1111)</f>
        <v>7</v>
      </c>
      <c r="K1112" s="83" t="str">
        <f ca="1">IF(RIGHT(G1112,13)="rune_slot,1}]",_xlfn.XLOOKUP(LEFT(SUBSTITUTE(G1112,"[{",""),FIND(",",SUBSTITUTE(G1112,"[{",""))-1),Sheet2!B:B,Sheet2!C:C)&amp;"+"&amp;1,_xlfn.XLOOKUP(LEFT(SUBSTITUTE(G1112,"[{",""),FIND(",",SUBSTITUTE(G1112,"[{",""))-1),Sheet2!B:B,Sheet2!C:C)&amp;"+"&amp;SUBSTITUTE(RIGHT(G1112,LEN(G1112)-FIND(",",G1112)),"}]","")/100&amp;"%")</f>
        <v>装备基础属性加成+25%</v>
      </c>
      <c r="L1112" s="83" t="str">
        <f ca="1">IF(MOD(COUNTIF($Q$11:Q1111,Q1111),5)=0,OFFSET(装备属性!$G$1083,1+INT(COUNTA($Q$11:Q1111)/5),0),L1111)</f>
        <v>厚底子</v>
      </c>
      <c r="M1112" s="89" t="str">
        <f ca="1">IF(MOD(COUNTIF($Q$11:Q1111,Q1111),5)=0,OFFSET(装备属性!$H$1083,1+INT(COUNTA($Q$11:Q1111)/5),0),M1111)</f>
        <v>equip_base_attr</v>
      </c>
      <c r="N1112" s="76">
        <f ca="1">IF(MOD(COUNTIF($Q$11:Q1111,Q1111),5)=0,OFFSET(装备属性!$K$1083,1+INT(COUNTA($Q$11:Q1111)/5),0),N1111)</f>
        <v>0.25</v>
      </c>
      <c r="O1112" s="76">
        <f ca="1">IF(MOD(COUNTIF($Q$11:Q1111,Q1111),5)=0,OFFSET(装备属性!$L$1083,1+INT(COUNTA($Q$11:Q1111)/5),0),O1111)</f>
        <v>0.25</v>
      </c>
      <c r="Q1112" s="89" t="str">
        <f ca="1">IF(MOD(COUNTIF($Q$11:Q1111,Q1111),5)=0,OFFSET(装备属性!$M$1083,1+INT(COUNTA($Q$11:Q1111)/5),0),Q1111)</f>
        <v>稀有词条</v>
      </c>
      <c r="R1112" s="83">
        <f ca="1">IF(MOD(COUNTIF($Q$11:Q1111,Q1111),5)=0,10000*SUBSTITUTE(SUBSTITUTE(OFFSET(装备属性!$F$1083,1+INT(COUNTA($Q$11:Q1111)/5),0),"[",""),"]","")+_xlfn.XLOOKUP(C1112,$M$3:$M$7,$N$3:$N$7)*100,R1111)</f>
        <v>40700</v>
      </c>
    </row>
    <row r="1113" customHeight="1" spans="1:18">
      <c r="A1113" s="78">
        <f ca="1" t="shared" si="51"/>
        <v>40703</v>
      </c>
      <c r="B1113" s="82">
        <f ca="1">IFERROR(R1113+COUNTIFS($R$11:$R1113,R1113),"")</f>
        <v>40718</v>
      </c>
      <c r="C1113" s="83" t="str">
        <f ca="1">IF(MOD(COUNTIF($Q$11:Q1112,Q1112),5)=0,OFFSET(装备属性!$D$1083,1+INT(COUNTA($Q$11:Q1112)/5),0),C1112)</f>
        <v>粉</v>
      </c>
      <c r="D1113" s="82">
        <f t="shared" si="53"/>
        <v>2000</v>
      </c>
      <c r="F1113" s="82">
        <f ca="1" t="shared" si="52"/>
        <v>40703</v>
      </c>
      <c r="G1113" s="78" t="str">
        <f ca="1">IF(AND(LEFT("[{"&amp;M1113&amp;","&amp;CEILING(N1113*10000+(O1113-N1113)/4*(COUNTIF($F$11:F1113,F1113)-1)*10000,10)&amp;"}]",7)="[{equip",MID("[{"&amp;M1113&amp;","&amp;CEILING(N1113*10000+(O1113-N1113)/4*(COUNTIF($F$11:F1113,F1113)-1)*10000,10)&amp;"}]",8,1)&lt;&gt;"_"),"[{"&amp;M1113&amp;","&amp;1&amp;"}]","[{"&amp;M1113&amp;","&amp;CEILING(N1113*10000+(O1113-N1113)/4*(COUNTIF($F$11:F1113,F1113)-1)*10000,10)&amp;"}]")</f>
        <v>[{equip_base_attr,2500}]</v>
      </c>
      <c r="H1113" s="82" t="s">
        <v>563</v>
      </c>
      <c r="J1113" s="78">
        <f ca="1">IF(MOD(COUNTIF($Q$11:Q1112,Q1112),5)=0,OFFSET(装备属性!$P$1083,1+INT(COUNTA($Q$11:Q1112)/5),0),J1112)</f>
        <v>7</v>
      </c>
      <c r="K1113" s="83" t="str">
        <f ca="1">IF(RIGHT(G1113,13)="rune_slot,1}]",_xlfn.XLOOKUP(LEFT(SUBSTITUTE(G1113,"[{",""),FIND(",",SUBSTITUTE(G1113,"[{",""))-1),Sheet2!B:B,Sheet2!C:C)&amp;"+"&amp;1,_xlfn.XLOOKUP(LEFT(SUBSTITUTE(G1113,"[{",""),FIND(",",SUBSTITUTE(G1113,"[{",""))-1),Sheet2!B:B,Sheet2!C:C)&amp;"+"&amp;SUBSTITUTE(RIGHT(G1113,LEN(G1113)-FIND(",",G1113)),"}]","")/100&amp;"%")</f>
        <v>装备基础属性加成+25%</v>
      </c>
      <c r="L1113" s="83" t="str">
        <f ca="1">IF(MOD(COUNTIF($Q$11:Q1112,Q1112),5)=0,OFFSET(装备属性!$G$1083,1+INT(COUNTA($Q$11:Q1112)/5),0),L1112)</f>
        <v>厚底子</v>
      </c>
      <c r="M1113" s="89" t="str">
        <f ca="1">IF(MOD(COUNTIF($Q$11:Q1112,Q1112),5)=0,OFFSET(装备属性!$H$1083,1+INT(COUNTA($Q$11:Q1112)/5),0),M1112)</f>
        <v>equip_base_attr</v>
      </c>
      <c r="N1113" s="76">
        <f ca="1">IF(MOD(COUNTIF($Q$11:Q1112,Q1112),5)=0,OFFSET(装备属性!$K$1083,1+INT(COUNTA($Q$11:Q1112)/5),0),N1112)</f>
        <v>0.25</v>
      </c>
      <c r="O1113" s="76">
        <f ca="1">IF(MOD(COUNTIF($Q$11:Q1112,Q1112),5)=0,OFFSET(装备属性!$L$1083,1+INT(COUNTA($Q$11:Q1112)/5),0),O1112)</f>
        <v>0.25</v>
      </c>
      <c r="Q1113" s="89" t="str">
        <f ca="1">IF(MOD(COUNTIF($Q$11:Q1112,Q1112),5)=0,OFFSET(装备属性!$M$1083,1+INT(COUNTA($Q$11:Q1112)/5),0),Q1112)</f>
        <v>稀有词条</v>
      </c>
      <c r="R1113" s="83">
        <f ca="1">IF(MOD(COUNTIF($Q$11:Q1112,Q1112),5)=0,10000*SUBSTITUTE(SUBSTITUTE(OFFSET(装备属性!$F$1083,1+INT(COUNTA($Q$11:Q1112)/5),0),"[",""),"]","")+_xlfn.XLOOKUP(C1113,$M$3:$M$7,$N$3:$N$7)*100,R1112)</f>
        <v>40700</v>
      </c>
    </row>
    <row r="1114" customHeight="1" spans="1:18">
      <c r="A1114" s="78">
        <f ca="1" t="shared" si="51"/>
        <v>40703</v>
      </c>
      <c r="B1114" s="82">
        <f ca="1">IFERROR(R1114+COUNTIFS($R$11:$R1114,R1114),"")</f>
        <v>40719</v>
      </c>
      <c r="C1114" s="83" t="str">
        <f ca="1">IF(MOD(COUNTIF($Q$11:Q1113,Q1113),5)=0,OFFSET(装备属性!$D$1083,1+INT(COUNTA($Q$11:Q1113)/5),0),C1113)</f>
        <v>粉</v>
      </c>
      <c r="D1114" s="82">
        <f t="shared" si="53"/>
        <v>1500</v>
      </c>
      <c r="F1114" s="82">
        <f ca="1" t="shared" si="52"/>
        <v>40703</v>
      </c>
      <c r="G1114" s="78" t="str">
        <f ca="1">IF(AND(LEFT("[{"&amp;M1114&amp;","&amp;CEILING(N1114*10000+(O1114-N1114)/4*(COUNTIF($F$11:F1114,F1114)-1)*10000,10)&amp;"}]",7)="[{equip",MID("[{"&amp;M1114&amp;","&amp;CEILING(N1114*10000+(O1114-N1114)/4*(COUNTIF($F$11:F1114,F1114)-1)*10000,10)&amp;"}]",8,1)&lt;&gt;"_"),"[{"&amp;M1114&amp;","&amp;1&amp;"}]","[{"&amp;M1114&amp;","&amp;CEILING(N1114*10000+(O1114-N1114)/4*(COUNTIF($F$11:F1114,F1114)-1)*10000,10)&amp;"}]")</f>
        <v>[{equip_base_attr,2500}]</v>
      </c>
      <c r="H1114" s="82" t="s">
        <v>563</v>
      </c>
      <c r="J1114" s="78">
        <f ca="1">IF(MOD(COUNTIF($Q$11:Q1113,Q1113),5)=0,OFFSET(装备属性!$P$1083,1+INT(COUNTA($Q$11:Q1113)/5),0),J1113)</f>
        <v>7</v>
      </c>
      <c r="K1114" s="83" t="str">
        <f ca="1">IF(RIGHT(G1114,13)="rune_slot,1}]",_xlfn.XLOOKUP(LEFT(SUBSTITUTE(G1114,"[{",""),FIND(",",SUBSTITUTE(G1114,"[{",""))-1),Sheet2!B:B,Sheet2!C:C)&amp;"+"&amp;1,_xlfn.XLOOKUP(LEFT(SUBSTITUTE(G1114,"[{",""),FIND(",",SUBSTITUTE(G1114,"[{",""))-1),Sheet2!B:B,Sheet2!C:C)&amp;"+"&amp;SUBSTITUTE(RIGHT(G1114,LEN(G1114)-FIND(",",G1114)),"}]","")/100&amp;"%")</f>
        <v>装备基础属性加成+25%</v>
      </c>
      <c r="L1114" s="83" t="str">
        <f ca="1">IF(MOD(COUNTIF($Q$11:Q1113,Q1113),5)=0,OFFSET(装备属性!$G$1083,1+INT(COUNTA($Q$11:Q1113)/5),0),L1113)</f>
        <v>厚底子</v>
      </c>
      <c r="M1114" s="89" t="str">
        <f ca="1">IF(MOD(COUNTIF($Q$11:Q1113,Q1113),5)=0,OFFSET(装备属性!$H$1083,1+INT(COUNTA($Q$11:Q1113)/5),0),M1113)</f>
        <v>equip_base_attr</v>
      </c>
      <c r="N1114" s="76">
        <f ca="1">IF(MOD(COUNTIF($Q$11:Q1113,Q1113),5)=0,OFFSET(装备属性!$K$1083,1+INT(COUNTA($Q$11:Q1113)/5),0),N1113)</f>
        <v>0.25</v>
      </c>
      <c r="O1114" s="76">
        <f ca="1">IF(MOD(COUNTIF($Q$11:Q1113,Q1113),5)=0,OFFSET(装备属性!$L$1083,1+INT(COUNTA($Q$11:Q1113)/5),0),O1113)</f>
        <v>0.25</v>
      </c>
      <c r="Q1114" s="89" t="str">
        <f ca="1">IF(MOD(COUNTIF($Q$11:Q1113,Q1113),5)=0,OFFSET(装备属性!$M$1083,1+INT(COUNTA($Q$11:Q1113)/5),0),Q1113)</f>
        <v>稀有词条</v>
      </c>
      <c r="R1114" s="83">
        <f ca="1">IF(MOD(COUNTIF($Q$11:Q1113,Q1113),5)=0,10000*SUBSTITUTE(SUBSTITUTE(OFFSET(装备属性!$F$1083,1+INT(COUNTA($Q$11:Q1113)/5),0),"[",""),"]","")+_xlfn.XLOOKUP(C1114,$M$3:$M$7,$N$3:$N$7)*100,R1113)</f>
        <v>40700</v>
      </c>
    </row>
    <row r="1115" customHeight="1" spans="1:18">
      <c r="A1115" s="78">
        <f ca="1" t="shared" si="51"/>
        <v>40703</v>
      </c>
      <c r="B1115" s="82">
        <f ca="1">IFERROR(R1115+COUNTIFS($R$11:$R1115,R1115),"")</f>
        <v>40720</v>
      </c>
      <c r="C1115" s="83" t="str">
        <f ca="1">IF(MOD(COUNTIF($Q$11:Q1114,Q1114),5)=0,OFFSET(装备属性!$D$1083,1+INT(COUNTA($Q$11:Q1114)/5),0),C1114)</f>
        <v>粉</v>
      </c>
      <c r="D1115" s="82">
        <f t="shared" si="53"/>
        <v>1000</v>
      </c>
      <c r="F1115" s="82">
        <f ca="1" t="shared" si="52"/>
        <v>40703</v>
      </c>
      <c r="G1115" s="78" t="str">
        <f ca="1">IF(AND(LEFT("[{"&amp;M1115&amp;","&amp;CEILING(N1115*10000+(O1115-N1115)/4*(COUNTIF($F$11:F1115,F1115)-1)*10000,10)&amp;"}]",7)="[{equip",MID("[{"&amp;M1115&amp;","&amp;CEILING(N1115*10000+(O1115-N1115)/4*(COUNTIF($F$11:F1115,F1115)-1)*10000,10)&amp;"}]",8,1)&lt;&gt;"_"),"[{"&amp;M1115&amp;","&amp;1&amp;"}]","[{"&amp;M1115&amp;","&amp;CEILING(N1115*10000+(O1115-N1115)/4*(COUNTIF($F$11:F1115,F1115)-1)*10000,10)&amp;"}]")</f>
        <v>[{equip_base_attr,2500}]</v>
      </c>
      <c r="H1115" s="82" t="s">
        <v>563</v>
      </c>
      <c r="J1115" s="78">
        <f ca="1">IF(MOD(COUNTIF($Q$11:Q1114,Q1114),5)=0,OFFSET(装备属性!$P$1083,1+INT(COUNTA($Q$11:Q1114)/5),0),J1114)</f>
        <v>7</v>
      </c>
      <c r="K1115" s="83" t="str">
        <f ca="1">IF(RIGHT(G1115,13)="rune_slot,1}]",_xlfn.XLOOKUP(LEFT(SUBSTITUTE(G1115,"[{",""),FIND(",",SUBSTITUTE(G1115,"[{",""))-1),Sheet2!B:B,Sheet2!C:C)&amp;"+"&amp;1,_xlfn.XLOOKUP(LEFT(SUBSTITUTE(G1115,"[{",""),FIND(",",SUBSTITUTE(G1115,"[{",""))-1),Sheet2!B:B,Sheet2!C:C)&amp;"+"&amp;SUBSTITUTE(RIGHT(G1115,LEN(G1115)-FIND(",",G1115)),"}]","")/100&amp;"%")</f>
        <v>装备基础属性加成+25%</v>
      </c>
      <c r="L1115" s="83" t="str">
        <f ca="1">IF(MOD(COUNTIF($Q$11:Q1114,Q1114),5)=0,OFFSET(装备属性!$G$1083,1+INT(COUNTA($Q$11:Q1114)/5),0),L1114)</f>
        <v>厚底子</v>
      </c>
      <c r="M1115" s="89" t="str">
        <f ca="1">IF(MOD(COUNTIF($Q$11:Q1114,Q1114),5)=0,OFFSET(装备属性!$H$1083,1+INT(COUNTA($Q$11:Q1114)/5),0),M1114)</f>
        <v>equip_base_attr</v>
      </c>
      <c r="N1115" s="76">
        <f ca="1">IF(MOD(COUNTIF($Q$11:Q1114,Q1114),5)=0,OFFSET(装备属性!$K$1083,1+INT(COUNTA($Q$11:Q1114)/5),0),N1114)</f>
        <v>0.25</v>
      </c>
      <c r="O1115" s="76">
        <f ca="1">IF(MOD(COUNTIF($Q$11:Q1114,Q1114),5)=0,OFFSET(装备属性!$L$1083,1+INT(COUNTA($Q$11:Q1114)/5),0),O1114)</f>
        <v>0.25</v>
      </c>
      <c r="Q1115" s="89" t="str">
        <f ca="1">IF(MOD(COUNTIF($Q$11:Q1114,Q1114),5)=0,OFFSET(装备属性!$M$1083,1+INT(COUNTA($Q$11:Q1114)/5),0),Q1114)</f>
        <v>稀有词条</v>
      </c>
      <c r="R1115" s="83">
        <f ca="1">IF(MOD(COUNTIF($Q$11:Q1114,Q1114),5)=0,10000*SUBSTITUTE(SUBSTITUTE(OFFSET(装备属性!$F$1083,1+INT(COUNTA($Q$11:Q1114)/5),0),"[",""),"]","")+_xlfn.XLOOKUP(C1115,$M$3:$M$7,$N$3:$N$7)*100,R1114)</f>
        <v>40700</v>
      </c>
    </row>
    <row r="1116" customHeight="1" spans="1:18">
      <c r="A1116" s="78" t="str">
        <f ca="1" t="shared" si="51"/>
        <v/>
      </c>
      <c r="B1116" s="82" t="str">
        <f ca="1">IFERROR(R1116+COUNTIFS($R$11:$R1116,R1116),"")</f>
        <v/>
      </c>
      <c r="C1116" s="83">
        <f ca="1">IF(MOD(COUNTIF($Q$11:Q1115,Q1115),5)=0,OFFSET(装备属性!$D$1083,1+INT(COUNTA($Q$11:Q1115)/5),0),C1115)</f>
        <v>0</v>
      </c>
      <c r="D1116" s="82">
        <f t="shared" si="53"/>
        <v>3000</v>
      </c>
      <c r="F1116" s="82" t="str">
        <f ca="1" t="shared" si="52"/>
        <v/>
      </c>
      <c r="G1116" s="78" t="str">
        <f ca="1">IF(AND(LEFT("[{"&amp;M1116&amp;","&amp;CEILING(N1116*10000+(O1116-N1116)/4*(COUNTIF($F$11:F1116,F1116)-1)*10000,10)&amp;"}]",7)="[{equip",MID("[{"&amp;M1116&amp;","&amp;CEILING(N1116*10000+(O1116-N1116)/4*(COUNTIF($F$11:F1116,F1116)-1)*10000,10)&amp;"}]",8,1)&lt;&gt;"_"),"[{"&amp;M1116&amp;","&amp;1&amp;"}]","[{"&amp;M1116&amp;","&amp;CEILING(N1116*10000+(O1116-N1116)/4*(COUNTIF($F$11:F1116,F1116)-1)*10000,10)&amp;"}]")</f>
        <v>[{equip_extra_attr,5000}]</v>
      </c>
      <c r="H1116" s="82" t="s">
        <v>563</v>
      </c>
      <c r="J1116" s="78">
        <f ca="1">IF(MOD(COUNTIF($Q$11:Q1115,Q1115),5)=0,OFFSET(装备属性!$P$1083,1+INT(COUNTA($Q$11:Q1115)/5),0),J1115)</f>
        <v>8</v>
      </c>
      <c r="K1116" s="83" t="str">
        <f ca="1">IF(RIGHT(G1116,13)="rune_slot,1}]",_xlfn.XLOOKUP(LEFT(SUBSTITUTE(G1116,"[{",""),FIND(",",SUBSTITUTE(G1116,"[{",""))-1),Sheet2!B:B,Sheet2!C:C)&amp;"+"&amp;1,_xlfn.XLOOKUP(LEFT(SUBSTITUTE(G1116,"[{",""),FIND(",",SUBSTITUTE(G1116,"[{",""))-1),Sheet2!B:B,Sheet2!C:C)&amp;"+"&amp;SUBSTITUTE(RIGHT(G1116,LEN(G1116)-FIND(",",G1116)),"}]","")/100&amp;"%")</f>
        <v>装备附加属性加成+50%</v>
      </c>
      <c r="L1116" s="83" t="str">
        <f ca="1">IF(MOD(COUNTIF($Q$11:Q1115,Q1115),5)=0,OFFSET(装备属性!$G$1083,1+INT(COUNTA($Q$11:Q1115)/5),0),L1115)</f>
        <v>提成色</v>
      </c>
      <c r="M1116" s="89" t="str">
        <f ca="1">IF(MOD(COUNTIF($Q$11:Q1115,Q1115),5)=0,OFFSET(装备属性!$H$1083,1+INT(COUNTA($Q$11:Q1115)/5),0),M1115)</f>
        <v>equip_extra_attr</v>
      </c>
      <c r="N1116" s="76">
        <f ca="1">IF(MOD(COUNTIF($Q$11:Q1115,Q1115),5)=0,OFFSET(装备属性!$K$1083,1+INT(COUNTA($Q$11:Q1115)/5),0),N1115)</f>
        <v>0.5</v>
      </c>
      <c r="O1116" s="76">
        <f ca="1">IF(MOD(COUNTIF($Q$11:Q1115,Q1115),5)=0,OFFSET(装备属性!$L$1083,1+INT(COUNTA($Q$11:Q1115)/5),0),O1115)</f>
        <v>0.5</v>
      </c>
      <c r="Q1116" s="89" t="str">
        <f ca="1">IF(MOD(COUNTIF($Q$11:Q1115,Q1115),5)=0,OFFSET(装备属性!$M$1083,1+INT(COUNTA($Q$11:Q1115)/5),0),Q1115)</f>
        <v>稀有词条</v>
      </c>
      <c r="R1116" s="83" t="e">
        <f ca="1">IF(MOD(COUNTIF($Q$11:Q1115,Q1115),5)=0,10000*SUBSTITUTE(SUBSTITUTE(OFFSET(装备属性!$F$1083,1+INT(COUNTA($Q$11:Q1115)/5),0),"[",""),"]","")+_xlfn.XLOOKUP(C1116,$M$3:$M$7,$N$3:$N$7)*100,R1115)</f>
        <v>#N/A</v>
      </c>
    </row>
    <row r="1117" customHeight="1" spans="1:18">
      <c r="A1117" s="78" t="str">
        <f ca="1" t="shared" si="51"/>
        <v/>
      </c>
      <c r="B1117" s="82" t="str">
        <f ca="1">IFERROR(R1117+COUNTIFS($R$11:$R1117,R1117),"")</f>
        <v/>
      </c>
      <c r="C1117" s="83">
        <f ca="1">IF(MOD(COUNTIF($Q$11:Q1116,Q1116),5)=0,OFFSET(装备属性!$D$1083,1+INT(COUNTA($Q$11:Q1116)/5),0),C1116)</f>
        <v>0</v>
      </c>
      <c r="D1117" s="82">
        <f t="shared" si="53"/>
        <v>2500</v>
      </c>
      <c r="F1117" s="82" t="str">
        <f ca="1" t="shared" si="52"/>
        <v/>
      </c>
      <c r="G1117" s="78" t="str">
        <f ca="1">IF(AND(LEFT("[{"&amp;M1117&amp;","&amp;CEILING(N1117*10000+(O1117-N1117)/4*(COUNTIF($F$11:F1117,F1117)-1)*10000,10)&amp;"}]",7)="[{equip",MID("[{"&amp;M1117&amp;","&amp;CEILING(N1117*10000+(O1117-N1117)/4*(COUNTIF($F$11:F1117,F1117)-1)*10000,10)&amp;"}]",8,1)&lt;&gt;"_"),"[{"&amp;M1117&amp;","&amp;1&amp;"}]","[{"&amp;M1117&amp;","&amp;CEILING(N1117*10000+(O1117-N1117)/4*(COUNTIF($F$11:F1117,F1117)-1)*10000,10)&amp;"}]")</f>
        <v>[{equip_extra_attr,5000}]</v>
      </c>
      <c r="H1117" s="82" t="s">
        <v>563</v>
      </c>
      <c r="J1117" s="78">
        <f ca="1">IF(MOD(COUNTIF($Q$11:Q1116,Q1116),5)=0,OFFSET(装备属性!$P$1083,1+INT(COUNTA($Q$11:Q1116)/5),0),J1116)</f>
        <v>8</v>
      </c>
      <c r="K1117" s="83" t="str">
        <f ca="1">IF(RIGHT(G1117,13)="rune_slot,1}]",_xlfn.XLOOKUP(LEFT(SUBSTITUTE(G1117,"[{",""),FIND(",",SUBSTITUTE(G1117,"[{",""))-1),Sheet2!B:B,Sheet2!C:C)&amp;"+"&amp;1,_xlfn.XLOOKUP(LEFT(SUBSTITUTE(G1117,"[{",""),FIND(",",SUBSTITUTE(G1117,"[{",""))-1),Sheet2!B:B,Sheet2!C:C)&amp;"+"&amp;SUBSTITUTE(RIGHT(G1117,LEN(G1117)-FIND(",",G1117)),"}]","")/100&amp;"%")</f>
        <v>装备附加属性加成+50%</v>
      </c>
      <c r="L1117" s="83" t="str">
        <f ca="1">IF(MOD(COUNTIF($Q$11:Q1116,Q1116),5)=0,OFFSET(装备属性!$G$1083,1+INT(COUNTA($Q$11:Q1116)/5),0),L1116)</f>
        <v>提成色</v>
      </c>
      <c r="M1117" s="89" t="str">
        <f ca="1">IF(MOD(COUNTIF($Q$11:Q1116,Q1116),5)=0,OFFSET(装备属性!$H$1083,1+INT(COUNTA($Q$11:Q1116)/5),0),M1116)</f>
        <v>equip_extra_attr</v>
      </c>
      <c r="N1117" s="76">
        <f ca="1">IF(MOD(COUNTIF($Q$11:Q1116,Q1116),5)=0,OFFSET(装备属性!$K$1083,1+INT(COUNTA($Q$11:Q1116)/5),0),N1116)</f>
        <v>0.5</v>
      </c>
      <c r="O1117" s="76">
        <f ca="1">IF(MOD(COUNTIF($Q$11:Q1116,Q1116),5)=0,OFFSET(装备属性!$L$1083,1+INT(COUNTA($Q$11:Q1116)/5),0),O1116)</f>
        <v>0.5</v>
      </c>
      <c r="Q1117" s="89" t="str">
        <f ca="1">IF(MOD(COUNTIF($Q$11:Q1116,Q1116),5)=0,OFFSET(装备属性!$M$1083,1+INT(COUNTA($Q$11:Q1116)/5),0),Q1116)</f>
        <v>稀有词条</v>
      </c>
      <c r="R1117" s="83" t="e">
        <f ca="1">IF(MOD(COUNTIF($Q$11:Q1116,Q1116),5)=0,10000*SUBSTITUTE(SUBSTITUTE(OFFSET(装备属性!$F$1083,1+INT(COUNTA($Q$11:Q1116)/5),0),"[",""),"]","")+_xlfn.XLOOKUP(C1117,$M$3:$M$7,$N$3:$N$7)*100,R1116)</f>
        <v>#N/A</v>
      </c>
    </row>
    <row r="1118" customHeight="1" spans="1:18">
      <c r="A1118" s="78" t="str">
        <f ca="1" t="shared" si="51"/>
        <v/>
      </c>
      <c r="B1118" s="82" t="str">
        <f ca="1">IFERROR(R1118+COUNTIFS($R$11:$R1118,R1118),"")</f>
        <v/>
      </c>
      <c r="C1118" s="83">
        <f ca="1">IF(MOD(COUNTIF($Q$11:Q1117,Q1117),5)=0,OFFSET(装备属性!$D$1083,1+INT(COUNTA($Q$11:Q1117)/5),0),C1117)</f>
        <v>0</v>
      </c>
      <c r="D1118" s="82">
        <f t="shared" si="53"/>
        <v>2000</v>
      </c>
      <c r="F1118" s="82" t="str">
        <f ca="1" t="shared" si="52"/>
        <v/>
      </c>
      <c r="G1118" s="78" t="str">
        <f ca="1">IF(AND(LEFT("[{"&amp;M1118&amp;","&amp;CEILING(N1118*10000+(O1118-N1118)/4*(COUNTIF($F$11:F1118,F1118)-1)*10000,10)&amp;"}]",7)="[{equip",MID("[{"&amp;M1118&amp;","&amp;CEILING(N1118*10000+(O1118-N1118)/4*(COUNTIF($F$11:F1118,F1118)-1)*10000,10)&amp;"}]",8,1)&lt;&gt;"_"),"[{"&amp;M1118&amp;","&amp;1&amp;"}]","[{"&amp;M1118&amp;","&amp;CEILING(N1118*10000+(O1118-N1118)/4*(COUNTIF($F$11:F1118,F1118)-1)*10000,10)&amp;"}]")</f>
        <v>[{equip_extra_attr,5000}]</v>
      </c>
      <c r="H1118" s="82" t="s">
        <v>563</v>
      </c>
      <c r="J1118" s="78">
        <f ca="1">IF(MOD(COUNTIF($Q$11:Q1117,Q1117),5)=0,OFFSET(装备属性!$P$1083,1+INT(COUNTA($Q$11:Q1117)/5),0),J1117)</f>
        <v>8</v>
      </c>
      <c r="K1118" s="83" t="str">
        <f ca="1">IF(RIGHT(G1118,13)="rune_slot,1}]",_xlfn.XLOOKUP(LEFT(SUBSTITUTE(G1118,"[{",""),FIND(",",SUBSTITUTE(G1118,"[{",""))-1),Sheet2!B:B,Sheet2!C:C)&amp;"+"&amp;1,_xlfn.XLOOKUP(LEFT(SUBSTITUTE(G1118,"[{",""),FIND(",",SUBSTITUTE(G1118,"[{",""))-1),Sheet2!B:B,Sheet2!C:C)&amp;"+"&amp;SUBSTITUTE(RIGHT(G1118,LEN(G1118)-FIND(",",G1118)),"}]","")/100&amp;"%")</f>
        <v>装备附加属性加成+50%</v>
      </c>
      <c r="L1118" s="83" t="str">
        <f ca="1">IF(MOD(COUNTIF($Q$11:Q1117,Q1117),5)=0,OFFSET(装备属性!$G$1083,1+INT(COUNTA($Q$11:Q1117)/5),0),L1117)</f>
        <v>提成色</v>
      </c>
      <c r="M1118" s="89" t="str">
        <f ca="1">IF(MOD(COUNTIF($Q$11:Q1117,Q1117),5)=0,OFFSET(装备属性!$H$1083,1+INT(COUNTA($Q$11:Q1117)/5),0),M1117)</f>
        <v>equip_extra_attr</v>
      </c>
      <c r="N1118" s="76">
        <f ca="1">IF(MOD(COUNTIF($Q$11:Q1117,Q1117),5)=0,OFFSET(装备属性!$K$1083,1+INT(COUNTA($Q$11:Q1117)/5),0),N1117)</f>
        <v>0.5</v>
      </c>
      <c r="O1118" s="76">
        <f ca="1">IF(MOD(COUNTIF($Q$11:Q1117,Q1117),5)=0,OFFSET(装备属性!$L$1083,1+INT(COUNTA($Q$11:Q1117)/5),0),O1117)</f>
        <v>0.5</v>
      </c>
      <c r="Q1118" s="89" t="str">
        <f ca="1">IF(MOD(COUNTIF($Q$11:Q1117,Q1117),5)=0,OFFSET(装备属性!$M$1083,1+INT(COUNTA($Q$11:Q1117)/5),0),Q1117)</f>
        <v>稀有词条</v>
      </c>
      <c r="R1118" s="83" t="e">
        <f ca="1">IF(MOD(COUNTIF($Q$11:Q1117,Q1117),5)=0,10000*SUBSTITUTE(SUBSTITUTE(OFFSET(装备属性!$F$1083,1+INT(COUNTA($Q$11:Q1117)/5),0),"[",""),"]","")+_xlfn.XLOOKUP(C1118,$M$3:$M$7,$N$3:$N$7)*100,R1117)</f>
        <v>#N/A</v>
      </c>
    </row>
    <row r="1119" customHeight="1" spans="1:18">
      <c r="A1119" s="78" t="str">
        <f ca="1" t="shared" si="51"/>
        <v/>
      </c>
      <c r="B1119" s="82" t="str">
        <f ca="1">IFERROR(R1119+COUNTIFS($R$11:$R1119,R1119),"")</f>
        <v/>
      </c>
      <c r="C1119" s="83">
        <f ca="1">IF(MOD(COUNTIF($Q$11:Q1118,Q1118),5)=0,OFFSET(装备属性!$D$1083,1+INT(COUNTA($Q$11:Q1118)/5),0),C1118)</f>
        <v>0</v>
      </c>
      <c r="D1119" s="82">
        <f t="shared" si="53"/>
        <v>1500</v>
      </c>
      <c r="F1119" s="82" t="str">
        <f ca="1" t="shared" si="52"/>
        <v/>
      </c>
      <c r="G1119" s="78" t="str">
        <f ca="1">IF(AND(LEFT("[{"&amp;M1119&amp;","&amp;CEILING(N1119*10000+(O1119-N1119)/4*(COUNTIF($F$11:F1119,F1119)-1)*10000,10)&amp;"}]",7)="[{equip",MID("[{"&amp;M1119&amp;","&amp;CEILING(N1119*10000+(O1119-N1119)/4*(COUNTIF($F$11:F1119,F1119)-1)*10000,10)&amp;"}]",8,1)&lt;&gt;"_"),"[{"&amp;M1119&amp;","&amp;1&amp;"}]","[{"&amp;M1119&amp;","&amp;CEILING(N1119*10000+(O1119-N1119)/4*(COUNTIF($F$11:F1119,F1119)-1)*10000,10)&amp;"}]")</f>
        <v>[{equip_extra_attr,5000}]</v>
      </c>
      <c r="H1119" s="82" t="s">
        <v>563</v>
      </c>
      <c r="J1119" s="78">
        <f ca="1">IF(MOD(COUNTIF($Q$11:Q1118,Q1118),5)=0,OFFSET(装备属性!$P$1083,1+INT(COUNTA($Q$11:Q1118)/5),0),J1118)</f>
        <v>8</v>
      </c>
      <c r="K1119" s="83" t="str">
        <f ca="1">IF(RIGHT(G1119,13)="rune_slot,1}]",_xlfn.XLOOKUP(LEFT(SUBSTITUTE(G1119,"[{",""),FIND(",",SUBSTITUTE(G1119,"[{",""))-1),Sheet2!B:B,Sheet2!C:C)&amp;"+"&amp;1,_xlfn.XLOOKUP(LEFT(SUBSTITUTE(G1119,"[{",""),FIND(",",SUBSTITUTE(G1119,"[{",""))-1),Sheet2!B:B,Sheet2!C:C)&amp;"+"&amp;SUBSTITUTE(RIGHT(G1119,LEN(G1119)-FIND(",",G1119)),"}]","")/100&amp;"%")</f>
        <v>装备附加属性加成+50%</v>
      </c>
      <c r="L1119" s="83" t="str">
        <f ca="1">IF(MOD(COUNTIF($Q$11:Q1118,Q1118),5)=0,OFFSET(装备属性!$G$1083,1+INT(COUNTA($Q$11:Q1118)/5),0),L1118)</f>
        <v>提成色</v>
      </c>
      <c r="M1119" s="89" t="str">
        <f ca="1">IF(MOD(COUNTIF($Q$11:Q1118,Q1118),5)=0,OFFSET(装备属性!$H$1083,1+INT(COUNTA($Q$11:Q1118)/5),0),M1118)</f>
        <v>equip_extra_attr</v>
      </c>
      <c r="N1119" s="76">
        <f ca="1">IF(MOD(COUNTIF($Q$11:Q1118,Q1118),5)=0,OFFSET(装备属性!$K$1083,1+INT(COUNTA($Q$11:Q1118)/5),0),N1118)</f>
        <v>0.5</v>
      </c>
      <c r="O1119" s="76">
        <f ca="1">IF(MOD(COUNTIF($Q$11:Q1118,Q1118),5)=0,OFFSET(装备属性!$L$1083,1+INT(COUNTA($Q$11:Q1118)/5),0),O1118)</f>
        <v>0.5</v>
      </c>
      <c r="Q1119" s="89" t="str">
        <f ca="1">IF(MOD(COUNTIF($Q$11:Q1118,Q1118),5)=0,OFFSET(装备属性!$M$1083,1+INT(COUNTA($Q$11:Q1118)/5),0),Q1118)</f>
        <v>稀有词条</v>
      </c>
      <c r="R1119" s="83" t="e">
        <f ca="1">IF(MOD(COUNTIF($Q$11:Q1118,Q1118),5)=0,10000*SUBSTITUTE(SUBSTITUTE(OFFSET(装备属性!$F$1083,1+INT(COUNTA($Q$11:Q1118)/5),0),"[",""),"]","")+_xlfn.XLOOKUP(C1119,$M$3:$M$7,$N$3:$N$7)*100,R1118)</f>
        <v>#N/A</v>
      </c>
    </row>
    <row r="1120" customHeight="1" spans="1:18">
      <c r="A1120" s="78" t="str">
        <f ca="1" t="shared" si="51"/>
        <v/>
      </c>
      <c r="B1120" s="82" t="str">
        <f ca="1">IFERROR(R1120+COUNTIFS($R$11:$R1120,R1120),"")</f>
        <v/>
      </c>
      <c r="C1120" s="83">
        <f ca="1">IF(MOD(COUNTIF($Q$11:Q1119,Q1119),5)=0,OFFSET(装备属性!$D$1083,1+INT(COUNTA($Q$11:Q1119)/5),0),C1119)</f>
        <v>0</v>
      </c>
      <c r="D1120" s="82">
        <f t="shared" si="53"/>
        <v>1000</v>
      </c>
      <c r="F1120" s="82" t="str">
        <f ca="1" t="shared" si="52"/>
        <v/>
      </c>
      <c r="G1120" s="78" t="str">
        <f ca="1">IF(AND(LEFT("[{"&amp;M1120&amp;","&amp;CEILING(N1120*10000+(O1120-N1120)/4*(COUNTIF($F$11:F1120,F1120)-1)*10000,10)&amp;"}]",7)="[{equip",MID("[{"&amp;M1120&amp;","&amp;CEILING(N1120*10000+(O1120-N1120)/4*(COUNTIF($F$11:F1120,F1120)-1)*10000,10)&amp;"}]",8,1)&lt;&gt;"_"),"[{"&amp;M1120&amp;","&amp;1&amp;"}]","[{"&amp;M1120&amp;","&amp;CEILING(N1120*10000+(O1120-N1120)/4*(COUNTIF($F$11:F1120,F1120)-1)*10000,10)&amp;"}]")</f>
        <v>[{equip_extra_attr,5000}]</v>
      </c>
      <c r="H1120" s="82" t="s">
        <v>563</v>
      </c>
      <c r="J1120" s="78">
        <f ca="1">IF(MOD(COUNTIF($Q$11:Q1119,Q1119),5)=0,OFFSET(装备属性!$P$1083,1+INT(COUNTA($Q$11:Q1119)/5),0),J1119)</f>
        <v>8</v>
      </c>
      <c r="K1120" s="83" t="str">
        <f ca="1">IF(RIGHT(G1120,13)="rune_slot,1}]",_xlfn.XLOOKUP(LEFT(SUBSTITUTE(G1120,"[{",""),FIND(",",SUBSTITUTE(G1120,"[{",""))-1),Sheet2!B:B,Sheet2!C:C)&amp;"+"&amp;1,_xlfn.XLOOKUP(LEFT(SUBSTITUTE(G1120,"[{",""),FIND(",",SUBSTITUTE(G1120,"[{",""))-1),Sheet2!B:B,Sheet2!C:C)&amp;"+"&amp;SUBSTITUTE(RIGHT(G1120,LEN(G1120)-FIND(",",G1120)),"}]","")/100&amp;"%")</f>
        <v>装备附加属性加成+50%</v>
      </c>
      <c r="L1120" s="83" t="str">
        <f ca="1">IF(MOD(COUNTIF($Q$11:Q1119,Q1119),5)=0,OFFSET(装备属性!$G$1083,1+INT(COUNTA($Q$11:Q1119)/5),0),L1119)</f>
        <v>提成色</v>
      </c>
      <c r="M1120" s="89" t="str">
        <f ca="1">IF(MOD(COUNTIF($Q$11:Q1119,Q1119),5)=0,OFFSET(装备属性!$H$1083,1+INT(COUNTA($Q$11:Q1119)/5),0),M1119)</f>
        <v>equip_extra_attr</v>
      </c>
      <c r="N1120" s="76">
        <f ca="1">IF(MOD(COUNTIF($Q$11:Q1119,Q1119),5)=0,OFFSET(装备属性!$K$1083,1+INT(COUNTA($Q$11:Q1119)/5),0),N1119)</f>
        <v>0.5</v>
      </c>
      <c r="O1120" s="76">
        <f ca="1">IF(MOD(COUNTIF($Q$11:Q1119,Q1119),5)=0,OFFSET(装备属性!$L$1083,1+INT(COUNTA($Q$11:Q1119)/5),0),O1119)</f>
        <v>0.5</v>
      </c>
      <c r="Q1120" s="89" t="str">
        <f ca="1">IF(MOD(COUNTIF($Q$11:Q1119,Q1119),5)=0,OFFSET(装备属性!$M$1083,1+INT(COUNTA($Q$11:Q1119)/5),0),Q1119)</f>
        <v>稀有词条</v>
      </c>
      <c r="R1120" s="83" t="e">
        <f ca="1">IF(MOD(COUNTIF($Q$11:Q1119,Q1119),5)=0,10000*SUBSTITUTE(SUBSTITUTE(OFFSET(装备属性!$F$1083,1+INT(COUNTA($Q$11:Q1119)/5),0),"[",""),"]","")+_xlfn.XLOOKUP(C1120,$M$3:$M$7,$N$3:$N$7)*100,R1119)</f>
        <v>#N/A</v>
      </c>
    </row>
    <row r="1121" customHeight="1" spans="1:18">
      <c r="A1121" s="78" t="str">
        <f ca="1" t="shared" si="51"/>
        <v/>
      </c>
      <c r="B1121" s="82" t="str">
        <f ca="1">IFERROR(R1121+COUNTIFS($R$11:$R1121,R1121),"")</f>
        <v/>
      </c>
      <c r="C1121" s="83">
        <f ca="1">IF(MOD(COUNTIF($Q$11:Q1120,Q1120),5)=0,OFFSET(装备属性!$D$1083,1+INT(COUNTA($Q$11:Q1120)/5),0),C1120)</f>
        <v>0</v>
      </c>
      <c r="D1121" s="82">
        <f t="shared" si="53"/>
        <v>3000</v>
      </c>
      <c r="F1121" s="82" t="str">
        <f ca="1" t="shared" si="52"/>
        <v/>
      </c>
      <c r="G1121" s="78" t="str">
        <f ca="1">IF(AND(LEFT("[{"&amp;M1121&amp;","&amp;CEILING(N1121*10000+(O1121-N1121)/4*(COUNTIF($F$11:F1121,F1121)-1)*10000,10)&amp;"}]",7)="[{equip",MID("[{"&amp;M1121&amp;","&amp;CEILING(N1121*10000+(O1121-N1121)/4*(COUNTIF($F$11:F1121,F1121)-1)*10000,10)&amp;"}]",8,1)&lt;&gt;"_"),"[{"&amp;M1121&amp;","&amp;1&amp;"}]","[{"&amp;M1121&amp;","&amp;CEILING(N1121*10000+(O1121-N1121)/4*(COUNTIF($F$11:F1121,F1121)-1)*10000,10)&amp;"}]")</f>
        <v>[{equip2_rune_slot,1}]</v>
      </c>
      <c r="H1121" s="82" t="s">
        <v>563</v>
      </c>
      <c r="J1121" s="78">
        <f ca="1">IF(MOD(COUNTIF($Q$11:Q1120,Q1120),5)=0,OFFSET(装备属性!$P$1083,1+INT(COUNTA($Q$11:Q1120)/5),0),J1120)</f>
        <v>1</v>
      </c>
      <c r="K1121" s="83" t="str">
        <f ca="1">IF(RIGHT(G1121,13)="rune_slot,1}]",_xlfn.XLOOKUP(LEFT(SUBSTITUTE(G1121,"[{",""),FIND(",",SUBSTITUTE(G1121,"[{",""))-1),Sheet2!B:B,Sheet2!C:C)&amp;"+"&amp;1,_xlfn.XLOOKUP(LEFT(SUBSTITUTE(G1121,"[{",""),FIND(",",SUBSTITUTE(G1121,"[{",""))-1),Sheet2!B:B,Sheet2!C:C)&amp;"+"&amp;SUBSTITUTE(RIGHT(G1121,LEN(G1121)-FIND(",",G1121)),"}]","")/100&amp;"%")</f>
        <v>裤子符文孔位+1</v>
      </c>
      <c r="L1121" s="83" t="str">
        <f ca="1">IF(MOD(COUNTIF($Q$11:Q1120,Q1120),5)=0,OFFSET(装备属性!$G$1083,1+INT(COUNTA($Q$11:Q1120)/5),0),L1120)</f>
        <v>扩符槽</v>
      </c>
      <c r="M1121" s="89" t="str">
        <f ca="1">IF(MOD(COUNTIF($Q$11:Q1120,Q1120),5)=0,OFFSET(装备属性!$H$1083,1+INT(COUNTA($Q$11:Q1120)/5),0),M1120)</f>
        <v>equip2_rune_slot</v>
      </c>
      <c r="N1121" s="76">
        <f ca="1">IF(MOD(COUNTIF($Q$11:Q1120,Q1120),5)=0,OFFSET(装备属性!$K$1083,1+INT(COUNTA($Q$11:Q1120)/5),0),N1120)</f>
        <v>1</v>
      </c>
      <c r="O1121" s="76">
        <f ca="1">IF(MOD(COUNTIF($Q$11:Q1120,Q1120),5)=0,OFFSET(装备属性!$L$1083,1+INT(COUNTA($Q$11:Q1120)/5),0),O1120)</f>
        <v>1</v>
      </c>
      <c r="Q1121" s="89" t="str">
        <f ca="1">IF(MOD(COUNTIF($Q$11:Q1120,Q1120),5)=0,OFFSET(装备属性!$M$1083,1+INT(COUNTA($Q$11:Q1120)/5),0),Q1120)</f>
        <v>稀有词条</v>
      </c>
      <c r="R1121" s="83" t="e">
        <f ca="1">IF(MOD(COUNTIF($Q$11:Q1120,Q1120),5)=0,10000*SUBSTITUTE(SUBSTITUTE(OFFSET(装备属性!$F$1083,1+INT(COUNTA($Q$11:Q1120)/5),0),"[",""),"]","")+_xlfn.XLOOKUP(C1121,$M$3:$M$7,$N$3:$N$7)*100,R1120)</f>
        <v>#N/A</v>
      </c>
    </row>
    <row r="1122" customHeight="1" spans="1:18">
      <c r="A1122" s="78" t="str">
        <f ca="1" t="shared" si="51"/>
        <v/>
      </c>
      <c r="B1122" s="82" t="str">
        <f ca="1">IFERROR(R1122+COUNTIFS($R$11:$R1122,R1122),"")</f>
        <v/>
      </c>
      <c r="C1122" s="83">
        <f ca="1">IF(MOD(COUNTIF($Q$11:Q1121,Q1121),5)=0,OFFSET(装备属性!$D$1083,1+INT(COUNTA($Q$11:Q1121)/5),0),C1121)</f>
        <v>0</v>
      </c>
      <c r="D1122" s="82">
        <f t="shared" si="53"/>
        <v>2500</v>
      </c>
      <c r="F1122" s="82" t="str">
        <f ca="1" t="shared" si="52"/>
        <v/>
      </c>
      <c r="G1122" s="78" t="str">
        <f ca="1">IF(AND(LEFT("[{"&amp;M1122&amp;","&amp;CEILING(N1122*10000+(O1122-N1122)/4*(COUNTIF($F$11:F1122,F1122)-1)*10000,10)&amp;"}]",7)="[{equip",MID("[{"&amp;M1122&amp;","&amp;CEILING(N1122*10000+(O1122-N1122)/4*(COUNTIF($F$11:F1122,F1122)-1)*10000,10)&amp;"}]",8,1)&lt;&gt;"_"),"[{"&amp;M1122&amp;","&amp;1&amp;"}]","[{"&amp;M1122&amp;","&amp;CEILING(N1122*10000+(O1122-N1122)/4*(COUNTIF($F$11:F1122,F1122)-1)*10000,10)&amp;"}]")</f>
        <v>[{equip2_rune_slot,1}]</v>
      </c>
      <c r="H1122" s="82" t="s">
        <v>563</v>
      </c>
      <c r="J1122" s="78">
        <f ca="1">IF(MOD(COUNTIF($Q$11:Q1121,Q1121),5)=0,OFFSET(装备属性!$P$1083,1+INT(COUNTA($Q$11:Q1121)/5),0),J1121)</f>
        <v>1</v>
      </c>
      <c r="K1122" s="83" t="str">
        <f ca="1">IF(RIGHT(G1122,13)="rune_slot,1}]",_xlfn.XLOOKUP(LEFT(SUBSTITUTE(G1122,"[{",""),FIND(",",SUBSTITUTE(G1122,"[{",""))-1),Sheet2!B:B,Sheet2!C:C)&amp;"+"&amp;1,_xlfn.XLOOKUP(LEFT(SUBSTITUTE(G1122,"[{",""),FIND(",",SUBSTITUTE(G1122,"[{",""))-1),Sheet2!B:B,Sheet2!C:C)&amp;"+"&amp;SUBSTITUTE(RIGHT(G1122,LEN(G1122)-FIND(",",G1122)),"}]","")/100&amp;"%")</f>
        <v>裤子符文孔位+1</v>
      </c>
      <c r="L1122" s="83" t="str">
        <f ca="1">IF(MOD(COUNTIF($Q$11:Q1121,Q1121),5)=0,OFFSET(装备属性!$G$1083,1+INT(COUNTA($Q$11:Q1121)/5),0),L1121)</f>
        <v>扩符槽</v>
      </c>
      <c r="M1122" s="89" t="str">
        <f ca="1">IF(MOD(COUNTIF($Q$11:Q1121,Q1121),5)=0,OFFSET(装备属性!$H$1083,1+INT(COUNTA($Q$11:Q1121)/5),0),M1121)</f>
        <v>equip2_rune_slot</v>
      </c>
      <c r="N1122" s="76">
        <f ca="1">IF(MOD(COUNTIF($Q$11:Q1121,Q1121),5)=0,OFFSET(装备属性!$K$1083,1+INT(COUNTA($Q$11:Q1121)/5),0),N1121)</f>
        <v>1</v>
      </c>
      <c r="O1122" s="76">
        <f ca="1">IF(MOD(COUNTIF($Q$11:Q1121,Q1121),5)=0,OFFSET(装备属性!$L$1083,1+INT(COUNTA($Q$11:Q1121)/5),0),O1121)</f>
        <v>1</v>
      </c>
      <c r="Q1122" s="89" t="str">
        <f ca="1">IF(MOD(COUNTIF($Q$11:Q1121,Q1121),5)=0,OFFSET(装备属性!$M$1083,1+INT(COUNTA($Q$11:Q1121)/5),0),Q1121)</f>
        <v>稀有词条</v>
      </c>
      <c r="R1122" s="83" t="e">
        <f ca="1">IF(MOD(COUNTIF($Q$11:Q1121,Q1121),5)=0,10000*SUBSTITUTE(SUBSTITUTE(OFFSET(装备属性!$F$1083,1+INT(COUNTA($Q$11:Q1121)/5),0),"[",""),"]","")+_xlfn.XLOOKUP(C1122,$M$3:$M$7,$N$3:$N$7)*100,R1121)</f>
        <v>#N/A</v>
      </c>
    </row>
    <row r="1123" customHeight="1" spans="1:18">
      <c r="A1123" s="78" t="str">
        <f ca="1" t="shared" si="51"/>
        <v/>
      </c>
      <c r="B1123" s="82" t="str">
        <f ca="1">IFERROR(R1123+COUNTIFS($R$11:$R1123,R1123),"")</f>
        <v/>
      </c>
      <c r="C1123" s="83">
        <f ca="1">IF(MOD(COUNTIF($Q$11:Q1122,Q1122),5)=0,OFFSET(装备属性!$D$1083,1+INT(COUNTA($Q$11:Q1122)/5),0),C1122)</f>
        <v>0</v>
      </c>
      <c r="D1123" s="82">
        <f t="shared" si="53"/>
        <v>2000</v>
      </c>
      <c r="F1123" s="82" t="str">
        <f ca="1" t="shared" si="52"/>
        <v/>
      </c>
      <c r="G1123" s="78" t="str">
        <f ca="1">IF(AND(LEFT("[{"&amp;M1123&amp;","&amp;CEILING(N1123*10000+(O1123-N1123)/4*(COUNTIF($F$11:F1123,F1123)-1)*10000,10)&amp;"}]",7)="[{equip",MID("[{"&amp;M1123&amp;","&amp;CEILING(N1123*10000+(O1123-N1123)/4*(COUNTIF($F$11:F1123,F1123)-1)*10000,10)&amp;"}]",8,1)&lt;&gt;"_"),"[{"&amp;M1123&amp;","&amp;1&amp;"}]","[{"&amp;M1123&amp;","&amp;CEILING(N1123*10000+(O1123-N1123)/4*(COUNTIF($F$11:F1123,F1123)-1)*10000,10)&amp;"}]")</f>
        <v>[{equip2_rune_slot,1}]</v>
      </c>
      <c r="H1123" s="82" t="s">
        <v>563</v>
      </c>
      <c r="J1123" s="78">
        <f ca="1">IF(MOD(COUNTIF($Q$11:Q1122,Q1122),5)=0,OFFSET(装备属性!$P$1083,1+INT(COUNTA($Q$11:Q1122)/5),0),J1122)</f>
        <v>1</v>
      </c>
      <c r="K1123" s="83" t="str">
        <f ca="1">IF(RIGHT(G1123,13)="rune_slot,1}]",_xlfn.XLOOKUP(LEFT(SUBSTITUTE(G1123,"[{",""),FIND(",",SUBSTITUTE(G1123,"[{",""))-1),Sheet2!B:B,Sheet2!C:C)&amp;"+"&amp;1,_xlfn.XLOOKUP(LEFT(SUBSTITUTE(G1123,"[{",""),FIND(",",SUBSTITUTE(G1123,"[{",""))-1),Sheet2!B:B,Sheet2!C:C)&amp;"+"&amp;SUBSTITUTE(RIGHT(G1123,LEN(G1123)-FIND(",",G1123)),"}]","")/100&amp;"%")</f>
        <v>裤子符文孔位+1</v>
      </c>
      <c r="L1123" s="83" t="str">
        <f ca="1">IF(MOD(COUNTIF($Q$11:Q1122,Q1122),5)=0,OFFSET(装备属性!$G$1083,1+INT(COUNTA($Q$11:Q1122)/5),0),L1122)</f>
        <v>扩符槽</v>
      </c>
      <c r="M1123" s="89" t="str">
        <f ca="1">IF(MOD(COUNTIF($Q$11:Q1122,Q1122),5)=0,OFFSET(装备属性!$H$1083,1+INT(COUNTA($Q$11:Q1122)/5),0),M1122)</f>
        <v>equip2_rune_slot</v>
      </c>
      <c r="N1123" s="76">
        <f ca="1">IF(MOD(COUNTIF($Q$11:Q1122,Q1122),5)=0,OFFSET(装备属性!$K$1083,1+INT(COUNTA($Q$11:Q1122)/5),0),N1122)</f>
        <v>1</v>
      </c>
      <c r="O1123" s="76">
        <f ca="1">IF(MOD(COUNTIF($Q$11:Q1122,Q1122),5)=0,OFFSET(装备属性!$L$1083,1+INT(COUNTA($Q$11:Q1122)/5),0),O1122)</f>
        <v>1</v>
      </c>
      <c r="Q1123" s="89" t="str">
        <f ca="1">IF(MOD(COUNTIF($Q$11:Q1122,Q1122),5)=0,OFFSET(装备属性!$M$1083,1+INT(COUNTA($Q$11:Q1122)/5),0),Q1122)</f>
        <v>稀有词条</v>
      </c>
      <c r="R1123" s="83" t="e">
        <f ca="1">IF(MOD(COUNTIF($Q$11:Q1122,Q1122),5)=0,10000*SUBSTITUTE(SUBSTITUTE(OFFSET(装备属性!$F$1083,1+INT(COUNTA($Q$11:Q1122)/5),0),"[",""),"]","")+_xlfn.XLOOKUP(C1123,$M$3:$M$7,$N$3:$N$7)*100,R1122)</f>
        <v>#N/A</v>
      </c>
    </row>
    <row r="1124" customHeight="1" spans="1:18">
      <c r="A1124" s="78" t="str">
        <f ca="1" t="shared" si="51"/>
        <v/>
      </c>
      <c r="B1124" s="82" t="str">
        <f ca="1">IFERROR(R1124+COUNTIFS($R$11:$R1124,R1124),"")</f>
        <v/>
      </c>
      <c r="C1124" s="83">
        <f ca="1">IF(MOD(COUNTIF($Q$11:Q1123,Q1123),5)=0,OFFSET(装备属性!$D$1083,1+INT(COUNTA($Q$11:Q1123)/5),0),C1123)</f>
        <v>0</v>
      </c>
      <c r="D1124" s="82">
        <f t="shared" si="53"/>
        <v>1500</v>
      </c>
      <c r="F1124" s="82" t="str">
        <f ca="1" t="shared" si="52"/>
        <v/>
      </c>
      <c r="G1124" s="78" t="str">
        <f ca="1">IF(AND(LEFT("[{"&amp;M1124&amp;","&amp;CEILING(N1124*10000+(O1124-N1124)/4*(COUNTIF($F$11:F1124,F1124)-1)*10000,10)&amp;"}]",7)="[{equip",MID("[{"&amp;M1124&amp;","&amp;CEILING(N1124*10000+(O1124-N1124)/4*(COUNTIF($F$11:F1124,F1124)-1)*10000,10)&amp;"}]",8,1)&lt;&gt;"_"),"[{"&amp;M1124&amp;","&amp;1&amp;"}]","[{"&amp;M1124&amp;","&amp;CEILING(N1124*10000+(O1124-N1124)/4*(COUNTIF($F$11:F1124,F1124)-1)*10000,10)&amp;"}]")</f>
        <v>[{equip2_rune_slot,1}]</v>
      </c>
      <c r="H1124" s="82" t="s">
        <v>563</v>
      </c>
      <c r="J1124" s="78">
        <f ca="1">IF(MOD(COUNTIF($Q$11:Q1123,Q1123),5)=0,OFFSET(装备属性!$P$1083,1+INT(COUNTA($Q$11:Q1123)/5),0),J1123)</f>
        <v>1</v>
      </c>
      <c r="K1124" s="83" t="str">
        <f ca="1">IF(RIGHT(G1124,13)="rune_slot,1}]",_xlfn.XLOOKUP(LEFT(SUBSTITUTE(G1124,"[{",""),FIND(",",SUBSTITUTE(G1124,"[{",""))-1),Sheet2!B:B,Sheet2!C:C)&amp;"+"&amp;1,_xlfn.XLOOKUP(LEFT(SUBSTITUTE(G1124,"[{",""),FIND(",",SUBSTITUTE(G1124,"[{",""))-1),Sheet2!B:B,Sheet2!C:C)&amp;"+"&amp;SUBSTITUTE(RIGHT(G1124,LEN(G1124)-FIND(",",G1124)),"}]","")/100&amp;"%")</f>
        <v>裤子符文孔位+1</v>
      </c>
      <c r="L1124" s="83" t="str">
        <f ca="1">IF(MOD(COUNTIF($Q$11:Q1123,Q1123),5)=0,OFFSET(装备属性!$G$1083,1+INT(COUNTA($Q$11:Q1123)/5),0),L1123)</f>
        <v>扩符槽</v>
      </c>
      <c r="M1124" s="89" t="str">
        <f ca="1">IF(MOD(COUNTIF($Q$11:Q1123,Q1123),5)=0,OFFSET(装备属性!$H$1083,1+INT(COUNTA($Q$11:Q1123)/5),0),M1123)</f>
        <v>equip2_rune_slot</v>
      </c>
      <c r="N1124" s="76">
        <f ca="1">IF(MOD(COUNTIF($Q$11:Q1123,Q1123),5)=0,OFFSET(装备属性!$K$1083,1+INT(COUNTA($Q$11:Q1123)/5),0),N1123)</f>
        <v>1</v>
      </c>
      <c r="O1124" s="76">
        <f ca="1">IF(MOD(COUNTIF($Q$11:Q1123,Q1123),5)=0,OFFSET(装备属性!$L$1083,1+INT(COUNTA($Q$11:Q1123)/5),0),O1123)</f>
        <v>1</v>
      </c>
      <c r="Q1124" s="89" t="str">
        <f ca="1">IF(MOD(COUNTIF($Q$11:Q1123,Q1123),5)=0,OFFSET(装备属性!$M$1083,1+INT(COUNTA($Q$11:Q1123)/5),0),Q1123)</f>
        <v>稀有词条</v>
      </c>
      <c r="R1124" s="83" t="e">
        <f ca="1">IF(MOD(COUNTIF($Q$11:Q1123,Q1123),5)=0,10000*SUBSTITUTE(SUBSTITUTE(OFFSET(装备属性!$F$1083,1+INT(COUNTA($Q$11:Q1123)/5),0),"[",""),"]","")+_xlfn.XLOOKUP(C1124,$M$3:$M$7,$N$3:$N$7)*100,R1123)</f>
        <v>#N/A</v>
      </c>
    </row>
    <row r="1125" customHeight="1" spans="1:18">
      <c r="A1125" s="78" t="str">
        <f ca="1" t="shared" si="51"/>
        <v/>
      </c>
      <c r="B1125" s="82" t="str">
        <f ca="1">IFERROR(R1125+COUNTIFS($R$11:$R1125,R1125),"")</f>
        <v/>
      </c>
      <c r="C1125" s="83">
        <f ca="1">IF(MOD(COUNTIF($Q$11:Q1124,Q1124),5)=0,OFFSET(装备属性!$D$1083,1+INT(COUNTA($Q$11:Q1124)/5),0),C1124)</f>
        <v>0</v>
      </c>
      <c r="D1125" s="82">
        <f t="shared" si="53"/>
        <v>1000</v>
      </c>
      <c r="F1125" s="82" t="str">
        <f ca="1" t="shared" si="52"/>
        <v/>
      </c>
      <c r="G1125" s="78" t="str">
        <f ca="1">IF(AND(LEFT("[{"&amp;M1125&amp;","&amp;CEILING(N1125*10000+(O1125-N1125)/4*(COUNTIF($F$11:F1125,F1125)-1)*10000,10)&amp;"}]",7)="[{equip",MID("[{"&amp;M1125&amp;","&amp;CEILING(N1125*10000+(O1125-N1125)/4*(COUNTIF($F$11:F1125,F1125)-1)*10000,10)&amp;"}]",8,1)&lt;&gt;"_"),"[{"&amp;M1125&amp;","&amp;1&amp;"}]","[{"&amp;M1125&amp;","&amp;CEILING(N1125*10000+(O1125-N1125)/4*(COUNTIF($F$11:F1125,F1125)-1)*10000,10)&amp;"}]")</f>
        <v>[{equip2_rune_slot,1}]</v>
      </c>
      <c r="H1125" s="82" t="s">
        <v>563</v>
      </c>
      <c r="J1125" s="78">
        <f ca="1">IF(MOD(COUNTIF($Q$11:Q1124,Q1124),5)=0,OFFSET(装备属性!$P$1083,1+INT(COUNTA($Q$11:Q1124)/5),0),J1124)</f>
        <v>1</v>
      </c>
      <c r="K1125" s="83" t="str">
        <f ca="1">IF(RIGHT(G1125,13)="rune_slot,1}]",_xlfn.XLOOKUP(LEFT(SUBSTITUTE(G1125,"[{",""),FIND(",",SUBSTITUTE(G1125,"[{",""))-1),Sheet2!B:B,Sheet2!C:C)&amp;"+"&amp;1,_xlfn.XLOOKUP(LEFT(SUBSTITUTE(G1125,"[{",""),FIND(",",SUBSTITUTE(G1125,"[{",""))-1),Sheet2!B:B,Sheet2!C:C)&amp;"+"&amp;SUBSTITUTE(RIGHT(G1125,LEN(G1125)-FIND(",",G1125)),"}]","")/100&amp;"%")</f>
        <v>裤子符文孔位+1</v>
      </c>
      <c r="L1125" s="83" t="str">
        <f ca="1">IF(MOD(COUNTIF($Q$11:Q1124,Q1124),5)=0,OFFSET(装备属性!$G$1083,1+INT(COUNTA($Q$11:Q1124)/5),0),L1124)</f>
        <v>扩符槽</v>
      </c>
      <c r="M1125" s="89" t="str">
        <f ca="1">IF(MOD(COUNTIF($Q$11:Q1124,Q1124),5)=0,OFFSET(装备属性!$H$1083,1+INT(COUNTA($Q$11:Q1124)/5),0),M1124)</f>
        <v>equip2_rune_slot</v>
      </c>
      <c r="N1125" s="76">
        <f ca="1">IF(MOD(COUNTIF($Q$11:Q1124,Q1124),5)=0,OFFSET(装备属性!$K$1083,1+INT(COUNTA($Q$11:Q1124)/5),0),N1124)</f>
        <v>1</v>
      </c>
      <c r="O1125" s="76">
        <f ca="1">IF(MOD(COUNTIF($Q$11:Q1124,Q1124),5)=0,OFFSET(装备属性!$L$1083,1+INT(COUNTA($Q$11:Q1124)/5),0),O1124)</f>
        <v>1</v>
      </c>
      <c r="Q1125" s="89" t="str">
        <f ca="1">IF(MOD(COUNTIF($Q$11:Q1124,Q1124),5)=0,OFFSET(装备属性!$M$1083,1+INT(COUNTA($Q$11:Q1124)/5),0),Q1124)</f>
        <v>稀有词条</v>
      </c>
      <c r="R1125" s="83" t="e">
        <f ca="1">IF(MOD(COUNTIF($Q$11:Q1124,Q1124),5)=0,10000*SUBSTITUTE(SUBSTITUTE(OFFSET(装备属性!$F$1083,1+INT(COUNTA($Q$11:Q1124)/5),0),"[",""),"]","")+_xlfn.XLOOKUP(C1125,$M$3:$M$7,$N$3:$N$7)*100,R1124)</f>
        <v>#N/A</v>
      </c>
    </row>
    <row r="1126" customHeight="1" spans="1:18">
      <c r="A1126" s="78">
        <f ca="1" t="shared" si="51"/>
        <v>40702</v>
      </c>
      <c r="B1126" s="82">
        <f ca="1">IFERROR(R1126+COUNTIFS($R$11:$R1126,R1126),"")</f>
        <v>40721</v>
      </c>
      <c r="C1126" s="83" t="str">
        <f ca="1">IF(MOD(COUNTIF($Q$11:Q1125,Q1125),5)=0,OFFSET(装备属性!$D$1083,1+INT(COUNTA($Q$11:Q1125)/5),0),C1125)</f>
        <v>粉</v>
      </c>
      <c r="D1126" s="82">
        <f t="shared" si="53"/>
        <v>3000</v>
      </c>
      <c r="F1126" s="82">
        <f ca="1" t="shared" si="52"/>
        <v>40704</v>
      </c>
      <c r="G1126" s="78" t="str">
        <f ca="1">IF(AND(LEFT("[{"&amp;M1126&amp;","&amp;CEILING(N1126*10000+(O1126-N1126)/4*(COUNTIF($F$11:F1126,F1126)-1)*10000,10)&amp;"}]",7)="[{equip",MID("[{"&amp;M1126&amp;","&amp;CEILING(N1126*10000+(O1126-N1126)/4*(COUNTIF($F$11:F1126,F1126)-1)*10000,10)&amp;"}]",8,1)&lt;&gt;"_"),"[{"&amp;M1126&amp;","&amp;1&amp;"}]","[{"&amp;M1126&amp;","&amp;CEILING(N1126*10000+(O1126-N1126)/4*(COUNTIF($F$11:F1126,F1126)-1)*10000,10)&amp;"}]")</f>
        <v>[{chapter_pve_hit_rate,800}]</v>
      </c>
      <c r="H1126" s="82" t="s">
        <v>563</v>
      </c>
      <c r="J1126" s="78">
        <f ca="1">IF(MOD(COUNTIF($Q$11:Q1125,Q1125),5)=0,OFFSET(装备属性!$P$1083,1+INT(COUNTA($Q$11:Q1125)/5),0),J1125)</f>
        <v>6</v>
      </c>
      <c r="K1126" s="83" t="str">
        <f ca="1">IF(RIGHT(G1126,13)="rune_slot,1}]",_xlfn.XLOOKUP(LEFT(SUBSTITUTE(G1126,"[{",""),FIND(",",SUBSTITUTE(G1126,"[{",""))-1),Sheet2!B:B,Sheet2!C:C)&amp;"+"&amp;1,_xlfn.XLOOKUP(LEFT(SUBSTITUTE(G1126,"[{",""),FIND(",",SUBSTITUTE(G1126,"[{",""))-1),Sheet2!B:B,Sheet2!C:C)&amp;"+"&amp;SUBSTITUTE(RIGHT(G1126,LEN(G1126)-FIND(",",G1126)),"}]","")/100&amp;"%")</f>
        <v>主线挑战增伤+8%</v>
      </c>
      <c r="L1126" s="83" t="str">
        <f ca="1">IF(MOD(COUNTIF($Q$11:Q1125,Q1125),5)=0,OFFSET(装备属性!$G$1083,1+INT(COUNTA($Q$11:Q1125)/5),0),L1125)</f>
        <v>主线清场Ⅳ</v>
      </c>
      <c r="M1126" s="89" t="str">
        <f ca="1">IF(MOD(COUNTIF($Q$11:Q1125,Q1125),5)=0,OFFSET(装备属性!$H$1083,1+INT(COUNTA($Q$11:Q1125)/5),0),M1125)</f>
        <v>chapter_pve_hit_rate</v>
      </c>
      <c r="N1126" s="76">
        <f ca="1">IF(MOD(COUNTIF($Q$11:Q1125,Q1125),5)=0,OFFSET(装备属性!$K$1083,1+INT(COUNTA($Q$11:Q1125)/5),0),N1125)</f>
        <v>0.08</v>
      </c>
      <c r="O1126" s="76">
        <f ca="1">IF(MOD(COUNTIF($Q$11:Q1125,Q1125),5)=0,OFFSET(装备属性!$L$1083,1+INT(COUNTA($Q$11:Q1125)/5),0),O1125)</f>
        <v>0.09</v>
      </c>
      <c r="Q1126" s="89" t="str">
        <f ca="1">IF(MOD(COUNTIF($Q$11:Q1125,Q1125),5)=0,OFFSET(装备属性!$M$1083,1+INT(COUNTA($Q$11:Q1125)/5),0),Q1125)</f>
        <v>玩法类</v>
      </c>
      <c r="R1126" s="83">
        <f ca="1">IF(MOD(COUNTIF($Q$11:Q1125,Q1125),5)=0,10000*SUBSTITUTE(SUBSTITUTE(OFFSET(装备属性!$F$1083,1+INT(COUNTA($Q$11:Q1125)/5),0),"[",""),"]","")+_xlfn.XLOOKUP(C1126,$M$3:$M$7,$N$3:$N$7)*100,R1125)</f>
        <v>40700</v>
      </c>
    </row>
    <row r="1127" customHeight="1" spans="1:18">
      <c r="A1127" s="78">
        <f ca="1" t="shared" si="51"/>
        <v>40702</v>
      </c>
      <c r="B1127" s="82">
        <f ca="1">IFERROR(R1127+COUNTIFS($R$11:$R1127,R1127),"")</f>
        <v>40722</v>
      </c>
      <c r="C1127" s="83" t="str">
        <f ca="1">IF(MOD(COUNTIF($Q$11:Q1126,Q1126),5)=0,OFFSET(装备属性!$D$1083,1+INT(COUNTA($Q$11:Q1126)/5),0),C1126)</f>
        <v>粉</v>
      </c>
      <c r="D1127" s="82">
        <f t="shared" si="53"/>
        <v>2500</v>
      </c>
      <c r="F1127" s="82">
        <f ca="1" t="shared" si="52"/>
        <v>40704</v>
      </c>
      <c r="G1127" s="78" t="str">
        <f ca="1">IF(AND(LEFT("[{"&amp;M1127&amp;","&amp;CEILING(N1127*10000+(O1127-N1127)/4*(COUNTIF($F$11:F1127,F1127)-1)*10000,10)&amp;"}]",7)="[{equip",MID("[{"&amp;M1127&amp;","&amp;CEILING(N1127*10000+(O1127-N1127)/4*(COUNTIF($F$11:F1127,F1127)-1)*10000,10)&amp;"}]",8,1)&lt;&gt;"_"),"[{"&amp;M1127&amp;","&amp;1&amp;"}]","[{"&amp;M1127&amp;","&amp;CEILING(N1127*10000+(O1127-N1127)/4*(COUNTIF($F$11:F1127,F1127)-1)*10000,10)&amp;"}]")</f>
        <v>[{chapter_pve_hit_rate,830}]</v>
      </c>
      <c r="H1127" s="82" t="s">
        <v>563</v>
      </c>
      <c r="J1127" s="78">
        <f ca="1">IF(MOD(COUNTIF($Q$11:Q1126,Q1126),5)=0,OFFSET(装备属性!$P$1083,1+INT(COUNTA($Q$11:Q1126)/5),0),J1126)</f>
        <v>6</v>
      </c>
      <c r="K1127" s="83" t="str">
        <f ca="1">IF(RIGHT(G1127,13)="rune_slot,1}]",_xlfn.XLOOKUP(LEFT(SUBSTITUTE(G1127,"[{",""),FIND(",",SUBSTITUTE(G1127,"[{",""))-1),Sheet2!B:B,Sheet2!C:C)&amp;"+"&amp;1,_xlfn.XLOOKUP(LEFT(SUBSTITUTE(G1127,"[{",""),FIND(",",SUBSTITUTE(G1127,"[{",""))-1),Sheet2!B:B,Sheet2!C:C)&amp;"+"&amp;SUBSTITUTE(RIGHT(G1127,LEN(G1127)-FIND(",",G1127)),"}]","")/100&amp;"%")</f>
        <v>主线挑战增伤+8.3%</v>
      </c>
      <c r="L1127" s="83" t="str">
        <f ca="1">IF(MOD(COUNTIF($Q$11:Q1126,Q1126),5)=0,OFFSET(装备属性!$G$1083,1+INT(COUNTA($Q$11:Q1126)/5),0),L1126)</f>
        <v>主线清场Ⅳ</v>
      </c>
      <c r="M1127" s="89" t="str">
        <f ca="1">IF(MOD(COUNTIF($Q$11:Q1126,Q1126),5)=0,OFFSET(装备属性!$H$1083,1+INT(COUNTA($Q$11:Q1126)/5),0),M1126)</f>
        <v>chapter_pve_hit_rate</v>
      </c>
      <c r="N1127" s="76">
        <f ca="1">IF(MOD(COUNTIF($Q$11:Q1126,Q1126),5)=0,OFFSET(装备属性!$K$1083,1+INT(COUNTA($Q$11:Q1126)/5),0),N1126)</f>
        <v>0.08</v>
      </c>
      <c r="O1127" s="76">
        <f ca="1">IF(MOD(COUNTIF($Q$11:Q1126,Q1126),5)=0,OFFSET(装备属性!$L$1083,1+INT(COUNTA($Q$11:Q1126)/5),0),O1126)</f>
        <v>0.09</v>
      </c>
      <c r="Q1127" s="89" t="str">
        <f ca="1">IF(MOD(COUNTIF($Q$11:Q1126,Q1126),5)=0,OFFSET(装备属性!$M$1083,1+INT(COUNTA($Q$11:Q1126)/5),0),Q1126)</f>
        <v>玩法类</v>
      </c>
      <c r="R1127" s="83">
        <f ca="1">IF(MOD(COUNTIF($Q$11:Q1126,Q1126),5)=0,10000*SUBSTITUTE(SUBSTITUTE(OFFSET(装备属性!$F$1083,1+INT(COUNTA($Q$11:Q1126)/5),0),"[",""),"]","")+_xlfn.XLOOKUP(C1127,$M$3:$M$7,$N$3:$N$7)*100,R1126)</f>
        <v>40700</v>
      </c>
    </row>
    <row r="1128" customHeight="1" spans="1:18">
      <c r="A1128" s="78">
        <f ca="1" t="shared" si="51"/>
        <v>40702</v>
      </c>
      <c r="B1128" s="82">
        <f ca="1">IFERROR(R1128+COUNTIFS($R$11:$R1128,R1128),"")</f>
        <v>40723</v>
      </c>
      <c r="C1128" s="83" t="str">
        <f ca="1">IF(MOD(COUNTIF($Q$11:Q1127,Q1127),5)=0,OFFSET(装备属性!$D$1083,1+INT(COUNTA($Q$11:Q1127)/5),0),C1127)</f>
        <v>粉</v>
      </c>
      <c r="D1128" s="82">
        <f t="shared" si="53"/>
        <v>2000</v>
      </c>
      <c r="F1128" s="82">
        <f ca="1" t="shared" si="52"/>
        <v>40704</v>
      </c>
      <c r="G1128" s="78" t="str">
        <f ca="1">IF(AND(LEFT("[{"&amp;M1128&amp;","&amp;CEILING(N1128*10000+(O1128-N1128)/4*(COUNTIF($F$11:F1128,F1128)-1)*10000,10)&amp;"}]",7)="[{equip",MID("[{"&amp;M1128&amp;","&amp;CEILING(N1128*10000+(O1128-N1128)/4*(COUNTIF($F$11:F1128,F1128)-1)*10000,10)&amp;"}]",8,1)&lt;&gt;"_"),"[{"&amp;M1128&amp;","&amp;1&amp;"}]","[{"&amp;M1128&amp;","&amp;CEILING(N1128*10000+(O1128-N1128)/4*(COUNTIF($F$11:F1128,F1128)-1)*10000,10)&amp;"}]")</f>
        <v>[{chapter_pve_hit_rate,850}]</v>
      </c>
      <c r="H1128" s="82" t="s">
        <v>563</v>
      </c>
      <c r="J1128" s="78">
        <f ca="1">IF(MOD(COUNTIF($Q$11:Q1127,Q1127),5)=0,OFFSET(装备属性!$P$1083,1+INT(COUNTA($Q$11:Q1127)/5),0),J1127)</f>
        <v>6</v>
      </c>
      <c r="K1128" s="83" t="str">
        <f ca="1">IF(RIGHT(G1128,13)="rune_slot,1}]",_xlfn.XLOOKUP(LEFT(SUBSTITUTE(G1128,"[{",""),FIND(",",SUBSTITUTE(G1128,"[{",""))-1),Sheet2!B:B,Sheet2!C:C)&amp;"+"&amp;1,_xlfn.XLOOKUP(LEFT(SUBSTITUTE(G1128,"[{",""),FIND(",",SUBSTITUTE(G1128,"[{",""))-1),Sheet2!B:B,Sheet2!C:C)&amp;"+"&amp;SUBSTITUTE(RIGHT(G1128,LEN(G1128)-FIND(",",G1128)),"}]","")/100&amp;"%")</f>
        <v>主线挑战增伤+8.5%</v>
      </c>
      <c r="L1128" s="83" t="str">
        <f ca="1">IF(MOD(COUNTIF($Q$11:Q1127,Q1127),5)=0,OFFSET(装备属性!$G$1083,1+INT(COUNTA($Q$11:Q1127)/5),0),L1127)</f>
        <v>主线清场Ⅳ</v>
      </c>
      <c r="M1128" s="89" t="str">
        <f ca="1">IF(MOD(COUNTIF($Q$11:Q1127,Q1127),5)=0,OFFSET(装备属性!$H$1083,1+INT(COUNTA($Q$11:Q1127)/5),0),M1127)</f>
        <v>chapter_pve_hit_rate</v>
      </c>
      <c r="N1128" s="76">
        <f ca="1">IF(MOD(COUNTIF($Q$11:Q1127,Q1127),5)=0,OFFSET(装备属性!$K$1083,1+INT(COUNTA($Q$11:Q1127)/5),0),N1127)</f>
        <v>0.08</v>
      </c>
      <c r="O1128" s="76">
        <f ca="1">IF(MOD(COUNTIF($Q$11:Q1127,Q1127),5)=0,OFFSET(装备属性!$L$1083,1+INT(COUNTA($Q$11:Q1127)/5),0),O1127)</f>
        <v>0.09</v>
      </c>
      <c r="Q1128" s="89" t="str">
        <f ca="1">IF(MOD(COUNTIF($Q$11:Q1127,Q1127),5)=0,OFFSET(装备属性!$M$1083,1+INT(COUNTA($Q$11:Q1127)/5),0),Q1127)</f>
        <v>玩法类</v>
      </c>
      <c r="R1128" s="83">
        <f ca="1">IF(MOD(COUNTIF($Q$11:Q1127,Q1127),5)=0,10000*SUBSTITUTE(SUBSTITUTE(OFFSET(装备属性!$F$1083,1+INT(COUNTA($Q$11:Q1127)/5),0),"[",""),"]","")+_xlfn.XLOOKUP(C1128,$M$3:$M$7,$N$3:$N$7)*100,R1127)</f>
        <v>40700</v>
      </c>
    </row>
    <row r="1129" customHeight="1" spans="1:18">
      <c r="A1129" s="78">
        <f ca="1" t="shared" si="51"/>
        <v>40702</v>
      </c>
      <c r="B1129" s="82">
        <f ca="1">IFERROR(R1129+COUNTIFS($R$11:$R1129,R1129),"")</f>
        <v>40724</v>
      </c>
      <c r="C1129" s="83" t="str">
        <f ca="1">IF(MOD(COUNTIF($Q$11:Q1128,Q1128),5)=0,OFFSET(装备属性!$D$1083,1+INT(COUNTA($Q$11:Q1128)/5),0),C1128)</f>
        <v>粉</v>
      </c>
      <c r="D1129" s="82">
        <f t="shared" si="53"/>
        <v>1500</v>
      </c>
      <c r="F1129" s="82">
        <f ca="1" t="shared" si="52"/>
        <v>40704</v>
      </c>
      <c r="G1129" s="78" t="str">
        <f ca="1">IF(AND(LEFT("[{"&amp;M1129&amp;","&amp;CEILING(N1129*10000+(O1129-N1129)/4*(COUNTIF($F$11:F1129,F1129)-1)*10000,10)&amp;"}]",7)="[{equip",MID("[{"&amp;M1129&amp;","&amp;CEILING(N1129*10000+(O1129-N1129)/4*(COUNTIF($F$11:F1129,F1129)-1)*10000,10)&amp;"}]",8,1)&lt;&gt;"_"),"[{"&amp;M1129&amp;","&amp;1&amp;"}]","[{"&amp;M1129&amp;","&amp;CEILING(N1129*10000+(O1129-N1129)/4*(COUNTIF($F$11:F1129,F1129)-1)*10000,10)&amp;"}]")</f>
        <v>[{chapter_pve_hit_rate,880}]</v>
      </c>
      <c r="H1129" s="82" t="s">
        <v>563</v>
      </c>
      <c r="J1129" s="78">
        <f ca="1">IF(MOD(COUNTIF($Q$11:Q1128,Q1128),5)=0,OFFSET(装备属性!$P$1083,1+INT(COUNTA($Q$11:Q1128)/5),0),J1128)</f>
        <v>6</v>
      </c>
      <c r="K1129" s="83" t="str">
        <f ca="1">IF(RIGHT(G1129,13)="rune_slot,1}]",_xlfn.XLOOKUP(LEFT(SUBSTITUTE(G1129,"[{",""),FIND(",",SUBSTITUTE(G1129,"[{",""))-1),Sheet2!B:B,Sheet2!C:C)&amp;"+"&amp;1,_xlfn.XLOOKUP(LEFT(SUBSTITUTE(G1129,"[{",""),FIND(",",SUBSTITUTE(G1129,"[{",""))-1),Sheet2!B:B,Sheet2!C:C)&amp;"+"&amp;SUBSTITUTE(RIGHT(G1129,LEN(G1129)-FIND(",",G1129)),"}]","")/100&amp;"%")</f>
        <v>主线挑战增伤+8.8%</v>
      </c>
      <c r="L1129" s="83" t="str">
        <f ca="1">IF(MOD(COUNTIF($Q$11:Q1128,Q1128),5)=0,OFFSET(装备属性!$G$1083,1+INT(COUNTA($Q$11:Q1128)/5),0),L1128)</f>
        <v>主线清场Ⅳ</v>
      </c>
      <c r="M1129" s="89" t="str">
        <f ca="1">IF(MOD(COUNTIF($Q$11:Q1128,Q1128),5)=0,OFFSET(装备属性!$H$1083,1+INT(COUNTA($Q$11:Q1128)/5),0),M1128)</f>
        <v>chapter_pve_hit_rate</v>
      </c>
      <c r="N1129" s="76">
        <f ca="1">IF(MOD(COUNTIF($Q$11:Q1128,Q1128),5)=0,OFFSET(装备属性!$K$1083,1+INT(COUNTA($Q$11:Q1128)/5),0),N1128)</f>
        <v>0.08</v>
      </c>
      <c r="O1129" s="76">
        <f ca="1">IF(MOD(COUNTIF($Q$11:Q1128,Q1128),5)=0,OFFSET(装备属性!$L$1083,1+INT(COUNTA($Q$11:Q1128)/5),0),O1128)</f>
        <v>0.09</v>
      </c>
      <c r="Q1129" s="89" t="str">
        <f ca="1">IF(MOD(COUNTIF($Q$11:Q1128,Q1128),5)=0,OFFSET(装备属性!$M$1083,1+INT(COUNTA($Q$11:Q1128)/5),0),Q1128)</f>
        <v>玩法类</v>
      </c>
      <c r="R1129" s="83">
        <f ca="1">IF(MOD(COUNTIF($Q$11:Q1128,Q1128),5)=0,10000*SUBSTITUTE(SUBSTITUTE(OFFSET(装备属性!$F$1083,1+INT(COUNTA($Q$11:Q1128)/5),0),"[",""),"]","")+_xlfn.XLOOKUP(C1129,$M$3:$M$7,$N$3:$N$7)*100,R1128)</f>
        <v>40700</v>
      </c>
    </row>
    <row r="1130" customHeight="1" spans="1:18">
      <c r="A1130" s="78">
        <f ca="1" t="shared" si="51"/>
        <v>40702</v>
      </c>
      <c r="B1130" s="82">
        <f ca="1">IFERROR(R1130+COUNTIFS($R$11:$R1130,R1130),"")</f>
        <v>40725</v>
      </c>
      <c r="C1130" s="83" t="str">
        <f ca="1">IF(MOD(COUNTIF($Q$11:Q1129,Q1129),5)=0,OFFSET(装备属性!$D$1083,1+INT(COUNTA($Q$11:Q1129)/5),0),C1129)</f>
        <v>粉</v>
      </c>
      <c r="D1130" s="82">
        <f t="shared" si="53"/>
        <v>1000</v>
      </c>
      <c r="F1130" s="82">
        <f ca="1" t="shared" si="52"/>
        <v>40704</v>
      </c>
      <c r="G1130" s="78" t="str">
        <f ca="1">IF(AND(LEFT("[{"&amp;M1130&amp;","&amp;CEILING(N1130*10000+(O1130-N1130)/4*(COUNTIF($F$11:F1130,F1130)-1)*10000,10)&amp;"}]",7)="[{equip",MID("[{"&amp;M1130&amp;","&amp;CEILING(N1130*10000+(O1130-N1130)/4*(COUNTIF($F$11:F1130,F1130)-1)*10000,10)&amp;"}]",8,1)&lt;&gt;"_"),"[{"&amp;M1130&amp;","&amp;1&amp;"}]","[{"&amp;M1130&amp;","&amp;CEILING(N1130*10000+(O1130-N1130)/4*(COUNTIF($F$11:F1130,F1130)-1)*10000,10)&amp;"}]")</f>
        <v>[{chapter_pve_hit_rate,900}]</v>
      </c>
      <c r="H1130" s="82" t="s">
        <v>563</v>
      </c>
      <c r="J1130" s="78">
        <f ca="1">IF(MOD(COUNTIF($Q$11:Q1129,Q1129),5)=0,OFFSET(装备属性!$P$1083,1+INT(COUNTA($Q$11:Q1129)/5),0),J1129)</f>
        <v>6</v>
      </c>
      <c r="K1130" s="83" t="str">
        <f ca="1">IF(RIGHT(G1130,13)="rune_slot,1}]",_xlfn.XLOOKUP(LEFT(SUBSTITUTE(G1130,"[{",""),FIND(",",SUBSTITUTE(G1130,"[{",""))-1),Sheet2!B:B,Sheet2!C:C)&amp;"+"&amp;1,_xlfn.XLOOKUP(LEFT(SUBSTITUTE(G1130,"[{",""),FIND(",",SUBSTITUTE(G1130,"[{",""))-1),Sheet2!B:B,Sheet2!C:C)&amp;"+"&amp;SUBSTITUTE(RIGHT(G1130,LEN(G1130)-FIND(",",G1130)),"}]","")/100&amp;"%")</f>
        <v>主线挑战增伤+9%</v>
      </c>
      <c r="L1130" s="83" t="str">
        <f ca="1">IF(MOD(COUNTIF($Q$11:Q1129,Q1129),5)=0,OFFSET(装备属性!$G$1083,1+INT(COUNTA($Q$11:Q1129)/5),0),L1129)</f>
        <v>主线清场Ⅳ</v>
      </c>
      <c r="M1130" s="89" t="str">
        <f ca="1">IF(MOD(COUNTIF($Q$11:Q1129,Q1129),5)=0,OFFSET(装备属性!$H$1083,1+INT(COUNTA($Q$11:Q1129)/5),0),M1129)</f>
        <v>chapter_pve_hit_rate</v>
      </c>
      <c r="N1130" s="76">
        <f ca="1">IF(MOD(COUNTIF($Q$11:Q1129,Q1129),5)=0,OFFSET(装备属性!$K$1083,1+INT(COUNTA($Q$11:Q1129)/5),0),N1129)</f>
        <v>0.08</v>
      </c>
      <c r="O1130" s="76">
        <f ca="1">IF(MOD(COUNTIF($Q$11:Q1129,Q1129),5)=0,OFFSET(装备属性!$L$1083,1+INT(COUNTA($Q$11:Q1129)/5),0),O1129)</f>
        <v>0.09</v>
      </c>
      <c r="Q1130" s="89" t="str">
        <f ca="1">IF(MOD(COUNTIF($Q$11:Q1129,Q1129),5)=0,OFFSET(装备属性!$M$1083,1+INT(COUNTA($Q$11:Q1129)/5),0),Q1129)</f>
        <v>玩法类</v>
      </c>
      <c r="R1130" s="83">
        <f ca="1">IF(MOD(COUNTIF($Q$11:Q1129,Q1129),5)=0,10000*SUBSTITUTE(SUBSTITUTE(OFFSET(装备属性!$F$1083,1+INT(COUNTA($Q$11:Q1129)/5),0),"[",""),"]","")+_xlfn.XLOOKUP(C1130,$M$3:$M$7,$N$3:$N$7)*100,R1129)</f>
        <v>40700</v>
      </c>
    </row>
    <row r="1131" customHeight="1" spans="1:18">
      <c r="A1131" s="78">
        <f ca="1" t="shared" si="51"/>
        <v>40701</v>
      </c>
      <c r="B1131" s="82">
        <f ca="1">IFERROR(R1131+COUNTIFS($R$11:$R1131,R1131),"")</f>
        <v>40726</v>
      </c>
      <c r="C1131" s="83" t="str">
        <f ca="1">IF(MOD(COUNTIF($Q$11:Q1130,Q1130),5)=0,OFFSET(装备属性!$D$1083,1+INT(COUNTA($Q$11:Q1130)/5),0),C1130)</f>
        <v>粉</v>
      </c>
      <c r="D1131" s="82">
        <f t="shared" si="53"/>
        <v>3000</v>
      </c>
      <c r="F1131" s="82">
        <f ca="1" t="shared" si="52"/>
        <v>40705</v>
      </c>
      <c r="G1131" s="78" t="str">
        <f ca="1">IF(AND(LEFT("[{"&amp;M1131&amp;","&amp;CEILING(N1131*10000+(O1131-N1131)/4*(COUNTIF($F$11:F1131,F1131)-1)*10000,10)&amp;"}]",7)="[{equip",MID("[{"&amp;M1131&amp;","&amp;CEILING(N1131*10000+(O1131-N1131)/4*(COUNTIF($F$11:F1131,F1131)-1)*10000,10)&amp;"}]",8,1)&lt;&gt;"_"),"[{"&amp;M1131&amp;","&amp;1&amp;"}]","[{"&amp;M1131&amp;","&amp;CEILING(N1131*10000+(O1131-N1131)/4*(COUNTIF($F$11:F1131,F1131)-1)*10000,10)&amp;"}]")</f>
        <v>[{drug_dmg_red_rate,300}]</v>
      </c>
      <c r="H1131" s="82" t="s">
        <v>563</v>
      </c>
      <c r="J1131" s="78">
        <f ca="1">IF(MOD(COUNTIF($Q$11:Q1130,Q1130),5)=0,OFFSET(装备属性!$P$1083,1+INT(COUNTA($Q$11:Q1130)/5),0),J1130)</f>
        <v>5</v>
      </c>
      <c r="K1131" s="83" t="str">
        <f ca="1">IF(RIGHT(G1131,13)="rune_slot,1}]",_xlfn.XLOOKUP(LEFT(SUBSTITUTE(G1131,"[{",""),FIND(",",SUBSTITUTE(G1131,"[{",""))-1),Sheet2!B:B,Sheet2!C:C)&amp;"+"&amp;1,_xlfn.XLOOKUP(LEFT(SUBSTITUTE(G1131,"[{",""),FIND(",",SUBSTITUTE(G1131,"[{",""))-1),Sheet2!B:B,Sheet2!C:C)&amp;"+"&amp;SUBSTITUTE(RIGHT(G1131,LEN(G1131)-FIND(",",G1131)),"}]","")/100&amp;"%")</f>
        <v>毒系伤害减免+3%</v>
      </c>
      <c r="L1131" s="83" t="str">
        <f ca="1">IF(MOD(COUNTIF($Q$11:Q1130,Q1130),5)=0,OFFSET(装备属性!$G$1083,1+INT(COUNTA($Q$11:Q1130)/5),0),L1130)</f>
        <v>毒毒不怕Ⅳ</v>
      </c>
      <c r="M1131" s="89" t="str">
        <f ca="1">IF(MOD(COUNTIF($Q$11:Q1130,Q1130),5)=0,OFFSET(装备属性!$H$1083,1+INT(COUNTA($Q$11:Q1130)/5),0),M1130)</f>
        <v>drug_dmg_red_rate</v>
      </c>
      <c r="N1131" s="76">
        <f ca="1">IF(MOD(COUNTIF($Q$11:Q1130,Q1130),5)=0,OFFSET(装备属性!$K$1083,1+INT(COUNTA($Q$11:Q1130)/5),0),N1130)</f>
        <v>0.03</v>
      </c>
      <c r="O1131" s="76">
        <f ca="1">IF(MOD(COUNTIF($Q$11:Q1130,Q1130),5)=0,OFFSET(装备属性!$L$1083,1+INT(COUNTA($Q$11:Q1130)/5),0),O1130)</f>
        <v>0.034</v>
      </c>
      <c r="Q1131" s="89" t="str">
        <f ca="1">IF(MOD(COUNTIF($Q$11:Q1130,Q1130),5)=0,OFFSET(装备属性!$M$1083,1+INT(COUNTA($Q$11:Q1130)/5),0),Q1130)</f>
        <v>通用属性</v>
      </c>
      <c r="R1131" s="83">
        <f ca="1">IF(MOD(COUNTIF($Q$11:Q1130,Q1130),5)=0,10000*SUBSTITUTE(SUBSTITUTE(OFFSET(装备属性!$F$1083,1+INT(COUNTA($Q$11:Q1130)/5),0),"[",""),"]","")+_xlfn.XLOOKUP(C1131,$M$3:$M$7,$N$3:$N$7)*100,R1130)</f>
        <v>40700</v>
      </c>
    </row>
    <row r="1132" customHeight="1" spans="1:18">
      <c r="A1132" s="78">
        <f ca="1" t="shared" si="51"/>
        <v>40701</v>
      </c>
      <c r="B1132" s="82">
        <f ca="1">IFERROR(R1132+COUNTIFS($R$11:$R1132,R1132),"")</f>
        <v>40727</v>
      </c>
      <c r="C1132" s="83" t="str">
        <f ca="1">IF(MOD(COUNTIF($Q$11:Q1131,Q1131),5)=0,OFFSET(装备属性!$D$1083,1+INT(COUNTA($Q$11:Q1131)/5),0),C1131)</f>
        <v>粉</v>
      </c>
      <c r="D1132" s="82">
        <f t="shared" si="53"/>
        <v>2500</v>
      </c>
      <c r="F1132" s="82">
        <f ca="1" t="shared" si="52"/>
        <v>40705</v>
      </c>
      <c r="G1132" s="78" t="str">
        <f ca="1">IF(AND(LEFT("[{"&amp;M1132&amp;","&amp;CEILING(N1132*10000+(O1132-N1132)/4*(COUNTIF($F$11:F1132,F1132)-1)*10000,10)&amp;"}]",7)="[{equip",MID("[{"&amp;M1132&amp;","&amp;CEILING(N1132*10000+(O1132-N1132)/4*(COUNTIF($F$11:F1132,F1132)-1)*10000,10)&amp;"}]",8,1)&lt;&gt;"_"),"[{"&amp;M1132&amp;","&amp;1&amp;"}]","[{"&amp;M1132&amp;","&amp;CEILING(N1132*10000+(O1132-N1132)/4*(COUNTIF($F$11:F1132,F1132)-1)*10000,10)&amp;"}]")</f>
        <v>[{drug_dmg_red_rate,310}]</v>
      </c>
      <c r="H1132" s="82" t="s">
        <v>563</v>
      </c>
      <c r="J1132" s="78">
        <f ca="1">IF(MOD(COUNTIF($Q$11:Q1131,Q1131),5)=0,OFFSET(装备属性!$P$1083,1+INT(COUNTA($Q$11:Q1131)/5),0),J1131)</f>
        <v>5</v>
      </c>
      <c r="K1132" s="83" t="str">
        <f ca="1">IF(RIGHT(G1132,13)="rune_slot,1}]",_xlfn.XLOOKUP(LEFT(SUBSTITUTE(G1132,"[{",""),FIND(",",SUBSTITUTE(G1132,"[{",""))-1),Sheet2!B:B,Sheet2!C:C)&amp;"+"&amp;1,_xlfn.XLOOKUP(LEFT(SUBSTITUTE(G1132,"[{",""),FIND(",",SUBSTITUTE(G1132,"[{",""))-1),Sheet2!B:B,Sheet2!C:C)&amp;"+"&amp;SUBSTITUTE(RIGHT(G1132,LEN(G1132)-FIND(",",G1132)),"}]","")/100&amp;"%")</f>
        <v>毒系伤害减免+3.1%</v>
      </c>
      <c r="L1132" s="83" t="str">
        <f ca="1">IF(MOD(COUNTIF($Q$11:Q1131,Q1131),5)=0,OFFSET(装备属性!$G$1083,1+INT(COUNTA($Q$11:Q1131)/5),0),L1131)</f>
        <v>毒毒不怕Ⅳ</v>
      </c>
      <c r="M1132" s="89" t="str">
        <f ca="1">IF(MOD(COUNTIF($Q$11:Q1131,Q1131),5)=0,OFFSET(装备属性!$H$1083,1+INT(COUNTA($Q$11:Q1131)/5),0),M1131)</f>
        <v>drug_dmg_red_rate</v>
      </c>
      <c r="N1132" s="76">
        <f ca="1">IF(MOD(COUNTIF($Q$11:Q1131,Q1131),5)=0,OFFSET(装备属性!$K$1083,1+INT(COUNTA($Q$11:Q1131)/5),0),N1131)</f>
        <v>0.03</v>
      </c>
      <c r="O1132" s="76">
        <f ca="1">IF(MOD(COUNTIF($Q$11:Q1131,Q1131),5)=0,OFFSET(装备属性!$L$1083,1+INT(COUNTA($Q$11:Q1131)/5),0),O1131)</f>
        <v>0.034</v>
      </c>
      <c r="Q1132" s="89" t="str">
        <f ca="1">IF(MOD(COUNTIF($Q$11:Q1131,Q1131),5)=0,OFFSET(装备属性!$M$1083,1+INT(COUNTA($Q$11:Q1131)/5),0),Q1131)</f>
        <v>通用属性</v>
      </c>
      <c r="R1132" s="83">
        <f ca="1">IF(MOD(COUNTIF($Q$11:Q1131,Q1131),5)=0,10000*SUBSTITUTE(SUBSTITUTE(OFFSET(装备属性!$F$1083,1+INT(COUNTA($Q$11:Q1131)/5),0),"[",""),"]","")+_xlfn.XLOOKUP(C1132,$M$3:$M$7,$N$3:$N$7)*100,R1131)</f>
        <v>40700</v>
      </c>
    </row>
    <row r="1133" customHeight="1" spans="1:18">
      <c r="A1133" s="78">
        <f ca="1" t="shared" si="51"/>
        <v>40701</v>
      </c>
      <c r="B1133" s="82">
        <f ca="1">IFERROR(R1133+COUNTIFS($R$11:$R1133,R1133),"")</f>
        <v>40728</v>
      </c>
      <c r="C1133" s="83" t="str">
        <f ca="1">IF(MOD(COUNTIF($Q$11:Q1132,Q1132),5)=0,OFFSET(装备属性!$D$1083,1+INT(COUNTA($Q$11:Q1132)/5),0),C1132)</f>
        <v>粉</v>
      </c>
      <c r="D1133" s="82">
        <f t="shared" si="53"/>
        <v>2000</v>
      </c>
      <c r="F1133" s="82">
        <f ca="1" t="shared" si="52"/>
        <v>40705</v>
      </c>
      <c r="G1133" s="78" t="str">
        <f ca="1">IF(AND(LEFT("[{"&amp;M1133&amp;","&amp;CEILING(N1133*10000+(O1133-N1133)/4*(COUNTIF($F$11:F1133,F1133)-1)*10000,10)&amp;"}]",7)="[{equip",MID("[{"&amp;M1133&amp;","&amp;CEILING(N1133*10000+(O1133-N1133)/4*(COUNTIF($F$11:F1133,F1133)-1)*10000,10)&amp;"}]",8,1)&lt;&gt;"_"),"[{"&amp;M1133&amp;","&amp;1&amp;"}]","[{"&amp;M1133&amp;","&amp;CEILING(N1133*10000+(O1133-N1133)/4*(COUNTIF($F$11:F1133,F1133)-1)*10000,10)&amp;"}]")</f>
        <v>[{drug_dmg_red_rate,320}]</v>
      </c>
      <c r="H1133" s="82" t="s">
        <v>563</v>
      </c>
      <c r="J1133" s="78">
        <f ca="1">IF(MOD(COUNTIF($Q$11:Q1132,Q1132),5)=0,OFFSET(装备属性!$P$1083,1+INT(COUNTA($Q$11:Q1132)/5),0),J1132)</f>
        <v>5</v>
      </c>
      <c r="K1133" s="83" t="str">
        <f ca="1">IF(RIGHT(G1133,13)="rune_slot,1}]",_xlfn.XLOOKUP(LEFT(SUBSTITUTE(G1133,"[{",""),FIND(",",SUBSTITUTE(G1133,"[{",""))-1),Sheet2!B:B,Sheet2!C:C)&amp;"+"&amp;1,_xlfn.XLOOKUP(LEFT(SUBSTITUTE(G1133,"[{",""),FIND(",",SUBSTITUTE(G1133,"[{",""))-1),Sheet2!B:B,Sheet2!C:C)&amp;"+"&amp;SUBSTITUTE(RIGHT(G1133,LEN(G1133)-FIND(",",G1133)),"}]","")/100&amp;"%")</f>
        <v>毒系伤害减免+3.2%</v>
      </c>
      <c r="L1133" s="83" t="str">
        <f ca="1">IF(MOD(COUNTIF($Q$11:Q1132,Q1132),5)=0,OFFSET(装备属性!$G$1083,1+INT(COUNTA($Q$11:Q1132)/5),0),L1132)</f>
        <v>毒毒不怕Ⅳ</v>
      </c>
      <c r="M1133" s="89" t="str">
        <f ca="1">IF(MOD(COUNTIF($Q$11:Q1132,Q1132),5)=0,OFFSET(装备属性!$H$1083,1+INT(COUNTA($Q$11:Q1132)/5),0),M1132)</f>
        <v>drug_dmg_red_rate</v>
      </c>
      <c r="N1133" s="76">
        <f ca="1">IF(MOD(COUNTIF($Q$11:Q1132,Q1132),5)=0,OFFSET(装备属性!$K$1083,1+INT(COUNTA($Q$11:Q1132)/5),0),N1132)</f>
        <v>0.03</v>
      </c>
      <c r="O1133" s="76">
        <f ca="1">IF(MOD(COUNTIF($Q$11:Q1132,Q1132),5)=0,OFFSET(装备属性!$L$1083,1+INT(COUNTA($Q$11:Q1132)/5),0),O1132)</f>
        <v>0.034</v>
      </c>
      <c r="Q1133" s="89" t="str">
        <f ca="1">IF(MOD(COUNTIF($Q$11:Q1132,Q1132),5)=0,OFFSET(装备属性!$M$1083,1+INT(COUNTA($Q$11:Q1132)/5),0),Q1132)</f>
        <v>通用属性</v>
      </c>
      <c r="R1133" s="83">
        <f ca="1">IF(MOD(COUNTIF($Q$11:Q1132,Q1132),5)=0,10000*SUBSTITUTE(SUBSTITUTE(OFFSET(装备属性!$F$1083,1+INT(COUNTA($Q$11:Q1132)/5),0),"[",""),"]","")+_xlfn.XLOOKUP(C1133,$M$3:$M$7,$N$3:$N$7)*100,R1132)</f>
        <v>40700</v>
      </c>
    </row>
    <row r="1134" customHeight="1" spans="1:18">
      <c r="A1134" s="78">
        <f ca="1" t="shared" si="51"/>
        <v>40701</v>
      </c>
      <c r="B1134" s="82">
        <f ca="1">IFERROR(R1134+COUNTIFS($R$11:$R1134,R1134),"")</f>
        <v>40729</v>
      </c>
      <c r="C1134" s="83" t="str">
        <f ca="1">IF(MOD(COUNTIF($Q$11:Q1133,Q1133),5)=0,OFFSET(装备属性!$D$1083,1+INT(COUNTA($Q$11:Q1133)/5),0),C1133)</f>
        <v>粉</v>
      </c>
      <c r="D1134" s="82">
        <f t="shared" si="53"/>
        <v>1500</v>
      </c>
      <c r="F1134" s="82">
        <f ca="1" t="shared" si="52"/>
        <v>40705</v>
      </c>
      <c r="G1134" s="78" t="str">
        <f ca="1">IF(AND(LEFT("[{"&amp;M1134&amp;","&amp;CEILING(N1134*10000+(O1134-N1134)/4*(COUNTIF($F$11:F1134,F1134)-1)*10000,10)&amp;"}]",7)="[{equip",MID("[{"&amp;M1134&amp;","&amp;CEILING(N1134*10000+(O1134-N1134)/4*(COUNTIF($F$11:F1134,F1134)-1)*10000,10)&amp;"}]",8,1)&lt;&gt;"_"),"[{"&amp;M1134&amp;","&amp;1&amp;"}]","[{"&amp;M1134&amp;","&amp;CEILING(N1134*10000+(O1134-N1134)/4*(COUNTIF($F$11:F1134,F1134)-1)*10000,10)&amp;"}]")</f>
        <v>[{drug_dmg_red_rate,330}]</v>
      </c>
      <c r="H1134" s="82" t="s">
        <v>563</v>
      </c>
      <c r="J1134" s="78">
        <f ca="1">IF(MOD(COUNTIF($Q$11:Q1133,Q1133),5)=0,OFFSET(装备属性!$P$1083,1+INT(COUNTA($Q$11:Q1133)/5),0),J1133)</f>
        <v>5</v>
      </c>
      <c r="K1134" s="83" t="str">
        <f ca="1">IF(RIGHT(G1134,13)="rune_slot,1}]",_xlfn.XLOOKUP(LEFT(SUBSTITUTE(G1134,"[{",""),FIND(",",SUBSTITUTE(G1134,"[{",""))-1),Sheet2!B:B,Sheet2!C:C)&amp;"+"&amp;1,_xlfn.XLOOKUP(LEFT(SUBSTITUTE(G1134,"[{",""),FIND(",",SUBSTITUTE(G1134,"[{",""))-1),Sheet2!B:B,Sheet2!C:C)&amp;"+"&amp;SUBSTITUTE(RIGHT(G1134,LEN(G1134)-FIND(",",G1134)),"}]","")/100&amp;"%")</f>
        <v>毒系伤害减免+3.3%</v>
      </c>
      <c r="L1134" s="83" t="str">
        <f ca="1">IF(MOD(COUNTIF($Q$11:Q1133,Q1133),5)=0,OFFSET(装备属性!$G$1083,1+INT(COUNTA($Q$11:Q1133)/5),0),L1133)</f>
        <v>毒毒不怕Ⅳ</v>
      </c>
      <c r="M1134" s="89" t="str">
        <f ca="1">IF(MOD(COUNTIF($Q$11:Q1133,Q1133),5)=0,OFFSET(装备属性!$H$1083,1+INT(COUNTA($Q$11:Q1133)/5),0),M1133)</f>
        <v>drug_dmg_red_rate</v>
      </c>
      <c r="N1134" s="76">
        <f ca="1">IF(MOD(COUNTIF($Q$11:Q1133,Q1133),5)=0,OFFSET(装备属性!$K$1083,1+INT(COUNTA($Q$11:Q1133)/5),0),N1133)</f>
        <v>0.03</v>
      </c>
      <c r="O1134" s="76">
        <f ca="1">IF(MOD(COUNTIF($Q$11:Q1133,Q1133),5)=0,OFFSET(装备属性!$L$1083,1+INT(COUNTA($Q$11:Q1133)/5),0),O1133)</f>
        <v>0.034</v>
      </c>
      <c r="Q1134" s="89" t="str">
        <f ca="1">IF(MOD(COUNTIF($Q$11:Q1133,Q1133),5)=0,OFFSET(装备属性!$M$1083,1+INT(COUNTA($Q$11:Q1133)/5),0),Q1133)</f>
        <v>通用属性</v>
      </c>
      <c r="R1134" s="83">
        <f ca="1">IF(MOD(COUNTIF($Q$11:Q1133,Q1133),5)=0,10000*SUBSTITUTE(SUBSTITUTE(OFFSET(装备属性!$F$1083,1+INT(COUNTA($Q$11:Q1133)/5),0),"[",""),"]","")+_xlfn.XLOOKUP(C1134,$M$3:$M$7,$N$3:$N$7)*100,R1133)</f>
        <v>40700</v>
      </c>
    </row>
    <row r="1135" customHeight="1" spans="1:18">
      <c r="A1135" s="78">
        <f ca="1" t="shared" si="51"/>
        <v>40701</v>
      </c>
      <c r="B1135" s="82">
        <f ca="1">IFERROR(R1135+COUNTIFS($R$11:$R1135,R1135),"")</f>
        <v>40730</v>
      </c>
      <c r="C1135" s="83" t="str">
        <f ca="1">IF(MOD(COUNTIF($Q$11:Q1134,Q1134),5)=0,OFFSET(装备属性!$D$1083,1+INT(COUNTA($Q$11:Q1134)/5),0),C1134)</f>
        <v>粉</v>
      </c>
      <c r="D1135" s="82">
        <f t="shared" si="53"/>
        <v>1000</v>
      </c>
      <c r="F1135" s="82">
        <f ca="1" t="shared" si="52"/>
        <v>40705</v>
      </c>
      <c r="G1135" s="78" t="str">
        <f ca="1">IF(AND(LEFT("[{"&amp;M1135&amp;","&amp;CEILING(N1135*10000+(O1135-N1135)/4*(COUNTIF($F$11:F1135,F1135)-1)*10000,10)&amp;"}]",7)="[{equip",MID("[{"&amp;M1135&amp;","&amp;CEILING(N1135*10000+(O1135-N1135)/4*(COUNTIF($F$11:F1135,F1135)-1)*10000,10)&amp;"}]",8,1)&lt;&gt;"_"),"[{"&amp;M1135&amp;","&amp;1&amp;"}]","[{"&amp;M1135&amp;","&amp;CEILING(N1135*10000+(O1135-N1135)/4*(COUNTIF($F$11:F1135,F1135)-1)*10000,10)&amp;"}]")</f>
        <v>[{drug_dmg_red_rate,340}]</v>
      </c>
      <c r="H1135" s="82" t="s">
        <v>563</v>
      </c>
      <c r="J1135" s="78">
        <f ca="1">IF(MOD(COUNTIF($Q$11:Q1134,Q1134),5)=0,OFFSET(装备属性!$P$1083,1+INT(COUNTA($Q$11:Q1134)/5),0),J1134)</f>
        <v>5</v>
      </c>
      <c r="K1135" s="83" t="str">
        <f ca="1">IF(RIGHT(G1135,13)="rune_slot,1}]",_xlfn.XLOOKUP(LEFT(SUBSTITUTE(G1135,"[{",""),FIND(",",SUBSTITUTE(G1135,"[{",""))-1),Sheet2!B:B,Sheet2!C:C)&amp;"+"&amp;1,_xlfn.XLOOKUP(LEFT(SUBSTITUTE(G1135,"[{",""),FIND(",",SUBSTITUTE(G1135,"[{",""))-1),Sheet2!B:B,Sheet2!C:C)&amp;"+"&amp;SUBSTITUTE(RIGHT(G1135,LEN(G1135)-FIND(",",G1135)),"}]","")/100&amp;"%")</f>
        <v>毒系伤害减免+3.4%</v>
      </c>
      <c r="L1135" s="83" t="str">
        <f ca="1">IF(MOD(COUNTIF($Q$11:Q1134,Q1134),5)=0,OFFSET(装备属性!$G$1083,1+INT(COUNTA($Q$11:Q1134)/5),0),L1134)</f>
        <v>毒毒不怕Ⅳ</v>
      </c>
      <c r="M1135" s="89" t="str">
        <f ca="1">IF(MOD(COUNTIF($Q$11:Q1134,Q1134),5)=0,OFFSET(装备属性!$H$1083,1+INT(COUNTA($Q$11:Q1134)/5),0),M1134)</f>
        <v>drug_dmg_red_rate</v>
      </c>
      <c r="N1135" s="76">
        <f ca="1">IF(MOD(COUNTIF($Q$11:Q1134,Q1134),5)=0,OFFSET(装备属性!$K$1083,1+INT(COUNTA($Q$11:Q1134)/5),0),N1134)</f>
        <v>0.03</v>
      </c>
      <c r="O1135" s="76">
        <f ca="1">IF(MOD(COUNTIF($Q$11:Q1134,Q1134),5)=0,OFFSET(装备属性!$L$1083,1+INT(COUNTA($Q$11:Q1134)/5),0),O1134)</f>
        <v>0.034</v>
      </c>
      <c r="Q1135" s="89" t="str">
        <f ca="1">IF(MOD(COUNTIF($Q$11:Q1134,Q1134),5)=0,OFFSET(装备属性!$M$1083,1+INT(COUNTA($Q$11:Q1134)/5),0),Q1134)</f>
        <v>通用属性</v>
      </c>
      <c r="R1135" s="83">
        <f ca="1">IF(MOD(COUNTIF($Q$11:Q1134,Q1134),5)=0,10000*SUBSTITUTE(SUBSTITUTE(OFFSET(装备属性!$F$1083,1+INT(COUNTA($Q$11:Q1134)/5),0),"[",""),"]","")+_xlfn.XLOOKUP(C1135,$M$3:$M$7,$N$3:$N$7)*100,R1134)</f>
        <v>40700</v>
      </c>
    </row>
    <row r="1136" customHeight="1" spans="1:18">
      <c r="A1136" s="78">
        <f ca="1" t="shared" si="51"/>
        <v>40701</v>
      </c>
      <c r="B1136" s="82">
        <f ca="1">IFERROR(R1136+COUNTIFS($R$11:$R1136,R1136),"")</f>
        <v>40731</v>
      </c>
      <c r="C1136" s="83" t="str">
        <f ca="1">IF(MOD(COUNTIF($Q$11:Q1135,Q1135),5)=0,OFFSET(装备属性!$D$1083,1+INT(COUNTA($Q$11:Q1135)/5),0),C1135)</f>
        <v>粉</v>
      </c>
      <c r="D1136" s="82">
        <f t="shared" si="53"/>
        <v>3000</v>
      </c>
      <c r="F1136" s="82">
        <f ca="1" t="shared" si="52"/>
        <v>40706</v>
      </c>
      <c r="G1136" s="78" t="str">
        <f ca="1">IF(AND(LEFT("[{"&amp;M1136&amp;","&amp;CEILING(N1136*10000+(O1136-N1136)/4*(COUNTIF($F$11:F1136,F1136)-1)*10000,10)&amp;"}]",7)="[{equip",MID("[{"&amp;M1136&amp;","&amp;CEILING(N1136*10000+(O1136-N1136)/4*(COUNTIF($F$11:F1136,F1136)-1)*10000,10)&amp;"}]",8,1)&lt;&gt;"_"),"[{"&amp;M1136&amp;","&amp;1&amp;"}]","[{"&amp;M1136&amp;","&amp;CEILING(N1136*10000+(O1136-N1136)/4*(COUNTIF($F$11:F1136,F1136)-1)*10000,10)&amp;"}]")</f>
        <v>[{drug_dmg_rate,800}]</v>
      </c>
      <c r="H1136" s="82" t="s">
        <v>563</v>
      </c>
      <c r="J1136" s="78">
        <f ca="1">IF(MOD(COUNTIF($Q$11:Q1135,Q1135),5)=0,OFFSET(装备属性!$P$1083,1+INT(COUNTA($Q$11:Q1135)/5),0),J1135)</f>
        <v>3</v>
      </c>
      <c r="K1136" s="83" t="str">
        <f ca="1">IF(RIGHT(G1136,13)="rune_slot,1}]",_xlfn.XLOOKUP(LEFT(SUBSTITUTE(G1136,"[{",""),FIND(",",SUBSTITUTE(G1136,"[{",""))-1),Sheet2!B:B,Sheet2!C:C)&amp;"+"&amp;1,_xlfn.XLOOKUP(LEFT(SUBSTITUTE(G1136,"[{",""),FIND(",",SUBSTITUTE(G1136,"[{",""))-1),Sheet2!B:B,Sheet2!C:C)&amp;"+"&amp;SUBSTITUTE(RIGHT(G1136,LEN(G1136)-FIND(",",G1136)),"}]","")/100&amp;"%")</f>
        <v>毒系伤害+8%</v>
      </c>
      <c r="L1136" s="83" t="str">
        <f ca="1">IF(MOD(COUNTIF($Q$11:Q1135,Q1135),5)=0,OFFSET(装备属性!$G$1083,1+INT(COUNTA($Q$11:Q1135)/5),0),L1135)</f>
        <v>毒毒加量Ⅳ</v>
      </c>
      <c r="M1136" s="89" t="str">
        <f ca="1">IF(MOD(COUNTIF($Q$11:Q1135,Q1135),5)=0,OFFSET(装备属性!$H$1083,1+INT(COUNTA($Q$11:Q1135)/5),0),M1135)</f>
        <v>drug_dmg_rate</v>
      </c>
      <c r="N1136" s="76">
        <f ca="1">IF(MOD(COUNTIF($Q$11:Q1135,Q1135),5)=0,OFFSET(装备属性!$K$1083,1+INT(COUNTA($Q$11:Q1135)/5),0),N1135)</f>
        <v>0.08</v>
      </c>
      <c r="O1136" s="76">
        <f ca="1">IF(MOD(COUNTIF($Q$11:Q1135,Q1135),5)=0,OFFSET(装备属性!$L$1083,1+INT(COUNTA($Q$11:Q1135)/5),0),O1135)</f>
        <v>0.09</v>
      </c>
      <c r="Q1136" s="89" t="str">
        <f ca="1">IF(MOD(COUNTIF($Q$11:Q1135,Q1135),5)=0,OFFSET(装备属性!$M$1083,1+INT(COUNTA($Q$11:Q1135)/5),0),Q1135)</f>
        <v>通用属性</v>
      </c>
      <c r="R1136" s="83">
        <f ca="1">IF(MOD(COUNTIF($Q$11:Q1135,Q1135),5)=0,10000*SUBSTITUTE(SUBSTITUTE(OFFSET(装备属性!$F$1083,1+INT(COUNTA($Q$11:Q1135)/5),0),"[",""),"]","")+_xlfn.XLOOKUP(C1136,$M$3:$M$7,$N$3:$N$7)*100,R1135)</f>
        <v>40700</v>
      </c>
    </row>
    <row r="1137" customHeight="1" spans="1:18">
      <c r="A1137" s="78">
        <f ca="1" t="shared" si="51"/>
        <v>40701</v>
      </c>
      <c r="B1137" s="82">
        <f ca="1">IFERROR(R1137+COUNTIFS($R$11:$R1137,R1137),"")</f>
        <v>40732</v>
      </c>
      <c r="C1137" s="83" t="str">
        <f ca="1">IF(MOD(COUNTIF($Q$11:Q1136,Q1136),5)=0,OFFSET(装备属性!$D$1083,1+INT(COUNTA($Q$11:Q1136)/5),0),C1136)</f>
        <v>粉</v>
      </c>
      <c r="D1137" s="82">
        <f t="shared" si="53"/>
        <v>2500</v>
      </c>
      <c r="F1137" s="82">
        <f ca="1" t="shared" si="52"/>
        <v>40706</v>
      </c>
      <c r="G1137" s="78" t="str">
        <f ca="1">IF(AND(LEFT("[{"&amp;M1137&amp;","&amp;CEILING(N1137*10000+(O1137-N1137)/4*(COUNTIF($F$11:F1137,F1137)-1)*10000,10)&amp;"}]",7)="[{equip",MID("[{"&amp;M1137&amp;","&amp;CEILING(N1137*10000+(O1137-N1137)/4*(COUNTIF($F$11:F1137,F1137)-1)*10000,10)&amp;"}]",8,1)&lt;&gt;"_"),"[{"&amp;M1137&amp;","&amp;1&amp;"}]","[{"&amp;M1137&amp;","&amp;CEILING(N1137*10000+(O1137-N1137)/4*(COUNTIF($F$11:F1137,F1137)-1)*10000,10)&amp;"}]")</f>
        <v>[{drug_dmg_rate,830}]</v>
      </c>
      <c r="H1137" s="82" t="s">
        <v>563</v>
      </c>
      <c r="J1137" s="78">
        <f ca="1">IF(MOD(COUNTIF($Q$11:Q1136,Q1136),5)=0,OFFSET(装备属性!$P$1083,1+INT(COUNTA($Q$11:Q1136)/5),0),J1136)</f>
        <v>3</v>
      </c>
      <c r="K1137" s="83" t="str">
        <f ca="1">IF(RIGHT(G1137,13)="rune_slot,1}]",_xlfn.XLOOKUP(LEFT(SUBSTITUTE(G1137,"[{",""),FIND(",",SUBSTITUTE(G1137,"[{",""))-1),Sheet2!B:B,Sheet2!C:C)&amp;"+"&amp;1,_xlfn.XLOOKUP(LEFT(SUBSTITUTE(G1137,"[{",""),FIND(",",SUBSTITUTE(G1137,"[{",""))-1),Sheet2!B:B,Sheet2!C:C)&amp;"+"&amp;SUBSTITUTE(RIGHT(G1137,LEN(G1137)-FIND(",",G1137)),"}]","")/100&amp;"%")</f>
        <v>毒系伤害+8.3%</v>
      </c>
      <c r="L1137" s="83" t="str">
        <f ca="1">IF(MOD(COUNTIF($Q$11:Q1136,Q1136),5)=0,OFFSET(装备属性!$G$1083,1+INT(COUNTA($Q$11:Q1136)/5),0),L1136)</f>
        <v>毒毒加量Ⅳ</v>
      </c>
      <c r="M1137" s="89" t="str">
        <f ca="1">IF(MOD(COUNTIF($Q$11:Q1136,Q1136),5)=0,OFFSET(装备属性!$H$1083,1+INT(COUNTA($Q$11:Q1136)/5),0),M1136)</f>
        <v>drug_dmg_rate</v>
      </c>
      <c r="N1137" s="76">
        <f ca="1">IF(MOD(COUNTIF($Q$11:Q1136,Q1136),5)=0,OFFSET(装备属性!$K$1083,1+INT(COUNTA($Q$11:Q1136)/5),0),N1136)</f>
        <v>0.08</v>
      </c>
      <c r="O1137" s="76">
        <f ca="1">IF(MOD(COUNTIF($Q$11:Q1136,Q1136),5)=0,OFFSET(装备属性!$L$1083,1+INT(COUNTA($Q$11:Q1136)/5),0),O1136)</f>
        <v>0.09</v>
      </c>
      <c r="Q1137" s="89" t="str">
        <f ca="1">IF(MOD(COUNTIF($Q$11:Q1136,Q1136),5)=0,OFFSET(装备属性!$M$1083,1+INT(COUNTA($Q$11:Q1136)/5),0),Q1136)</f>
        <v>通用属性</v>
      </c>
      <c r="R1137" s="83">
        <f ca="1">IF(MOD(COUNTIF($Q$11:Q1136,Q1136),5)=0,10000*SUBSTITUTE(SUBSTITUTE(OFFSET(装备属性!$F$1083,1+INT(COUNTA($Q$11:Q1136)/5),0),"[",""),"]","")+_xlfn.XLOOKUP(C1137,$M$3:$M$7,$N$3:$N$7)*100,R1136)</f>
        <v>40700</v>
      </c>
    </row>
    <row r="1138" customHeight="1" spans="1:18">
      <c r="A1138" s="78">
        <f ca="1" t="shared" si="51"/>
        <v>40701</v>
      </c>
      <c r="B1138" s="82">
        <f ca="1">IFERROR(R1138+COUNTIFS($R$11:$R1138,R1138),"")</f>
        <v>40733</v>
      </c>
      <c r="C1138" s="83" t="str">
        <f ca="1">IF(MOD(COUNTIF($Q$11:Q1137,Q1137),5)=0,OFFSET(装备属性!$D$1083,1+INT(COUNTA($Q$11:Q1137)/5),0),C1137)</f>
        <v>粉</v>
      </c>
      <c r="D1138" s="82">
        <f t="shared" si="53"/>
        <v>2000</v>
      </c>
      <c r="F1138" s="82">
        <f ca="1" t="shared" si="52"/>
        <v>40706</v>
      </c>
      <c r="G1138" s="78" t="str">
        <f ca="1">IF(AND(LEFT("[{"&amp;M1138&amp;","&amp;CEILING(N1138*10000+(O1138-N1138)/4*(COUNTIF($F$11:F1138,F1138)-1)*10000,10)&amp;"}]",7)="[{equip",MID("[{"&amp;M1138&amp;","&amp;CEILING(N1138*10000+(O1138-N1138)/4*(COUNTIF($F$11:F1138,F1138)-1)*10000,10)&amp;"}]",8,1)&lt;&gt;"_"),"[{"&amp;M1138&amp;","&amp;1&amp;"}]","[{"&amp;M1138&amp;","&amp;CEILING(N1138*10000+(O1138-N1138)/4*(COUNTIF($F$11:F1138,F1138)-1)*10000,10)&amp;"}]")</f>
        <v>[{drug_dmg_rate,850}]</v>
      </c>
      <c r="H1138" s="82" t="s">
        <v>563</v>
      </c>
      <c r="J1138" s="78">
        <f ca="1">IF(MOD(COUNTIF($Q$11:Q1137,Q1137),5)=0,OFFSET(装备属性!$P$1083,1+INT(COUNTA($Q$11:Q1137)/5),0),J1137)</f>
        <v>3</v>
      </c>
      <c r="K1138" s="83" t="str">
        <f ca="1">IF(RIGHT(G1138,13)="rune_slot,1}]",_xlfn.XLOOKUP(LEFT(SUBSTITUTE(G1138,"[{",""),FIND(",",SUBSTITUTE(G1138,"[{",""))-1),Sheet2!B:B,Sheet2!C:C)&amp;"+"&amp;1,_xlfn.XLOOKUP(LEFT(SUBSTITUTE(G1138,"[{",""),FIND(",",SUBSTITUTE(G1138,"[{",""))-1),Sheet2!B:B,Sheet2!C:C)&amp;"+"&amp;SUBSTITUTE(RIGHT(G1138,LEN(G1138)-FIND(",",G1138)),"}]","")/100&amp;"%")</f>
        <v>毒系伤害+8.5%</v>
      </c>
      <c r="L1138" s="83" t="str">
        <f ca="1">IF(MOD(COUNTIF($Q$11:Q1137,Q1137),5)=0,OFFSET(装备属性!$G$1083,1+INT(COUNTA($Q$11:Q1137)/5),0),L1137)</f>
        <v>毒毒加量Ⅳ</v>
      </c>
      <c r="M1138" s="89" t="str">
        <f ca="1">IF(MOD(COUNTIF($Q$11:Q1137,Q1137),5)=0,OFFSET(装备属性!$H$1083,1+INT(COUNTA($Q$11:Q1137)/5),0),M1137)</f>
        <v>drug_dmg_rate</v>
      </c>
      <c r="N1138" s="76">
        <f ca="1">IF(MOD(COUNTIF($Q$11:Q1137,Q1137),5)=0,OFFSET(装备属性!$K$1083,1+INT(COUNTA($Q$11:Q1137)/5),0),N1137)</f>
        <v>0.08</v>
      </c>
      <c r="O1138" s="76">
        <f ca="1">IF(MOD(COUNTIF($Q$11:Q1137,Q1137),5)=0,OFFSET(装备属性!$L$1083,1+INT(COUNTA($Q$11:Q1137)/5),0),O1137)</f>
        <v>0.09</v>
      </c>
      <c r="Q1138" s="89" t="str">
        <f ca="1">IF(MOD(COUNTIF($Q$11:Q1137,Q1137),5)=0,OFFSET(装备属性!$M$1083,1+INT(COUNTA($Q$11:Q1137)/5),0),Q1137)</f>
        <v>通用属性</v>
      </c>
      <c r="R1138" s="83">
        <f ca="1">IF(MOD(COUNTIF($Q$11:Q1137,Q1137),5)=0,10000*SUBSTITUTE(SUBSTITUTE(OFFSET(装备属性!$F$1083,1+INT(COUNTA($Q$11:Q1137)/5),0),"[",""),"]","")+_xlfn.XLOOKUP(C1138,$M$3:$M$7,$N$3:$N$7)*100,R1137)</f>
        <v>40700</v>
      </c>
    </row>
    <row r="1139" customHeight="1" spans="1:18">
      <c r="A1139" s="78">
        <f ca="1" t="shared" si="51"/>
        <v>40701</v>
      </c>
      <c r="B1139" s="82">
        <f ca="1">IFERROR(R1139+COUNTIFS($R$11:$R1139,R1139),"")</f>
        <v>40734</v>
      </c>
      <c r="C1139" s="83" t="str">
        <f ca="1">IF(MOD(COUNTIF($Q$11:Q1138,Q1138),5)=0,OFFSET(装备属性!$D$1083,1+INT(COUNTA($Q$11:Q1138)/5),0),C1138)</f>
        <v>粉</v>
      </c>
      <c r="D1139" s="82">
        <f t="shared" si="53"/>
        <v>1500</v>
      </c>
      <c r="F1139" s="82">
        <f ca="1" t="shared" si="52"/>
        <v>40706</v>
      </c>
      <c r="G1139" s="78" t="str">
        <f ca="1">IF(AND(LEFT("[{"&amp;M1139&amp;","&amp;CEILING(N1139*10000+(O1139-N1139)/4*(COUNTIF($F$11:F1139,F1139)-1)*10000,10)&amp;"}]",7)="[{equip",MID("[{"&amp;M1139&amp;","&amp;CEILING(N1139*10000+(O1139-N1139)/4*(COUNTIF($F$11:F1139,F1139)-1)*10000,10)&amp;"}]",8,1)&lt;&gt;"_"),"[{"&amp;M1139&amp;","&amp;1&amp;"}]","[{"&amp;M1139&amp;","&amp;CEILING(N1139*10000+(O1139-N1139)/4*(COUNTIF($F$11:F1139,F1139)-1)*10000,10)&amp;"}]")</f>
        <v>[{drug_dmg_rate,880}]</v>
      </c>
      <c r="H1139" s="82" t="s">
        <v>563</v>
      </c>
      <c r="J1139" s="78">
        <f ca="1">IF(MOD(COUNTIF($Q$11:Q1138,Q1138),5)=0,OFFSET(装备属性!$P$1083,1+INT(COUNTA($Q$11:Q1138)/5),0),J1138)</f>
        <v>3</v>
      </c>
      <c r="K1139" s="83" t="str">
        <f ca="1">IF(RIGHT(G1139,13)="rune_slot,1}]",_xlfn.XLOOKUP(LEFT(SUBSTITUTE(G1139,"[{",""),FIND(",",SUBSTITUTE(G1139,"[{",""))-1),Sheet2!B:B,Sheet2!C:C)&amp;"+"&amp;1,_xlfn.XLOOKUP(LEFT(SUBSTITUTE(G1139,"[{",""),FIND(",",SUBSTITUTE(G1139,"[{",""))-1),Sheet2!B:B,Sheet2!C:C)&amp;"+"&amp;SUBSTITUTE(RIGHT(G1139,LEN(G1139)-FIND(",",G1139)),"}]","")/100&amp;"%")</f>
        <v>毒系伤害+8.8%</v>
      </c>
      <c r="L1139" s="83" t="str">
        <f ca="1">IF(MOD(COUNTIF($Q$11:Q1138,Q1138),5)=0,OFFSET(装备属性!$G$1083,1+INT(COUNTA($Q$11:Q1138)/5),0),L1138)</f>
        <v>毒毒加量Ⅳ</v>
      </c>
      <c r="M1139" s="89" t="str">
        <f ca="1">IF(MOD(COUNTIF($Q$11:Q1138,Q1138),5)=0,OFFSET(装备属性!$H$1083,1+INT(COUNTA($Q$11:Q1138)/5),0),M1138)</f>
        <v>drug_dmg_rate</v>
      </c>
      <c r="N1139" s="76">
        <f ca="1">IF(MOD(COUNTIF($Q$11:Q1138,Q1138),5)=0,OFFSET(装备属性!$K$1083,1+INT(COUNTA($Q$11:Q1138)/5),0),N1138)</f>
        <v>0.08</v>
      </c>
      <c r="O1139" s="76">
        <f ca="1">IF(MOD(COUNTIF($Q$11:Q1138,Q1138),5)=0,OFFSET(装备属性!$L$1083,1+INT(COUNTA($Q$11:Q1138)/5),0),O1138)</f>
        <v>0.09</v>
      </c>
      <c r="Q1139" s="89" t="str">
        <f ca="1">IF(MOD(COUNTIF($Q$11:Q1138,Q1138),5)=0,OFFSET(装备属性!$M$1083,1+INT(COUNTA($Q$11:Q1138)/5),0),Q1138)</f>
        <v>通用属性</v>
      </c>
      <c r="R1139" s="83">
        <f ca="1">IF(MOD(COUNTIF($Q$11:Q1138,Q1138),5)=0,10000*SUBSTITUTE(SUBSTITUTE(OFFSET(装备属性!$F$1083,1+INT(COUNTA($Q$11:Q1138)/5),0),"[",""),"]","")+_xlfn.XLOOKUP(C1139,$M$3:$M$7,$N$3:$N$7)*100,R1138)</f>
        <v>40700</v>
      </c>
    </row>
    <row r="1140" customHeight="1" spans="1:18">
      <c r="A1140" s="78">
        <f ca="1" t="shared" si="51"/>
        <v>40701</v>
      </c>
      <c r="B1140" s="82">
        <f ca="1">IFERROR(R1140+COUNTIFS($R$11:$R1140,R1140),"")</f>
        <v>40735</v>
      </c>
      <c r="C1140" s="83" t="str">
        <f ca="1">IF(MOD(COUNTIF($Q$11:Q1139,Q1139),5)=0,OFFSET(装备属性!$D$1083,1+INT(COUNTA($Q$11:Q1139)/5),0),C1139)</f>
        <v>粉</v>
      </c>
      <c r="D1140" s="82">
        <f t="shared" si="53"/>
        <v>1000</v>
      </c>
      <c r="F1140" s="82">
        <f ca="1" t="shared" si="52"/>
        <v>40706</v>
      </c>
      <c r="G1140" s="78" t="str">
        <f ca="1">IF(AND(LEFT("[{"&amp;M1140&amp;","&amp;CEILING(N1140*10000+(O1140-N1140)/4*(COUNTIF($F$11:F1140,F1140)-1)*10000,10)&amp;"}]",7)="[{equip",MID("[{"&amp;M1140&amp;","&amp;CEILING(N1140*10000+(O1140-N1140)/4*(COUNTIF($F$11:F1140,F1140)-1)*10000,10)&amp;"}]",8,1)&lt;&gt;"_"),"[{"&amp;M1140&amp;","&amp;1&amp;"}]","[{"&amp;M1140&amp;","&amp;CEILING(N1140*10000+(O1140-N1140)/4*(COUNTIF($F$11:F1140,F1140)-1)*10000,10)&amp;"}]")</f>
        <v>[{drug_dmg_rate,900}]</v>
      </c>
      <c r="H1140" s="82" t="s">
        <v>563</v>
      </c>
      <c r="J1140" s="78">
        <f ca="1">IF(MOD(COUNTIF($Q$11:Q1139,Q1139),5)=0,OFFSET(装备属性!$P$1083,1+INT(COUNTA($Q$11:Q1139)/5),0),J1139)</f>
        <v>3</v>
      </c>
      <c r="K1140" s="83" t="str">
        <f ca="1">IF(RIGHT(G1140,13)="rune_slot,1}]",_xlfn.XLOOKUP(LEFT(SUBSTITUTE(G1140,"[{",""),FIND(",",SUBSTITUTE(G1140,"[{",""))-1),Sheet2!B:B,Sheet2!C:C)&amp;"+"&amp;1,_xlfn.XLOOKUP(LEFT(SUBSTITUTE(G1140,"[{",""),FIND(",",SUBSTITUTE(G1140,"[{",""))-1),Sheet2!B:B,Sheet2!C:C)&amp;"+"&amp;SUBSTITUTE(RIGHT(G1140,LEN(G1140)-FIND(",",G1140)),"}]","")/100&amp;"%")</f>
        <v>毒系伤害+9%</v>
      </c>
      <c r="L1140" s="83" t="str">
        <f ca="1">IF(MOD(COUNTIF($Q$11:Q1139,Q1139),5)=0,OFFSET(装备属性!$G$1083,1+INT(COUNTA($Q$11:Q1139)/5),0),L1139)</f>
        <v>毒毒加量Ⅳ</v>
      </c>
      <c r="M1140" s="89" t="str">
        <f ca="1">IF(MOD(COUNTIF($Q$11:Q1139,Q1139),5)=0,OFFSET(装备属性!$H$1083,1+INT(COUNTA($Q$11:Q1139)/5),0),M1139)</f>
        <v>drug_dmg_rate</v>
      </c>
      <c r="N1140" s="76">
        <f ca="1">IF(MOD(COUNTIF($Q$11:Q1139,Q1139),5)=0,OFFSET(装备属性!$K$1083,1+INT(COUNTA($Q$11:Q1139)/5),0),N1139)</f>
        <v>0.08</v>
      </c>
      <c r="O1140" s="76">
        <f ca="1">IF(MOD(COUNTIF($Q$11:Q1139,Q1139),5)=0,OFFSET(装备属性!$L$1083,1+INT(COUNTA($Q$11:Q1139)/5),0),O1139)</f>
        <v>0.09</v>
      </c>
      <c r="Q1140" s="89" t="str">
        <f ca="1">IF(MOD(COUNTIF($Q$11:Q1139,Q1139),5)=0,OFFSET(装备属性!$M$1083,1+INT(COUNTA($Q$11:Q1139)/5),0),Q1139)</f>
        <v>通用属性</v>
      </c>
      <c r="R1140" s="83">
        <f ca="1">IF(MOD(COUNTIF($Q$11:Q1139,Q1139),5)=0,10000*SUBSTITUTE(SUBSTITUTE(OFFSET(装备属性!$F$1083,1+INT(COUNTA($Q$11:Q1139)/5),0),"[",""),"]","")+_xlfn.XLOOKUP(C1140,$M$3:$M$7,$N$3:$N$7)*100,R1139)</f>
        <v>40700</v>
      </c>
    </row>
    <row r="1141" customHeight="1" spans="1:18">
      <c r="A1141" s="78">
        <f ca="1" t="shared" si="51"/>
        <v>40701</v>
      </c>
      <c r="B1141" s="82">
        <f ca="1">IFERROR(R1141+COUNTIFS($R$11:$R1141,R1141),"")</f>
        <v>40736</v>
      </c>
      <c r="C1141" s="83" t="str">
        <f ca="1">IF(MOD(COUNTIF($Q$11:Q1140,Q1140),5)=0,OFFSET(装备属性!$D$1083,1+INT(COUNTA($Q$11:Q1140)/5),0),C1140)</f>
        <v>粉</v>
      </c>
      <c r="D1141" s="82">
        <f t="shared" si="53"/>
        <v>3000</v>
      </c>
      <c r="F1141" s="82">
        <f ca="1" t="shared" si="52"/>
        <v>40707</v>
      </c>
      <c r="G1141" s="78" t="str">
        <f ca="1">IF(AND(LEFT("[{"&amp;M1141&amp;","&amp;CEILING(N1141*10000+(O1141-N1141)/4*(COUNTIF($F$11:F1141,F1141)-1)*10000,10)&amp;"}]",7)="[{equip",MID("[{"&amp;M1141&amp;","&amp;CEILING(N1141*10000+(O1141-N1141)/4*(COUNTIF($F$11:F1141,F1141)-1)*10000,10)&amp;"}]",8,1)&lt;&gt;"_"),"[{"&amp;M1141&amp;","&amp;1&amp;"}]","[{"&amp;M1141&amp;","&amp;CEILING(N1141*10000+(O1141-N1141)/4*(COUNTIF($F$11:F1141,F1141)-1)*10000,10)&amp;"}]")</f>
        <v>[{drug_class_dmg_rate,1100}]</v>
      </c>
      <c r="H1141" s="82" t="s">
        <v>563</v>
      </c>
      <c r="J1141" s="78">
        <f ca="1">IF(MOD(COUNTIF($Q$11:Q1140,Q1140),5)=0,OFFSET(装备属性!$P$1083,1+INT(COUNTA($Q$11:Q1140)/5),0),J1140)</f>
        <v>4</v>
      </c>
      <c r="K1141" s="83" t="str">
        <f ca="1">IF(RIGHT(G1141,13)="rune_slot,1}]",_xlfn.XLOOKUP(LEFT(SUBSTITUTE(G1141,"[{",""),FIND(",",SUBSTITUTE(G1141,"[{",""))-1),Sheet2!B:B,Sheet2!C:C)&amp;"+"&amp;1,_xlfn.XLOOKUP(LEFT(SUBSTITUTE(G1141,"[{",""),FIND(",",SUBSTITUTE(G1141,"[{",""))-1),Sheet2!B:B,Sheet2!C:C)&amp;"+"&amp;SUBSTITUTE(RIGHT(G1141,LEN(G1141)-FIND(",",G1141)),"}]","")/100&amp;"%")</f>
        <v>上阵两个毒系职业增伤+11%</v>
      </c>
      <c r="L1141" s="83" t="str">
        <f ca="1">IF(MOD(COUNTIF($Q$11:Q1140,Q1140),5)=0,OFFSET(装备属性!$G$1083,1+INT(COUNTA($Q$11:Q1140)/5),0),L1140)</f>
        <v>毒毒小队Ⅳ</v>
      </c>
      <c r="M1141" s="89" t="str">
        <f ca="1">IF(MOD(COUNTIF($Q$11:Q1140,Q1140),5)=0,OFFSET(装备属性!$H$1083,1+INT(COUNTA($Q$11:Q1140)/5),0),M1140)</f>
        <v>drug_class_dmg_rate</v>
      </c>
      <c r="N1141" s="76">
        <f ca="1">IF(MOD(COUNTIF($Q$11:Q1140,Q1140),5)=0,OFFSET(装备属性!$K$1083,1+INT(COUNTA($Q$11:Q1140)/5),0),N1140)</f>
        <v>0.11</v>
      </c>
      <c r="O1141" s="76">
        <f ca="1">IF(MOD(COUNTIF($Q$11:Q1140,Q1140),5)=0,OFFSET(装备属性!$L$1083,1+INT(COUNTA($Q$11:Q1140)/5),0),O1140)</f>
        <v>0.13</v>
      </c>
      <c r="Q1141" s="89" t="str">
        <f ca="1">IF(MOD(COUNTIF($Q$11:Q1140,Q1140),5)=0,OFFSET(装备属性!$M$1083,1+INT(COUNTA($Q$11:Q1140)/5),0),Q1140)</f>
        <v>通用属性</v>
      </c>
      <c r="R1141" s="83">
        <f ca="1">IF(MOD(COUNTIF($Q$11:Q1140,Q1140),5)=0,10000*SUBSTITUTE(SUBSTITUTE(OFFSET(装备属性!$F$1083,1+INT(COUNTA($Q$11:Q1140)/5),0),"[",""),"]","")+_xlfn.XLOOKUP(C1141,$M$3:$M$7,$N$3:$N$7)*100,R1140)</f>
        <v>40700</v>
      </c>
    </row>
    <row r="1142" customHeight="1" spans="1:18">
      <c r="A1142" s="78">
        <f ca="1" t="shared" si="51"/>
        <v>40701</v>
      </c>
      <c r="B1142" s="82">
        <f ca="1">IFERROR(R1142+COUNTIFS($R$11:$R1142,R1142),"")</f>
        <v>40737</v>
      </c>
      <c r="C1142" s="83" t="str">
        <f ca="1">IF(MOD(COUNTIF($Q$11:Q1141,Q1141),5)=0,OFFSET(装备属性!$D$1083,1+INT(COUNTA($Q$11:Q1141)/5),0),C1141)</f>
        <v>粉</v>
      </c>
      <c r="D1142" s="82">
        <f t="shared" si="53"/>
        <v>2500</v>
      </c>
      <c r="F1142" s="82">
        <f ca="1" t="shared" si="52"/>
        <v>40707</v>
      </c>
      <c r="G1142" s="78" t="str">
        <f ca="1">IF(AND(LEFT("[{"&amp;M1142&amp;","&amp;CEILING(N1142*10000+(O1142-N1142)/4*(COUNTIF($F$11:F1142,F1142)-1)*10000,10)&amp;"}]",7)="[{equip",MID("[{"&amp;M1142&amp;","&amp;CEILING(N1142*10000+(O1142-N1142)/4*(COUNTIF($F$11:F1142,F1142)-1)*10000,10)&amp;"}]",8,1)&lt;&gt;"_"),"[{"&amp;M1142&amp;","&amp;1&amp;"}]","[{"&amp;M1142&amp;","&amp;CEILING(N1142*10000+(O1142-N1142)/4*(COUNTIF($F$11:F1142,F1142)-1)*10000,10)&amp;"}]")</f>
        <v>[{drug_class_dmg_rate,1150}]</v>
      </c>
      <c r="H1142" s="82" t="s">
        <v>563</v>
      </c>
      <c r="J1142" s="78">
        <f ca="1">IF(MOD(COUNTIF($Q$11:Q1141,Q1141),5)=0,OFFSET(装备属性!$P$1083,1+INT(COUNTA($Q$11:Q1141)/5),0),J1141)</f>
        <v>4</v>
      </c>
      <c r="K1142" s="83" t="str">
        <f ca="1">IF(RIGHT(G1142,13)="rune_slot,1}]",_xlfn.XLOOKUP(LEFT(SUBSTITUTE(G1142,"[{",""),FIND(",",SUBSTITUTE(G1142,"[{",""))-1),Sheet2!B:B,Sheet2!C:C)&amp;"+"&amp;1,_xlfn.XLOOKUP(LEFT(SUBSTITUTE(G1142,"[{",""),FIND(",",SUBSTITUTE(G1142,"[{",""))-1),Sheet2!B:B,Sheet2!C:C)&amp;"+"&amp;SUBSTITUTE(RIGHT(G1142,LEN(G1142)-FIND(",",G1142)),"}]","")/100&amp;"%")</f>
        <v>上阵两个毒系职业增伤+11.5%</v>
      </c>
      <c r="L1142" s="83" t="str">
        <f ca="1">IF(MOD(COUNTIF($Q$11:Q1141,Q1141),5)=0,OFFSET(装备属性!$G$1083,1+INT(COUNTA($Q$11:Q1141)/5),0),L1141)</f>
        <v>毒毒小队Ⅳ</v>
      </c>
      <c r="M1142" s="89" t="str">
        <f ca="1">IF(MOD(COUNTIF($Q$11:Q1141,Q1141),5)=0,OFFSET(装备属性!$H$1083,1+INT(COUNTA($Q$11:Q1141)/5),0),M1141)</f>
        <v>drug_class_dmg_rate</v>
      </c>
      <c r="N1142" s="76">
        <f ca="1">IF(MOD(COUNTIF($Q$11:Q1141,Q1141),5)=0,OFFSET(装备属性!$K$1083,1+INT(COUNTA($Q$11:Q1141)/5),0),N1141)</f>
        <v>0.11</v>
      </c>
      <c r="O1142" s="76">
        <f ca="1">IF(MOD(COUNTIF($Q$11:Q1141,Q1141),5)=0,OFFSET(装备属性!$L$1083,1+INT(COUNTA($Q$11:Q1141)/5),0),O1141)</f>
        <v>0.13</v>
      </c>
      <c r="Q1142" s="89" t="str">
        <f ca="1">IF(MOD(COUNTIF($Q$11:Q1141,Q1141),5)=0,OFFSET(装备属性!$M$1083,1+INT(COUNTA($Q$11:Q1141)/5),0),Q1141)</f>
        <v>通用属性</v>
      </c>
      <c r="R1142" s="83">
        <f ca="1">IF(MOD(COUNTIF($Q$11:Q1141,Q1141),5)=0,10000*SUBSTITUTE(SUBSTITUTE(OFFSET(装备属性!$F$1083,1+INT(COUNTA($Q$11:Q1141)/5),0),"[",""),"]","")+_xlfn.XLOOKUP(C1142,$M$3:$M$7,$N$3:$N$7)*100,R1141)</f>
        <v>40700</v>
      </c>
    </row>
    <row r="1143" customHeight="1" spans="1:18">
      <c r="A1143" s="78">
        <f ca="1" t="shared" si="51"/>
        <v>40701</v>
      </c>
      <c r="B1143" s="82">
        <f ca="1">IFERROR(R1143+COUNTIFS($R$11:$R1143,R1143),"")</f>
        <v>40738</v>
      </c>
      <c r="C1143" s="83" t="str">
        <f ca="1">IF(MOD(COUNTIF($Q$11:Q1142,Q1142),5)=0,OFFSET(装备属性!$D$1083,1+INT(COUNTA($Q$11:Q1142)/5),0),C1142)</f>
        <v>粉</v>
      </c>
      <c r="D1143" s="82">
        <f t="shared" si="53"/>
        <v>2000</v>
      </c>
      <c r="F1143" s="82">
        <f ca="1" t="shared" si="52"/>
        <v>40707</v>
      </c>
      <c r="G1143" s="78" t="str">
        <f ca="1">IF(AND(LEFT("[{"&amp;M1143&amp;","&amp;CEILING(N1143*10000+(O1143-N1143)/4*(COUNTIF($F$11:F1143,F1143)-1)*10000,10)&amp;"}]",7)="[{equip",MID("[{"&amp;M1143&amp;","&amp;CEILING(N1143*10000+(O1143-N1143)/4*(COUNTIF($F$11:F1143,F1143)-1)*10000,10)&amp;"}]",8,1)&lt;&gt;"_"),"[{"&amp;M1143&amp;","&amp;1&amp;"}]","[{"&amp;M1143&amp;","&amp;CEILING(N1143*10000+(O1143-N1143)/4*(COUNTIF($F$11:F1143,F1143)-1)*10000,10)&amp;"}]")</f>
        <v>[{drug_class_dmg_rate,1200}]</v>
      </c>
      <c r="H1143" s="82" t="s">
        <v>563</v>
      </c>
      <c r="J1143" s="78">
        <f ca="1">IF(MOD(COUNTIF($Q$11:Q1142,Q1142),5)=0,OFFSET(装备属性!$P$1083,1+INT(COUNTA($Q$11:Q1142)/5),0),J1142)</f>
        <v>4</v>
      </c>
      <c r="K1143" s="83" t="str">
        <f ca="1">IF(RIGHT(G1143,13)="rune_slot,1}]",_xlfn.XLOOKUP(LEFT(SUBSTITUTE(G1143,"[{",""),FIND(",",SUBSTITUTE(G1143,"[{",""))-1),Sheet2!B:B,Sheet2!C:C)&amp;"+"&amp;1,_xlfn.XLOOKUP(LEFT(SUBSTITUTE(G1143,"[{",""),FIND(",",SUBSTITUTE(G1143,"[{",""))-1),Sheet2!B:B,Sheet2!C:C)&amp;"+"&amp;SUBSTITUTE(RIGHT(G1143,LEN(G1143)-FIND(",",G1143)),"}]","")/100&amp;"%")</f>
        <v>上阵两个毒系职业增伤+12%</v>
      </c>
      <c r="L1143" s="83" t="str">
        <f ca="1">IF(MOD(COUNTIF($Q$11:Q1142,Q1142),5)=0,OFFSET(装备属性!$G$1083,1+INT(COUNTA($Q$11:Q1142)/5),0),L1142)</f>
        <v>毒毒小队Ⅳ</v>
      </c>
      <c r="M1143" s="89" t="str">
        <f ca="1">IF(MOD(COUNTIF($Q$11:Q1142,Q1142),5)=0,OFFSET(装备属性!$H$1083,1+INT(COUNTA($Q$11:Q1142)/5),0),M1142)</f>
        <v>drug_class_dmg_rate</v>
      </c>
      <c r="N1143" s="76">
        <f ca="1">IF(MOD(COUNTIF($Q$11:Q1142,Q1142),5)=0,OFFSET(装备属性!$K$1083,1+INT(COUNTA($Q$11:Q1142)/5),0),N1142)</f>
        <v>0.11</v>
      </c>
      <c r="O1143" s="76">
        <f ca="1">IF(MOD(COUNTIF($Q$11:Q1142,Q1142),5)=0,OFFSET(装备属性!$L$1083,1+INT(COUNTA($Q$11:Q1142)/5),0),O1142)</f>
        <v>0.13</v>
      </c>
      <c r="Q1143" s="89" t="str">
        <f ca="1">IF(MOD(COUNTIF($Q$11:Q1142,Q1142),5)=0,OFFSET(装备属性!$M$1083,1+INT(COUNTA($Q$11:Q1142)/5),0),Q1142)</f>
        <v>通用属性</v>
      </c>
      <c r="R1143" s="83">
        <f ca="1">IF(MOD(COUNTIF($Q$11:Q1142,Q1142),5)=0,10000*SUBSTITUTE(SUBSTITUTE(OFFSET(装备属性!$F$1083,1+INT(COUNTA($Q$11:Q1142)/5),0),"[",""),"]","")+_xlfn.XLOOKUP(C1143,$M$3:$M$7,$N$3:$N$7)*100,R1142)</f>
        <v>40700</v>
      </c>
    </row>
    <row r="1144" customHeight="1" spans="1:18">
      <c r="A1144" s="78">
        <f ca="1" t="shared" si="51"/>
        <v>40701</v>
      </c>
      <c r="B1144" s="82">
        <f ca="1">IFERROR(R1144+COUNTIFS($R$11:$R1144,R1144),"")</f>
        <v>40739</v>
      </c>
      <c r="C1144" s="83" t="str">
        <f ca="1">IF(MOD(COUNTIF($Q$11:Q1143,Q1143),5)=0,OFFSET(装备属性!$D$1083,1+INT(COUNTA($Q$11:Q1143)/5),0),C1143)</f>
        <v>粉</v>
      </c>
      <c r="D1144" s="82">
        <f t="shared" si="53"/>
        <v>1500</v>
      </c>
      <c r="F1144" s="82">
        <f ca="1" t="shared" si="52"/>
        <v>40707</v>
      </c>
      <c r="G1144" s="78" t="str">
        <f ca="1">IF(AND(LEFT("[{"&amp;M1144&amp;","&amp;CEILING(N1144*10000+(O1144-N1144)/4*(COUNTIF($F$11:F1144,F1144)-1)*10000,10)&amp;"}]",7)="[{equip",MID("[{"&amp;M1144&amp;","&amp;CEILING(N1144*10000+(O1144-N1144)/4*(COUNTIF($F$11:F1144,F1144)-1)*10000,10)&amp;"}]",8,1)&lt;&gt;"_"),"[{"&amp;M1144&amp;","&amp;1&amp;"}]","[{"&amp;M1144&amp;","&amp;CEILING(N1144*10000+(O1144-N1144)/4*(COUNTIF($F$11:F1144,F1144)-1)*10000,10)&amp;"}]")</f>
        <v>[{drug_class_dmg_rate,1250}]</v>
      </c>
      <c r="H1144" s="82" t="s">
        <v>563</v>
      </c>
      <c r="J1144" s="78">
        <f ca="1">IF(MOD(COUNTIF($Q$11:Q1143,Q1143),5)=0,OFFSET(装备属性!$P$1083,1+INT(COUNTA($Q$11:Q1143)/5),0),J1143)</f>
        <v>4</v>
      </c>
      <c r="K1144" s="83" t="str">
        <f ca="1">IF(RIGHT(G1144,13)="rune_slot,1}]",_xlfn.XLOOKUP(LEFT(SUBSTITUTE(G1144,"[{",""),FIND(",",SUBSTITUTE(G1144,"[{",""))-1),Sheet2!B:B,Sheet2!C:C)&amp;"+"&amp;1,_xlfn.XLOOKUP(LEFT(SUBSTITUTE(G1144,"[{",""),FIND(",",SUBSTITUTE(G1144,"[{",""))-1),Sheet2!B:B,Sheet2!C:C)&amp;"+"&amp;SUBSTITUTE(RIGHT(G1144,LEN(G1144)-FIND(",",G1144)),"}]","")/100&amp;"%")</f>
        <v>上阵两个毒系职业增伤+12.5%</v>
      </c>
      <c r="L1144" s="83" t="str">
        <f ca="1">IF(MOD(COUNTIF($Q$11:Q1143,Q1143),5)=0,OFFSET(装备属性!$G$1083,1+INT(COUNTA($Q$11:Q1143)/5),0),L1143)</f>
        <v>毒毒小队Ⅳ</v>
      </c>
      <c r="M1144" s="89" t="str">
        <f ca="1">IF(MOD(COUNTIF($Q$11:Q1143,Q1143),5)=0,OFFSET(装备属性!$H$1083,1+INT(COUNTA($Q$11:Q1143)/5),0),M1143)</f>
        <v>drug_class_dmg_rate</v>
      </c>
      <c r="N1144" s="76">
        <f ca="1">IF(MOD(COUNTIF($Q$11:Q1143,Q1143),5)=0,OFFSET(装备属性!$K$1083,1+INT(COUNTA($Q$11:Q1143)/5),0),N1143)</f>
        <v>0.11</v>
      </c>
      <c r="O1144" s="76">
        <f ca="1">IF(MOD(COUNTIF($Q$11:Q1143,Q1143),5)=0,OFFSET(装备属性!$L$1083,1+INT(COUNTA($Q$11:Q1143)/5),0),O1143)</f>
        <v>0.13</v>
      </c>
      <c r="Q1144" s="89" t="str">
        <f ca="1">IF(MOD(COUNTIF($Q$11:Q1143,Q1143),5)=0,OFFSET(装备属性!$M$1083,1+INT(COUNTA($Q$11:Q1143)/5),0),Q1143)</f>
        <v>通用属性</v>
      </c>
      <c r="R1144" s="83">
        <f ca="1">IF(MOD(COUNTIF($Q$11:Q1143,Q1143),5)=0,10000*SUBSTITUTE(SUBSTITUTE(OFFSET(装备属性!$F$1083,1+INT(COUNTA($Q$11:Q1143)/5),0),"[",""),"]","")+_xlfn.XLOOKUP(C1144,$M$3:$M$7,$N$3:$N$7)*100,R1143)</f>
        <v>40700</v>
      </c>
    </row>
    <row r="1145" customHeight="1" spans="1:18">
      <c r="A1145" s="78">
        <f ca="1" t="shared" si="51"/>
        <v>40701</v>
      </c>
      <c r="B1145" s="82">
        <f ca="1">IFERROR(R1145+COUNTIFS($R$11:$R1145,R1145),"")</f>
        <v>40740</v>
      </c>
      <c r="C1145" s="83" t="str">
        <f ca="1">IF(MOD(COUNTIF($Q$11:Q1144,Q1144),5)=0,OFFSET(装备属性!$D$1083,1+INT(COUNTA($Q$11:Q1144)/5),0),C1144)</f>
        <v>粉</v>
      </c>
      <c r="D1145" s="82">
        <f t="shared" si="53"/>
        <v>1000</v>
      </c>
      <c r="F1145" s="82">
        <f ca="1" t="shared" si="52"/>
        <v>40707</v>
      </c>
      <c r="G1145" s="78" t="str">
        <f ca="1">IF(AND(LEFT("[{"&amp;M1145&amp;","&amp;CEILING(N1145*10000+(O1145-N1145)/4*(COUNTIF($F$11:F1145,F1145)-1)*10000,10)&amp;"}]",7)="[{equip",MID("[{"&amp;M1145&amp;","&amp;CEILING(N1145*10000+(O1145-N1145)/4*(COUNTIF($F$11:F1145,F1145)-1)*10000,10)&amp;"}]",8,1)&lt;&gt;"_"),"[{"&amp;M1145&amp;","&amp;1&amp;"}]","[{"&amp;M1145&amp;","&amp;CEILING(N1145*10000+(O1145-N1145)/4*(COUNTIF($F$11:F1145,F1145)-1)*10000,10)&amp;"}]")</f>
        <v>[{drug_class_dmg_rate,1300}]</v>
      </c>
      <c r="H1145" s="82" t="s">
        <v>563</v>
      </c>
      <c r="J1145" s="78">
        <f ca="1">IF(MOD(COUNTIF($Q$11:Q1144,Q1144),5)=0,OFFSET(装备属性!$P$1083,1+INT(COUNTA($Q$11:Q1144)/5),0),J1144)</f>
        <v>4</v>
      </c>
      <c r="K1145" s="83" t="str">
        <f ca="1">IF(RIGHT(G1145,13)="rune_slot,1}]",_xlfn.XLOOKUP(LEFT(SUBSTITUTE(G1145,"[{",""),FIND(",",SUBSTITUTE(G1145,"[{",""))-1),Sheet2!B:B,Sheet2!C:C)&amp;"+"&amp;1,_xlfn.XLOOKUP(LEFT(SUBSTITUTE(G1145,"[{",""),FIND(",",SUBSTITUTE(G1145,"[{",""))-1),Sheet2!B:B,Sheet2!C:C)&amp;"+"&amp;SUBSTITUTE(RIGHT(G1145,LEN(G1145)-FIND(",",G1145)),"}]","")/100&amp;"%")</f>
        <v>上阵两个毒系职业增伤+13%</v>
      </c>
      <c r="L1145" s="83" t="str">
        <f ca="1">IF(MOD(COUNTIF($Q$11:Q1144,Q1144),5)=0,OFFSET(装备属性!$G$1083,1+INT(COUNTA($Q$11:Q1144)/5),0),L1144)</f>
        <v>毒毒小队Ⅳ</v>
      </c>
      <c r="M1145" s="89" t="str">
        <f ca="1">IF(MOD(COUNTIF($Q$11:Q1144,Q1144),5)=0,OFFSET(装备属性!$H$1083,1+INT(COUNTA($Q$11:Q1144)/5),0),M1144)</f>
        <v>drug_class_dmg_rate</v>
      </c>
      <c r="N1145" s="76">
        <f ca="1">IF(MOD(COUNTIF($Q$11:Q1144,Q1144),5)=0,OFFSET(装备属性!$K$1083,1+INT(COUNTA($Q$11:Q1144)/5),0),N1144)</f>
        <v>0.11</v>
      </c>
      <c r="O1145" s="76">
        <f ca="1">IF(MOD(COUNTIF($Q$11:Q1144,Q1144),5)=0,OFFSET(装备属性!$L$1083,1+INT(COUNTA($Q$11:Q1144)/5),0),O1144)</f>
        <v>0.13</v>
      </c>
      <c r="Q1145" s="89" t="str">
        <f ca="1">IF(MOD(COUNTIF($Q$11:Q1144,Q1144),5)=0,OFFSET(装备属性!$M$1083,1+INT(COUNTA($Q$11:Q1144)/5),0),Q1144)</f>
        <v>通用属性</v>
      </c>
      <c r="R1145" s="83">
        <f ca="1">IF(MOD(COUNTIF($Q$11:Q1144,Q1144),5)=0,10000*SUBSTITUTE(SUBSTITUTE(OFFSET(装备属性!$F$1083,1+INT(COUNTA($Q$11:Q1144)/5),0),"[",""),"]","")+_xlfn.XLOOKUP(C1145,$M$3:$M$7,$N$3:$N$7)*100,R1144)</f>
        <v>40700</v>
      </c>
    </row>
    <row r="1146" customHeight="1" spans="1:18">
      <c r="A1146" s="78">
        <f ca="1" t="shared" si="51"/>
        <v>40701</v>
      </c>
      <c r="B1146" s="82">
        <f ca="1">IFERROR(R1146+COUNTIFS($R$11:$R1146,R1146),"")</f>
        <v>40741</v>
      </c>
      <c r="C1146" s="83" t="str">
        <f ca="1">IF(MOD(COUNTIF($Q$11:Q1145,Q1145),5)=0,OFFSET(装备属性!$D$1083,1+INT(COUNTA($Q$11:Q1145)/5),0),C1145)</f>
        <v>粉</v>
      </c>
      <c r="D1146" s="82">
        <f t="shared" si="53"/>
        <v>3000</v>
      </c>
      <c r="F1146" s="82">
        <f ca="1" t="shared" si="52"/>
        <v>40708</v>
      </c>
      <c r="G1146" s="78" t="str">
        <f ca="1">IF(AND(LEFT("[{"&amp;M1146&amp;","&amp;CEILING(N1146*10000+(O1146-N1146)/4*(COUNTIF($F$11:F1146,F1146)-1)*10000,10)&amp;"}]",7)="[{equip",MID("[{"&amp;M1146&amp;","&amp;CEILING(N1146*10000+(O1146-N1146)/4*(COUNTIF($F$11:F1146,F1146)-1)*10000,10)&amp;"}]",8,1)&lt;&gt;"_"),"[{"&amp;M1146&amp;","&amp;1&amp;"}]","[{"&amp;M1146&amp;","&amp;CEILING(N1146*10000+(O1146-N1146)/4*(COUNTIF($F$11:F1146,F1146)-1)*10000,10)&amp;"}]")</f>
        <v>[{drug_crit_dmg,3300}]</v>
      </c>
      <c r="H1146" s="82" t="s">
        <v>563</v>
      </c>
      <c r="J1146" s="78">
        <f ca="1">IF(MOD(COUNTIF($Q$11:Q1145,Q1145),5)=0,OFFSET(装备属性!$P$1083,1+INT(COUNTA($Q$11:Q1145)/5),0),J1145)</f>
        <v>10</v>
      </c>
      <c r="K1146" s="83" t="str">
        <f ca="1">IF(RIGHT(G1146,13)="rune_slot,1}]",_xlfn.XLOOKUP(LEFT(SUBSTITUTE(G1146,"[{",""),FIND(",",SUBSTITUTE(G1146,"[{",""))-1),Sheet2!B:B,Sheet2!C:C)&amp;"+"&amp;1,_xlfn.XLOOKUP(LEFT(SUBSTITUTE(G1146,"[{",""),FIND(",",SUBSTITUTE(G1146,"[{",""))-1),Sheet2!B:B,Sheet2!C:C)&amp;"+"&amp;SUBSTITUTE(RIGHT(G1146,LEN(G1146)-FIND(",",G1146)),"}]","")/100&amp;"%")</f>
        <v>毒系暴击伤害+33%</v>
      </c>
      <c r="L1146" s="83" t="str">
        <f ca="1">IF(MOD(COUNTIF($Q$11:Q1145,Q1145),5)=0,OFFSET(装备属性!$G$1083,1+INT(COUNTA($Q$11:Q1145)/5),0),L1145)</f>
        <v>暴走毒毒Ⅳ</v>
      </c>
      <c r="M1146" s="89" t="str">
        <f ca="1">IF(MOD(COUNTIF($Q$11:Q1145,Q1145),5)=0,OFFSET(装备属性!$H$1083,1+INT(COUNTA($Q$11:Q1145)/5),0),M1145)</f>
        <v>drug_crit_dmg</v>
      </c>
      <c r="N1146" s="76">
        <f ca="1">IF(MOD(COUNTIF($Q$11:Q1145,Q1145),5)=0,OFFSET(装备属性!$K$1083,1+INT(COUNTA($Q$11:Q1145)/5),0),N1145)</f>
        <v>0.33</v>
      </c>
      <c r="O1146" s="76">
        <f ca="1">IF(MOD(COUNTIF($Q$11:Q1145,Q1145),5)=0,OFFSET(装备属性!$L$1083,1+INT(COUNTA($Q$11:Q1145)/5),0),O1145)</f>
        <v>0.39</v>
      </c>
      <c r="Q1146" s="89" t="str">
        <f ca="1">IF(MOD(COUNTIF($Q$11:Q1145,Q1145),5)=0,OFFSET(装备属性!$M$1083,1+INT(COUNTA($Q$11:Q1145)/5),0),Q1145)</f>
        <v>通用属性</v>
      </c>
      <c r="R1146" s="83">
        <f ca="1">IF(MOD(COUNTIF($Q$11:Q1145,Q1145),5)=0,10000*SUBSTITUTE(SUBSTITUTE(OFFSET(装备属性!$F$1083,1+INT(COUNTA($Q$11:Q1145)/5),0),"[",""),"]","")+_xlfn.XLOOKUP(C1146,$M$3:$M$7,$N$3:$N$7)*100,R1145)</f>
        <v>40700</v>
      </c>
    </row>
    <row r="1147" customHeight="1" spans="1:18">
      <c r="A1147" s="78">
        <f ca="1" t="shared" si="51"/>
        <v>40701</v>
      </c>
      <c r="B1147" s="82">
        <f ca="1">IFERROR(R1147+COUNTIFS($R$11:$R1147,R1147),"")</f>
        <v>40742</v>
      </c>
      <c r="C1147" s="83" t="str">
        <f ca="1">IF(MOD(COUNTIF($Q$11:Q1146,Q1146),5)=0,OFFSET(装备属性!$D$1083,1+INT(COUNTA($Q$11:Q1146)/5),0),C1146)</f>
        <v>粉</v>
      </c>
      <c r="D1147" s="82">
        <f t="shared" si="53"/>
        <v>2500</v>
      </c>
      <c r="F1147" s="82">
        <f ca="1" t="shared" si="52"/>
        <v>40708</v>
      </c>
      <c r="G1147" s="78" t="str">
        <f ca="1">IF(AND(LEFT("[{"&amp;M1147&amp;","&amp;CEILING(N1147*10000+(O1147-N1147)/4*(COUNTIF($F$11:F1147,F1147)-1)*10000,10)&amp;"}]",7)="[{equip",MID("[{"&amp;M1147&amp;","&amp;CEILING(N1147*10000+(O1147-N1147)/4*(COUNTIF($F$11:F1147,F1147)-1)*10000,10)&amp;"}]",8,1)&lt;&gt;"_"),"[{"&amp;M1147&amp;","&amp;1&amp;"}]","[{"&amp;M1147&amp;","&amp;CEILING(N1147*10000+(O1147-N1147)/4*(COUNTIF($F$11:F1147,F1147)-1)*10000,10)&amp;"}]")</f>
        <v>[{drug_crit_dmg,3450}]</v>
      </c>
      <c r="H1147" s="82" t="s">
        <v>563</v>
      </c>
      <c r="J1147" s="78">
        <f ca="1">IF(MOD(COUNTIF($Q$11:Q1146,Q1146),5)=0,OFFSET(装备属性!$P$1083,1+INT(COUNTA($Q$11:Q1146)/5),0),J1146)</f>
        <v>10</v>
      </c>
      <c r="K1147" s="83" t="str">
        <f ca="1">IF(RIGHT(G1147,13)="rune_slot,1}]",_xlfn.XLOOKUP(LEFT(SUBSTITUTE(G1147,"[{",""),FIND(",",SUBSTITUTE(G1147,"[{",""))-1),Sheet2!B:B,Sheet2!C:C)&amp;"+"&amp;1,_xlfn.XLOOKUP(LEFT(SUBSTITUTE(G1147,"[{",""),FIND(",",SUBSTITUTE(G1147,"[{",""))-1),Sheet2!B:B,Sheet2!C:C)&amp;"+"&amp;SUBSTITUTE(RIGHT(G1147,LEN(G1147)-FIND(",",G1147)),"}]","")/100&amp;"%")</f>
        <v>毒系暴击伤害+34.5%</v>
      </c>
      <c r="L1147" s="83" t="str">
        <f ca="1">IF(MOD(COUNTIF($Q$11:Q1146,Q1146),5)=0,OFFSET(装备属性!$G$1083,1+INT(COUNTA($Q$11:Q1146)/5),0),L1146)</f>
        <v>暴走毒毒Ⅳ</v>
      </c>
      <c r="M1147" s="89" t="str">
        <f ca="1">IF(MOD(COUNTIF($Q$11:Q1146,Q1146),5)=0,OFFSET(装备属性!$H$1083,1+INT(COUNTA($Q$11:Q1146)/5),0),M1146)</f>
        <v>drug_crit_dmg</v>
      </c>
      <c r="N1147" s="76">
        <f ca="1">IF(MOD(COUNTIF($Q$11:Q1146,Q1146),5)=0,OFFSET(装备属性!$K$1083,1+INT(COUNTA($Q$11:Q1146)/5),0),N1146)</f>
        <v>0.33</v>
      </c>
      <c r="O1147" s="76">
        <f ca="1">IF(MOD(COUNTIF($Q$11:Q1146,Q1146),5)=0,OFFSET(装备属性!$L$1083,1+INT(COUNTA($Q$11:Q1146)/5),0),O1146)</f>
        <v>0.39</v>
      </c>
      <c r="Q1147" s="89" t="str">
        <f ca="1">IF(MOD(COUNTIF($Q$11:Q1146,Q1146),5)=0,OFFSET(装备属性!$M$1083,1+INT(COUNTA($Q$11:Q1146)/5),0),Q1146)</f>
        <v>通用属性</v>
      </c>
      <c r="R1147" s="83">
        <f ca="1">IF(MOD(COUNTIF($Q$11:Q1146,Q1146),5)=0,10000*SUBSTITUTE(SUBSTITUTE(OFFSET(装备属性!$F$1083,1+INT(COUNTA($Q$11:Q1146)/5),0),"[",""),"]","")+_xlfn.XLOOKUP(C1147,$M$3:$M$7,$N$3:$N$7)*100,R1146)</f>
        <v>40700</v>
      </c>
    </row>
    <row r="1148" customHeight="1" spans="1:18">
      <c r="A1148" s="78">
        <f ca="1" t="shared" si="51"/>
        <v>40701</v>
      </c>
      <c r="B1148" s="82">
        <f ca="1">IFERROR(R1148+COUNTIFS($R$11:$R1148,R1148),"")</f>
        <v>40743</v>
      </c>
      <c r="C1148" s="83" t="str">
        <f ca="1">IF(MOD(COUNTIF($Q$11:Q1147,Q1147),5)=0,OFFSET(装备属性!$D$1083,1+INT(COUNTA($Q$11:Q1147)/5),0),C1147)</f>
        <v>粉</v>
      </c>
      <c r="D1148" s="82">
        <f t="shared" si="53"/>
        <v>2000</v>
      </c>
      <c r="F1148" s="82">
        <f ca="1" t="shared" si="52"/>
        <v>40708</v>
      </c>
      <c r="G1148" s="78" t="str">
        <f ca="1">IF(AND(LEFT("[{"&amp;M1148&amp;","&amp;CEILING(N1148*10000+(O1148-N1148)/4*(COUNTIF($F$11:F1148,F1148)-1)*10000,10)&amp;"}]",7)="[{equip",MID("[{"&amp;M1148&amp;","&amp;CEILING(N1148*10000+(O1148-N1148)/4*(COUNTIF($F$11:F1148,F1148)-1)*10000,10)&amp;"}]",8,1)&lt;&gt;"_"),"[{"&amp;M1148&amp;","&amp;1&amp;"}]","[{"&amp;M1148&amp;","&amp;CEILING(N1148*10000+(O1148-N1148)/4*(COUNTIF($F$11:F1148,F1148)-1)*10000,10)&amp;"}]")</f>
        <v>[{drug_crit_dmg,3600}]</v>
      </c>
      <c r="H1148" s="82" t="s">
        <v>563</v>
      </c>
      <c r="J1148" s="78">
        <f ca="1">IF(MOD(COUNTIF($Q$11:Q1147,Q1147),5)=0,OFFSET(装备属性!$P$1083,1+INT(COUNTA($Q$11:Q1147)/5),0),J1147)</f>
        <v>10</v>
      </c>
      <c r="K1148" s="83" t="str">
        <f ca="1">IF(RIGHT(G1148,13)="rune_slot,1}]",_xlfn.XLOOKUP(LEFT(SUBSTITUTE(G1148,"[{",""),FIND(",",SUBSTITUTE(G1148,"[{",""))-1),Sheet2!B:B,Sheet2!C:C)&amp;"+"&amp;1,_xlfn.XLOOKUP(LEFT(SUBSTITUTE(G1148,"[{",""),FIND(",",SUBSTITUTE(G1148,"[{",""))-1),Sheet2!B:B,Sheet2!C:C)&amp;"+"&amp;SUBSTITUTE(RIGHT(G1148,LEN(G1148)-FIND(",",G1148)),"}]","")/100&amp;"%")</f>
        <v>毒系暴击伤害+36%</v>
      </c>
      <c r="L1148" s="83" t="str">
        <f ca="1">IF(MOD(COUNTIF($Q$11:Q1147,Q1147),5)=0,OFFSET(装备属性!$G$1083,1+INT(COUNTA($Q$11:Q1147)/5),0),L1147)</f>
        <v>暴走毒毒Ⅳ</v>
      </c>
      <c r="M1148" s="89" t="str">
        <f ca="1">IF(MOD(COUNTIF($Q$11:Q1147,Q1147),5)=0,OFFSET(装备属性!$H$1083,1+INT(COUNTA($Q$11:Q1147)/5),0),M1147)</f>
        <v>drug_crit_dmg</v>
      </c>
      <c r="N1148" s="76">
        <f ca="1">IF(MOD(COUNTIF($Q$11:Q1147,Q1147),5)=0,OFFSET(装备属性!$K$1083,1+INT(COUNTA($Q$11:Q1147)/5),0),N1147)</f>
        <v>0.33</v>
      </c>
      <c r="O1148" s="76">
        <f ca="1">IF(MOD(COUNTIF($Q$11:Q1147,Q1147),5)=0,OFFSET(装备属性!$L$1083,1+INT(COUNTA($Q$11:Q1147)/5),0),O1147)</f>
        <v>0.39</v>
      </c>
      <c r="Q1148" s="89" t="str">
        <f ca="1">IF(MOD(COUNTIF($Q$11:Q1147,Q1147),5)=0,OFFSET(装备属性!$M$1083,1+INT(COUNTA($Q$11:Q1147)/5),0),Q1147)</f>
        <v>通用属性</v>
      </c>
      <c r="R1148" s="83">
        <f ca="1">IF(MOD(COUNTIF($Q$11:Q1147,Q1147),5)=0,10000*SUBSTITUTE(SUBSTITUTE(OFFSET(装备属性!$F$1083,1+INT(COUNTA($Q$11:Q1147)/5),0),"[",""),"]","")+_xlfn.XLOOKUP(C1148,$M$3:$M$7,$N$3:$N$7)*100,R1147)</f>
        <v>40700</v>
      </c>
    </row>
    <row r="1149" customHeight="1" spans="1:18">
      <c r="A1149" s="78">
        <f ca="1" t="shared" si="51"/>
        <v>40701</v>
      </c>
      <c r="B1149" s="82">
        <f ca="1">IFERROR(R1149+COUNTIFS($R$11:$R1149,R1149),"")</f>
        <v>40744</v>
      </c>
      <c r="C1149" s="83" t="str">
        <f ca="1">IF(MOD(COUNTIF($Q$11:Q1148,Q1148),5)=0,OFFSET(装备属性!$D$1083,1+INT(COUNTA($Q$11:Q1148)/5),0),C1148)</f>
        <v>粉</v>
      </c>
      <c r="D1149" s="82">
        <f t="shared" si="53"/>
        <v>1500</v>
      </c>
      <c r="F1149" s="82">
        <f ca="1" t="shared" si="52"/>
        <v>40708</v>
      </c>
      <c r="G1149" s="78" t="str">
        <f ca="1">IF(AND(LEFT("[{"&amp;M1149&amp;","&amp;CEILING(N1149*10000+(O1149-N1149)/4*(COUNTIF($F$11:F1149,F1149)-1)*10000,10)&amp;"}]",7)="[{equip",MID("[{"&amp;M1149&amp;","&amp;CEILING(N1149*10000+(O1149-N1149)/4*(COUNTIF($F$11:F1149,F1149)-1)*10000,10)&amp;"}]",8,1)&lt;&gt;"_"),"[{"&amp;M1149&amp;","&amp;1&amp;"}]","[{"&amp;M1149&amp;","&amp;CEILING(N1149*10000+(O1149-N1149)/4*(COUNTIF($F$11:F1149,F1149)-1)*10000,10)&amp;"}]")</f>
        <v>[{drug_crit_dmg,3750}]</v>
      </c>
      <c r="H1149" s="82" t="s">
        <v>563</v>
      </c>
      <c r="J1149" s="78">
        <f ca="1">IF(MOD(COUNTIF($Q$11:Q1148,Q1148),5)=0,OFFSET(装备属性!$P$1083,1+INT(COUNTA($Q$11:Q1148)/5),0),J1148)</f>
        <v>10</v>
      </c>
      <c r="K1149" s="83" t="str">
        <f ca="1">IF(RIGHT(G1149,13)="rune_slot,1}]",_xlfn.XLOOKUP(LEFT(SUBSTITUTE(G1149,"[{",""),FIND(",",SUBSTITUTE(G1149,"[{",""))-1),Sheet2!B:B,Sheet2!C:C)&amp;"+"&amp;1,_xlfn.XLOOKUP(LEFT(SUBSTITUTE(G1149,"[{",""),FIND(",",SUBSTITUTE(G1149,"[{",""))-1),Sheet2!B:B,Sheet2!C:C)&amp;"+"&amp;SUBSTITUTE(RIGHT(G1149,LEN(G1149)-FIND(",",G1149)),"}]","")/100&amp;"%")</f>
        <v>毒系暴击伤害+37.5%</v>
      </c>
      <c r="L1149" s="83" t="str">
        <f ca="1">IF(MOD(COUNTIF($Q$11:Q1148,Q1148),5)=0,OFFSET(装备属性!$G$1083,1+INT(COUNTA($Q$11:Q1148)/5),0),L1148)</f>
        <v>暴走毒毒Ⅳ</v>
      </c>
      <c r="M1149" s="89" t="str">
        <f ca="1">IF(MOD(COUNTIF($Q$11:Q1148,Q1148),5)=0,OFFSET(装备属性!$H$1083,1+INT(COUNTA($Q$11:Q1148)/5),0),M1148)</f>
        <v>drug_crit_dmg</v>
      </c>
      <c r="N1149" s="76">
        <f ca="1">IF(MOD(COUNTIF($Q$11:Q1148,Q1148),5)=0,OFFSET(装备属性!$K$1083,1+INT(COUNTA($Q$11:Q1148)/5),0),N1148)</f>
        <v>0.33</v>
      </c>
      <c r="O1149" s="76">
        <f ca="1">IF(MOD(COUNTIF($Q$11:Q1148,Q1148),5)=0,OFFSET(装备属性!$L$1083,1+INT(COUNTA($Q$11:Q1148)/5),0),O1148)</f>
        <v>0.39</v>
      </c>
      <c r="Q1149" s="89" t="str">
        <f ca="1">IF(MOD(COUNTIF($Q$11:Q1148,Q1148),5)=0,OFFSET(装备属性!$M$1083,1+INT(COUNTA($Q$11:Q1148)/5),0),Q1148)</f>
        <v>通用属性</v>
      </c>
      <c r="R1149" s="83">
        <f ca="1">IF(MOD(COUNTIF($Q$11:Q1148,Q1148),5)=0,10000*SUBSTITUTE(SUBSTITUTE(OFFSET(装备属性!$F$1083,1+INT(COUNTA($Q$11:Q1148)/5),0),"[",""),"]","")+_xlfn.XLOOKUP(C1149,$M$3:$M$7,$N$3:$N$7)*100,R1148)</f>
        <v>40700</v>
      </c>
    </row>
    <row r="1150" customHeight="1" spans="1:18">
      <c r="A1150" s="78">
        <f ca="1" t="shared" si="51"/>
        <v>40701</v>
      </c>
      <c r="B1150" s="82">
        <f ca="1">IFERROR(R1150+COUNTIFS($R$11:$R1150,R1150),"")</f>
        <v>40745</v>
      </c>
      <c r="C1150" s="83" t="str">
        <f ca="1">IF(MOD(COUNTIF($Q$11:Q1149,Q1149),5)=0,OFFSET(装备属性!$D$1083,1+INT(COUNTA($Q$11:Q1149)/5),0),C1149)</f>
        <v>粉</v>
      </c>
      <c r="D1150" s="82">
        <f t="shared" si="53"/>
        <v>1000</v>
      </c>
      <c r="F1150" s="82">
        <f ca="1" t="shared" si="52"/>
        <v>40708</v>
      </c>
      <c r="G1150" s="78" t="str">
        <f ca="1">IF(AND(LEFT("[{"&amp;M1150&amp;","&amp;CEILING(N1150*10000+(O1150-N1150)/4*(COUNTIF($F$11:F1150,F1150)-1)*10000,10)&amp;"}]",7)="[{equip",MID("[{"&amp;M1150&amp;","&amp;CEILING(N1150*10000+(O1150-N1150)/4*(COUNTIF($F$11:F1150,F1150)-1)*10000,10)&amp;"}]",8,1)&lt;&gt;"_"),"[{"&amp;M1150&amp;","&amp;1&amp;"}]","[{"&amp;M1150&amp;","&amp;CEILING(N1150*10000+(O1150-N1150)/4*(COUNTIF($F$11:F1150,F1150)-1)*10000,10)&amp;"}]")</f>
        <v>[{drug_crit_dmg,3900}]</v>
      </c>
      <c r="H1150" s="82" t="s">
        <v>563</v>
      </c>
      <c r="J1150" s="78">
        <f ca="1">IF(MOD(COUNTIF($Q$11:Q1149,Q1149),5)=0,OFFSET(装备属性!$P$1083,1+INT(COUNTA($Q$11:Q1149)/5),0),J1149)</f>
        <v>10</v>
      </c>
      <c r="K1150" s="83" t="str">
        <f ca="1">IF(RIGHT(G1150,13)="rune_slot,1}]",_xlfn.XLOOKUP(LEFT(SUBSTITUTE(G1150,"[{",""),FIND(",",SUBSTITUTE(G1150,"[{",""))-1),Sheet2!B:B,Sheet2!C:C)&amp;"+"&amp;1,_xlfn.XLOOKUP(LEFT(SUBSTITUTE(G1150,"[{",""),FIND(",",SUBSTITUTE(G1150,"[{",""))-1),Sheet2!B:B,Sheet2!C:C)&amp;"+"&amp;SUBSTITUTE(RIGHT(G1150,LEN(G1150)-FIND(",",G1150)),"}]","")/100&amp;"%")</f>
        <v>毒系暴击伤害+39%</v>
      </c>
      <c r="L1150" s="83" t="str">
        <f ca="1">IF(MOD(COUNTIF($Q$11:Q1149,Q1149),5)=0,OFFSET(装备属性!$G$1083,1+INT(COUNTA($Q$11:Q1149)/5),0),L1149)</f>
        <v>暴走毒毒Ⅳ</v>
      </c>
      <c r="M1150" s="89" t="str">
        <f ca="1">IF(MOD(COUNTIF($Q$11:Q1149,Q1149),5)=0,OFFSET(装备属性!$H$1083,1+INT(COUNTA($Q$11:Q1149)/5),0),M1149)</f>
        <v>drug_crit_dmg</v>
      </c>
      <c r="N1150" s="76">
        <f ca="1">IF(MOD(COUNTIF($Q$11:Q1149,Q1149),5)=0,OFFSET(装备属性!$K$1083,1+INT(COUNTA($Q$11:Q1149)/5),0),N1149)</f>
        <v>0.33</v>
      </c>
      <c r="O1150" s="76">
        <f ca="1">IF(MOD(COUNTIF($Q$11:Q1149,Q1149),5)=0,OFFSET(装备属性!$L$1083,1+INT(COUNTA($Q$11:Q1149)/5),0),O1149)</f>
        <v>0.39</v>
      </c>
      <c r="Q1150" s="89" t="str">
        <f ca="1">IF(MOD(COUNTIF($Q$11:Q1149,Q1149),5)=0,OFFSET(装备属性!$M$1083,1+INT(COUNTA($Q$11:Q1149)/5),0),Q1149)</f>
        <v>通用属性</v>
      </c>
      <c r="R1150" s="83">
        <f ca="1">IF(MOD(COUNTIF($Q$11:Q1149,Q1149),5)=0,10000*SUBSTITUTE(SUBSTITUTE(OFFSET(装备属性!$F$1083,1+INT(COUNTA($Q$11:Q1149)/5),0),"[",""),"]","")+_xlfn.XLOOKUP(C1150,$M$3:$M$7,$N$3:$N$7)*100,R1149)</f>
        <v>40700</v>
      </c>
    </row>
    <row r="1151" customHeight="1" spans="1:18">
      <c r="A1151" s="78" t="str">
        <f ca="1" t="shared" si="51"/>
        <v/>
      </c>
      <c r="B1151" s="82" t="str">
        <f ca="1">IFERROR(R1151+COUNTIFS($R$11:$R1151,R1151),"")</f>
        <v/>
      </c>
      <c r="C1151" s="83">
        <f ca="1">IF(MOD(COUNTIF($Q$11:Q1150,Q1150),5)=0,OFFSET(装备属性!$D$1083,1+INT(COUNTA($Q$11:Q1150)/5),0),C1150)</f>
        <v>0</v>
      </c>
      <c r="D1151" s="82">
        <f t="shared" si="53"/>
        <v>3000</v>
      </c>
      <c r="F1151" s="82" t="str">
        <f ca="1" t="shared" si="52"/>
        <v/>
      </c>
      <c r="G1151" s="78" t="str">
        <f ca="1">IF(AND(LEFT("[{"&amp;M1151&amp;","&amp;CEILING(N1151*10000+(O1151-N1151)/4*(COUNTIF($F$11:F1151,F1151)-1)*10000,10)&amp;"}]",7)="[{equip",MID("[{"&amp;M1151&amp;","&amp;CEILING(N1151*10000+(O1151-N1151)/4*(COUNTIF($F$11:F1151,F1151)-1)*10000,10)&amp;"}]",8,1)&lt;&gt;"_"),"[{"&amp;M1151&amp;","&amp;1&amp;"}]","[{"&amp;M1151&amp;","&amp;CEILING(N1151*10000+(O1151-N1151)/4*(COUNTIF($F$11:F1151,F1151)-1)*10000,10)&amp;"}]")</f>
        <v>[{global_dmg_rate,17000}]</v>
      </c>
      <c r="H1151" s="82" t="s">
        <v>563</v>
      </c>
      <c r="J1151" s="78">
        <f ca="1">IF(MOD(COUNTIF($Q$11:Q1150,Q1150),5)=0,OFFSET(装备属性!$P$1083,1+INT(COUNTA($Q$11:Q1150)/5),0),J1150)</f>
        <v>2</v>
      </c>
      <c r="K1151" s="83" t="str">
        <f ca="1">IF(RIGHT(G1151,13)="rune_slot,1}]",_xlfn.XLOOKUP(LEFT(SUBSTITUTE(G1151,"[{",""),FIND(",",SUBSTITUTE(G1151,"[{",""))-1),Sheet2!B:B,Sheet2!C:C)&amp;"+"&amp;1,_xlfn.XLOOKUP(LEFT(SUBSTITUTE(G1151,"[{",""),FIND(",",SUBSTITUTE(G1151,"[{",""))-1),Sheet2!B:B,Sheet2!C:C)&amp;"+"&amp;SUBSTITUTE(RIGHT(G1151,LEN(G1151)-FIND(",",G1151)),"}]","")/100&amp;"%")</f>
        <v>伤害加成+170%</v>
      </c>
      <c r="L1151" s="83" t="str">
        <f ca="1">IF(MOD(COUNTIF($Q$11:Q1150,Q1150),5)=0,OFFSET(装备属性!$G$1083,1+INT(COUNTA($Q$11:Q1150)/5),0),L1150)</f>
        <v>全职小队Ⅴ</v>
      </c>
      <c r="M1151" s="89" t="str">
        <f ca="1">IF(MOD(COUNTIF($Q$11:Q1150,Q1150),5)=0,OFFSET(装备属性!$H$1083,1+INT(COUNTA($Q$11:Q1150)/5),0),M1150)</f>
        <v>global_dmg_rate</v>
      </c>
      <c r="N1151" s="76">
        <f ca="1">IF(MOD(COUNTIF($Q$11:Q1150,Q1150),5)=0,OFFSET(装备属性!$K$1083,1+INT(COUNTA($Q$11:Q1150)/5),0),N1150)</f>
        <v>0.072</v>
      </c>
      <c r="O1151" s="76">
        <f ca="1">IF(MOD(COUNTIF($Q$11:Q1150,Q1150),5)=0,OFFSET(装备属性!$L$1083,1+INT(COUNTA($Q$11:Q1150)/5),0),O1150)</f>
        <v>0.086</v>
      </c>
      <c r="Q1151" s="89" t="str">
        <f ca="1">IF(MOD(COUNTIF($Q$11:Q1150,Q1150),5)=0,OFFSET(装备属性!$M$1083,1+INT(COUNTA($Q$11:Q1150)/5),0),Q1150)</f>
        <v>通用属性</v>
      </c>
      <c r="R1151" s="83" t="e">
        <f ca="1">IF(MOD(COUNTIF($Q$11:Q1150,Q1150),5)=0,10000*SUBSTITUTE(SUBSTITUTE(OFFSET(装备属性!$F$1083,1+INT(COUNTA($Q$11:Q1150)/5),0),"[",""),"]","")+_xlfn.XLOOKUP(C1151,$M$3:$M$7,$N$3:$N$7)*100,R1150)</f>
        <v>#N/A</v>
      </c>
    </row>
    <row r="1152" customHeight="1" spans="1:18">
      <c r="A1152" s="78" t="str">
        <f ca="1" t="shared" si="51"/>
        <v/>
      </c>
      <c r="B1152" s="82" t="str">
        <f ca="1">IFERROR(R1152+COUNTIFS($R$11:$R1152,R1152),"")</f>
        <v/>
      </c>
      <c r="C1152" s="83">
        <f ca="1">IF(MOD(COUNTIF($Q$11:Q1151,Q1151),5)=0,OFFSET(装备属性!$D$1083,1+INT(COUNTA($Q$11:Q1151)/5),0),C1151)</f>
        <v>0</v>
      </c>
      <c r="D1152" s="82">
        <f t="shared" si="53"/>
        <v>2500</v>
      </c>
      <c r="F1152" s="82" t="str">
        <f ca="1" t="shared" si="52"/>
        <v/>
      </c>
      <c r="G1152" s="78" t="str">
        <f ca="1">IF(AND(LEFT("[{"&amp;M1152&amp;","&amp;CEILING(N1152*10000+(O1152-N1152)/4*(COUNTIF($F$11:F1152,F1152)-1)*10000,10)&amp;"}]",7)="[{equip",MID("[{"&amp;M1152&amp;","&amp;CEILING(N1152*10000+(O1152-N1152)/4*(COUNTIF($F$11:F1152,F1152)-1)*10000,10)&amp;"}]",8,1)&lt;&gt;"_"),"[{"&amp;M1152&amp;","&amp;1&amp;"}]","[{"&amp;M1152&amp;","&amp;CEILING(N1152*10000+(O1152-N1152)/4*(COUNTIF($F$11:F1152,F1152)-1)*10000,10)&amp;"}]")</f>
        <v>[{global_dmg_rate,17030}]</v>
      </c>
      <c r="H1152" s="82" t="s">
        <v>563</v>
      </c>
      <c r="J1152" s="78">
        <f ca="1">IF(MOD(COUNTIF($Q$11:Q1151,Q1151),5)=0,OFFSET(装备属性!$P$1083,1+INT(COUNTA($Q$11:Q1151)/5),0),J1151)</f>
        <v>2</v>
      </c>
      <c r="K1152" s="83" t="str">
        <f ca="1">IF(RIGHT(G1152,13)="rune_slot,1}]",_xlfn.XLOOKUP(LEFT(SUBSTITUTE(G1152,"[{",""),FIND(",",SUBSTITUTE(G1152,"[{",""))-1),Sheet2!B:B,Sheet2!C:C)&amp;"+"&amp;1,_xlfn.XLOOKUP(LEFT(SUBSTITUTE(G1152,"[{",""),FIND(",",SUBSTITUTE(G1152,"[{",""))-1),Sheet2!B:B,Sheet2!C:C)&amp;"+"&amp;SUBSTITUTE(RIGHT(G1152,LEN(G1152)-FIND(",",G1152)),"}]","")/100&amp;"%")</f>
        <v>伤害加成+170.3%</v>
      </c>
      <c r="L1152" s="83" t="str">
        <f ca="1">IF(MOD(COUNTIF($Q$11:Q1151,Q1151),5)=0,OFFSET(装备属性!$G$1083,1+INT(COUNTA($Q$11:Q1151)/5),0),L1151)</f>
        <v>全职小队Ⅴ</v>
      </c>
      <c r="M1152" s="89" t="str">
        <f ca="1">IF(MOD(COUNTIF($Q$11:Q1151,Q1151),5)=0,OFFSET(装备属性!$H$1083,1+INT(COUNTA($Q$11:Q1151)/5),0),M1151)</f>
        <v>global_dmg_rate</v>
      </c>
      <c r="N1152" s="76">
        <f ca="1">IF(MOD(COUNTIF($Q$11:Q1151,Q1151),5)=0,OFFSET(装备属性!$K$1083,1+INT(COUNTA($Q$11:Q1151)/5),0),N1151)</f>
        <v>0.072</v>
      </c>
      <c r="O1152" s="76">
        <f ca="1">IF(MOD(COUNTIF($Q$11:Q1151,Q1151),5)=0,OFFSET(装备属性!$L$1083,1+INT(COUNTA($Q$11:Q1151)/5),0),O1151)</f>
        <v>0.086</v>
      </c>
      <c r="Q1152" s="89" t="str">
        <f ca="1">IF(MOD(COUNTIF($Q$11:Q1151,Q1151),5)=0,OFFSET(装备属性!$M$1083,1+INT(COUNTA($Q$11:Q1151)/5),0),Q1151)</f>
        <v>通用属性</v>
      </c>
      <c r="R1152" s="83" t="e">
        <f ca="1">IF(MOD(COUNTIF($Q$11:Q1151,Q1151),5)=0,10000*SUBSTITUTE(SUBSTITUTE(OFFSET(装备属性!$F$1083,1+INT(COUNTA($Q$11:Q1151)/5),0),"[",""),"]","")+_xlfn.XLOOKUP(C1152,$M$3:$M$7,$N$3:$N$7)*100,R1151)</f>
        <v>#N/A</v>
      </c>
    </row>
    <row r="1153" customHeight="1" spans="1:18">
      <c r="A1153" s="78" t="str">
        <f ca="1" t="shared" si="51"/>
        <v/>
      </c>
      <c r="B1153" s="82" t="str">
        <f ca="1">IFERROR(R1153+COUNTIFS($R$11:$R1153,R1153),"")</f>
        <v/>
      </c>
      <c r="C1153" s="83">
        <f ca="1">IF(MOD(COUNTIF($Q$11:Q1152,Q1152),5)=0,OFFSET(装备属性!$D$1083,1+INT(COUNTA($Q$11:Q1152)/5),0),C1152)</f>
        <v>0</v>
      </c>
      <c r="D1153" s="82">
        <f t="shared" si="53"/>
        <v>2000</v>
      </c>
      <c r="F1153" s="82" t="str">
        <f ca="1" t="shared" si="52"/>
        <v/>
      </c>
      <c r="G1153" s="78" t="str">
        <f ca="1">IF(AND(LEFT("[{"&amp;M1153&amp;","&amp;CEILING(N1153*10000+(O1153-N1153)/4*(COUNTIF($F$11:F1153,F1153)-1)*10000,10)&amp;"}]",7)="[{equip",MID("[{"&amp;M1153&amp;","&amp;CEILING(N1153*10000+(O1153-N1153)/4*(COUNTIF($F$11:F1153,F1153)-1)*10000,10)&amp;"}]",8,1)&lt;&gt;"_"),"[{"&amp;M1153&amp;","&amp;1&amp;"}]","[{"&amp;M1153&amp;","&amp;CEILING(N1153*10000+(O1153-N1153)/4*(COUNTIF($F$11:F1153,F1153)-1)*10000,10)&amp;"}]")</f>
        <v>[{global_dmg_rate,17070}]</v>
      </c>
      <c r="H1153" s="82" t="s">
        <v>563</v>
      </c>
      <c r="J1153" s="78">
        <f ca="1">IF(MOD(COUNTIF($Q$11:Q1152,Q1152),5)=0,OFFSET(装备属性!$P$1083,1+INT(COUNTA($Q$11:Q1152)/5),0),J1152)</f>
        <v>2</v>
      </c>
      <c r="K1153" s="83" t="str">
        <f ca="1">IF(RIGHT(G1153,13)="rune_slot,1}]",_xlfn.XLOOKUP(LEFT(SUBSTITUTE(G1153,"[{",""),FIND(",",SUBSTITUTE(G1153,"[{",""))-1),Sheet2!B:B,Sheet2!C:C)&amp;"+"&amp;1,_xlfn.XLOOKUP(LEFT(SUBSTITUTE(G1153,"[{",""),FIND(",",SUBSTITUTE(G1153,"[{",""))-1),Sheet2!B:B,Sheet2!C:C)&amp;"+"&amp;SUBSTITUTE(RIGHT(G1153,LEN(G1153)-FIND(",",G1153)),"}]","")/100&amp;"%")</f>
        <v>伤害加成+170.7%</v>
      </c>
      <c r="L1153" s="83" t="str">
        <f ca="1">IF(MOD(COUNTIF($Q$11:Q1152,Q1152),5)=0,OFFSET(装备属性!$G$1083,1+INT(COUNTA($Q$11:Q1152)/5),0),L1152)</f>
        <v>全职小队Ⅴ</v>
      </c>
      <c r="M1153" s="89" t="str">
        <f ca="1">IF(MOD(COUNTIF($Q$11:Q1152,Q1152),5)=0,OFFSET(装备属性!$H$1083,1+INT(COUNTA($Q$11:Q1152)/5),0),M1152)</f>
        <v>global_dmg_rate</v>
      </c>
      <c r="N1153" s="76">
        <f ca="1">IF(MOD(COUNTIF($Q$11:Q1152,Q1152),5)=0,OFFSET(装备属性!$K$1083,1+INT(COUNTA($Q$11:Q1152)/5),0),N1152)</f>
        <v>0.072</v>
      </c>
      <c r="O1153" s="76">
        <f ca="1">IF(MOD(COUNTIF($Q$11:Q1152,Q1152),5)=0,OFFSET(装备属性!$L$1083,1+INT(COUNTA($Q$11:Q1152)/5),0),O1152)</f>
        <v>0.086</v>
      </c>
      <c r="Q1153" s="89" t="str">
        <f ca="1">IF(MOD(COUNTIF($Q$11:Q1152,Q1152),5)=0,OFFSET(装备属性!$M$1083,1+INT(COUNTA($Q$11:Q1152)/5),0),Q1152)</f>
        <v>通用属性</v>
      </c>
      <c r="R1153" s="83" t="e">
        <f ca="1">IF(MOD(COUNTIF($Q$11:Q1152,Q1152),5)=0,10000*SUBSTITUTE(SUBSTITUTE(OFFSET(装备属性!$F$1083,1+INT(COUNTA($Q$11:Q1152)/5),0),"[",""),"]","")+_xlfn.XLOOKUP(C1153,$M$3:$M$7,$N$3:$N$7)*100,R1152)</f>
        <v>#N/A</v>
      </c>
    </row>
    <row r="1154" customHeight="1" spans="1:18">
      <c r="A1154" s="78" t="str">
        <f ca="1" t="shared" si="51"/>
        <v/>
      </c>
      <c r="B1154" s="82" t="str">
        <f ca="1">IFERROR(R1154+COUNTIFS($R$11:$R1154,R1154),"")</f>
        <v/>
      </c>
      <c r="C1154" s="83">
        <f ca="1">IF(MOD(COUNTIF($Q$11:Q1153,Q1153),5)=0,OFFSET(装备属性!$D$1083,1+INT(COUNTA($Q$11:Q1153)/5),0),C1153)</f>
        <v>0</v>
      </c>
      <c r="D1154" s="82">
        <f t="shared" si="53"/>
        <v>1500</v>
      </c>
      <c r="F1154" s="82" t="str">
        <f ca="1" t="shared" si="52"/>
        <v/>
      </c>
      <c r="G1154" s="78" t="str">
        <f ca="1">IF(AND(LEFT("[{"&amp;M1154&amp;","&amp;CEILING(N1154*10000+(O1154-N1154)/4*(COUNTIF($F$11:F1154,F1154)-1)*10000,10)&amp;"}]",7)="[{equip",MID("[{"&amp;M1154&amp;","&amp;CEILING(N1154*10000+(O1154-N1154)/4*(COUNTIF($F$11:F1154,F1154)-1)*10000,10)&amp;"}]",8,1)&lt;&gt;"_"),"[{"&amp;M1154&amp;","&amp;1&amp;"}]","[{"&amp;M1154&amp;","&amp;CEILING(N1154*10000+(O1154-N1154)/4*(COUNTIF($F$11:F1154,F1154)-1)*10000,10)&amp;"}]")</f>
        <v>[{global_dmg_rate,17100}]</v>
      </c>
      <c r="H1154" s="82" t="s">
        <v>563</v>
      </c>
      <c r="J1154" s="78">
        <f ca="1">IF(MOD(COUNTIF($Q$11:Q1153,Q1153),5)=0,OFFSET(装备属性!$P$1083,1+INT(COUNTA($Q$11:Q1153)/5),0),J1153)</f>
        <v>2</v>
      </c>
      <c r="K1154" s="83" t="str">
        <f ca="1">IF(RIGHT(G1154,13)="rune_slot,1}]",_xlfn.XLOOKUP(LEFT(SUBSTITUTE(G1154,"[{",""),FIND(",",SUBSTITUTE(G1154,"[{",""))-1),Sheet2!B:B,Sheet2!C:C)&amp;"+"&amp;1,_xlfn.XLOOKUP(LEFT(SUBSTITUTE(G1154,"[{",""),FIND(",",SUBSTITUTE(G1154,"[{",""))-1),Sheet2!B:B,Sheet2!C:C)&amp;"+"&amp;SUBSTITUTE(RIGHT(G1154,LEN(G1154)-FIND(",",G1154)),"}]","")/100&amp;"%")</f>
        <v>伤害加成+171%</v>
      </c>
      <c r="L1154" s="83" t="str">
        <f ca="1">IF(MOD(COUNTIF($Q$11:Q1153,Q1153),5)=0,OFFSET(装备属性!$G$1083,1+INT(COUNTA($Q$11:Q1153)/5),0),L1153)</f>
        <v>全职小队Ⅴ</v>
      </c>
      <c r="M1154" s="89" t="str">
        <f ca="1">IF(MOD(COUNTIF($Q$11:Q1153,Q1153),5)=0,OFFSET(装备属性!$H$1083,1+INT(COUNTA($Q$11:Q1153)/5),0),M1153)</f>
        <v>global_dmg_rate</v>
      </c>
      <c r="N1154" s="76">
        <f ca="1">IF(MOD(COUNTIF($Q$11:Q1153,Q1153),5)=0,OFFSET(装备属性!$K$1083,1+INT(COUNTA($Q$11:Q1153)/5),0),N1153)</f>
        <v>0.072</v>
      </c>
      <c r="O1154" s="76">
        <f ca="1">IF(MOD(COUNTIF($Q$11:Q1153,Q1153),5)=0,OFFSET(装备属性!$L$1083,1+INT(COUNTA($Q$11:Q1153)/5),0),O1153)</f>
        <v>0.086</v>
      </c>
      <c r="Q1154" s="89" t="str">
        <f ca="1">IF(MOD(COUNTIF($Q$11:Q1153,Q1153),5)=0,OFFSET(装备属性!$M$1083,1+INT(COUNTA($Q$11:Q1153)/5),0),Q1153)</f>
        <v>通用属性</v>
      </c>
      <c r="R1154" s="83" t="e">
        <f ca="1">IF(MOD(COUNTIF($Q$11:Q1153,Q1153),5)=0,10000*SUBSTITUTE(SUBSTITUTE(OFFSET(装备属性!$F$1083,1+INT(COUNTA($Q$11:Q1153)/5),0),"[",""),"]","")+_xlfn.XLOOKUP(C1154,$M$3:$M$7,$N$3:$N$7)*100,R1153)</f>
        <v>#N/A</v>
      </c>
    </row>
    <row r="1155" customHeight="1" spans="1:18">
      <c r="A1155" s="78" t="str">
        <f ca="1" t="shared" si="51"/>
        <v/>
      </c>
      <c r="B1155" s="82" t="str">
        <f ca="1">IFERROR(R1155+COUNTIFS($R$11:$R1155,R1155),"")</f>
        <v/>
      </c>
      <c r="C1155" s="83">
        <f ca="1">IF(MOD(COUNTIF($Q$11:Q1154,Q1154),5)=0,OFFSET(装备属性!$D$1083,1+INT(COUNTA($Q$11:Q1154)/5),0),C1154)</f>
        <v>0</v>
      </c>
      <c r="D1155" s="82">
        <f t="shared" si="53"/>
        <v>1000</v>
      </c>
      <c r="F1155" s="82" t="str">
        <f ca="1" t="shared" si="52"/>
        <v/>
      </c>
      <c r="G1155" s="78" t="str">
        <f ca="1">IF(AND(LEFT("[{"&amp;M1155&amp;","&amp;CEILING(N1155*10000+(O1155-N1155)/4*(COUNTIF($F$11:F1155,F1155)-1)*10000,10)&amp;"}]",7)="[{equip",MID("[{"&amp;M1155&amp;","&amp;CEILING(N1155*10000+(O1155-N1155)/4*(COUNTIF($F$11:F1155,F1155)-1)*10000,10)&amp;"}]",8,1)&lt;&gt;"_"),"[{"&amp;M1155&amp;","&amp;1&amp;"}]","[{"&amp;M1155&amp;","&amp;CEILING(N1155*10000+(O1155-N1155)/4*(COUNTIF($F$11:F1155,F1155)-1)*10000,10)&amp;"}]")</f>
        <v>[{global_dmg_rate,17140}]</v>
      </c>
      <c r="H1155" s="82" t="s">
        <v>563</v>
      </c>
      <c r="J1155" s="78">
        <f ca="1">IF(MOD(COUNTIF($Q$11:Q1154,Q1154),5)=0,OFFSET(装备属性!$P$1083,1+INT(COUNTA($Q$11:Q1154)/5),0),J1154)</f>
        <v>2</v>
      </c>
      <c r="K1155" s="83" t="str">
        <f ca="1">IF(RIGHT(G1155,13)="rune_slot,1}]",_xlfn.XLOOKUP(LEFT(SUBSTITUTE(G1155,"[{",""),FIND(",",SUBSTITUTE(G1155,"[{",""))-1),Sheet2!B:B,Sheet2!C:C)&amp;"+"&amp;1,_xlfn.XLOOKUP(LEFT(SUBSTITUTE(G1155,"[{",""),FIND(",",SUBSTITUTE(G1155,"[{",""))-1),Sheet2!B:B,Sheet2!C:C)&amp;"+"&amp;SUBSTITUTE(RIGHT(G1155,LEN(G1155)-FIND(",",G1155)),"}]","")/100&amp;"%")</f>
        <v>伤害加成+171.4%</v>
      </c>
      <c r="L1155" s="83" t="str">
        <f ca="1">IF(MOD(COUNTIF($Q$11:Q1154,Q1154),5)=0,OFFSET(装备属性!$G$1083,1+INT(COUNTA($Q$11:Q1154)/5),0),L1154)</f>
        <v>全职小队Ⅴ</v>
      </c>
      <c r="M1155" s="89" t="str">
        <f ca="1">IF(MOD(COUNTIF($Q$11:Q1154,Q1154),5)=0,OFFSET(装备属性!$H$1083,1+INT(COUNTA($Q$11:Q1154)/5),0),M1154)</f>
        <v>global_dmg_rate</v>
      </c>
      <c r="N1155" s="76">
        <f ca="1">IF(MOD(COUNTIF($Q$11:Q1154,Q1154),5)=0,OFFSET(装备属性!$K$1083,1+INT(COUNTA($Q$11:Q1154)/5),0),N1154)</f>
        <v>0.072</v>
      </c>
      <c r="O1155" s="76">
        <f ca="1">IF(MOD(COUNTIF($Q$11:Q1154,Q1154),5)=0,OFFSET(装备属性!$L$1083,1+INT(COUNTA($Q$11:Q1154)/5),0),O1154)</f>
        <v>0.086</v>
      </c>
      <c r="Q1155" s="89" t="str">
        <f ca="1">IF(MOD(COUNTIF($Q$11:Q1154,Q1154),5)=0,OFFSET(装备属性!$M$1083,1+INT(COUNTA($Q$11:Q1154)/5),0),Q1154)</f>
        <v>通用属性</v>
      </c>
      <c r="R1155" s="83" t="e">
        <f ca="1">IF(MOD(COUNTIF($Q$11:Q1154,Q1154),5)=0,10000*SUBSTITUTE(SUBSTITUTE(OFFSET(装备属性!$F$1083,1+INT(COUNTA($Q$11:Q1154)/5),0),"[",""),"]","")+_xlfn.XLOOKUP(C1155,$M$3:$M$7,$N$3:$N$7)*100,R1154)</f>
        <v>#N/A</v>
      </c>
    </row>
    <row r="1156" customHeight="1" spans="1:18">
      <c r="A1156" s="78">
        <f ca="1" t="shared" si="51"/>
        <v>40801</v>
      </c>
      <c r="B1156" s="82">
        <f ca="1">IFERROR(R1156+COUNTIFS($R$11:$R1156,R1156),"")</f>
        <v>40801</v>
      </c>
      <c r="C1156" s="83" t="str">
        <f ca="1">IF(MOD(COUNTIF($Q$11:Q1155,Q1155),5)=0,OFFSET(装备属性!$D$1083,1+INT(COUNTA($Q$11:Q1155)/5),0),C1155)</f>
        <v>彩</v>
      </c>
      <c r="D1156" s="82">
        <f t="shared" si="53"/>
        <v>3000</v>
      </c>
      <c r="F1156" s="82">
        <f ca="1" t="shared" si="52"/>
        <v>40800</v>
      </c>
      <c r="G1156" s="78" t="str">
        <f ca="1">IF(AND(LEFT("[{"&amp;M1156&amp;","&amp;CEILING(N1156*10000+(O1156-N1156)/4*(COUNTIF($F$11:F1156,F1156)-1)*10000,10)&amp;"}]",7)="[{equip",MID("[{"&amp;M1156&amp;","&amp;CEILING(N1156*10000+(O1156-N1156)/4*(COUNTIF($F$11:F1156,F1156)-1)*10000,10)&amp;"}]",8,1)&lt;&gt;"_"),"[{"&amp;M1156&amp;","&amp;1&amp;"}]","[{"&amp;M1156&amp;","&amp;CEILING(N1156*10000+(O1156-N1156)/4*(COUNTIF($F$11:F1156,F1156)-1)*10000,10)&amp;"}]")</f>
        <v>[{dmg_red_rate,300}]</v>
      </c>
      <c r="H1156" s="82" t="s">
        <v>563</v>
      </c>
      <c r="J1156" s="78">
        <f ca="1">IF(MOD(COUNTIF($Q$11:Q1155,Q1155),5)=0,OFFSET(装备属性!$P$1083,1+INT(COUNTA($Q$11:Q1155)/5),0),J1155)</f>
        <v>6</v>
      </c>
      <c r="K1156" s="83" t="str">
        <f ca="1">IF(RIGHT(G1156,13)="rune_slot,1}]",_xlfn.XLOOKUP(LEFT(SUBSTITUTE(G1156,"[{",""),FIND(",",SUBSTITUTE(G1156,"[{",""))-1),Sheet2!B:B,Sheet2!C:C)&amp;"+"&amp;1,_xlfn.XLOOKUP(LEFT(SUBSTITUTE(G1156,"[{",""),FIND(",",SUBSTITUTE(G1156,"[{",""))-1),Sheet2!B:B,Sheet2!C:C)&amp;"+"&amp;SUBSTITUTE(RIGHT(G1156,LEN(G1156)-FIND(",",G1156)),"}]","")/100&amp;"%")</f>
        <v>伤害减免+3%</v>
      </c>
      <c r="L1156" s="83" t="str">
        <f ca="1">IF(MOD(COUNTIF($Q$11:Q1155,Q1155),5)=0,OFFSET(装备属性!$G$1083,1+INT(COUNTA($Q$11:Q1155)/5),0),L1155)</f>
        <v>全员抗揍Ⅴ</v>
      </c>
      <c r="M1156" s="89" t="str">
        <f ca="1">IF(MOD(COUNTIF($Q$11:Q1155,Q1155),5)=0,OFFSET(装备属性!$H$1083,1+INT(COUNTA($Q$11:Q1155)/5),0),M1155)</f>
        <v>dmg_red_rate</v>
      </c>
      <c r="N1156" s="76">
        <f ca="1">IF(MOD(COUNTIF($Q$11:Q1155,Q1155),5)=0,OFFSET(装备属性!$K$1083,1+INT(COUNTA($Q$11:Q1155)/5),0),N1155)</f>
        <v>0.03</v>
      </c>
      <c r="O1156" s="76">
        <f ca="1">IF(MOD(COUNTIF($Q$11:Q1155,Q1155),5)=0,OFFSET(装备属性!$L$1083,1+INT(COUNTA($Q$11:Q1155)/5),0),O1155)</f>
        <v>0.034</v>
      </c>
      <c r="Q1156" s="89" t="str">
        <f ca="1">IF(MOD(COUNTIF($Q$11:Q1155,Q1155),5)=0,OFFSET(装备属性!$M$1083,1+INT(COUNTA($Q$11:Q1155)/5),0),Q1155)</f>
        <v>通用属性</v>
      </c>
      <c r="R1156" s="83">
        <f ca="1">IF(MOD(COUNTIF($Q$11:Q1155,Q1155),5)=0,10000*SUBSTITUTE(SUBSTITUTE(OFFSET(装备属性!$F$1083,1+INT(COUNTA($Q$11:Q1155)/5),0),"[",""),"]","")+_xlfn.XLOOKUP(C1156,$M$3:$M$7,$N$3:$N$7)*100,R1155)</f>
        <v>40800</v>
      </c>
    </row>
    <row r="1157" customHeight="1" spans="1:18">
      <c r="A1157" s="78">
        <f ca="1" t="shared" si="51"/>
        <v>40801</v>
      </c>
      <c r="B1157" s="82">
        <f ca="1">IFERROR(R1157+COUNTIFS($R$11:$R1157,R1157),"")</f>
        <v>40802</v>
      </c>
      <c r="C1157" s="83" t="str">
        <f ca="1">IF(MOD(COUNTIF($Q$11:Q1156,Q1156),5)=0,OFFSET(装备属性!$D$1083,1+INT(COUNTA($Q$11:Q1156)/5),0),C1156)</f>
        <v>彩</v>
      </c>
      <c r="D1157" s="82">
        <f t="shared" si="53"/>
        <v>2500</v>
      </c>
      <c r="F1157" s="82">
        <f ca="1" t="shared" si="52"/>
        <v>40800</v>
      </c>
      <c r="G1157" s="78" t="str">
        <f ca="1">IF(AND(LEFT("[{"&amp;M1157&amp;","&amp;CEILING(N1157*10000+(O1157-N1157)/4*(COUNTIF($F$11:F1157,F1157)-1)*10000,10)&amp;"}]",7)="[{equip",MID("[{"&amp;M1157&amp;","&amp;CEILING(N1157*10000+(O1157-N1157)/4*(COUNTIF($F$11:F1157,F1157)-1)*10000,10)&amp;"}]",8,1)&lt;&gt;"_"),"[{"&amp;M1157&amp;","&amp;1&amp;"}]","[{"&amp;M1157&amp;","&amp;CEILING(N1157*10000+(O1157-N1157)/4*(COUNTIF($F$11:F1157,F1157)-1)*10000,10)&amp;"}]")</f>
        <v>[{dmg_red_rate,310}]</v>
      </c>
      <c r="H1157" s="82" t="s">
        <v>563</v>
      </c>
      <c r="J1157" s="78">
        <f ca="1">IF(MOD(COUNTIF($Q$11:Q1156,Q1156),5)=0,OFFSET(装备属性!$P$1083,1+INT(COUNTA($Q$11:Q1156)/5),0),J1156)</f>
        <v>6</v>
      </c>
      <c r="K1157" s="83" t="str">
        <f ca="1">IF(RIGHT(G1157,13)="rune_slot,1}]",_xlfn.XLOOKUP(LEFT(SUBSTITUTE(G1157,"[{",""),FIND(",",SUBSTITUTE(G1157,"[{",""))-1),Sheet2!B:B,Sheet2!C:C)&amp;"+"&amp;1,_xlfn.XLOOKUP(LEFT(SUBSTITUTE(G1157,"[{",""),FIND(",",SUBSTITUTE(G1157,"[{",""))-1),Sheet2!B:B,Sheet2!C:C)&amp;"+"&amp;SUBSTITUTE(RIGHT(G1157,LEN(G1157)-FIND(",",G1157)),"}]","")/100&amp;"%")</f>
        <v>伤害减免+3.1%</v>
      </c>
      <c r="L1157" s="83" t="str">
        <f ca="1">IF(MOD(COUNTIF($Q$11:Q1156,Q1156),5)=0,OFFSET(装备属性!$G$1083,1+INT(COUNTA($Q$11:Q1156)/5),0),L1156)</f>
        <v>全员抗揍Ⅴ</v>
      </c>
      <c r="M1157" s="89" t="str">
        <f ca="1">IF(MOD(COUNTIF($Q$11:Q1156,Q1156),5)=0,OFFSET(装备属性!$H$1083,1+INT(COUNTA($Q$11:Q1156)/5),0),M1156)</f>
        <v>dmg_red_rate</v>
      </c>
      <c r="N1157" s="76">
        <f ca="1">IF(MOD(COUNTIF($Q$11:Q1156,Q1156),5)=0,OFFSET(装备属性!$K$1083,1+INT(COUNTA($Q$11:Q1156)/5),0),N1156)</f>
        <v>0.03</v>
      </c>
      <c r="O1157" s="76">
        <f ca="1">IF(MOD(COUNTIF($Q$11:Q1156,Q1156),5)=0,OFFSET(装备属性!$L$1083,1+INT(COUNTA($Q$11:Q1156)/5),0),O1156)</f>
        <v>0.034</v>
      </c>
      <c r="Q1157" s="89" t="str">
        <f ca="1">IF(MOD(COUNTIF($Q$11:Q1156,Q1156),5)=0,OFFSET(装备属性!$M$1083,1+INT(COUNTA($Q$11:Q1156)/5),0),Q1156)</f>
        <v>通用属性</v>
      </c>
      <c r="R1157" s="83">
        <f ca="1">IF(MOD(COUNTIF($Q$11:Q1156,Q1156),5)=0,10000*SUBSTITUTE(SUBSTITUTE(OFFSET(装备属性!$F$1083,1+INT(COUNTA($Q$11:Q1156)/5),0),"[",""),"]","")+_xlfn.XLOOKUP(C1157,$M$3:$M$7,$N$3:$N$7)*100,R1156)</f>
        <v>40800</v>
      </c>
    </row>
    <row r="1158" customHeight="1" spans="1:18">
      <c r="A1158" s="78">
        <f ca="1" t="shared" si="51"/>
        <v>40801</v>
      </c>
      <c r="B1158" s="82">
        <f ca="1">IFERROR(R1158+COUNTIFS($R$11:$R1158,R1158),"")</f>
        <v>40803</v>
      </c>
      <c r="C1158" s="83" t="str">
        <f ca="1">IF(MOD(COUNTIF($Q$11:Q1157,Q1157),5)=0,OFFSET(装备属性!$D$1083,1+INT(COUNTA($Q$11:Q1157)/5),0),C1157)</f>
        <v>彩</v>
      </c>
      <c r="D1158" s="82">
        <f t="shared" si="53"/>
        <v>2000</v>
      </c>
      <c r="F1158" s="82">
        <f ca="1" t="shared" si="52"/>
        <v>40800</v>
      </c>
      <c r="G1158" s="78" t="str">
        <f ca="1">IF(AND(LEFT("[{"&amp;M1158&amp;","&amp;CEILING(N1158*10000+(O1158-N1158)/4*(COUNTIF($F$11:F1158,F1158)-1)*10000,10)&amp;"}]",7)="[{equip",MID("[{"&amp;M1158&amp;","&amp;CEILING(N1158*10000+(O1158-N1158)/4*(COUNTIF($F$11:F1158,F1158)-1)*10000,10)&amp;"}]",8,1)&lt;&gt;"_"),"[{"&amp;M1158&amp;","&amp;1&amp;"}]","[{"&amp;M1158&amp;","&amp;CEILING(N1158*10000+(O1158-N1158)/4*(COUNTIF($F$11:F1158,F1158)-1)*10000,10)&amp;"}]")</f>
        <v>[{dmg_red_rate,320}]</v>
      </c>
      <c r="H1158" s="82" t="s">
        <v>563</v>
      </c>
      <c r="J1158" s="78">
        <f ca="1">IF(MOD(COUNTIF($Q$11:Q1157,Q1157),5)=0,OFFSET(装备属性!$P$1083,1+INT(COUNTA($Q$11:Q1157)/5),0),J1157)</f>
        <v>6</v>
      </c>
      <c r="K1158" s="83" t="str">
        <f ca="1">IF(RIGHT(G1158,13)="rune_slot,1}]",_xlfn.XLOOKUP(LEFT(SUBSTITUTE(G1158,"[{",""),FIND(",",SUBSTITUTE(G1158,"[{",""))-1),Sheet2!B:B,Sheet2!C:C)&amp;"+"&amp;1,_xlfn.XLOOKUP(LEFT(SUBSTITUTE(G1158,"[{",""),FIND(",",SUBSTITUTE(G1158,"[{",""))-1),Sheet2!B:B,Sheet2!C:C)&amp;"+"&amp;SUBSTITUTE(RIGHT(G1158,LEN(G1158)-FIND(",",G1158)),"}]","")/100&amp;"%")</f>
        <v>伤害减免+3.2%</v>
      </c>
      <c r="L1158" s="83" t="str">
        <f ca="1">IF(MOD(COUNTIF($Q$11:Q1157,Q1157),5)=0,OFFSET(装备属性!$G$1083,1+INT(COUNTA($Q$11:Q1157)/5),0),L1157)</f>
        <v>全员抗揍Ⅴ</v>
      </c>
      <c r="M1158" s="89" t="str">
        <f ca="1">IF(MOD(COUNTIF($Q$11:Q1157,Q1157),5)=0,OFFSET(装备属性!$H$1083,1+INT(COUNTA($Q$11:Q1157)/5),0),M1157)</f>
        <v>dmg_red_rate</v>
      </c>
      <c r="N1158" s="76">
        <f ca="1">IF(MOD(COUNTIF($Q$11:Q1157,Q1157),5)=0,OFFSET(装备属性!$K$1083,1+INT(COUNTA($Q$11:Q1157)/5),0),N1157)</f>
        <v>0.03</v>
      </c>
      <c r="O1158" s="76">
        <f ca="1">IF(MOD(COUNTIF($Q$11:Q1157,Q1157),5)=0,OFFSET(装备属性!$L$1083,1+INT(COUNTA($Q$11:Q1157)/5),0),O1157)</f>
        <v>0.034</v>
      </c>
      <c r="Q1158" s="89" t="str">
        <f ca="1">IF(MOD(COUNTIF($Q$11:Q1157,Q1157),5)=0,OFFSET(装备属性!$M$1083,1+INT(COUNTA($Q$11:Q1157)/5),0),Q1157)</f>
        <v>通用属性</v>
      </c>
      <c r="R1158" s="83">
        <f ca="1">IF(MOD(COUNTIF($Q$11:Q1157,Q1157),5)=0,10000*SUBSTITUTE(SUBSTITUTE(OFFSET(装备属性!$F$1083,1+INT(COUNTA($Q$11:Q1157)/5),0),"[",""),"]","")+_xlfn.XLOOKUP(C1158,$M$3:$M$7,$N$3:$N$7)*100,R1157)</f>
        <v>40800</v>
      </c>
    </row>
    <row r="1159" customHeight="1" spans="1:18">
      <c r="A1159" s="78">
        <f ca="1" t="shared" si="51"/>
        <v>40801</v>
      </c>
      <c r="B1159" s="82">
        <f ca="1">IFERROR(R1159+COUNTIFS($R$11:$R1159,R1159),"")</f>
        <v>40804</v>
      </c>
      <c r="C1159" s="83" t="str">
        <f ca="1">IF(MOD(COUNTIF($Q$11:Q1158,Q1158),5)=0,OFFSET(装备属性!$D$1083,1+INT(COUNTA($Q$11:Q1158)/5),0),C1158)</f>
        <v>彩</v>
      </c>
      <c r="D1159" s="82">
        <f t="shared" si="53"/>
        <v>1500</v>
      </c>
      <c r="F1159" s="82">
        <f ca="1" t="shared" si="52"/>
        <v>40800</v>
      </c>
      <c r="G1159" s="78" t="str">
        <f ca="1">IF(AND(LEFT("[{"&amp;M1159&amp;","&amp;CEILING(N1159*10000+(O1159-N1159)/4*(COUNTIF($F$11:F1159,F1159)-1)*10000,10)&amp;"}]",7)="[{equip",MID("[{"&amp;M1159&amp;","&amp;CEILING(N1159*10000+(O1159-N1159)/4*(COUNTIF($F$11:F1159,F1159)-1)*10000,10)&amp;"}]",8,1)&lt;&gt;"_"),"[{"&amp;M1159&amp;","&amp;1&amp;"}]","[{"&amp;M1159&amp;","&amp;CEILING(N1159*10000+(O1159-N1159)/4*(COUNTIF($F$11:F1159,F1159)-1)*10000,10)&amp;"}]")</f>
        <v>[{dmg_red_rate,330}]</v>
      </c>
      <c r="H1159" s="82" t="s">
        <v>563</v>
      </c>
      <c r="J1159" s="78">
        <f ca="1">IF(MOD(COUNTIF($Q$11:Q1158,Q1158),5)=0,OFFSET(装备属性!$P$1083,1+INT(COUNTA($Q$11:Q1158)/5),0),J1158)</f>
        <v>6</v>
      </c>
      <c r="K1159" s="83" t="str">
        <f ca="1">IF(RIGHT(G1159,13)="rune_slot,1}]",_xlfn.XLOOKUP(LEFT(SUBSTITUTE(G1159,"[{",""),FIND(",",SUBSTITUTE(G1159,"[{",""))-1),Sheet2!B:B,Sheet2!C:C)&amp;"+"&amp;1,_xlfn.XLOOKUP(LEFT(SUBSTITUTE(G1159,"[{",""),FIND(",",SUBSTITUTE(G1159,"[{",""))-1),Sheet2!B:B,Sheet2!C:C)&amp;"+"&amp;SUBSTITUTE(RIGHT(G1159,LEN(G1159)-FIND(",",G1159)),"}]","")/100&amp;"%")</f>
        <v>伤害减免+3.3%</v>
      </c>
      <c r="L1159" s="83" t="str">
        <f ca="1">IF(MOD(COUNTIF($Q$11:Q1158,Q1158),5)=0,OFFSET(装备属性!$G$1083,1+INT(COUNTA($Q$11:Q1158)/5),0),L1158)</f>
        <v>全员抗揍Ⅴ</v>
      </c>
      <c r="M1159" s="89" t="str">
        <f ca="1">IF(MOD(COUNTIF($Q$11:Q1158,Q1158),5)=0,OFFSET(装备属性!$H$1083,1+INT(COUNTA($Q$11:Q1158)/5),0),M1158)</f>
        <v>dmg_red_rate</v>
      </c>
      <c r="N1159" s="76">
        <f ca="1">IF(MOD(COUNTIF($Q$11:Q1158,Q1158),5)=0,OFFSET(装备属性!$K$1083,1+INT(COUNTA($Q$11:Q1158)/5),0),N1158)</f>
        <v>0.03</v>
      </c>
      <c r="O1159" s="76">
        <f ca="1">IF(MOD(COUNTIF($Q$11:Q1158,Q1158),5)=0,OFFSET(装备属性!$L$1083,1+INT(COUNTA($Q$11:Q1158)/5),0),O1158)</f>
        <v>0.034</v>
      </c>
      <c r="Q1159" s="89" t="str">
        <f ca="1">IF(MOD(COUNTIF($Q$11:Q1158,Q1158),5)=0,OFFSET(装备属性!$M$1083,1+INT(COUNTA($Q$11:Q1158)/5),0),Q1158)</f>
        <v>通用属性</v>
      </c>
      <c r="R1159" s="83">
        <f ca="1">IF(MOD(COUNTIF($Q$11:Q1158,Q1158),5)=0,10000*SUBSTITUTE(SUBSTITUTE(OFFSET(装备属性!$F$1083,1+INT(COUNTA($Q$11:Q1158)/5),0),"[",""),"]","")+_xlfn.XLOOKUP(C1159,$M$3:$M$7,$N$3:$N$7)*100,R1158)</f>
        <v>40800</v>
      </c>
    </row>
    <row r="1160" customHeight="1" spans="1:18">
      <c r="A1160" s="78">
        <f ca="1" t="shared" si="51"/>
        <v>40801</v>
      </c>
      <c r="B1160" s="82">
        <f ca="1">IFERROR(R1160+COUNTIFS($R$11:$R1160,R1160),"")</f>
        <v>40805</v>
      </c>
      <c r="C1160" s="83" t="str">
        <f ca="1">IF(MOD(COUNTIF($Q$11:Q1159,Q1159),5)=0,OFFSET(装备属性!$D$1083,1+INT(COUNTA($Q$11:Q1159)/5),0),C1159)</f>
        <v>彩</v>
      </c>
      <c r="D1160" s="82">
        <f t="shared" si="53"/>
        <v>1000</v>
      </c>
      <c r="F1160" s="82">
        <f ca="1" t="shared" si="52"/>
        <v>40800</v>
      </c>
      <c r="G1160" s="78" t="str">
        <f ca="1">IF(AND(LEFT("[{"&amp;M1160&amp;","&amp;CEILING(N1160*10000+(O1160-N1160)/4*(COUNTIF($F$11:F1160,F1160)-1)*10000,10)&amp;"}]",7)="[{equip",MID("[{"&amp;M1160&amp;","&amp;CEILING(N1160*10000+(O1160-N1160)/4*(COUNTIF($F$11:F1160,F1160)-1)*10000,10)&amp;"}]",8,1)&lt;&gt;"_"),"[{"&amp;M1160&amp;","&amp;1&amp;"}]","[{"&amp;M1160&amp;","&amp;CEILING(N1160*10000+(O1160-N1160)/4*(COUNTIF($F$11:F1160,F1160)-1)*10000,10)&amp;"}]")</f>
        <v>[{dmg_red_rate,340}]</v>
      </c>
      <c r="H1160" s="82" t="s">
        <v>563</v>
      </c>
      <c r="J1160" s="78">
        <f ca="1">IF(MOD(COUNTIF($Q$11:Q1159,Q1159),5)=0,OFFSET(装备属性!$P$1083,1+INT(COUNTA($Q$11:Q1159)/5),0),J1159)</f>
        <v>6</v>
      </c>
      <c r="K1160" s="83" t="str">
        <f ca="1">IF(RIGHT(G1160,13)="rune_slot,1}]",_xlfn.XLOOKUP(LEFT(SUBSTITUTE(G1160,"[{",""),FIND(",",SUBSTITUTE(G1160,"[{",""))-1),Sheet2!B:B,Sheet2!C:C)&amp;"+"&amp;1,_xlfn.XLOOKUP(LEFT(SUBSTITUTE(G1160,"[{",""),FIND(",",SUBSTITUTE(G1160,"[{",""))-1),Sheet2!B:B,Sheet2!C:C)&amp;"+"&amp;SUBSTITUTE(RIGHT(G1160,LEN(G1160)-FIND(",",G1160)),"}]","")/100&amp;"%")</f>
        <v>伤害减免+3.4%</v>
      </c>
      <c r="L1160" s="83" t="str">
        <f ca="1">IF(MOD(COUNTIF($Q$11:Q1159,Q1159),5)=0,OFFSET(装备属性!$G$1083,1+INT(COUNTA($Q$11:Q1159)/5),0),L1159)</f>
        <v>全员抗揍Ⅴ</v>
      </c>
      <c r="M1160" s="89" t="str">
        <f ca="1">IF(MOD(COUNTIF($Q$11:Q1159,Q1159),5)=0,OFFSET(装备属性!$H$1083,1+INT(COUNTA($Q$11:Q1159)/5),0),M1159)</f>
        <v>dmg_red_rate</v>
      </c>
      <c r="N1160" s="76">
        <f ca="1">IF(MOD(COUNTIF($Q$11:Q1159,Q1159),5)=0,OFFSET(装备属性!$K$1083,1+INT(COUNTA($Q$11:Q1159)/5),0),N1159)</f>
        <v>0.03</v>
      </c>
      <c r="O1160" s="76">
        <f ca="1">IF(MOD(COUNTIF($Q$11:Q1159,Q1159),5)=0,OFFSET(装备属性!$L$1083,1+INT(COUNTA($Q$11:Q1159)/5),0),O1159)</f>
        <v>0.034</v>
      </c>
      <c r="Q1160" s="89" t="str">
        <f ca="1">IF(MOD(COUNTIF($Q$11:Q1159,Q1159),5)=0,OFFSET(装备属性!$M$1083,1+INT(COUNTA($Q$11:Q1159)/5),0),Q1159)</f>
        <v>通用属性</v>
      </c>
      <c r="R1160" s="83">
        <f ca="1">IF(MOD(COUNTIF($Q$11:Q1159,Q1159),5)=0,10000*SUBSTITUTE(SUBSTITUTE(OFFSET(装备属性!$F$1083,1+INT(COUNTA($Q$11:Q1159)/5),0),"[",""),"]","")+_xlfn.XLOOKUP(C1160,$M$3:$M$7,$N$3:$N$7)*100,R1159)</f>
        <v>40800</v>
      </c>
    </row>
    <row r="1161" customHeight="1" spans="1:18">
      <c r="A1161" s="78">
        <f ca="1" t="shared" si="51"/>
        <v>40801</v>
      </c>
      <c r="B1161" s="82">
        <f ca="1">IFERROR(R1161+COUNTIFS($R$11:$R1161,R1161),"")</f>
        <v>40806</v>
      </c>
      <c r="C1161" s="83" t="str">
        <f ca="1">IF(MOD(COUNTIF($Q$11:Q1160,Q1160),5)=0,OFFSET(装备属性!$D$1083,1+INT(COUNTA($Q$11:Q1160)/5),0),C1160)</f>
        <v>彩</v>
      </c>
      <c r="D1161" s="82">
        <f t="shared" si="53"/>
        <v>3000</v>
      </c>
      <c r="F1161" s="82">
        <f ca="1" t="shared" si="52"/>
        <v>40801</v>
      </c>
      <c r="G1161" s="78" t="str">
        <f ca="1">IF(AND(LEFT("[{"&amp;M1161&amp;","&amp;CEILING(N1161*10000+(O1161-N1161)/4*(COUNTIF($F$11:F1161,F1161)-1)*10000,10)&amp;"}]",7)="[{equip",MID("[{"&amp;M1161&amp;","&amp;CEILING(N1161*10000+(O1161-N1161)/4*(COUNTIF($F$11:F1161,F1161)-1)*10000,10)&amp;"}]",8,1)&lt;&gt;"_"),"[{"&amp;M1161&amp;","&amp;1&amp;"}]","[{"&amp;M1161&amp;","&amp;CEILING(N1161*10000+(O1161-N1161)/4*(COUNTIF($F$11:F1161,F1161)-1)*10000,10)&amp;"}]")</f>
        <v>[{all_class_dmg,720}]</v>
      </c>
      <c r="H1161" s="82" t="s">
        <v>563</v>
      </c>
      <c r="J1161" s="78">
        <f ca="1">IF(MOD(COUNTIF($Q$11:Q1160,Q1160),5)=0,OFFSET(装备属性!$P$1083,1+INT(COUNTA($Q$11:Q1160)/5),0),J1160)</f>
        <v>2</v>
      </c>
      <c r="K1161" s="83" t="str">
        <f ca="1">IF(RIGHT(G1161,13)="rune_slot,1}]",_xlfn.XLOOKUP(LEFT(SUBSTITUTE(G1161,"[{",""),FIND(",",SUBSTITUTE(G1161,"[{",""))-1),Sheet2!B:B,Sheet2!C:C)&amp;"+"&amp;1,_xlfn.XLOOKUP(LEFT(SUBSTITUTE(G1161,"[{",""),FIND(",",SUBSTITUTE(G1161,"[{",""))-1),Sheet2!B:B,Sheet2!C:C)&amp;"+"&amp;SUBSTITUTE(RIGHT(G1161,LEN(G1161)-FIND(",",G1161)),"}]","")/100&amp;"%")</f>
        <v>上阵五个不同职业增伤+7.2%</v>
      </c>
      <c r="L1161" s="83" t="str">
        <f ca="1">IF(MOD(COUNTIF($Q$11:Q1160,Q1160),5)=0,OFFSET(装备属性!$G$1083,1+INT(COUNTA($Q$11:Q1160)/5),0),L1160)</f>
        <v>全员出力Ⅴ</v>
      </c>
      <c r="M1161" s="89" t="str">
        <f ca="1">IF(MOD(COUNTIF($Q$11:Q1160,Q1160),5)=0,OFFSET(装备属性!$H$1083,1+INT(COUNTA($Q$11:Q1160)/5),0),M1160)</f>
        <v>all_class_dmg</v>
      </c>
      <c r="N1161" s="76">
        <f ca="1">IF(MOD(COUNTIF($Q$11:Q1160,Q1160),5)=0,OFFSET(装备属性!$K$1083,1+INT(COUNTA($Q$11:Q1160)/5),0),N1160)</f>
        <v>0.072</v>
      </c>
      <c r="O1161" s="76">
        <f ca="1">IF(MOD(COUNTIF($Q$11:Q1160,Q1160),5)=0,OFFSET(装备属性!$L$1083,1+INT(COUNTA($Q$11:Q1160)/5),0),O1160)</f>
        <v>0.086</v>
      </c>
      <c r="Q1161" s="89" t="str">
        <f ca="1">IF(MOD(COUNTIF($Q$11:Q1160,Q1160),5)=0,OFFSET(装备属性!$M$1083,1+INT(COUNTA($Q$11:Q1160)/5),0),Q1160)</f>
        <v>通用属性</v>
      </c>
      <c r="R1161" s="83">
        <f ca="1">IF(MOD(COUNTIF($Q$11:Q1160,Q1160),5)=0,10000*SUBSTITUTE(SUBSTITUTE(OFFSET(装备属性!$F$1083,1+INT(COUNTA($Q$11:Q1160)/5),0),"[",""),"]","")+_xlfn.XLOOKUP(C1161,$M$3:$M$7,$N$3:$N$7)*100,R1160)</f>
        <v>40800</v>
      </c>
    </row>
    <row r="1162" customHeight="1" spans="1:18">
      <c r="A1162" s="78">
        <f ca="1" t="shared" si="51"/>
        <v>40801</v>
      </c>
      <c r="B1162" s="82">
        <f ca="1">IFERROR(R1162+COUNTIFS($R$11:$R1162,R1162),"")</f>
        <v>40807</v>
      </c>
      <c r="C1162" s="83" t="str">
        <f ca="1">IF(MOD(COUNTIF($Q$11:Q1161,Q1161),5)=0,OFFSET(装备属性!$D$1083,1+INT(COUNTA($Q$11:Q1161)/5),0),C1161)</f>
        <v>彩</v>
      </c>
      <c r="D1162" s="82">
        <f t="shared" si="53"/>
        <v>2500</v>
      </c>
      <c r="F1162" s="82">
        <f ca="1" t="shared" si="52"/>
        <v>40801</v>
      </c>
      <c r="G1162" s="78" t="str">
        <f ca="1">IF(AND(LEFT("[{"&amp;M1162&amp;","&amp;CEILING(N1162*10000+(O1162-N1162)/4*(COUNTIF($F$11:F1162,F1162)-1)*10000,10)&amp;"}]",7)="[{equip",MID("[{"&amp;M1162&amp;","&amp;CEILING(N1162*10000+(O1162-N1162)/4*(COUNTIF($F$11:F1162,F1162)-1)*10000,10)&amp;"}]",8,1)&lt;&gt;"_"),"[{"&amp;M1162&amp;","&amp;1&amp;"}]","[{"&amp;M1162&amp;","&amp;CEILING(N1162*10000+(O1162-N1162)/4*(COUNTIF($F$11:F1162,F1162)-1)*10000,10)&amp;"}]")</f>
        <v>[{all_class_dmg,760}]</v>
      </c>
      <c r="H1162" s="82" t="s">
        <v>563</v>
      </c>
      <c r="J1162" s="78">
        <f ca="1">IF(MOD(COUNTIF($Q$11:Q1161,Q1161),5)=0,OFFSET(装备属性!$P$1083,1+INT(COUNTA($Q$11:Q1161)/5),0),J1161)</f>
        <v>2</v>
      </c>
      <c r="K1162" s="83" t="str">
        <f ca="1">IF(RIGHT(G1162,13)="rune_slot,1}]",_xlfn.XLOOKUP(LEFT(SUBSTITUTE(G1162,"[{",""),FIND(",",SUBSTITUTE(G1162,"[{",""))-1),Sheet2!B:B,Sheet2!C:C)&amp;"+"&amp;1,_xlfn.XLOOKUP(LEFT(SUBSTITUTE(G1162,"[{",""),FIND(",",SUBSTITUTE(G1162,"[{",""))-1),Sheet2!B:B,Sheet2!C:C)&amp;"+"&amp;SUBSTITUTE(RIGHT(G1162,LEN(G1162)-FIND(",",G1162)),"}]","")/100&amp;"%")</f>
        <v>上阵五个不同职业增伤+7.6%</v>
      </c>
      <c r="L1162" s="83" t="str">
        <f ca="1">IF(MOD(COUNTIF($Q$11:Q1161,Q1161),5)=0,OFFSET(装备属性!$G$1083,1+INT(COUNTA($Q$11:Q1161)/5),0),L1161)</f>
        <v>全员出力Ⅴ</v>
      </c>
      <c r="M1162" s="89" t="str">
        <f ca="1">IF(MOD(COUNTIF($Q$11:Q1161,Q1161),5)=0,OFFSET(装备属性!$H$1083,1+INT(COUNTA($Q$11:Q1161)/5),0),M1161)</f>
        <v>all_class_dmg</v>
      </c>
      <c r="N1162" s="76">
        <f ca="1">IF(MOD(COUNTIF($Q$11:Q1161,Q1161),5)=0,OFFSET(装备属性!$K$1083,1+INT(COUNTA($Q$11:Q1161)/5),0),N1161)</f>
        <v>0.072</v>
      </c>
      <c r="O1162" s="76">
        <f ca="1">IF(MOD(COUNTIF($Q$11:Q1161,Q1161),5)=0,OFFSET(装备属性!$L$1083,1+INT(COUNTA($Q$11:Q1161)/5),0),O1161)</f>
        <v>0.086</v>
      </c>
      <c r="Q1162" s="89" t="str">
        <f ca="1">IF(MOD(COUNTIF($Q$11:Q1161,Q1161),5)=0,OFFSET(装备属性!$M$1083,1+INT(COUNTA($Q$11:Q1161)/5),0),Q1161)</f>
        <v>通用属性</v>
      </c>
      <c r="R1162" s="83">
        <f ca="1">IF(MOD(COUNTIF($Q$11:Q1161,Q1161),5)=0,10000*SUBSTITUTE(SUBSTITUTE(OFFSET(装备属性!$F$1083,1+INT(COUNTA($Q$11:Q1161)/5),0),"[",""),"]","")+_xlfn.XLOOKUP(C1162,$M$3:$M$7,$N$3:$N$7)*100,R1161)</f>
        <v>40800</v>
      </c>
    </row>
    <row r="1163" customHeight="1" spans="1:18">
      <c r="A1163" s="78">
        <f ca="1" t="shared" si="51"/>
        <v>40801</v>
      </c>
      <c r="B1163" s="82">
        <f ca="1">IFERROR(R1163+COUNTIFS($R$11:$R1163,R1163),"")</f>
        <v>40808</v>
      </c>
      <c r="C1163" s="83" t="str">
        <f ca="1">IF(MOD(COUNTIF($Q$11:Q1162,Q1162),5)=0,OFFSET(装备属性!$D$1083,1+INT(COUNTA($Q$11:Q1162)/5),0),C1162)</f>
        <v>彩</v>
      </c>
      <c r="D1163" s="82">
        <f t="shared" si="53"/>
        <v>2000</v>
      </c>
      <c r="F1163" s="82">
        <f ca="1" t="shared" si="52"/>
        <v>40801</v>
      </c>
      <c r="G1163" s="78" t="str">
        <f ca="1">IF(AND(LEFT("[{"&amp;M1163&amp;","&amp;CEILING(N1163*10000+(O1163-N1163)/4*(COUNTIF($F$11:F1163,F1163)-1)*10000,10)&amp;"}]",7)="[{equip",MID("[{"&amp;M1163&amp;","&amp;CEILING(N1163*10000+(O1163-N1163)/4*(COUNTIF($F$11:F1163,F1163)-1)*10000,10)&amp;"}]",8,1)&lt;&gt;"_"),"[{"&amp;M1163&amp;","&amp;1&amp;"}]","[{"&amp;M1163&amp;","&amp;CEILING(N1163*10000+(O1163-N1163)/4*(COUNTIF($F$11:F1163,F1163)-1)*10000,10)&amp;"}]")</f>
        <v>[{all_class_dmg,790}]</v>
      </c>
      <c r="H1163" s="82" t="s">
        <v>563</v>
      </c>
      <c r="J1163" s="78">
        <f ca="1">IF(MOD(COUNTIF($Q$11:Q1162,Q1162),5)=0,OFFSET(装备属性!$P$1083,1+INT(COUNTA($Q$11:Q1162)/5),0),J1162)</f>
        <v>2</v>
      </c>
      <c r="K1163" s="83" t="str">
        <f ca="1">IF(RIGHT(G1163,13)="rune_slot,1}]",_xlfn.XLOOKUP(LEFT(SUBSTITUTE(G1163,"[{",""),FIND(",",SUBSTITUTE(G1163,"[{",""))-1),Sheet2!B:B,Sheet2!C:C)&amp;"+"&amp;1,_xlfn.XLOOKUP(LEFT(SUBSTITUTE(G1163,"[{",""),FIND(",",SUBSTITUTE(G1163,"[{",""))-1),Sheet2!B:B,Sheet2!C:C)&amp;"+"&amp;SUBSTITUTE(RIGHT(G1163,LEN(G1163)-FIND(",",G1163)),"}]","")/100&amp;"%")</f>
        <v>上阵五个不同职业增伤+7.9%</v>
      </c>
      <c r="L1163" s="83" t="str">
        <f ca="1">IF(MOD(COUNTIF($Q$11:Q1162,Q1162),5)=0,OFFSET(装备属性!$G$1083,1+INT(COUNTA($Q$11:Q1162)/5),0),L1162)</f>
        <v>全员出力Ⅴ</v>
      </c>
      <c r="M1163" s="89" t="str">
        <f ca="1">IF(MOD(COUNTIF($Q$11:Q1162,Q1162),5)=0,OFFSET(装备属性!$H$1083,1+INT(COUNTA($Q$11:Q1162)/5),0),M1162)</f>
        <v>all_class_dmg</v>
      </c>
      <c r="N1163" s="76">
        <f ca="1">IF(MOD(COUNTIF($Q$11:Q1162,Q1162),5)=0,OFFSET(装备属性!$K$1083,1+INT(COUNTA($Q$11:Q1162)/5),0),N1162)</f>
        <v>0.072</v>
      </c>
      <c r="O1163" s="76">
        <f ca="1">IF(MOD(COUNTIF($Q$11:Q1162,Q1162),5)=0,OFFSET(装备属性!$L$1083,1+INT(COUNTA($Q$11:Q1162)/5),0),O1162)</f>
        <v>0.086</v>
      </c>
      <c r="Q1163" s="89" t="str">
        <f ca="1">IF(MOD(COUNTIF($Q$11:Q1162,Q1162),5)=0,OFFSET(装备属性!$M$1083,1+INT(COUNTA($Q$11:Q1162)/5),0),Q1162)</f>
        <v>通用属性</v>
      </c>
      <c r="R1163" s="83">
        <f ca="1">IF(MOD(COUNTIF($Q$11:Q1162,Q1162),5)=0,10000*SUBSTITUTE(SUBSTITUTE(OFFSET(装备属性!$F$1083,1+INT(COUNTA($Q$11:Q1162)/5),0),"[",""),"]","")+_xlfn.XLOOKUP(C1163,$M$3:$M$7,$N$3:$N$7)*100,R1162)</f>
        <v>40800</v>
      </c>
    </row>
    <row r="1164" customHeight="1" spans="1:18">
      <c r="A1164" s="78">
        <f ca="1" t="shared" ref="A1164:A1227" si="54">IFERROR(R1164+IF(Q1164="通用属性",1,IF(Q1164="玩法类",2,IF(Q1164="稀有词条",3,0))),"")</f>
        <v>40801</v>
      </c>
      <c r="B1164" s="82">
        <f ca="1">IFERROR(R1164+COUNTIFS($R$11:$R1164,R1164),"")</f>
        <v>40809</v>
      </c>
      <c r="C1164" s="83" t="str">
        <f ca="1">IF(MOD(COUNTIF($Q$11:Q1163,Q1163),5)=0,OFFSET(装备属性!$D$1083,1+INT(COUNTA($Q$11:Q1163)/5),0),C1163)</f>
        <v>彩</v>
      </c>
      <c r="D1164" s="82">
        <f t="shared" si="53"/>
        <v>1500</v>
      </c>
      <c r="F1164" s="82">
        <f ca="1" t="shared" ref="F1164:F1227" si="55">IFERROR(R1164+INT((B1164-R1164-1)/5),"")</f>
        <v>40801</v>
      </c>
      <c r="G1164" s="78" t="str">
        <f ca="1">IF(AND(LEFT("[{"&amp;M1164&amp;","&amp;CEILING(N1164*10000+(O1164-N1164)/4*(COUNTIF($F$11:F1164,F1164)-1)*10000,10)&amp;"}]",7)="[{equip",MID("[{"&amp;M1164&amp;","&amp;CEILING(N1164*10000+(O1164-N1164)/4*(COUNTIF($F$11:F1164,F1164)-1)*10000,10)&amp;"}]",8,1)&lt;&gt;"_"),"[{"&amp;M1164&amp;","&amp;1&amp;"}]","[{"&amp;M1164&amp;","&amp;CEILING(N1164*10000+(O1164-N1164)/4*(COUNTIF($F$11:F1164,F1164)-1)*10000,10)&amp;"}]")</f>
        <v>[{all_class_dmg,830}]</v>
      </c>
      <c r="H1164" s="82" t="s">
        <v>563</v>
      </c>
      <c r="J1164" s="78">
        <f ca="1">IF(MOD(COUNTIF($Q$11:Q1163,Q1163),5)=0,OFFSET(装备属性!$P$1083,1+INT(COUNTA($Q$11:Q1163)/5),0),J1163)</f>
        <v>2</v>
      </c>
      <c r="K1164" s="83" t="str">
        <f ca="1">IF(RIGHT(G1164,13)="rune_slot,1}]",_xlfn.XLOOKUP(LEFT(SUBSTITUTE(G1164,"[{",""),FIND(",",SUBSTITUTE(G1164,"[{",""))-1),Sheet2!B:B,Sheet2!C:C)&amp;"+"&amp;1,_xlfn.XLOOKUP(LEFT(SUBSTITUTE(G1164,"[{",""),FIND(",",SUBSTITUTE(G1164,"[{",""))-1),Sheet2!B:B,Sheet2!C:C)&amp;"+"&amp;SUBSTITUTE(RIGHT(G1164,LEN(G1164)-FIND(",",G1164)),"}]","")/100&amp;"%")</f>
        <v>上阵五个不同职业增伤+8.3%</v>
      </c>
      <c r="L1164" s="83" t="str">
        <f ca="1">IF(MOD(COUNTIF($Q$11:Q1163,Q1163),5)=0,OFFSET(装备属性!$G$1083,1+INT(COUNTA($Q$11:Q1163)/5),0),L1163)</f>
        <v>全员出力Ⅴ</v>
      </c>
      <c r="M1164" s="89" t="str">
        <f ca="1">IF(MOD(COUNTIF($Q$11:Q1163,Q1163),5)=0,OFFSET(装备属性!$H$1083,1+INT(COUNTA($Q$11:Q1163)/5),0),M1163)</f>
        <v>all_class_dmg</v>
      </c>
      <c r="N1164" s="76">
        <f ca="1">IF(MOD(COUNTIF($Q$11:Q1163,Q1163),5)=0,OFFSET(装备属性!$K$1083,1+INT(COUNTA($Q$11:Q1163)/5),0),N1163)</f>
        <v>0.072</v>
      </c>
      <c r="O1164" s="76">
        <f ca="1">IF(MOD(COUNTIF($Q$11:Q1163,Q1163),5)=0,OFFSET(装备属性!$L$1083,1+INT(COUNTA($Q$11:Q1163)/5),0),O1163)</f>
        <v>0.086</v>
      </c>
      <c r="Q1164" s="89" t="str">
        <f ca="1">IF(MOD(COUNTIF($Q$11:Q1163,Q1163),5)=0,OFFSET(装备属性!$M$1083,1+INT(COUNTA($Q$11:Q1163)/5),0),Q1163)</f>
        <v>通用属性</v>
      </c>
      <c r="R1164" s="83">
        <f ca="1">IF(MOD(COUNTIF($Q$11:Q1163,Q1163),5)=0,10000*SUBSTITUTE(SUBSTITUTE(OFFSET(装备属性!$F$1083,1+INT(COUNTA($Q$11:Q1163)/5),0),"[",""),"]","")+_xlfn.XLOOKUP(C1164,$M$3:$M$7,$N$3:$N$7)*100,R1163)</f>
        <v>40800</v>
      </c>
    </row>
    <row r="1165" customHeight="1" spans="1:18">
      <c r="A1165" s="78">
        <f ca="1" t="shared" si="54"/>
        <v>40801</v>
      </c>
      <c r="B1165" s="82">
        <f ca="1">IFERROR(R1165+COUNTIFS($R$11:$R1165,R1165),"")</f>
        <v>40810</v>
      </c>
      <c r="C1165" s="83" t="str">
        <f ca="1">IF(MOD(COUNTIF($Q$11:Q1164,Q1164),5)=0,OFFSET(装备属性!$D$1083,1+INT(COUNTA($Q$11:Q1164)/5),0),C1164)</f>
        <v>彩</v>
      </c>
      <c r="D1165" s="82">
        <f t="shared" si="53"/>
        <v>1000</v>
      </c>
      <c r="F1165" s="82">
        <f ca="1" t="shared" si="55"/>
        <v>40801</v>
      </c>
      <c r="G1165" s="78" t="str">
        <f ca="1">IF(AND(LEFT("[{"&amp;M1165&amp;","&amp;CEILING(N1165*10000+(O1165-N1165)/4*(COUNTIF($F$11:F1165,F1165)-1)*10000,10)&amp;"}]",7)="[{equip",MID("[{"&amp;M1165&amp;","&amp;CEILING(N1165*10000+(O1165-N1165)/4*(COUNTIF($F$11:F1165,F1165)-1)*10000,10)&amp;"}]",8,1)&lt;&gt;"_"),"[{"&amp;M1165&amp;","&amp;1&amp;"}]","[{"&amp;M1165&amp;","&amp;CEILING(N1165*10000+(O1165-N1165)/4*(COUNTIF($F$11:F1165,F1165)-1)*10000,10)&amp;"}]")</f>
        <v>[{all_class_dmg,860}]</v>
      </c>
      <c r="H1165" s="82" t="s">
        <v>563</v>
      </c>
      <c r="J1165" s="78">
        <f ca="1">IF(MOD(COUNTIF($Q$11:Q1164,Q1164),5)=0,OFFSET(装备属性!$P$1083,1+INT(COUNTA($Q$11:Q1164)/5),0),J1164)</f>
        <v>2</v>
      </c>
      <c r="K1165" s="83" t="str">
        <f ca="1">IF(RIGHT(G1165,13)="rune_slot,1}]",_xlfn.XLOOKUP(LEFT(SUBSTITUTE(G1165,"[{",""),FIND(",",SUBSTITUTE(G1165,"[{",""))-1),Sheet2!B:B,Sheet2!C:C)&amp;"+"&amp;1,_xlfn.XLOOKUP(LEFT(SUBSTITUTE(G1165,"[{",""),FIND(",",SUBSTITUTE(G1165,"[{",""))-1),Sheet2!B:B,Sheet2!C:C)&amp;"+"&amp;SUBSTITUTE(RIGHT(G1165,LEN(G1165)-FIND(",",G1165)),"}]","")/100&amp;"%")</f>
        <v>上阵五个不同职业增伤+8.6%</v>
      </c>
      <c r="L1165" s="83" t="str">
        <f ca="1">IF(MOD(COUNTIF($Q$11:Q1164,Q1164),5)=0,OFFSET(装备属性!$G$1083,1+INT(COUNTA($Q$11:Q1164)/5),0),L1164)</f>
        <v>全员出力Ⅴ</v>
      </c>
      <c r="M1165" s="89" t="str">
        <f ca="1">IF(MOD(COUNTIF($Q$11:Q1164,Q1164),5)=0,OFFSET(装备属性!$H$1083,1+INT(COUNTA($Q$11:Q1164)/5),0),M1164)</f>
        <v>all_class_dmg</v>
      </c>
      <c r="N1165" s="76">
        <f ca="1">IF(MOD(COUNTIF($Q$11:Q1164,Q1164),5)=0,OFFSET(装备属性!$K$1083,1+INT(COUNTA($Q$11:Q1164)/5),0),N1164)</f>
        <v>0.072</v>
      </c>
      <c r="O1165" s="76">
        <f ca="1">IF(MOD(COUNTIF($Q$11:Q1164,Q1164),5)=0,OFFSET(装备属性!$L$1083,1+INT(COUNTA($Q$11:Q1164)/5),0),O1164)</f>
        <v>0.086</v>
      </c>
      <c r="Q1165" s="89" t="str">
        <f ca="1">IF(MOD(COUNTIF($Q$11:Q1164,Q1164),5)=0,OFFSET(装备属性!$M$1083,1+INT(COUNTA($Q$11:Q1164)/5),0),Q1164)</f>
        <v>通用属性</v>
      </c>
      <c r="R1165" s="83">
        <f ca="1">IF(MOD(COUNTIF($Q$11:Q1164,Q1164),5)=0,10000*SUBSTITUTE(SUBSTITUTE(OFFSET(装备属性!$F$1083,1+INT(COUNTA($Q$11:Q1164)/5),0),"[",""),"]","")+_xlfn.XLOOKUP(C1165,$M$3:$M$7,$N$3:$N$7)*100,R1164)</f>
        <v>40800</v>
      </c>
    </row>
    <row r="1166" customHeight="1" spans="1:18">
      <c r="A1166" s="78">
        <f ca="1" t="shared" si="54"/>
        <v>40803</v>
      </c>
      <c r="B1166" s="82">
        <f ca="1">IFERROR(R1166+COUNTIFS($R$11:$R1166,R1166),"")</f>
        <v>40811</v>
      </c>
      <c r="C1166" s="83" t="str">
        <f ca="1">IF(MOD(COUNTIF($Q$11:Q1165,Q1165),5)=0,OFFSET(装备属性!$D$1083,1+INT(COUNTA($Q$11:Q1165)/5),0),C1165)</f>
        <v>彩</v>
      </c>
      <c r="D1166" s="82">
        <f t="shared" si="53"/>
        <v>3000</v>
      </c>
      <c r="F1166" s="82">
        <f ca="1" t="shared" si="55"/>
        <v>40802</v>
      </c>
      <c r="G1166" s="78" t="str">
        <f ca="1">IF(AND(LEFT("[{"&amp;M1166&amp;","&amp;CEILING(N1166*10000+(O1166-N1166)/4*(COUNTIF($F$11:F1166,F1166)-1)*10000,10)&amp;"}]",7)="[{equip",MID("[{"&amp;M1166&amp;","&amp;CEILING(N1166*10000+(O1166-N1166)/4*(COUNTIF($F$11:F1166,F1166)-1)*10000,10)&amp;"}]",8,1)&lt;&gt;"_"),"[{"&amp;M1166&amp;","&amp;1&amp;"}]","[{"&amp;M1166&amp;","&amp;CEILING(N1166*10000+(O1166-N1166)/4*(COUNTIF($F$11:F1166,F1166)-1)*10000,10)&amp;"}]")</f>
        <v>[{exp_boost,2000}]</v>
      </c>
      <c r="H1166" s="82" t="s">
        <v>563</v>
      </c>
      <c r="J1166" s="78">
        <f ca="1">IF(MOD(COUNTIF($Q$11:Q1165,Q1165),5)=0,OFFSET(装备属性!$P$1083,1+INT(COUNTA($Q$11:Q1165)/5),0),J1165)</f>
        <v>9</v>
      </c>
      <c r="K1166" s="83" t="str">
        <f ca="1">IF(RIGHT(G1166,13)="rune_slot,1}]",_xlfn.XLOOKUP(LEFT(SUBSTITUTE(G1166,"[{",""),FIND(",",SUBSTITUTE(G1166,"[{",""))-1),Sheet2!B:B,Sheet2!C:C)&amp;"+"&amp;1,_xlfn.XLOOKUP(LEFT(SUBSTITUTE(G1166,"[{",""),FIND(",",SUBSTITUTE(G1166,"[{",""))-1),Sheet2!B:B,Sheet2!C:C)&amp;"+"&amp;SUBSTITUTE(RIGHT(G1166,LEN(G1166)-FIND(",",G1166)),"}]","")/100&amp;"%")</f>
        <v>经验加成+20%</v>
      </c>
      <c r="L1166" s="83" t="str">
        <f ca="1">IF(MOD(COUNTIF($Q$11:Q1165,Q1165),5)=0,OFFSET(装备属性!$G$1083,1+INT(COUNTA($Q$11:Q1165)/5),0),L1165)</f>
        <v>涨见识</v>
      </c>
      <c r="M1166" s="89" t="str">
        <f ca="1">IF(MOD(COUNTIF($Q$11:Q1165,Q1165),5)=0,OFFSET(装备属性!$H$1083,1+INT(COUNTA($Q$11:Q1165)/5),0),M1165)</f>
        <v>exp_boost</v>
      </c>
      <c r="N1166" s="76">
        <f ca="1">IF(MOD(COUNTIF($Q$11:Q1165,Q1165),5)=0,OFFSET(装备属性!$K$1083,1+INT(COUNTA($Q$11:Q1165)/5),0),N1165)</f>
        <v>0.2</v>
      </c>
      <c r="O1166" s="76">
        <f ca="1">IF(MOD(COUNTIF($Q$11:Q1165,Q1165),5)=0,OFFSET(装备属性!$L$1083,1+INT(COUNTA($Q$11:Q1165)/5),0),O1165)</f>
        <v>0.2</v>
      </c>
      <c r="Q1166" s="89" t="str">
        <f ca="1">IF(MOD(COUNTIF($Q$11:Q1165,Q1165),5)=0,OFFSET(装备属性!$M$1083,1+INT(COUNTA($Q$11:Q1165)/5),0),Q1165)</f>
        <v>稀有词条</v>
      </c>
      <c r="R1166" s="83">
        <f ca="1">IF(MOD(COUNTIF($Q$11:Q1165,Q1165),5)=0,10000*SUBSTITUTE(SUBSTITUTE(OFFSET(装备属性!$F$1083,1+INT(COUNTA($Q$11:Q1165)/5),0),"[",""),"]","")+_xlfn.XLOOKUP(C1166,$M$3:$M$7,$N$3:$N$7)*100,R1165)</f>
        <v>40800</v>
      </c>
    </row>
    <row r="1167" customHeight="1" spans="1:18">
      <c r="A1167" s="78">
        <f ca="1" t="shared" si="54"/>
        <v>40803</v>
      </c>
      <c r="B1167" s="82">
        <f ca="1">IFERROR(R1167+COUNTIFS($R$11:$R1167,R1167),"")</f>
        <v>40812</v>
      </c>
      <c r="C1167" s="83" t="str">
        <f ca="1">IF(MOD(COUNTIF($Q$11:Q1166,Q1166),5)=0,OFFSET(装备属性!$D$1083,1+INT(COUNTA($Q$11:Q1166)/5),0),C1166)</f>
        <v>彩</v>
      </c>
      <c r="D1167" s="82">
        <f t="shared" si="53"/>
        <v>2500</v>
      </c>
      <c r="F1167" s="82">
        <f ca="1" t="shared" si="55"/>
        <v>40802</v>
      </c>
      <c r="G1167" s="78" t="str">
        <f ca="1">IF(AND(LEFT("[{"&amp;M1167&amp;","&amp;CEILING(N1167*10000+(O1167-N1167)/4*(COUNTIF($F$11:F1167,F1167)-1)*10000,10)&amp;"}]",7)="[{equip",MID("[{"&amp;M1167&amp;","&amp;CEILING(N1167*10000+(O1167-N1167)/4*(COUNTIF($F$11:F1167,F1167)-1)*10000,10)&amp;"}]",8,1)&lt;&gt;"_"),"[{"&amp;M1167&amp;","&amp;1&amp;"}]","[{"&amp;M1167&amp;","&amp;CEILING(N1167*10000+(O1167-N1167)/4*(COUNTIF($F$11:F1167,F1167)-1)*10000,10)&amp;"}]")</f>
        <v>[{exp_boost,2000}]</v>
      </c>
      <c r="H1167" s="82" t="s">
        <v>563</v>
      </c>
      <c r="J1167" s="78">
        <f ca="1">IF(MOD(COUNTIF($Q$11:Q1166,Q1166),5)=0,OFFSET(装备属性!$P$1083,1+INT(COUNTA($Q$11:Q1166)/5),0),J1166)</f>
        <v>9</v>
      </c>
      <c r="K1167" s="83" t="str">
        <f ca="1">IF(RIGHT(G1167,13)="rune_slot,1}]",_xlfn.XLOOKUP(LEFT(SUBSTITUTE(G1167,"[{",""),FIND(",",SUBSTITUTE(G1167,"[{",""))-1),Sheet2!B:B,Sheet2!C:C)&amp;"+"&amp;1,_xlfn.XLOOKUP(LEFT(SUBSTITUTE(G1167,"[{",""),FIND(",",SUBSTITUTE(G1167,"[{",""))-1),Sheet2!B:B,Sheet2!C:C)&amp;"+"&amp;SUBSTITUTE(RIGHT(G1167,LEN(G1167)-FIND(",",G1167)),"}]","")/100&amp;"%")</f>
        <v>经验加成+20%</v>
      </c>
      <c r="L1167" s="83" t="str">
        <f ca="1">IF(MOD(COUNTIF($Q$11:Q1166,Q1166),5)=0,OFFSET(装备属性!$G$1083,1+INT(COUNTA($Q$11:Q1166)/5),0),L1166)</f>
        <v>涨见识</v>
      </c>
      <c r="M1167" s="89" t="str">
        <f ca="1">IF(MOD(COUNTIF($Q$11:Q1166,Q1166),5)=0,OFFSET(装备属性!$H$1083,1+INT(COUNTA($Q$11:Q1166)/5),0),M1166)</f>
        <v>exp_boost</v>
      </c>
      <c r="N1167" s="76">
        <f ca="1">IF(MOD(COUNTIF($Q$11:Q1166,Q1166),5)=0,OFFSET(装备属性!$K$1083,1+INT(COUNTA($Q$11:Q1166)/5),0),N1166)</f>
        <v>0.2</v>
      </c>
      <c r="O1167" s="76">
        <f ca="1">IF(MOD(COUNTIF($Q$11:Q1166,Q1166),5)=0,OFFSET(装备属性!$L$1083,1+INT(COUNTA($Q$11:Q1166)/5),0),O1166)</f>
        <v>0.2</v>
      </c>
      <c r="Q1167" s="89" t="str">
        <f ca="1">IF(MOD(COUNTIF($Q$11:Q1166,Q1166),5)=0,OFFSET(装备属性!$M$1083,1+INT(COUNTA($Q$11:Q1166)/5),0),Q1166)</f>
        <v>稀有词条</v>
      </c>
      <c r="R1167" s="83">
        <f ca="1">IF(MOD(COUNTIF($Q$11:Q1166,Q1166),5)=0,10000*SUBSTITUTE(SUBSTITUTE(OFFSET(装备属性!$F$1083,1+INT(COUNTA($Q$11:Q1166)/5),0),"[",""),"]","")+_xlfn.XLOOKUP(C1167,$M$3:$M$7,$N$3:$N$7)*100,R1166)</f>
        <v>40800</v>
      </c>
    </row>
    <row r="1168" customHeight="1" spans="1:18">
      <c r="A1168" s="78">
        <f ca="1" t="shared" si="54"/>
        <v>40803</v>
      </c>
      <c r="B1168" s="82">
        <f ca="1">IFERROR(R1168+COUNTIFS($R$11:$R1168,R1168),"")</f>
        <v>40813</v>
      </c>
      <c r="C1168" s="83" t="str">
        <f ca="1">IF(MOD(COUNTIF($Q$11:Q1167,Q1167),5)=0,OFFSET(装备属性!$D$1083,1+INT(COUNTA($Q$11:Q1167)/5),0),C1167)</f>
        <v>彩</v>
      </c>
      <c r="D1168" s="82">
        <f t="shared" si="53"/>
        <v>2000</v>
      </c>
      <c r="F1168" s="82">
        <f ca="1" t="shared" si="55"/>
        <v>40802</v>
      </c>
      <c r="G1168" s="78" t="str">
        <f ca="1">IF(AND(LEFT("[{"&amp;M1168&amp;","&amp;CEILING(N1168*10000+(O1168-N1168)/4*(COUNTIF($F$11:F1168,F1168)-1)*10000,10)&amp;"}]",7)="[{equip",MID("[{"&amp;M1168&amp;","&amp;CEILING(N1168*10000+(O1168-N1168)/4*(COUNTIF($F$11:F1168,F1168)-1)*10000,10)&amp;"}]",8,1)&lt;&gt;"_"),"[{"&amp;M1168&amp;","&amp;1&amp;"}]","[{"&amp;M1168&amp;","&amp;CEILING(N1168*10000+(O1168-N1168)/4*(COUNTIF($F$11:F1168,F1168)-1)*10000,10)&amp;"}]")</f>
        <v>[{exp_boost,2000}]</v>
      </c>
      <c r="H1168" s="82" t="s">
        <v>563</v>
      </c>
      <c r="J1168" s="78">
        <f ca="1">IF(MOD(COUNTIF($Q$11:Q1167,Q1167),5)=0,OFFSET(装备属性!$P$1083,1+INT(COUNTA($Q$11:Q1167)/5),0),J1167)</f>
        <v>9</v>
      </c>
      <c r="K1168" s="83" t="str">
        <f ca="1">IF(RIGHT(G1168,13)="rune_slot,1}]",_xlfn.XLOOKUP(LEFT(SUBSTITUTE(G1168,"[{",""),FIND(",",SUBSTITUTE(G1168,"[{",""))-1),Sheet2!B:B,Sheet2!C:C)&amp;"+"&amp;1,_xlfn.XLOOKUP(LEFT(SUBSTITUTE(G1168,"[{",""),FIND(",",SUBSTITUTE(G1168,"[{",""))-1),Sheet2!B:B,Sheet2!C:C)&amp;"+"&amp;SUBSTITUTE(RIGHT(G1168,LEN(G1168)-FIND(",",G1168)),"}]","")/100&amp;"%")</f>
        <v>经验加成+20%</v>
      </c>
      <c r="L1168" s="83" t="str">
        <f ca="1">IF(MOD(COUNTIF($Q$11:Q1167,Q1167),5)=0,OFFSET(装备属性!$G$1083,1+INT(COUNTA($Q$11:Q1167)/5),0),L1167)</f>
        <v>涨见识</v>
      </c>
      <c r="M1168" s="89" t="str">
        <f ca="1">IF(MOD(COUNTIF($Q$11:Q1167,Q1167),5)=0,OFFSET(装备属性!$H$1083,1+INT(COUNTA($Q$11:Q1167)/5),0),M1167)</f>
        <v>exp_boost</v>
      </c>
      <c r="N1168" s="76">
        <f ca="1">IF(MOD(COUNTIF($Q$11:Q1167,Q1167),5)=0,OFFSET(装备属性!$K$1083,1+INT(COUNTA($Q$11:Q1167)/5),0),N1167)</f>
        <v>0.2</v>
      </c>
      <c r="O1168" s="76">
        <f ca="1">IF(MOD(COUNTIF($Q$11:Q1167,Q1167),5)=0,OFFSET(装备属性!$L$1083,1+INT(COUNTA($Q$11:Q1167)/5),0),O1167)</f>
        <v>0.2</v>
      </c>
      <c r="Q1168" s="89" t="str">
        <f ca="1">IF(MOD(COUNTIF($Q$11:Q1167,Q1167),5)=0,OFFSET(装备属性!$M$1083,1+INT(COUNTA($Q$11:Q1167)/5),0),Q1167)</f>
        <v>稀有词条</v>
      </c>
      <c r="R1168" s="83">
        <f ca="1">IF(MOD(COUNTIF($Q$11:Q1167,Q1167),5)=0,10000*SUBSTITUTE(SUBSTITUTE(OFFSET(装备属性!$F$1083,1+INT(COUNTA($Q$11:Q1167)/5),0),"[",""),"]","")+_xlfn.XLOOKUP(C1168,$M$3:$M$7,$N$3:$N$7)*100,R1167)</f>
        <v>40800</v>
      </c>
    </row>
    <row r="1169" customHeight="1" spans="1:18">
      <c r="A1169" s="78">
        <f ca="1" t="shared" si="54"/>
        <v>40803</v>
      </c>
      <c r="B1169" s="82">
        <f ca="1">IFERROR(R1169+COUNTIFS($R$11:$R1169,R1169),"")</f>
        <v>40814</v>
      </c>
      <c r="C1169" s="83" t="str">
        <f ca="1">IF(MOD(COUNTIF($Q$11:Q1168,Q1168),5)=0,OFFSET(装备属性!$D$1083,1+INT(COUNTA($Q$11:Q1168)/5),0),C1168)</f>
        <v>彩</v>
      </c>
      <c r="D1169" s="82">
        <f t="shared" ref="D1169:D1232" si="56">D1164</f>
        <v>1500</v>
      </c>
      <c r="F1169" s="82">
        <f ca="1" t="shared" si="55"/>
        <v>40802</v>
      </c>
      <c r="G1169" s="78" t="str">
        <f ca="1">IF(AND(LEFT("[{"&amp;M1169&amp;","&amp;CEILING(N1169*10000+(O1169-N1169)/4*(COUNTIF($F$11:F1169,F1169)-1)*10000,10)&amp;"}]",7)="[{equip",MID("[{"&amp;M1169&amp;","&amp;CEILING(N1169*10000+(O1169-N1169)/4*(COUNTIF($F$11:F1169,F1169)-1)*10000,10)&amp;"}]",8,1)&lt;&gt;"_"),"[{"&amp;M1169&amp;","&amp;1&amp;"}]","[{"&amp;M1169&amp;","&amp;CEILING(N1169*10000+(O1169-N1169)/4*(COUNTIF($F$11:F1169,F1169)-1)*10000,10)&amp;"}]")</f>
        <v>[{exp_boost,2000}]</v>
      </c>
      <c r="H1169" s="82" t="s">
        <v>563</v>
      </c>
      <c r="J1169" s="78">
        <f ca="1">IF(MOD(COUNTIF($Q$11:Q1168,Q1168),5)=0,OFFSET(装备属性!$P$1083,1+INT(COUNTA($Q$11:Q1168)/5),0),J1168)</f>
        <v>9</v>
      </c>
      <c r="K1169" s="83" t="str">
        <f ca="1">IF(RIGHT(G1169,13)="rune_slot,1}]",_xlfn.XLOOKUP(LEFT(SUBSTITUTE(G1169,"[{",""),FIND(",",SUBSTITUTE(G1169,"[{",""))-1),Sheet2!B:B,Sheet2!C:C)&amp;"+"&amp;1,_xlfn.XLOOKUP(LEFT(SUBSTITUTE(G1169,"[{",""),FIND(",",SUBSTITUTE(G1169,"[{",""))-1),Sheet2!B:B,Sheet2!C:C)&amp;"+"&amp;SUBSTITUTE(RIGHT(G1169,LEN(G1169)-FIND(",",G1169)),"}]","")/100&amp;"%")</f>
        <v>经验加成+20%</v>
      </c>
      <c r="L1169" s="83" t="str">
        <f ca="1">IF(MOD(COUNTIF($Q$11:Q1168,Q1168),5)=0,OFFSET(装备属性!$G$1083,1+INT(COUNTA($Q$11:Q1168)/5),0),L1168)</f>
        <v>涨见识</v>
      </c>
      <c r="M1169" s="89" t="str">
        <f ca="1">IF(MOD(COUNTIF($Q$11:Q1168,Q1168),5)=0,OFFSET(装备属性!$H$1083,1+INT(COUNTA($Q$11:Q1168)/5),0),M1168)</f>
        <v>exp_boost</v>
      </c>
      <c r="N1169" s="76">
        <f ca="1">IF(MOD(COUNTIF($Q$11:Q1168,Q1168),5)=0,OFFSET(装备属性!$K$1083,1+INT(COUNTA($Q$11:Q1168)/5),0),N1168)</f>
        <v>0.2</v>
      </c>
      <c r="O1169" s="76">
        <f ca="1">IF(MOD(COUNTIF($Q$11:Q1168,Q1168),5)=0,OFFSET(装备属性!$L$1083,1+INT(COUNTA($Q$11:Q1168)/5),0),O1168)</f>
        <v>0.2</v>
      </c>
      <c r="Q1169" s="89" t="str">
        <f ca="1">IF(MOD(COUNTIF($Q$11:Q1168,Q1168),5)=0,OFFSET(装备属性!$M$1083,1+INT(COUNTA($Q$11:Q1168)/5),0),Q1168)</f>
        <v>稀有词条</v>
      </c>
      <c r="R1169" s="83">
        <f ca="1">IF(MOD(COUNTIF($Q$11:Q1168,Q1168),5)=0,10000*SUBSTITUTE(SUBSTITUTE(OFFSET(装备属性!$F$1083,1+INT(COUNTA($Q$11:Q1168)/5),0),"[",""),"]","")+_xlfn.XLOOKUP(C1169,$M$3:$M$7,$N$3:$N$7)*100,R1168)</f>
        <v>40800</v>
      </c>
    </row>
    <row r="1170" customHeight="1" spans="1:18">
      <c r="A1170" s="78">
        <f ca="1" t="shared" si="54"/>
        <v>40803</v>
      </c>
      <c r="B1170" s="82">
        <f ca="1">IFERROR(R1170+COUNTIFS($R$11:$R1170,R1170),"")</f>
        <v>40815</v>
      </c>
      <c r="C1170" s="83" t="str">
        <f ca="1">IF(MOD(COUNTIF($Q$11:Q1169,Q1169),5)=0,OFFSET(装备属性!$D$1083,1+INT(COUNTA($Q$11:Q1169)/5),0),C1169)</f>
        <v>彩</v>
      </c>
      <c r="D1170" s="82">
        <f t="shared" si="56"/>
        <v>1000</v>
      </c>
      <c r="F1170" s="82">
        <f ca="1" t="shared" si="55"/>
        <v>40802</v>
      </c>
      <c r="G1170" s="78" t="str">
        <f ca="1">IF(AND(LEFT("[{"&amp;M1170&amp;","&amp;CEILING(N1170*10000+(O1170-N1170)/4*(COUNTIF($F$11:F1170,F1170)-1)*10000,10)&amp;"}]",7)="[{equip",MID("[{"&amp;M1170&amp;","&amp;CEILING(N1170*10000+(O1170-N1170)/4*(COUNTIF($F$11:F1170,F1170)-1)*10000,10)&amp;"}]",8,1)&lt;&gt;"_"),"[{"&amp;M1170&amp;","&amp;1&amp;"}]","[{"&amp;M1170&amp;","&amp;CEILING(N1170*10000+(O1170-N1170)/4*(COUNTIF($F$11:F1170,F1170)-1)*10000,10)&amp;"}]")</f>
        <v>[{exp_boost,2000}]</v>
      </c>
      <c r="H1170" s="82" t="s">
        <v>563</v>
      </c>
      <c r="J1170" s="78">
        <f ca="1">IF(MOD(COUNTIF($Q$11:Q1169,Q1169),5)=0,OFFSET(装备属性!$P$1083,1+INT(COUNTA($Q$11:Q1169)/5),0),J1169)</f>
        <v>9</v>
      </c>
      <c r="K1170" s="83" t="str">
        <f ca="1">IF(RIGHT(G1170,13)="rune_slot,1}]",_xlfn.XLOOKUP(LEFT(SUBSTITUTE(G1170,"[{",""),FIND(",",SUBSTITUTE(G1170,"[{",""))-1),Sheet2!B:B,Sheet2!C:C)&amp;"+"&amp;1,_xlfn.XLOOKUP(LEFT(SUBSTITUTE(G1170,"[{",""),FIND(",",SUBSTITUTE(G1170,"[{",""))-1),Sheet2!B:B,Sheet2!C:C)&amp;"+"&amp;SUBSTITUTE(RIGHT(G1170,LEN(G1170)-FIND(",",G1170)),"}]","")/100&amp;"%")</f>
        <v>经验加成+20%</v>
      </c>
      <c r="L1170" s="83" t="str">
        <f ca="1">IF(MOD(COUNTIF($Q$11:Q1169,Q1169),5)=0,OFFSET(装备属性!$G$1083,1+INT(COUNTA($Q$11:Q1169)/5),0),L1169)</f>
        <v>涨见识</v>
      </c>
      <c r="M1170" s="89" t="str">
        <f ca="1">IF(MOD(COUNTIF($Q$11:Q1169,Q1169),5)=0,OFFSET(装备属性!$H$1083,1+INT(COUNTA($Q$11:Q1169)/5),0),M1169)</f>
        <v>exp_boost</v>
      </c>
      <c r="N1170" s="76">
        <f ca="1">IF(MOD(COUNTIF($Q$11:Q1169,Q1169),5)=0,OFFSET(装备属性!$K$1083,1+INT(COUNTA($Q$11:Q1169)/5),0),N1169)</f>
        <v>0.2</v>
      </c>
      <c r="O1170" s="76">
        <f ca="1">IF(MOD(COUNTIF($Q$11:Q1169,Q1169),5)=0,OFFSET(装备属性!$L$1083,1+INT(COUNTA($Q$11:Q1169)/5),0),O1169)</f>
        <v>0.2</v>
      </c>
      <c r="Q1170" s="89" t="str">
        <f ca="1">IF(MOD(COUNTIF($Q$11:Q1169,Q1169),5)=0,OFFSET(装备属性!$M$1083,1+INT(COUNTA($Q$11:Q1169)/5),0),Q1169)</f>
        <v>稀有词条</v>
      </c>
      <c r="R1170" s="83">
        <f ca="1">IF(MOD(COUNTIF($Q$11:Q1169,Q1169),5)=0,10000*SUBSTITUTE(SUBSTITUTE(OFFSET(装备属性!$F$1083,1+INT(COUNTA($Q$11:Q1169)/5),0),"[",""),"]","")+_xlfn.XLOOKUP(C1170,$M$3:$M$7,$N$3:$N$7)*100,R1169)</f>
        <v>40800</v>
      </c>
    </row>
    <row r="1171" customHeight="1" spans="1:18">
      <c r="A1171" s="78">
        <f ca="1" t="shared" si="54"/>
        <v>40803</v>
      </c>
      <c r="B1171" s="82">
        <f ca="1">IFERROR(R1171+COUNTIFS($R$11:$R1171,R1171),"")</f>
        <v>40816</v>
      </c>
      <c r="C1171" s="83" t="str">
        <f ca="1">IF(MOD(COUNTIF($Q$11:Q1170,Q1170),5)=0,OFFSET(装备属性!$D$1083,1+INT(COUNTA($Q$11:Q1170)/5),0),C1170)</f>
        <v>彩</v>
      </c>
      <c r="D1171" s="82">
        <f t="shared" si="56"/>
        <v>3000</v>
      </c>
      <c r="F1171" s="82">
        <f ca="1" t="shared" si="55"/>
        <v>40803</v>
      </c>
      <c r="G1171" s="78" t="str">
        <f ca="1">IF(AND(LEFT("[{"&amp;M1171&amp;","&amp;CEILING(N1171*10000+(O1171-N1171)/4*(COUNTIF($F$11:F1171,F1171)-1)*10000,10)&amp;"}]",7)="[{equip",MID("[{"&amp;M1171&amp;","&amp;CEILING(N1171*10000+(O1171-N1171)/4*(COUNTIF($F$11:F1171,F1171)-1)*10000,10)&amp;"}]",8,1)&lt;&gt;"_"),"[{"&amp;M1171&amp;","&amp;1&amp;"}]","[{"&amp;M1171&amp;","&amp;CEILING(N1171*10000+(O1171-N1171)/4*(COUNTIF($F$11:F1171,F1171)-1)*10000,10)&amp;"}]")</f>
        <v>[{equip_base_attr,2500}]</v>
      </c>
      <c r="H1171" s="82" t="s">
        <v>563</v>
      </c>
      <c r="J1171" s="78">
        <f ca="1">IF(MOD(COUNTIF($Q$11:Q1170,Q1170),5)=0,OFFSET(装备属性!$P$1083,1+INT(COUNTA($Q$11:Q1170)/5),0),J1170)</f>
        <v>7</v>
      </c>
      <c r="K1171" s="83" t="str">
        <f ca="1">IF(RIGHT(G1171,13)="rune_slot,1}]",_xlfn.XLOOKUP(LEFT(SUBSTITUTE(G1171,"[{",""),FIND(",",SUBSTITUTE(G1171,"[{",""))-1),Sheet2!B:B,Sheet2!C:C)&amp;"+"&amp;1,_xlfn.XLOOKUP(LEFT(SUBSTITUTE(G1171,"[{",""),FIND(",",SUBSTITUTE(G1171,"[{",""))-1),Sheet2!B:B,Sheet2!C:C)&amp;"+"&amp;SUBSTITUTE(RIGHT(G1171,LEN(G1171)-FIND(",",G1171)),"}]","")/100&amp;"%")</f>
        <v>装备基础属性加成+25%</v>
      </c>
      <c r="L1171" s="83" t="str">
        <f ca="1">IF(MOD(COUNTIF($Q$11:Q1170,Q1170),5)=0,OFFSET(装备属性!$G$1083,1+INT(COUNTA($Q$11:Q1170)/5),0),L1170)</f>
        <v>厚底子</v>
      </c>
      <c r="M1171" s="89" t="str">
        <f ca="1">IF(MOD(COUNTIF($Q$11:Q1170,Q1170),5)=0,OFFSET(装备属性!$H$1083,1+INT(COUNTA($Q$11:Q1170)/5),0),M1170)</f>
        <v>equip_base_attr</v>
      </c>
      <c r="N1171" s="76">
        <f ca="1">IF(MOD(COUNTIF($Q$11:Q1170,Q1170),5)=0,OFFSET(装备属性!$K$1083,1+INT(COUNTA($Q$11:Q1170)/5),0),N1170)</f>
        <v>0.25</v>
      </c>
      <c r="O1171" s="76">
        <f ca="1">IF(MOD(COUNTIF($Q$11:Q1170,Q1170),5)=0,OFFSET(装备属性!$L$1083,1+INT(COUNTA($Q$11:Q1170)/5),0),O1170)</f>
        <v>0.25</v>
      </c>
      <c r="Q1171" s="89" t="str">
        <f ca="1">IF(MOD(COUNTIF($Q$11:Q1170,Q1170),5)=0,OFFSET(装备属性!$M$1083,1+INT(COUNTA($Q$11:Q1170)/5),0),Q1170)</f>
        <v>稀有词条</v>
      </c>
      <c r="R1171" s="83">
        <f ca="1">IF(MOD(COUNTIF($Q$11:Q1170,Q1170),5)=0,10000*SUBSTITUTE(SUBSTITUTE(OFFSET(装备属性!$F$1083,1+INT(COUNTA($Q$11:Q1170)/5),0),"[",""),"]","")+_xlfn.XLOOKUP(C1171,$M$3:$M$7,$N$3:$N$7)*100,R1170)</f>
        <v>40800</v>
      </c>
    </row>
    <row r="1172" customHeight="1" spans="1:18">
      <c r="A1172" s="78">
        <f ca="1" t="shared" si="54"/>
        <v>40803</v>
      </c>
      <c r="B1172" s="82">
        <f ca="1">IFERROR(R1172+COUNTIFS($R$11:$R1172,R1172),"")</f>
        <v>40817</v>
      </c>
      <c r="C1172" s="83" t="str">
        <f ca="1">IF(MOD(COUNTIF($Q$11:Q1171,Q1171),5)=0,OFFSET(装备属性!$D$1083,1+INT(COUNTA($Q$11:Q1171)/5),0),C1171)</f>
        <v>彩</v>
      </c>
      <c r="D1172" s="82">
        <f t="shared" si="56"/>
        <v>2500</v>
      </c>
      <c r="F1172" s="82">
        <f ca="1" t="shared" si="55"/>
        <v>40803</v>
      </c>
      <c r="G1172" s="78" t="str">
        <f ca="1">IF(AND(LEFT("[{"&amp;M1172&amp;","&amp;CEILING(N1172*10000+(O1172-N1172)/4*(COUNTIF($F$11:F1172,F1172)-1)*10000,10)&amp;"}]",7)="[{equip",MID("[{"&amp;M1172&amp;","&amp;CEILING(N1172*10000+(O1172-N1172)/4*(COUNTIF($F$11:F1172,F1172)-1)*10000,10)&amp;"}]",8,1)&lt;&gt;"_"),"[{"&amp;M1172&amp;","&amp;1&amp;"}]","[{"&amp;M1172&amp;","&amp;CEILING(N1172*10000+(O1172-N1172)/4*(COUNTIF($F$11:F1172,F1172)-1)*10000,10)&amp;"}]")</f>
        <v>[{equip_base_attr,2500}]</v>
      </c>
      <c r="H1172" s="82" t="s">
        <v>563</v>
      </c>
      <c r="J1172" s="78">
        <f ca="1">IF(MOD(COUNTIF($Q$11:Q1171,Q1171),5)=0,OFFSET(装备属性!$P$1083,1+INT(COUNTA($Q$11:Q1171)/5),0),J1171)</f>
        <v>7</v>
      </c>
      <c r="K1172" s="83" t="str">
        <f ca="1">IF(RIGHT(G1172,13)="rune_slot,1}]",_xlfn.XLOOKUP(LEFT(SUBSTITUTE(G1172,"[{",""),FIND(",",SUBSTITUTE(G1172,"[{",""))-1),Sheet2!B:B,Sheet2!C:C)&amp;"+"&amp;1,_xlfn.XLOOKUP(LEFT(SUBSTITUTE(G1172,"[{",""),FIND(",",SUBSTITUTE(G1172,"[{",""))-1),Sheet2!B:B,Sheet2!C:C)&amp;"+"&amp;SUBSTITUTE(RIGHT(G1172,LEN(G1172)-FIND(",",G1172)),"}]","")/100&amp;"%")</f>
        <v>装备基础属性加成+25%</v>
      </c>
      <c r="L1172" s="83" t="str">
        <f ca="1">IF(MOD(COUNTIF($Q$11:Q1171,Q1171),5)=0,OFFSET(装备属性!$G$1083,1+INT(COUNTA($Q$11:Q1171)/5),0),L1171)</f>
        <v>厚底子</v>
      </c>
      <c r="M1172" s="89" t="str">
        <f ca="1">IF(MOD(COUNTIF($Q$11:Q1171,Q1171),5)=0,OFFSET(装备属性!$H$1083,1+INT(COUNTA($Q$11:Q1171)/5),0),M1171)</f>
        <v>equip_base_attr</v>
      </c>
      <c r="N1172" s="76">
        <f ca="1">IF(MOD(COUNTIF($Q$11:Q1171,Q1171),5)=0,OFFSET(装备属性!$K$1083,1+INT(COUNTA($Q$11:Q1171)/5),0),N1171)</f>
        <v>0.25</v>
      </c>
      <c r="O1172" s="76">
        <f ca="1">IF(MOD(COUNTIF($Q$11:Q1171,Q1171),5)=0,OFFSET(装备属性!$L$1083,1+INT(COUNTA($Q$11:Q1171)/5),0),O1171)</f>
        <v>0.25</v>
      </c>
      <c r="Q1172" s="89" t="str">
        <f ca="1">IF(MOD(COUNTIF($Q$11:Q1171,Q1171),5)=0,OFFSET(装备属性!$M$1083,1+INT(COUNTA($Q$11:Q1171)/5),0),Q1171)</f>
        <v>稀有词条</v>
      </c>
      <c r="R1172" s="83">
        <f ca="1">IF(MOD(COUNTIF($Q$11:Q1171,Q1171),5)=0,10000*SUBSTITUTE(SUBSTITUTE(OFFSET(装备属性!$F$1083,1+INT(COUNTA($Q$11:Q1171)/5),0),"[",""),"]","")+_xlfn.XLOOKUP(C1172,$M$3:$M$7,$N$3:$N$7)*100,R1171)</f>
        <v>40800</v>
      </c>
    </row>
    <row r="1173" customHeight="1" spans="1:18">
      <c r="A1173" s="78">
        <f ca="1" t="shared" si="54"/>
        <v>40803</v>
      </c>
      <c r="B1173" s="82">
        <f ca="1">IFERROR(R1173+COUNTIFS($R$11:$R1173,R1173),"")</f>
        <v>40818</v>
      </c>
      <c r="C1173" s="83" t="str">
        <f ca="1">IF(MOD(COUNTIF($Q$11:Q1172,Q1172),5)=0,OFFSET(装备属性!$D$1083,1+INT(COUNTA($Q$11:Q1172)/5),0),C1172)</f>
        <v>彩</v>
      </c>
      <c r="D1173" s="82">
        <f t="shared" si="56"/>
        <v>2000</v>
      </c>
      <c r="F1173" s="82">
        <f ca="1" t="shared" si="55"/>
        <v>40803</v>
      </c>
      <c r="G1173" s="78" t="str">
        <f ca="1">IF(AND(LEFT("[{"&amp;M1173&amp;","&amp;CEILING(N1173*10000+(O1173-N1173)/4*(COUNTIF($F$11:F1173,F1173)-1)*10000,10)&amp;"}]",7)="[{equip",MID("[{"&amp;M1173&amp;","&amp;CEILING(N1173*10000+(O1173-N1173)/4*(COUNTIF($F$11:F1173,F1173)-1)*10000,10)&amp;"}]",8,1)&lt;&gt;"_"),"[{"&amp;M1173&amp;","&amp;1&amp;"}]","[{"&amp;M1173&amp;","&amp;CEILING(N1173*10000+(O1173-N1173)/4*(COUNTIF($F$11:F1173,F1173)-1)*10000,10)&amp;"}]")</f>
        <v>[{equip_base_attr,2500}]</v>
      </c>
      <c r="H1173" s="82" t="s">
        <v>563</v>
      </c>
      <c r="J1173" s="78">
        <f ca="1">IF(MOD(COUNTIF($Q$11:Q1172,Q1172),5)=0,OFFSET(装备属性!$P$1083,1+INT(COUNTA($Q$11:Q1172)/5),0),J1172)</f>
        <v>7</v>
      </c>
      <c r="K1173" s="83" t="str">
        <f ca="1">IF(RIGHT(G1173,13)="rune_slot,1}]",_xlfn.XLOOKUP(LEFT(SUBSTITUTE(G1173,"[{",""),FIND(",",SUBSTITUTE(G1173,"[{",""))-1),Sheet2!B:B,Sheet2!C:C)&amp;"+"&amp;1,_xlfn.XLOOKUP(LEFT(SUBSTITUTE(G1173,"[{",""),FIND(",",SUBSTITUTE(G1173,"[{",""))-1),Sheet2!B:B,Sheet2!C:C)&amp;"+"&amp;SUBSTITUTE(RIGHT(G1173,LEN(G1173)-FIND(",",G1173)),"}]","")/100&amp;"%")</f>
        <v>装备基础属性加成+25%</v>
      </c>
      <c r="L1173" s="83" t="str">
        <f ca="1">IF(MOD(COUNTIF($Q$11:Q1172,Q1172),5)=0,OFFSET(装备属性!$G$1083,1+INT(COUNTA($Q$11:Q1172)/5),0),L1172)</f>
        <v>厚底子</v>
      </c>
      <c r="M1173" s="89" t="str">
        <f ca="1">IF(MOD(COUNTIF($Q$11:Q1172,Q1172),5)=0,OFFSET(装备属性!$H$1083,1+INT(COUNTA($Q$11:Q1172)/5),0),M1172)</f>
        <v>equip_base_attr</v>
      </c>
      <c r="N1173" s="76">
        <f ca="1">IF(MOD(COUNTIF($Q$11:Q1172,Q1172),5)=0,OFFSET(装备属性!$K$1083,1+INT(COUNTA($Q$11:Q1172)/5),0),N1172)</f>
        <v>0.25</v>
      </c>
      <c r="O1173" s="76">
        <f ca="1">IF(MOD(COUNTIF($Q$11:Q1172,Q1172),5)=0,OFFSET(装备属性!$L$1083,1+INT(COUNTA($Q$11:Q1172)/5),0),O1172)</f>
        <v>0.25</v>
      </c>
      <c r="Q1173" s="89" t="str">
        <f ca="1">IF(MOD(COUNTIF($Q$11:Q1172,Q1172),5)=0,OFFSET(装备属性!$M$1083,1+INT(COUNTA($Q$11:Q1172)/5),0),Q1172)</f>
        <v>稀有词条</v>
      </c>
      <c r="R1173" s="83">
        <f ca="1">IF(MOD(COUNTIF($Q$11:Q1172,Q1172),5)=0,10000*SUBSTITUTE(SUBSTITUTE(OFFSET(装备属性!$F$1083,1+INT(COUNTA($Q$11:Q1172)/5),0),"[",""),"]","")+_xlfn.XLOOKUP(C1173,$M$3:$M$7,$N$3:$N$7)*100,R1172)</f>
        <v>40800</v>
      </c>
    </row>
    <row r="1174" customHeight="1" spans="1:18">
      <c r="A1174" s="78">
        <f ca="1" t="shared" si="54"/>
        <v>40803</v>
      </c>
      <c r="B1174" s="82">
        <f ca="1">IFERROR(R1174+COUNTIFS($R$11:$R1174,R1174),"")</f>
        <v>40819</v>
      </c>
      <c r="C1174" s="83" t="str">
        <f ca="1">IF(MOD(COUNTIF($Q$11:Q1173,Q1173),5)=0,OFFSET(装备属性!$D$1083,1+INT(COUNTA($Q$11:Q1173)/5),0),C1173)</f>
        <v>彩</v>
      </c>
      <c r="D1174" s="82">
        <f t="shared" si="56"/>
        <v>1500</v>
      </c>
      <c r="F1174" s="82">
        <f ca="1" t="shared" si="55"/>
        <v>40803</v>
      </c>
      <c r="G1174" s="78" t="str">
        <f ca="1">IF(AND(LEFT("[{"&amp;M1174&amp;","&amp;CEILING(N1174*10000+(O1174-N1174)/4*(COUNTIF($F$11:F1174,F1174)-1)*10000,10)&amp;"}]",7)="[{equip",MID("[{"&amp;M1174&amp;","&amp;CEILING(N1174*10000+(O1174-N1174)/4*(COUNTIF($F$11:F1174,F1174)-1)*10000,10)&amp;"}]",8,1)&lt;&gt;"_"),"[{"&amp;M1174&amp;","&amp;1&amp;"}]","[{"&amp;M1174&amp;","&amp;CEILING(N1174*10000+(O1174-N1174)/4*(COUNTIF($F$11:F1174,F1174)-1)*10000,10)&amp;"}]")</f>
        <v>[{equip_base_attr,2500}]</v>
      </c>
      <c r="H1174" s="82" t="s">
        <v>563</v>
      </c>
      <c r="J1174" s="78">
        <f ca="1">IF(MOD(COUNTIF($Q$11:Q1173,Q1173),5)=0,OFFSET(装备属性!$P$1083,1+INT(COUNTA($Q$11:Q1173)/5),0),J1173)</f>
        <v>7</v>
      </c>
      <c r="K1174" s="83" t="str">
        <f ca="1">IF(RIGHT(G1174,13)="rune_slot,1}]",_xlfn.XLOOKUP(LEFT(SUBSTITUTE(G1174,"[{",""),FIND(",",SUBSTITUTE(G1174,"[{",""))-1),Sheet2!B:B,Sheet2!C:C)&amp;"+"&amp;1,_xlfn.XLOOKUP(LEFT(SUBSTITUTE(G1174,"[{",""),FIND(",",SUBSTITUTE(G1174,"[{",""))-1),Sheet2!B:B,Sheet2!C:C)&amp;"+"&amp;SUBSTITUTE(RIGHT(G1174,LEN(G1174)-FIND(",",G1174)),"}]","")/100&amp;"%")</f>
        <v>装备基础属性加成+25%</v>
      </c>
      <c r="L1174" s="83" t="str">
        <f ca="1">IF(MOD(COUNTIF($Q$11:Q1173,Q1173),5)=0,OFFSET(装备属性!$G$1083,1+INT(COUNTA($Q$11:Q1173)/5),0),L1173)</f>
        <v>厚底子</v>
      </c>
      <c r="M1174" s="89" t="str">
        <f ca="1">IF(MOD(COUNTIF($Q$11:Q1173,Q1173),5)=0,OFFSET(装备属性!$H$1083,1+INT(COUNTA($Q$11:Q1173)/5),0),M1173)</f>
        <v>equip_base_attr</v>
      </c>
      <c r="N1174" s="76">
        <f ca="1">IF(MOD(COUNTIF($Q$11:Q1173,Q1173),5)=0,OFFSET(装备属性!$K$1083,1+INT(COUNTA($Q$11:Q1173)/5),0),N1173)</f>
        <v>0.25</v>
      </c>
      <c r="O1174" s="76">
        <f ca="1">IF(MOD(COUNTIF($Q$11:Q1173,Q1173),5)=0,OFFSET(装备属性!$L$1083,1+INT(COUNTA($Q$11:Q1173)/5),0),O1173)</f>
        <v>0.25</v>
      </c>
      <c r="Q1174" s="89" t="str">
        <f ca="1">IF(MOD(COUNTIF($Q$11:Q1173,Q1173),5)=0,OFFSET(装备属性!$M$1083,1+INT(COUNTA($Q$11:Q1173)/5),0),Q1173)</f>
        <v>稀有词条</v>
      </c>
      <c r="R1174" s="83">
        <f ca="1">IF(MOD(COUNTIF($Q$11:Q1173,Q1173),5)=0,10000*SUBSTITUTE(SUBSTITUTE(OFFSET(装备属性!$F$1083,1+INT(COUNTA($Q$11:Q1173)/5),0),"[",""),"]","")+_xlfn.XLOOKUP(C1174,$M$3:$M$7,$N$3:$N$7)*100,R1173)</f>
        <v>40800</v>
      </c>
    </row>
    <row r="1175" customHeight="1" spans="1:18">
      <c r="A1175" s="78">
        <f ca="1" t="shared" si="54"/>
        <v>40803</v>
      </c>
      <c r="B1175" s="82">
        <f ca="1">IFERROR(R1175+COUNTIFS($R$11:$R1175,R1175),"")</f>
        <v>40820</v>
      </c>
      <c r="C1175" s="83" t="str">
        <f ca="1">IF(MOD(COUNTIF($Q$11:Q1174,Q1174),5)=0,OFFSET(装备属性!$D$1083,1+INT(COUNTA($Q$11:Q1174)/5),0),C1174)</f>
        <v>彩</v>
      </c>
      <c r="D1175" s="82">
        <f t="shared" si="56"/>
        <v>1000</v>
      </c>
      <c r="F1175" s="82">
        <f ca="1" t="shared" si="55"/>
        <v>40803</v>
      </c>
      <c r="G1175" s="78" t="str">
        <f ca="1">IF(AND(LEFT("[{"&amp;M1175&amp;","&amp;CEILING(N1175*10000+(O1175-N1175)/4*(COUNTIF($F$11:F1175,F1175)-1)*10000,10)&amp;"}]",7)="[{equip",MID("[{"&amp;M1175&amp;","&amp;CEILING(N1175*10000+(O1175-N1175)/4*(COUNTIF($F$11:F1175,F1175)-1)*10000,10)&amp;"}]",8,1)&lt;&gt;"_"),"[{"&amp;M1175&amp;","&amp;1&amp;"}]","[{"&amp;M1175&amp;","&amp;CEILING(N1175*10000+(O1175-N1175)/4*(COUNTIF($F$11:F1175,F1175)-1)*10000,10)&amp;"}]")</f>
        <v>[{equip_base_attr,2500}]</v>
      </c>
      <c r="H1175" s="82" t="s">
        <v>563</v>
      </c>
      <c r="J1175" s="78">
        <f ca="1">IF(MOD(COUNTIF($Q$11:Q1174,Q1174),5)=0,OFFSET(装备属性!$P$1083,1+INT(COUNTA($Q$11:Q1174)/5),0),J1174)</f>
        <v>7</v>
      </c>
      <c r="K1175" s="83" t="str">
        <f ca="1">IF(RIGHT(G1175,13)="rune_slot,1}]",_xlfn.XLOOKUP(LEFT(SUBSTITUTE(G1175,"[{",""),FIND(",",SUBSTITUTE(G1175,"[{",""))-1),Sheet2!B:B,Sheet2!C:C)&amp;"+"&amp;1,_xlfn.XLOOKUP(LEFT(SUBSTITUTE(G1175,"[{",""),FIND(",",SUBSTITUTE(G1175,"[{",""))-1),Sheet2!B:B,Sheet2!C:C)&amp;"+"&amp;SUBSTITUTE(RIGHT(G1175,LEN(G1175)-FIND(",",G1175)),"}]","")/100&amp;"%")</f>
        <v>装备基础属性加成+25%</v>
      </c>
      <c r="L1175" s="83" t="str">
        <f ca="1">IF(MOD(COUNTIF($Q$11:Q1174,Q1174),5)=0,OFFSET(装备属性!$G$1083,1+INT(COUNTA($Q$11:Q1174)/5),0),L1174)</f>
        <v>厚底子</v>
      </c>
      <c r="M1175" s="89" t="str">
        <f ca="1">IF(MOD(COUNTIF($Q$11:Q1174,Q1174),5)=0,OFFSET(装备属性!$H$1083,1+INT(COUNTA($Q$11:Q1174)/5),0),M1174)</f>
        <v>equip_base_attr</v>
      </c>
      <c r="N1175" s="76">
        <f ca="1">IF(MOD(COUNTIF($Q$11:Q1174,Q1174),5)=0,OFFSET(装备属性!$K$1083,1+INT(COUNTA($Q$11:Q1174)/5),0),N1174)</f>
        <v>0.25</v>
      </c>
      <c r="O1175" s="76">
        <f ca="1">IF(MOD(COUNTIF($Q$11:Q1174,Q1174),5)=0,OFFSET(装备属性!$L$1083,1+INT(COUNTA($Q$11:Q1174)/5),0),O1174)</f>
        <v>0.25</v>
      </c>
      <c r="Q1175" s="89" t="str">
        <f ca="1">IF(MOD(COUNTIF($Q$11:Q1174,Q1174),5)=0,OFFSET(装备属性!$M$1083,1+INT(COUNTA($Q$11:Q1174)/5),0),Q1174)</f>
        <v>稀有词条</v>
      </c>
      <c r="R1175" s="83">
        <f ca="1">IF(MOD(COUNTIF($Q$11:Q1174,Q1174),5)=0,10000*SUBSTITUTE(SUBSTITUTE(OFFSET(装备属性!$F$1083,1+INT(COUNTA($Q$11:Q1174)/5),0),"[",""),"]","")+_xlfn.XLOOKUP(C1175,$M$3:$M$7,$N$3:$N$7)*100,R1174)</f>
        <v>40800</v>
      </c>
    </row>
    <row r="1176" customHeight="1" spans="1:18">
      <c r="A1176" s="78">
        <f ca="1" t="shared" si="54"/>
        <v>40803</v>
      </c>
      <c r="B1176" s="82">
        <f ca="1">IFERROR(R1176+COUNTIFS($R$11:$R1176,R1176),"")</f>
        <v>40821</v>
      </c>
      <c r="C1176" s="83" t="str">
        <f ca="1">IF(MOD(COUNTIF($Q$11:Q1175,Q1175),5)=0,OFFSET(装备属性!$D$1083,1+INT(COUNTA($Q$11:Q1175)/5),0),C1175)</f>
        <v>彩</v>
      </c>
      <c r="D1176" s="82">
        <f t="shared" si="56"/>
        <v>3000</v>
      </c>
      <c r="F1176" s="82">
        <f ca="1" t="shared" si="55"/>
        <v>40804</v>
      </c>
      <c r="G1176" s="78" t="str">
        <f ca="1">IF(AND(LEFT("[{"&amp;M1176&amp;","&amp;CEILING(N1176*10000+(O1176-N1176)/4*(COUNTIF($F$11:F1176,F1176)-1)*10000,10)&amp;"}]",7)="[{equip",MID("[{"&amp;M1176&amp;","&amp;CEILING(N1176*10000+(O1176-N1176)/4*(COUNTIF($F$11:F1176,F1176)-1)*10000,10)&amp;"}]",8,1)&lt;&gt;"_"),"[{"&amp;M1176&amp;","&amp;1&amp;"}]","[{"&amp;M1176&amp;","&amp;CEILING(N1176*10000+(O1176-N1176)/4*(COUNTIF($F$11:F1176,F1176)-1)*10000,10)&amp;"}]")</f>
        <v>[{equip_extra_attr,5000}]</v>
      </c>
      <c r="H1176" s="82" t="s">
        <v>563</v>
      </c>
      <c r="J1176" s="78">
        <f ca="1">IF(MOD(COUNTIF($Q$11:Q1175,Q1175),5)=0,OFFSET(装备属性!$P$1083,1+INT(COUNTA($Q$11:Q1175)/5),0),J1175)</f>
        <v>8</v>
      </c>
      <c r="K1176" s="83" t="str">
        <f ca="1">IF(RIGHT(G1176,13)="rune_slot,1}]",_xlfn.XLOOKUP(LEFT(SUBSTITUTE(G1176,"[{",""),FIND(",",SUBSTITUTE(G1176,"[{",""))-1),Sheet2!B:B,Sheet2!C:C)&amp;"+"&amp;1,_xlfn.XLOOKUP(LEFT(SUBSTITUTE(G1176,"[{",""),FIND(",",SUBSTITUTE(G1176,"[{",""))-1),Sheet2!B:B,Sheet2!C:C)&amp;"+"&amp;SUBSTITUTE(RIGHT(G1176,LEN(G1176)-FIND(",",G1176)),"}]","")/100&amp;"%")</f>
        <v>装备附加属性加成+50%</v>
      </c>
      <c r="L1176" s="83" t="str">
        <f ca="1">IF(MOD(COUNTIF($Q$11:Q1175,Q1175),5)=0,OFFSET(装备属性!$G$1083,1+INT(COUNTA($Q$11:Q1175)/5),0),L1175)</f>
        <v>提成色</v>
      </c>
      <c r="M1176" s="89" t="str">
        <f ca="1">IF(MOD(COUNTIF($Q$11:Q1175,Q1175),5)=0,OFFSET(装备属性!$H$1083,1+INT(COUNTA($Q$11:Q1175)/5),0),M1175)</f>
        <v>equip_extra_attr</v>
      </c>
      <c r="N1176" s="76">
        <f ca="1">IF(MOD(COUNTIF($Q$11:Q1175,Q1175),5)=0,OFFSET(装备属性!$K$1083,1+INT(COUNTA($Q$11:Q1175)/5),0),N1175)</f>
        <v>0.5</v>
      </c>
      <c r="O1176" s="76">
        <f ca="1">IF(MOD(COUNTIF($Q$11:Q1175,Q1175),5)=0,OFFSET(装备属性!$L$1083,1+INT(COUNTA($Q$11:Q1175)/5),0),O1175)</f>
        <v>0.5</v>
      </c>
      <c r="Q1176" s="89" t="str">
        <f ca="1">IF(MOD(COUNTIF($Q$11:Q1175,Q1175),5)=0,OFFSET(装备属性!$M$1083,1+INT(COUNTA($Q$11:Q1175)/5),0),Q1175)</f>
        <v>稀有词条</v>
      </c>
      <c r="R1176" s="83">
        <f ca="1">IF(MOD(COUNTIF($Q$11:Q1175,Q1175),5)=0,10000*SUBSTITUTE(SUBSTITUTE(OFFSET(装备属性!$F$1083,1+INT(COUNTA($Q$11:Q1175)/5),0),"[",""),"]","")+_xlfn.XLOOKUP(C1176,$M$3:$M$7,$N$3:$N$7)*100,R1175)</f>
        <v>40800</v>
      </c>
    </row>
    <row r="1177" customHeight="1" spans="1:18">
      <c r="A1177" s="78">
        <f ca="1" t="shared" si="54"/>
        <v>40803</v>
      </c>
      <c r="B1177" s="82">
        <f ca="1">IFERROR(R1177+COUNTIFS($R$11:$R1177,R1177),"")</f>
        <v>40822</v>
      </c>
      <c r="C1177" s="83" t="str">
        <f ca="1">IF(MOD(COUNTIF($Q$11:Q1176,Q1176),5)=0,OFFSET(装备属性!$D$1083,1+INT(COUNTA($Q$11:Q1176)/5),0),C1176)</f>
        <v>彩</v>
      </c>
      <c r="D1177" s="82">
        <f t="shared" si="56"/>
        <v>2500</v>
      </c>
      <c r="F1177" s="82">
        <f ca="1" t="shared" si="55"/>
        <v>40804</v>
      </c>
      <c r="G1177" s="78" t="str">
        <f ca="1">IF(AND(LEFT("[{"&amp;M1177&amp;","&amp;CEILING(N1177*10000+(O1177-N1177)/4*(COUNTIF($F$11:F1177,F1177)-1)*10000,10)&amp;"}]",7)="[{equip",MID("[{"&amp;M1177&amp;","&amp;CEILING(N1177*10000+(O1177-N1177)/4*(COUNTIF($F$11:F1177,F1177)-1)*10000,10)&amp;"}]",8,1)&lt;&gt;"_"),"[{"&amp;M1177&amp;","&amp;1&amp;"}]","[{"&amp;M1177&amp;","&amp;CEILING(N1177*10000+(O1177-N1177)/4*(COUNTIF($F$11:F1177,F1177)-1)*10000,10)&amp;"}]")</f>
        <v>[{equip_extra_attr,5000}]</v>
      </c>
      <c r="H1177" s="82" t="s">
        <v>563</v>
      </c>
      <c r="J1177" s="78">
        <f ca="1">IF(MOD(COUNTIF($Q$11:Q1176,Q1176),5)=0,OFFSET(装备属性!$P$1083,1+INT(COUNTA($Q$11:Q1176)/5),0),J1176)</f>
        <v>8</v>
      </c>
      <c r="K1177" s="83" t="str">
        <f ca="1">IF(RIGHT(G1177,13)="rune_slot,1}]",_xlfn.XLOOKUP(LEFT(SUBSTITUTE(G1177,"[{",""),FIND(",",SUBSTITUTE(G1177,"[{",""))-1),Sheet2!B:B,Sheet2!C:C)&amp;"+"&amp;1,_xlfn.XLOOKUP(LEFT(SUBSTITUTE(G1177,"[{",""),FIND(",",SUBSTITUTE(G1177,"[{",""))-1),Sheet2!B:B,Sheet2!C:C)&amp;"+"&amp;SUBSTITUTE(RIGHT(G1177,LEN(G1177)-FIND(",",G1177)),"}]","")/100&amp;"%")</f>
        <v>装备附加属性加成+50%</v>
      </c>
      <c r="L1177" s="83" t="str">
        <f ca="1">IF(MOD(COUNTIF($Q$11:Q1176,Q1176),5)=0,OFFSET(装备属性!$G$1083,1+INT(COUNTA($Q$11:Q1176)/5),0),L1176)</f>
        <v>提成色</v>
      </c>
      <c r="M1177" s="89" t="str">
        <f ca="1">IF(MOD(COUNTIF($Q$11:Q1176,Q1176),5)=0,OFFSET(装备属性!$H$1083,1+INT(COUNTA($Q$11:Q1176)/5),0),M1176)</f>
        <v>equip_extra_attr</v>
      </c>
      <c r="N1177" s="76">
        <f ca="1">IF(MOD(COUNTIF($Q$11:Q1176,Q1176),5)=0,OFFSET(装备属性!$K$1083,1+INT(COUNTA($Q$11:Q1176)/5),0),N1176)</f>
        <v>0.5</v>
      </c>
      <c r="O1177" s="76">
        <f ca="1">IF(MOD(COUNTIF($Q$11:Q1176,Q1176),5)=0,OFFSET(装备属性!$L$1083,1+INT(COUNTA($Q$11:Q1176)/5),0),O1176)</f>
        <v>0.5</v>
      </c>
      <c r="Q1177" s="89" t="str">
        <f ca="1">IF(MOD(COUNTIF($Q$11:Q1176,Q1176),5)=0,OFFSET(装备属性!$M$1083,1+INT(COUNTA($Q$11:Q1176)/5),0),Q1176)</f>
        <v>稀有词条</v>
      </c>
      <c r="R1177" s="83">
        <f ca="1">IF(MOD(COUNTIF($Q$11:Q1176,Q1176),5)=0,10000*SUBSTITUTE(SUBSTITUTE(OFFSET(装备属性!$F$1083,1+INT(COUNTA($Q$11:Q1176)/5),0),"[",""),"]","")+_xlfn.XLOOKUP(C1177,$M$3:$M$7,$N$3:$N$7)*100,R1176)</f>
        <v>40800</v>
      </c>
    </row>
    <row r="1178" customHeight="1" spans="1:18">
      <c r="A1178" s="78">
        <f ca="1" t="shared" si="54"/>
        <v>40803</v>
      </c>
      <c r="B1178" s="82">
        <f ca="1">IFERROR(R1178+COUNTIFS($R$11:$R1178,R1178),"")</f>
        <v>40823</v>
      </c>
      <c r="C1178" s="83" t="str">
        <f ca="1">IF(MOD(COUNTIF($Q$11:Q1177,Q1177),5)=0,OFFSET(装备属性!$D$1083,1+INT(COUNTA($Q$11:Q1177)/5),0),C1177)</f>
        <v>彩</v>
      </c>
      <c r="D1178" s="82">
        <f t="shared" si="56"/>
        <v>2000</v>
      </c>
      <c r="F1178" s="82">
        <f ca="1" t="shared" si="55"/>
        <v>40804</v>
      </c>
      <c r="G1178" s="78" t="str">
        <f ca="1">IF(AND(LEFT("[{"&amp;M1178&amp;","&amp;CEILING(N1178*10000+(O1178-N1178)/4*(COUNTIF($F$11:F1178,F1178)-1)*10000,10)&amp;"}]",7)="[{equip",MID("[{"&amp;M1178&amp;","&amp;CEILING(N1178*10000+(O1178-N1178)/4*(COUNTIF($F$11:F1178,F1178)-1)*10000,10)&amp;"}]",8,1)&lt;&gt;"_"),"[{"&amp;M1178&amp;","&amp;1&amp;"}]","[{"&amp;M1178&amp;","&amp;CEILING(N1178*10000+(O1178-N1178)/4*(COUNTIF($F$11:F1178,F1178)-1)*10000,10)&amp;"}]")</f>
        <v>[{equip_extra_attr,5000}]</v>
      </c>
      <c r="H1178" s="82" t="s">
        <v>563</v>
      </c>
      <c r="J1178" s="78">
        <f ca="1">IF(MOD(COUNTIF($Q$11:Q1177,Q1177),5)=0,OFFSET(装备属性!$P$1083,1+INT(COUNTA($Q$11:Q1177)/5),0),J1177)</f>
        <v>8</v>
      </c>
      <c r="K1178" s="83" t="str">
        <f ca="1">IF(RIGHT(G1178,13)="rune_slot,1}]",_xlfn.XLOOKUP(LEFT(SUBSTITUTE(G1178,"[{",""),FIND(",",SUBSTITUTE(G1178,"[{",""))-1),Sheet2!B:B,Sheet2!C:C)&amp;"+"&amp;1,_xlfn.XLOOKUP(LEFT(SUBSTITUTE(G1178,"[{",""),FIND(",",SUBSTITUTE(G1178,"[{",""))-1),Sheet2!B:B,Sheet2!C:C)&amp;"+"&amp;SUBSTITUTE(RIGHT(G1178,LEN(G1178)-FIND(",",G1178)),"}]","")/100&amp;"%")</f>
        <v>装备附加属性加成+50%</v>
      </c>
      <c r="L1178" s="83" t="str">
        <f ca="1">IF(MOD(COUNTIF($Q$11:Q1177,Q1177),5)=0,OFFSET(装备属性!$G$1083,1+INT(COUNTA($Q$11:Q1177)/5),0),L1177)</f>
        <v>提成色</v>
      </c>
      <c r="M1178" s="89" t="str">
        <f ca="1">IF(MOD(COUNTIF($Q$11:Q1177,Q1177),5)=0,OFFSET(装备属性!$H$1083,1+INT(COUNTA($Q$11:Q1177)/5),0),M1177)</f>
        <v>equip_extra_attr</v>
      </c>
      <c r="N1178" s="76">
        <f ca="1">IF(MOD(COUNTIF($Q$11:Q1177,Q1177),5)=0,OFFSET(装备属性!$K$1083,1+INT(COUNTA($Q$11:Q1177)/5),0),N1177)</f>
        <v>0.5</v>
      </c>
      <c r="O1178" s="76">
        <f ca="1">IF(MOD(COUNTIF($Q$11:Q1177,Q1177),5)=0,OFFSET(装备属性!$L$1083,1+INT(COUNTA($Q$11:Q1177)/5),0),O1177)</f>
        <v>0.5</v>
      </c>
      <c r="Q1178" s="89" t="str">
        <f ca="1">IF(MOD(COUNTIF($Q$11:Q1177,Q1177),5)=0,OFFSET(装备属性!$M$1083,1+INT(COUNTA($Q$11:Q1177)/5),0),Q1177)</f>
        <v>稀有词条</v>
      </c>
      <c r="R1178" s="83">
        <f ca="1">IF(MOD(COUNTIF($Q$11:Q1177,Q1177),5)=0,10000*SUBSTITUTE(SUBSTITUTE(OFFSET(装备属性!$F$1083,1+INT(COUNTA($Q$11:Q1177)/5),0),"[",""),"]","")+_xlfn.XLOOKUP(C1178,$M$3:$M$7,$N$3:$N$7)*100,R1177)</f>
        <v>40800</v>
      </c>
    </row>
    <row r="1179" customHeight="1" spans="1:18">
      <c r="A1179" s="78">
        <f ca="1" t="shared" si="54"/>
        <v>40803</v>
      </c>
      <c r="B1179" s="82">
        <f ca="1">IFERROR(R1179+COUNTIFS($R$11:$R1179,R1179),"")</f>
        <v>40824</v>
      </c>
      <c r="C1179" s="83" t="str">
        <f ca="1">IF(MOD(COUNTIF($Q$11:Q1178,Q1178),5)=0,OFFSET(装备属性!$D$1083,1+INT(COUNTA($Q$11:Q1178)/5),0),C1178)</f>
        <v>彩</v>
      </c>
      <c r="D1179" s="82">
        <f t="shared" si="56"/>
        <v>1500</v>
      </c>
      <c r="F1179" s="82">
        <f ca="1" t="shared" si="55"/>
        <v>40804</v>
      </c>
      <c r="G1179" s="78" t="str">
        <f ca="1">IF(AND(LEFT("[{"&amp;M1179&amp;","&amp;CEILING(N1179*10000+(O1179-N1179)/4*(COUNTIF($F$11:F1179,F1179)-1)*10000,10)&amp;"}]",7)="[{equip",MID("[{"&amp;M1179&amp;","&amp;CEILING(N1179*10000+(O1179-N1179)/4*(COUNTIF($F$11:F1179,F1179)-1)*10000,10)&amp;"}]",8,1)&lt;&gt;"_"),"[{"&amp;M1179&amp;","&amp;1&amp;"}]","[{"&amp;M1179&amp;","&amp;CEILING(N1179*10000+(O1179-N1179)/4*(COUNTIF($F$11:F1179,F1179)-1)*10000,10)&amp;"}]")</f>
        <v>[{equip_extra_attr,5000}]</v>
      </c>
      <c r="H1179" s="82" t="s">
        <v>563</v>
      </c>
      <c r="J1179" s="78">
        <f ca="1">IF(MOD(COUNTIF($Q$11:Q1178,Q1178),5)=0,OFFSET(装备属性!$P$1083,1+INT(COUNTA($Q$11:Q1178)/5),0),J1178)</f>
        <v>8</v>
      </c>
      <c r="K1179" s="83" t="str">
        <f ca="1">IF(RIGHT(G1179,13)="rune_slot,1}]",_xlfn.XLOOKUP(LEFT(SUBSTITUTE(G1179,"[{",""),FIND(",",SUBSTITUTE(G1179,"[{",""))-1),Sheet2!B:B,Sheet2!C:C)&amp;"+"&amp;1,_xlfn.XLOOKUP(LEFT(SUBSTITUTE(G1179,"[{",""),FIND(",",SUBSTITUTE(G1179,"[{",""))-1),Sheet2!B:B,Sheet2!C:C)&amp;"+"&amp;SUBSTITUTE(RIGHT(G1179,LEN(G1179)-FIND(",",G1179)),"}]","")/100&amp;"%")</f>
        <v>装备附加属性加成+50%</v>
      </c>
      <c r="L1179" s="83" t="str">
        <f ca="1">IF(MOD(COUNTIF($Q$11:Q1178,Q1178),5)=0,OFFSET(装备属性!$G$1083,1+INT(COUNTA($Q$11:Q1178)/5),0),L1178)</f>
        <v>提成色</v>
      </c>
      <c r="M1179" s="89" t="str">
        <f ca="1">IF(MOD(COUNTIF($Q$11:Q1178,Q1178),5)=0,OFFSET(装备属性!$H$1083,1+INT(COUNTA($Q$11:Q1178)/5),0),M1178)</f>
        <v>equip_extra_attr</v>
      </c>
      <c r="N1179" s="76">
        <f ca="1">IF(MOD(COUNTIF($Q$11:Q1178,Q1178),5)=0,OFFSET(装备属性!$K$1083,1+INT(COUNTA($Q$11:Q1178)/5),0),N1178)</f>
        <v>0.5</v>
      </c>
      <c r="O1179" s="76">
        <f ca="1">IF(MOD(COUNTIF($Q$11:Q1178,Q1178),5)=0,OFFSET(装备属性!$L$1083,1+INT(COUNTA($Q$11:Q1178)/5),0),O1178)</f>
        <v>0.5</v>
      </c>
      <c r="Q1179" s="89" t="str">
        <f ca="1">IF(MOD(COUNTIF($Q$11:Q1178,Q1178),5)=0,OFFSET(装备属性!$M$1083,1+INT(COUNTA($Q$11:Q1178)/5),0),Q1178)</f>
        <v>稀有词条</v>
      </c>
      <c r="R1179" s="83">
        <f ca="1">IF(MOD(COUNTIF($Q$11:Q1178,Q1178),5)=0,10000*SUBSTITUTE(SUBSTITUTE(OFFSET(装备属性!$F$1083,1+INT(COUNTA($Q$11:Q1178)/5),0),"[",""),"]","")+_xlfn.XLOOKUP(C1179,$M$3:$M$7,$N$3:$N$7)*100,R1178)</f>
        <v>40800</v>
      </c>
    </row>
    <row r="1180" customHeight="1" spans="1:18">
      <c r="A1180" s="78">
        <f ca="1" t="shared" si="54"/>
        <v>40803</v>
      </c>
      <c r="B1180" s="82">
        <f ca="1">IFERROR(R1180+COUNTIFS($R$11:$R1180,R1180),"")</f>
        <v>40825</v>
      </c>
      <c r="C1180" s="83" t="str">
        <f ca="1">IF(MOD(COUNTIF($Q$11:Q1179,Q1179),5)=0,OFFSET(装备属性!$D$1083,1+INT(COUNTA($Q$11:Q1179)/5),0),C1179)</f>
        <v>彩</v>
      </c>
      <c r="D1180" s="82">
        <f t="shared" si="56"/>
        <v>1000</v>
      </c>
      <c r="F1180" s="82">
        <f ca="1" t="shared" si="55"/>
        <v>40804</v>
      </c>
      <c r="G1180" s="78" t="str">
        <f ca="1">IF(AND(LEFT("[{"&amp;M1180&amp;","&amp;CEILING(N1180*10000+(O1180-N1180)/4*(COUNTIF($F$11:F1180,F1180)-1)*10000,10)&amp;"}]",7)="[{equip",MID("[{"&amp;M1180&amp;","&amp;CEILING(N1180*10000+(O1180-N1180)/4*(COUNTIF($F$11:F1180,F1180)-1)*10000,10)&amp;"}]",8,1)&lt;&gt;"_"),"[{"&amp;M1180&amp;","&amp;1&amp;"}]","[{"&amp;M1180&amp;","&amp;CEILING(N1180*10000+(O1180-N1180)/4*(COUNTIF($F$11:F1180,F1180)-1)*10000,10)&amp;"}]")</f>
        <v>[{equip_extra_attr,5000}]</v>
      </c>
      <c r="H1180" s="82" t="s">
        <v>563</v>
      </c>
      <c r="J1180" s="78">
        <f ca="1">IF(MOD(COUNTIF($Q$11:Q1179,Q1179),5)=0,OFFSET(装备属性!$P$1083,1+INT(COUNTA($Q$11:Q1179)/5),0),J1179)</f>
        <v>8</v>
      </c>
      <c r="K1180" s="83" t="str">
        <f ca="1">IF(RIGHT(G1180,13)="rune_slot,1}]",_xlfn.XLOOKUP(LEFT(SUBSTITUTE(G1180,"[{",""),FIND(",",SUBSTITUTE(G1180,"[{",""))-1),Sheet2!B:B,Sheet2!C:C)&amp;"+"&amp;1,_xlfn.XLOOKUP(LEFT(SUBSTITUTE(G1180,"[{",""),FIND(",",SUBSTITUTE(G1180,"[{",""))-1),Sheet2!B:B,Sheet2!C:C)&amp;"+"&amp;SUBSTITUTE(RIGHT(G1180,LEN(G1180)-FIND(",",G1180)),"}]","")/100&amp;"%")</f>
        <v>装备附加属性加成+50%</v>
      </c>
      <c r="L1180" s="83" t="str">
        <f ca="1">IF(MOD(COUNTIF($Q$11:Q1179,Q1179),5)=0,OFFSET(装备属性!$G$1083,1+INT(COUNTA($Q$11:Q1179)/5),0),L1179)</f>
        <v>提成色</v>
      </c>
      <c r="M1180" s="89" t="str">
        <f ca="1">IF(MOD(COUNTIF($Q$11:Q1179,Q1179),5)=0,OFFSET(装备属性!$H$1083,1+INT(COUNTA($Q$11:Q1179)/5),0),M1179)</f>
        <v>equip_extra_attr</v>
      </c>
      <c r="N1180" s="76">
        <f ca="1">IF(MOD(COUNTIF($Q$11:Q1179,Q1179),5)=0,OFFSET(装备属性!$K$1083,1+INT(COUNTA($Q$11:Q1179)/5),0),N1179)</f>
        <v>0.5</v>
      </c>
      <c r="O1180" s="76">
        <f ca="1">IF(MOD(COUNTIF($Q$11:Q1179,Q1179),5)=0,OFFSET(装备属性!$L$1083,1+INT(COUNTA($Q$11:Q1179)/5),0),O1179)</f>
        <v>0.5</v>
      </c>
      <c r="Q1180" s="89" t="str">
        <f ca="1">IF(MOD(COUNTIF($Q$11:Q1179,Q1179),5)=0,OFFSET(装备属性!$M$1083,1+INT(COUNTA($Q$11:Q1179)/5),0),Q1179)</f>
        <v>稀有词条</v>
      </c>
      <c r="R1180" s="83">
        <f ca="1">IF(MOD(COUNTIF($Q$11:Q1179,Q1179),5)=0,10000*SUBSTITUTE(SUBSTITUTE(OFFSET(装备属性!$F$1083,1+INT(COUNTA($Q$11:Q1179)/5),0),"[",""),"]","")+_xlfn.XLOOKUP(C1180,$M$3:$M$7,$N$3:$N$7)*100,R1179)</f>
        <v>40800</v>
      </c>
    </row>
    <row r="1181" customHeight="1" spans="1:18">
      <c r="A1181" s="78" t="str">
        <f ca="1" t="shared" si="54"/>
        <v/>
      </c>
      <c r="B1181" s="82" t="str">
        <f ca="1">IFERROR(R1181+COUNTIFS($R$11:$R1181,R1181),"")</f>
        <v/>
      </c>
      <c r="C1181" s="83">
        <f ca="1">IF(MOD(COUNTIF($Q$11:Q1180,Q1180),5)=0,OFFSET(装备属性!$D$1083,1+INT(COUNTA($Q$11:Q1180)/5),0),C1180)</f>
        <v>0</v>
      </c>
      <c r="D1181" s="82">
        <f t="shared" si="56"/>
        <v>3000</v>
      </c>
      <c r="F1181" s="82" t="str">
        <f ca="1" t="shared" si="55"/>
        <v/>
      </c>
      <c r="G1181" s="78" t="str">
        <f ca="1">IF(AND(LEFT("[{"&amp;M1181&amp;","&amp;CEILING(N1181*10000+(O1181-N1181)/4*(COUNTIF($F$11:F1181,F1181)-1)*10000,10)&amp;"}]",7)="[{equip",MID("[{"&amp;M1181&amp;","&amp;CEILING(N1181*10000+(O1181-N1181)/4*(COUNTIF($F$11:F1181,F1181)-1)*10000,10)&amp;"}]",8,1)&lt;&gt;"_"),"[{"&amp;M1181&amp;","&amp;1&amp;"}]","[{"&amp;M1181&amp;","&amp;CEILING(N1181*10000+(O1181-N1181)/4*(COUNTIF($F$11:F1181,F1181)-1)*10000,10)&amp;"}]")</f>
        <v>[{equip2_rune_slot,1}]</v>
      </c>
      <c r="H1181" s="82" t="s">
        <v>563</v>
      </c>
      <c r="J1181" s="78">
        <f ca="1">IF(MOD(COUNTIF($Q$11:Q1180,Q1180),5)=0,OFFSET(装备属性!$P$1083,1+INT(COUNTA($Q$11:Q1180)/5),0),J1180)</f>
        <v>1</v>
      </c>
      <c r="K1181" s="83" t="str">
        <f ca="1">IF(RIGHT(G1181,13)="rune_slot,1}]",_xlfn.XLOOKUP(LEFT(SUBSTITUTE(G1181,"[{",""),FIND(",",SUBSTITUTE(G1181,"[{",""))-1),Sheet2!B:B,Sheet2!C:C)&amp;"+"&amp;1,_xlfn.XLOOKUP(LEFT(SUBSTITUTE(G1181,"[{",""),FIND(",",SUBSTITUTE(G1181,"[{",""))-1),Sheet2!B:B,Sheet2!C:C)&amp;"+"&amp;SUBSTITUTE(RIGHT(G1181,LEN(G1181)-FIND(",",G1181)),"}]","")/100&amp;"%")</f>
        <v>裤子符文孔位+1</v>
      </c>
      <c r="L1181" s="83" t="str">
        <f ca="1">IF(MOD(COUNTIF($Q$11:Q1180,Q1180),5)=0,OFFSET(装备属性!$G$1083,1+INT(COUNTA($Q$11:Q1180)/5),0),L1180)</f>
        <v>扩符槽</v>
      </c>
      <c r="M1181" s="89" t="str">
        <f ca="1">IF(MOD(COUNTIF($Q$11:Q1180,Q1180),5)=0,OFFSET(装备属性!$H$1083,1+INT(COUNTA($Q$11:Q1180)/5),0),M1180)</f>
        <v>equip2_rune_slot</v>
      </c>
      <c r="N1181" s="76">
        <f ca="1">IF(MOD(COUNTIF($Q$11:Q1180,Q1180),5)=0,OFFSET(装备属性!$K$1083,1+INT(COUNTA($Q$11:Q1180)/5),0),N1180)</f>
        <v>1</v>
      </c>
      <c r="O1181" s="76">
        <f ca="1">IF(MOD(COUNTIF($Q$11:Q1180,Q1180),5)=0,OFFSET(装备属性!$L$1083,1+INT(COUNTA($Q$11:Q1180)/5),0),O1180)</f>
        <v>1</v>
      </c>
      <c r="Q1181" s="89" t="str">
        <f ca="1">IF(MOD(COUNTIF($Q$11:Q1180,Q1180),5)=0,OFFSET(装备属性!$M$1083,1+INT(COUNTA($Q$11:Q1180)/5),0),Q1180)</f>
        <v>稀有词条</v>
      </c>
      <c r="R1181" s="83" t="e">
        <f ca="1">IF(MOD(COUNTIF($Q$11:Q1180,Q1180),5)=0,10000*SUBSTITUTE(SUBSTITUTE(OFFSET(装备属性!$F$1083,1+INT(COUNTA($Q$11:Q1180)/5),0),"[",""),"]","")+_xlfn.XLOOKUP(C1181,$M$3:$M$7,$N$3:$N$7)*100,R1180)</f>
        <v>#N/A</v>
      </c>
    </row>
    <row r="1182" customHeight="1" spans="1:18">
      <c r="A1182" s="78" t="str">
        <f ca="1" t="shared" si="54"/>
        <v/>
      </c>
      <c r="B1182" s="82" t="str">
        <f ca="1">IFERROR(R1182+COUNTIFS($R$11:$R1182,R1182),"")</f>
        <v/>
      </c>
      <c r="C1182" s="83">
        <f ca="1">IF(MOD(COUNTIF($Q$11:Q1181,Q1181),5)=0,OFFSET(装备属性!$D$1083,1+INT(COUNTA($Q$11:Q1181)/5),0),C1181)</f>
        <v>0</v>
      </c>
      <c r="D1182" s="82">
        <f t="shared" si="56"/>
        <v>2500</v>
      </c>
      <c r="F1182" s="82" t="str">
        <f ca="1" t="shared" si="55"/>
        <v/>
      </c>
      <c r="G1182" s="78" t="str">
        <f ca="1">IF(AND(LEFT("[{"&amp;M1182&amp;","&amp;CEILING(N1182*10000+(O1182-N1182)/4*(COUNTIF($F$11:F1182,F1182)-1)*10000,10)&amp;"}]",7)="[{equip",MID("[{"&amp;M1182&amp;","&amp;CEILING(N1182*10000+(O1182-N1182)/4*(COUNTIF($F$11:F1182,F1182)-1)*10000,10)&amp;"}]",8,1)&lt;&gt;"_"),"[{"&amp;M1182&amp;","&amp;1&amp;"}]","[{"&amp;M1182&amp;","&amp;CEILING(N1182*10000+(O1182-N1182)/4*(COUNTIF($F$11:F1182,F1182)-1)*10000,10)&amp;"}]")</f>
        <v>[{equip2_rune_slot,1}]</v>
      </c>
      <c r="H1182" s="82" t="s">
        <v>563</v>
      </c>
      <c r="J1182" s="78">
        <f ca="1">IF(MOD(COUNTIF($Q$11:Q1181,Q1181),5)=0,OFFSET(装备属性!$P$1083,1+INT(COUNTA($Q$11:Q1181)/5),0),J1181)</f>
        <v>1</v>
      </c>
      <c r="K1182" s="83" t="str">
        <f ca="1">IF(RIGHT(G1182,13)="rune_slot,1}]",_xlfn.XLOOKUP(LEFT(SUBSTITUTE(G1182,"[{",""),FIND(",",SUBSTITUTE(G1182,"[{",""))-1),Sheet2!B:B,Sheet2!C:C)&amp;"+"&amp;1,_xlfn.XLOOKUP(LEFT(SUBSTITUTE(G1182,"[{",""),FIND(",",SUBSTITUTE(G1182,"[{",""))-1),Sheet2!B:B,Sheet2!C:C)&amp;"+"&amp;SUBSTITUTE(RIGHT(G1182,LEN(G1182)-FIND(",",G1182)),"}]","")/100&amp;"%")</f>
        <v>裤子符文孔位+1</v>
      </c>
      <c r="L1182" s="83" t="str">
        <f ca="1">IF(MOD(COUNTIF($Q$11:Q1181,Q1181),5)=0,OFFSET(装备属性!$G$1083,1+INT(COUNTA($Q$11:Q1181)/5),0),L1181)</f>
        <v>扩符槽</v>
      </c>
      <c r="M1182" s="89" t="str">
        <f ca="1">IF(MOD(COUNTIF($Q$11:Q1181,Q1181),5)=0,OFFSET(装备属性!$H$1083,1+INT(COUNTA($Q$11:Q1181)/5),0),M1181)</f>
        <v>equip2_rune_slot</v>
      </c>
      <c r="N1182" s="76">
        <f ca="1">IF(MOD(COUNTIF($Q$11:Q1181,Q1181),5)=0,OFFSET(装备属性!$K$1083,1+INT(COUNTA($Q$11:Q1181)/5),0),N1181)</f>
        <v>1</v>
      </c>
      <c r="O1182" s="76">
        <f ca="1">IF(MOD(COUNTIF($Q$11:Q1181,Q1181),5)=0,OFFSET(装备属性!$L$1083,1+INT(COUNTA($Q$11:Q1181)/5),0),O1181)</f>
        <v>1</v>
      </c>
      <c r="Q1182" s="89" t="str">
        <f ca="1">IF(MOD(COUNTIF($Q$11:Q1181,Q1181),5)=0,OFFSET(装备属性!$M$1083,1+INT(COUNTA($Q$11:Q1181)/5),0),Q1181)</f>
        <v>稀有词条</v>
      </c>
      <c r="R1182" s="83" t="e">
        <f ca="1">IF(MOD(COUNTIF($Q$11:Q1181,Q1181),5)=0,10000*SUBSTITUTE(SUBSTITUTE(OFFSET(装备属性!$F$1083,1+INT(COUNTA($Q$11:Q1181)/5),0),"[",""),"]","")+_xlfn.XLOOKUP(C1182,$M$3:$M$7,$N$3:$N$7)*100,R1181)</f>
        <v>#N/A</v>
      </c>
    </row>
    <row r="1183" customHeight="1" spans="1:18">
      <c r="A1183" s="78" t="str">
        <f ca="1" t="shared" si="54"/>
        <v/>
      </c>
      <c r="B1183" s="82" t="str">
        <f ca="1">IFERROR(R1183+COUNTIFS($R$11:$R1183,R1183),"")</f>
        <v/>
      </c>
      <c r="C1183" s="83">
        <f ca="1">IF(MOD(COUNTIF($Q$11:Q1182,Q1182),5)=0,OFFSET(装备属性!$D$1083,1+INT(COUNTA($Q$11:Q1182)/5),0),C1182)</f>
        <v>0</v>
      </c>
      <c r="D1183" s="82">
        <f t="shared" si="56"/>
        <v>2000</v>
      </c>
      <c r="F1183" s="82" t="str">
        <f ca="1" t="shared" si="55"/>
        <v/>
      </c>
      <c r="G1183" s="78" t="str">
        <f ca="1">IF(AND(LEFT("[{"&amp;M1183&amp;","&amp;CEILING(N1183*10000+(O1183-N1183)/4*(COUNTIF($F$11:F1183,F1183)-1)*10000,10)&amp;"}]",7)="[{equip",MID("[{"&amp;M1183&amp;","&amp;CEILING(N1183*10000+(O1183-N1183)/4*(COUNTIF($F$11:F1183,F1183)-1)*10000,10)&amp;"}]",8,1)&lt;&gt;"_"),"[{"&amp;M1183&amp;","&amp;1&amp;"}]","[{"&amp;M1183&amp;","&amp;CEILING(N1183*10000+(O1183-N1183)/4*(COUNTIF($F$11:F1183,F1183)-1)*10000,10)&amp;"}]")</f>
        <v>[{equip2_rune_slot,1}]</v>
      </c>
      <c r="H1183" s="82" t="s">
        <v>563</v>
      </c>
      <c r="J1183" s="78">
        <f ca="1">IF(MOD(COUNTIF($Q$11:Q1182,Q1182),5)=0,OFFSET(装备属性!$P$1083,1+INT(COUNTA($Q$11:Q1182)/5),0),J1182)</f>
        <v>1</v>
      </c>
      <c r="K1183" s="83" t="str">
        <f ca="1">IF(RIGHT(G1183,13)="rune_slot,1}]",_xlfn.XLOOKUP(LEFT(SUBSTITUTE(G1183,"[{",""),FIND(",",SUBSTITUTE(G1183,"[{",""))-1),Sheet2!B:B,Sheet2!C:C)&amp;"+"&amp;1,_xlfn.XLOOKUP(LEFT(SUBSTITUTE(G1183,"[{",""),FIND(",",SUBSTITUTE(G1183,"[{",""))-1),Sheet2!B:B,Sheet2!C:C)&amp;"+"&amp;SUBSTITUTE(RIGHT(G1183,LEN(G1183)-FIND(",",G1183)),"}]","")/100&amp;"%")</f>
        <v>裤子符文孔位+1</v>
      </c>
      <c r="L1183" s="83" t="str">
        <f ca="1">IF(MOD(COUNTIF($Q$11:Q1182,Q1182),5)=0,OFFSET(装备属性!$G$1083,1+INT(COUNTA($Q$11:Q1182)/5),0),L1182)</f>
        <v>扩符槽</v>
      </c>
      <c r="M1183" s="89" t="str">
        <f ca="1">IF(MOD(COUNTIF($Q$11:Q1182,Q1182),5)=0,OFFSET(装备属性!$H$1083,1+INT(COUNTA($Q$11:Q1182)/5),0),M1182)</f>
        <v>equip2_rune_slot</v>
      </c>
      <c r="N1183" s="76">
        <f ca="1">IF(MOD(COUNTIF($Q$11:Q1182,Q1182),5)=0,OFFSET(装备属性!$K$1083,1+INT(COUNTA($Q$11:Q1182)/5),0),N1182)</f>
        <v>1</v>
      </c>
      <c r="O1183" s="76">
        <f ca="1">IF(MOD(COUNTIF($Q$11:Q1182,Q1182),5)=0,OFFSET(装备属性!$L$1083,1+INT(COUNTA($Q$11:Q1182)/5),0),O1182)</f>
        <v>1</v>
      </c>
      <c r="Q1183" s="89" t="str">
        <f ca="1">IF(MOD(COUNTIF($Q$11:Q1182,Q1182),5)=0,OFFSET(装备属性!$M$1083,1+INT(COUNTA($Q$11:Q1182)/5),0),Q1182)</f>
        <v>稀有词条</v>
      </c>
      <c r="R1183" s="83" t="e">
        <f ca="1">IF(MOD(COUNTIF($Q$11:Q1182,Q1182),5)=0,10000*SUBSTITUTE(SUBSTITUTE(OFFSET(装备属性!$F$1083,1+INT(COUNTA($Q$11:Q1182)/5),0),"[",""),"]","")+_xlfn.XLOOKUP(C1183,$M$3:$M$7,$N$3:$N$7)*100,R1182)</f>
        <v>#N/A</v>
      </c>
    </row>
    <row r="1184" customHeight="1" spans="1:18">
      <c r="A1184" s="78" t="str">
        <f ca="1" t="shared" si="54"/>
        <v/>
      </c>
      <c r="B1184" s="82" t="str">
        <f ca="1">IFERROR(R1184+COUNTIFS($R$11:$R1184,R1184),"")</f>
        <v/>
      </c>
      <c r="C1184" s="83">
        <f ca="1">IF(MOD(COUNTIF($Q$11:Q1183,Q1183),5)=0,OFFSET(装备属性!$D$1083,1+INT(COUNTA($Q$11:Q1183)/5),0),C1183)</f>
        <v>0</v>
      </c>
      <c r="D1184" s="82">
        <f t="shared" si="56"/>
        <v>1500</v>
      </c>
      <c r="F1184" s="82" t="str">
        <f ca="1" t="shared" si="55"/>
        <v/>
      </c>
      <c r="G1184" s="78" t="str">
        <f ca="1">IF(AND(LEFT("[{"&amp;M1184&amp;","&amp;CEILING(N1184*10000+(O1184-N1184)/4*(COUNTIF($F$11:F1184,F1184)-1)*10000,10)&amp;"}]",7)="[{equip",MID("[{"&amp;M1184&amp;","&amp;CEILING(N1184*10000+(O1184-N1184)/4*(COUNTIF($F$11:F1184,F1184)-1)*10000,10)&amp;"}]",8,1)&lt;&gt;"_"),"[{"&amp;M1184&amp;","&amp;1&amp;"}]","[{"&amp;M1184&amp;","&amp;CEILING(N1184*10000+(O1184-N1184)/4*(COUNTIF($F$11:F1184,F1184)-1)*10000,10)&amp;"}]")</f>
        <v>[{equip2_rune_slot,1}]</v>
      </c>
      <c r="H1184" s="82" t="s">
        <v>563</v>
      </c>
      <c r="J1184" s="78">
        <f ca="1">IF(MOD(COUNTIF($Q$11:Q1183,Q1183),5)=0,OFFSET(装备属性!$P$1083,1+INT(COUNTA($Q$11:Q1183)/5),0),J1183)</f>
        <v>1</v>
      </c>
      <c r="K1184" s="83" t="str">
        <f ca="1">IF(RIGHT(G1184,13)="rune_slot,1}]",_xlfn.XLOOKUP(LEFT(SUBSTITUTE(G1184,"[{",""),FIND(",",SUBSTITUTE(G1184,"[{",""))-1),Sheet2!B:B,Sheet2!C:C)&amp;"+"&amp;1,_xlfn.XLOOKUP(LEFT(SUBSTITUTE(G1184,"[{",""),FIND(",",SUBSTITUTE(G1184,"[{",""))-1),Sheet2!B:B,Sheet2!C:C)&amp;"+"&amp;SUBSTITUTE(RIGHT(G1184,LEN(G1184)-FIND(",",G1184)),"}]","")/100&amp;"%")</f>
        <v>裤子符文孔位+1</v>
      </c>
      <c r="L1184" s="83" t="str">
        <f ca="1">IF(MOD(COUNTIF($Q$11:Q1183,Q1183),5)=0,OFFSET(装备属性!$G$1083,1+INT(COUNTA($Q$11:Q1183)/5),0),L1183)</f>
        <v>扩符槽</v>
      </c>
      <c r="M1184" s="89" t="str">
        <f ca="1">IF(MOD(COUNTIF($Q$11:Q1183,Q1183),5)=0,OFFSET(装备属性!$H$1083,1+INT(COUNTA($Q$11:Q1183)/5),0),M1183)</f>
        <v>equip2_rune_slot</v>
      </c>
      <c r="N1184" s="76">
        <f ca="1">IF(MOD(COUNTIF($Q$11:Q1183,Q1183),5)=0,OFFSET(装备属性!$K$1083,1+INT(COUNTA($Q$11:Q1183)/5),0),N1183)</f>
        <v>1</v>
      </c>
      <c r="O1184" s="76">
        <f ca="1">IF(MOD(COUNTIF($Q$11:Q1183,Q1183),5)=0,OFFSET(装备属性!$L$1083,1+INT(COUNTA($Q$11:Q1183)/5),0),O1183)</f>
        <v>1</v>
      </c>
      <c r="Q1184" s="89" t="str">
        <f ca="1">IF(MOD(COUNTIF($Q$11:Q1183,Q1183),5)=0,OFFSET(装备属性!$M$1083,1+INT(COUNTA($Q$11:Q1183)/5),0),Q1183)</f>
        <v>稀有词条</v>
      </c>
      <c r="R1184" s="83" t="e">
        <f ca="1">IF(MOD(COUNTIF($Q$11:Q1183,Q1183),5)=0,10000*SUBSTITUTE(SUBSTITUTE(OFFSET(装备属性!$F$1083,1+INT(COUNTA($Q$11:Q1183)/5),0),"[",""),"]","")+_xlfn.XLOOKUP(C1184,$M$3:$M$7,$N$3:$N$7)*100,R1183)</f>
        <v>#N/A</v>
      </c>
    </row>
    <row r="1185" customHeight="1" spans="1:18">
      <c r="A1185" s="78" t="str">
        <f ca="1" t="shared" si="54"/>
        <v/>
      </c>
      <c r="B1185" s="82" t="str">
        <f ca="1">IFERROR(R1185+COUNTIFS($R$11:$R1185,R1185),"")</f>
        <v/>
      </c>
      <c r="C1185" s="83">
        <f ca="1">IF(MOD(COUNTIF($Q$11:Q1184,Q1184),5)=0,OFFSET(装备属性!$D$1083,1+INT(COUNTA($Q$11:Q1184)/5),0),C1184)</f>
        <v>0</v>
      </c>
      <c r="D1185" s="82">
        <f t="shared" si="56"/>
        <v>1000</v>
      </c>
      <c r="F1185" s="82" t="str">
        <f ca="1" t="shared" si="55"/>
        <v/>
      </c>
      <c r="G1185" s="78" t="str">
        <f ca="1">IF(AND(LEFT("[{"&amp;M1185&amp;","&amp;CEILING(N1185*10000+(O1185-N1185)/4*(COUNTIF($F$11:F1185,F1185)-1)*10000,10)&amp;"}]",7)="[{equip",MID("[{"&amp;M1185&amp;","&amp;CEILING(N1185*10000+(O1185-N1185)/4*(COUNTIF($F$11:F1185,F1185)-1)*10000,10)&amp;"}]",8,1)&lt;&gt;"_"),"[{"&amp;M1185&amp;","&amp;1&amp;"}]","[{"&amp;M1185&amp;","&amp;CEILING(N1185*10000+(O1185-N1185)/4*(COUNTIF($F$11:F1185,F1185)-1)*10000,10)&amp;"}]")</f>
        <v>[{equip2_rune_slot,1}]</v>
      </c>
      <c r="H1185" s="82" t="s">
        <v>563</v>
      </c>
      <c r="J1185" s="78">
        <f ca="1">IF(MOD(COUNTIF($Q$11:Q1184,Q1184),5)=0,OFFSET(装备属性!$P$1083,1+INT(COUNTA($Q$11:Q1184)/5),0),J1184)</f>
        <v>1</v>
      </c>
      <c r="K1185" s="83" t="str">
        <f ca="1">IF(RIGHT(G1185,13)="rune_slot,1}]",_xlfn.XLOOKUP(LEFT(SUBSTITUTE(G1185,"[{",""),FIND(",",SUBSTITUTE(G1185,"[{",""))-1),Sheet2!B:B,Sheet2!C:C)&amp;"+"&amp;1,_xlfn.XLOOKUP(LEFT(SUBSTITUTE(G1185,"[{",""),FIND(",",SUBSTITUTE(G1185,"[{",""))-1),Sheet2!B:B,Sheet2!C:C)&amp;"+"&amp;SUBSTITUTE(RIGHT(G1185,LEN(G1185)-FIND(",",G1185)),"}]","")/100&amp;"%")</f>
        <v>裤子符文孔位+1</v>
      </c>
      <c r="L1185" s="83" t="str">
        <f ca="1">IF(MOD(COUNTIF($Q$11:Q1184,Q1184),5)=0,OFFSET(装备属性!$G$1083,1+INT(COUNTA($Q$11:Q1184)/5),0),L1184)</f>
        <v>扩符槽</v>
      </c>
      <c r="M1185" s="89" t="str">
        <f ca="1">IF(MOD(COUNTIF($Q$11:Q1184,Q1184),5)=0,OFFSET(装备属性!$H$1083,1+INT(COUNTA($Q$11:Q1184)/5),0),M1184)</f>
        <v>equip2_rune_slot</v>
      </c>
      <c r="N1185" s="76">
        <f ca="1">IF(MOD(COUNTIF($Q$11:Q1184,Q1184),5)=0,OFFSET(装备属性!$K$1083,1+INT(COUNTA($Q$11:Q1184)/5),0),N1184)</f>
        <v>1</v>
      </c>
      <c r="O1185" s="76">
        <f ca="1">IF(MOD(COUNTIF($Q$11:Q1184,Q1184),5)=0,OFFSET(装备属性!$L$1083,1+INT(COUNTA($Q$11:Q1184)/5),0),O1184)</f>
        <v>1</v>
      </c>
      <c r="Q1185" s="89" t="str">
        <f ca="1">IF(MOD(COUNTIF($Q$11:Q1184,Q1184),5)=0,OFFSET(装备属性!$M$1083,1+INT(COUNTA($Q$11:Q1184)/5),0),Q1184)</f>
        <v>稀有词条</v>
      </c>
      <c r="R1185" s="83" t="e">
        <f ca="1">IF(MOD(COUNTIF($Q$11:Q1184,Q1184),5)=0,10000*SUBSTITUTE(SUBSTITUTE(OFFSET(装备属性!$F$1083,1+INT(COUNTA($Q$11:Q1184)/5),0),"[",""),"]","")+_xlfn.XLOOKUP(C1185,$M$3:$M$7,$N$3:$N$7)*100,R1184)</f>
        <v>#N/A</v>
      </c>
    </row>
    <row r="1186" customHeight="1" spans="1:18">
      <c r="A1186" s="78">
        <f ca="1" t="shared" si="54"/>
        <v>40802</v>
      </c>
      <c r="B1186" s="82">
        <f ca="1">IFERROR(R1186+COUNTIFS($R$11:$R1186,R1186),"")</f>
        <v>40826</v>
      </c>
      <c r="C1186" s="83" t="str">
        <f ca="1">IF(MOD(COUNTIF($Q$11:Q1185,Q1185),5)=0,OFFSET(装备属性!$D$1083,1+INT(COUNTA($Q$11:Q1185)/5),0),C1185)</f>
        <v>彩</v>
      </c>
      <c r="D1186" s="82">
        <f t="shared" si="56"/>
        <v>3000</v>
      </c>
      <c r="F1186" s="82">
        <f ca="1" t="shared" si="55"/>
        <v>40805</v>
      </c>
      <c r="G1186" s="78" t="str">
        <f ca="1">IF(AND(LEFT("[{"&amp;M1186&amp;","&amp;CEILING(N1186*10000+(O1186-N1186)/4*(COUNTIF($F$11:F1186,F1186)-1)*10000,10)&amp;"}]",7)="[{equip",MID("[{"&amp;M1186&amp;","&amp;CEILING(N1186*10000+(O1186-N1186)/4*(COUNTIF($F$11:F1186,F1186)-1)*10000,10)&amp;"}]",8,1)&lt;&gt;"_"),"[{"&amp;M1186&amp;","&amp;1&amp;"}]","[{"&amp;M1186&amp;","&amp;CEILING(N1186*10000+(O1186-N1186)/4*(COUNTIF($F$11:F1186,F1186)-1)*10000,10)&amp;"}]")</f>
        <v>[{chapter_pve_hit_rate,900}]</v>
      </c>
      <c r="H1186" s="82" t="s">
        <v>563</v>
      </c>
      <c r="J1186" s="78">
        <f ca="1">IF(MOD(COUNTIF($Q$11:Q1185,Q1185),5)=0,OFFSET(装备属性!$P$1083,1+INT(COUNTA($Q$11:Q1185)/5),0),J1185)</f>
        <v>6</v>
      </c>
      <c r="K1186" s="83" t="str">
        <f ca="1">IF(RIGHT(G1186,13)="rune_slot,1}]",_xlfn.XLOOKUP(LEFT(SUBSTITUTE(G1186,"[{",""),FIND(",",SUBSTITUTE(G1186,"[{",""))-1),Sheet2!B:B,Sheet2!C:C)&amp;"+"&amp;1,_xlfn.XLOOKUP(LEFT(SUBSTITUTE(G1186,"[{",""),FIND(",",SUBSTITUTE(G1186,"[{",""))-1),Sheet2!B:B,Sheet2!C:C)&amp;"+"&amp;SUBSTITUTE(RIGHT(G1186,LEN(G1186)-FIND(",",G1186)),"}]","")/100&amp;"%")</f>
        <v>主线挑战增伤+9%</v>
      </c>
      <c r="L1186" s="83" t="str">
        <f ca="1">IF(MOD(COUNTIF($Q$11:Q1185,Q1185),5)=0,OFFSET(装备属性!$G$1083,1+INT(COUNTA($Q$11:Q1185)/5),0),L1185)</f>
        <v>主线清场Ⅴ</v>
      </c>
      <c r="M1186" s="89" t="str">
        <f ca="1">IF(MOD(COUNTIF($Q$11:Q1185,Q1185),5)=0,OFFSET(装备属性!$H$1083,1+INT(COUNTA($Q$11:Q1185)/5),0),M1185)</f>
        <v>chapter_pve_hit_rate</v>
      </c>
      <c r="N1186" s="76">
        <f ca="1">IF(MOD(COUNTIF($Q$11:Q1185,Q1185),5)=0,OFFSET(装备属性!$K$1083,1+INT(COUNTA($Q$11:Q1185)/5),0),N1185)</f>
        <v>0.09</v>
      </c>
      <c r="O1186" s="76">
        <f ca="1">IF(MOD(COUNTIF($Q$11:Q1185,Q1185),5)=0,OFFSET(装备属性!$L$1083,1+INT(COUNTA($Q$11:Q1185)/5),0),O1185)</f>
        <v>0.1</v>
      </c>
      <c r="Q1186" s="89" t="str">
        <f ca="1">IF(MOD(COUNTIF($Q$11:Q1185,Q1185),5)=0,OFFSET(装备属性!$M$1083,1+INT(COUNTA($Q$11:Q1185)/5),0),Q1185)</f>
        <v>玩法类</v>
      </c>
      <c r="R1186" s="83">
        <f ca="1">IF(MOD(COUNTIF($Q$11:Q1185,Q1185),5)=0,10000*SUBSTITUTE(SUBSTITUTE(OFFSET(装备属性!$F$1083,1+INT(COUNTA($Q$11:Q1185)/5),0),"[",""),"]","")+_xlfn.XLOOKUP(C1186,$M$3:$M$7,$N$3:$N$7)*100,R1185)</f>
        <v>40800</v>
      </c>
    </row>
    <row r="1187" customHeight="1" spans="1:18">
      <c r="A1187" s="78">
        <f ca="1" t="shared" si="54"/>
        <v>40802</v>
      </c>
      <c r="B1187" s="82">
        <f ca="1">IFERROR(R1187+COUNTIFS($R$11:$R1187,R1187),"")</f>
        <v>40827</v>
      </c>
      <c r="C1187" s="83" t="str">
        <f ca="1">IF(MOD(COUNTIF($Q$11:Q1186,Q1186),5)=0,OFFSET(装备属性!$D$1083,1+INT(COUNTA($Q$11:Q1186)/5),0),C1186)</f>
        <v>彩</v>
      </c>
      <c r="D1187" s="82">
        <f t="shared" si="56"/>
        <v>2500</v>
      </c>
      <c r="F1187" s="82">
        <f ca="1" t="shared" si="55"/>
        <v>40805</v>
      </c>
      <c r="G1187" s="78" t="str">
        <f ca="1">IF(AND(LEFT("[{"&amp;M1187&amp;","&amp;CEILING(N1187*10000+(O1187-N1187)/4*(COUNTIF($F$11:F1187,F1187)-1)*10000,10)&amp;"}]",7)="[{equip",MID("[{"&amp;M1187&amp;","&amp;CEILING(N1187*10000+(O1187-N1187)/4*(COUNTIF($F$11:F1187,F1187)-1)*10000,10)&amp;"}]",8,1)&lt;&gt;"_"),"[{"&amp;M1187&amp;","&amp;1&amp;"}]","[{"&amp;M1187&amp;","&amp;CEILING(N1187*10000+(O1187-N1187)/4*(COUNTIF($F$11:F1187,F1187)-1)*10000,10)&amp;"}]")</f>
        <v>[{chapter_pve_hit_rate,930}]</v>
      </c>
      <c r="H1187" s="82" t="s">
        <v>563</v>
      </c>
      <c r="J1187" s="78">
        <f ca="1">IF(MOD(COUNTIF($Q$11:Q1186,Q1186),5)=0,OFFSET(装备属性!$P$1083,1+INT(COUNTA($Q$11:Q1186)/5),0),J1186)</f>
        <v>6</v>
      </c>
      <c r="K1187" s="83" t="str">
        <f ca="1">IF(RIGHT(G1187,13)="rune_slot,1}]",_xlfn.XLOOKUP(LEFT(SUBSTITUTE(G1187,"[{",""),FIND(",",SUBSTITUTE(G1187,"[{",""))-1),Sheet2!B:B,Sheet2!C:C)&amp;"+"&amp;1,_xlfn.XLOOKUP(LEFT(SUBSTITUTE(G1187,"[{",""),FIND(",",SUBSTITUTE(G1187,"[{",""))-1),Sheet2!B:B,Sheet2!C:C)&amp;"+"&amp;SUBSTITUTE(RIGHT(G1187,LEN(G1187)-FIND(",",G1187)),"}]","")/100&amp;"%")</f>
        <v>主线挑战增伤+9.3%</v>
      </c>
      <c r="L1187" s="83" t="str">
        <f ca="1">IF(MOD(COUNTIF($Q$11:Q1186,Q1186),5)=0,OFFSET(装备属性!$G$1083,1+INT(COUNTA($Q$11:Q1186)/5),0),L1186)</f>
        <v>主线清场Ⅴ</v>
      </c>
      <c r="M1187" s="89" t="str">
        <f ca="1">IF(MOD(COUNTIF($Q$11:Q1186,Q1186),5)=0,OFFSET(装备属性!$H$1083,1+INT(COUNTA($Q$11:Q1186)/5),0),M1186)</f>
        <v>chapter_pve_hit_rate</v>
      </c>
      <c r="N1187" s="76">
        <f ca="1">IF(MOD(COUNTIF($Q$11:Q1186,Q1186),5)=0,OFFSET(装备属性!$K$1083,1+INT(COUNTA($Q$11:Q1186)/5),0),N1186)</f>
        <v>0.09</v>
      </c>
      <c r="O1187" s="76">
        <f ca="1">IF(MOD(COUNTIF($Q$11:Q1186,Q1186),5)=0,OFFSET(装备属性!$L$1083,1+INT(COUNTA($Q$11:Q1186)/5),0),O1186)</f>
        <v>0.1</v>
      </c>
      <c r="Q1187" s="89" t="str">
        <f ca="1">IF(MOD(COUNTIF($Q$11:Q1186,Q1186),5)=0,OFFSET(装备属性!$M$1083,1+INT(COUNTA($Q$11:Q1186)/5),0),Q1186)</f>
        <v>玩法类</v>
      </c>
      <c r="R1187" s="83">
        <f ca="1">IF(MOD(COUNTIF($Q$11:Q1186,Q1186),5)=0,10000*SUBSTITUTE(SUBSTITUTE(OFFSET(装备属性!$F$1083,1+INT(COUNTA($Q$11:Q1186)/5),0),"[",""),"]","")+_xlfn.XLOOKUP(C1187,$M$3:$M$7,$N$3:$N$7)*100,R1186)</f>
        <v>40800</v>
      </c>
    </row>
    <row r="1188" customHeight="1" spans="1:18">
      <c r="A1188" s="78">
        <f ca="1" t="shared" si="54"/>
        <v>40802</v>
      </c>
      <c r="B1188" s="82">
        <f ca="1">IFERROR(R1188+COUNTIFS($R$11:$R1188,R1188),"")</f>
        <v>40828</v>
      </c>
      <c r="C1188" s="83" t="str">
        <f ca="1">IF(MOD(COUNTIF($Q$11:Q1187,Q1187),5)=0,OFFSET(装备属性!$D$1083,1+INT(COUNTA($Q$11:Q1187)/5),0),C1187)</f>
        <v>彩</v>
      </c>
      <c r="D1188" s="82">
        <f t="shared" si="56"/>
        <v>2000</v>
      </c>
      <c r="F1188" s="82">
        <f ca="1" t="shared" si="55"/>
        <v>40805</v>
      </c>
      <c r="G1188" s="78" t="str">
        <f ca="1">IF(AND(LEFT("[{"&amp;M1188&amp;","&amp;CEILING(N1188*10000+(O1188-N1188)/4*(COUNTIF($F$11:F1188,F1188)-1)*10000,10)&amp;"}]",7)="[{equip",MID("[{"&amp;M1188&amp;","&amp;CEILING(N1188*10000+(O1188-N1188)/4*(COUNTIF($F$11:F1188,F1188)-1)*10000,10)&amp;"}]",8,1)&lt;&gt;"_"),"[{"&amp;M1188&amp;","&amp;1&amp;"}]","[{"&amp;M1188&amp;","&amp;CEILING(N1188*10000+(O1188-N1188)/4*(COUNTIF($F$11:F1188,F1188)-1)*10000,10)&amp;"}]")</f>
        <v>[{chapter_pve_hit_rate,950}]</v>
      </c>
      <c r="H1188" s="82" t="s">
        <v>563</v>
      </c>
      <c r="J1188" s="78">
        <f ca="1">IF(MOD(COUNTIF($Q$11:Q1187,Q1187),5)=0,OFFSET(装备属性!$P$1083,1+INT(COUNTA($Q$11:Q1187)/5),0),J1187)</f>
        <v>6</v>
      </c>
      <c r="K1188" s="83" t="str">
        <f ca="1">IF(RIGHT(G1188,13)="rune_slot,1}]",_xlfn.XLOOKUP(LEFT(SUBSTITUTE(G1188,"[{",""),FIND(",",SUBSTITUTE(G1188,"[{",""))-1),Sheet2!B:B,Sheet2!C:C)&amp;"+"&amp;1,_xlfn.XLOOKUP(LEFT(SUBSTITUTE(G1188,"[{",""),FIND(",",SUBSTITUTE(G1188,"[{",""))-1),Sheet2!B:B,Sheet2!C:C)&amp;"+"&amp;SUBSTITUTE(RIGHT(G1188,LEN(G1188)-FIND(",",G1188)),"}]","")/100&amp;"%")</f>
        <v>主线挑战增伤+9.5%</v>
      </c>
      <c r="L1188" s="83" t="str">
        <f ca="1">IF(MOD(COUNTIF($Q$11:Q1187,Q1187),5)=0,OFFSET(装备属性!$G$1083,1+INT(COUNTA($Q$11:Q1187)/5),0),L1187)</f>
        <v>主线清场Ⅴ</v>
      </c>
      <c r="M1188" s="89" t="str">
        <f ca="1">IF(MOD(COUNTIF($Q$11:Q1187,Q1187),5)=0,OFFSET(装备属性!$H$1083,1+INT(COUNTA($Q$11:Q1187)/5),0),M1187)</f>
        <v>chapter_pve_hit_rate</v>
      </c>
      <c r="N1188" s="76">
        <f ca="1">IF(MOD(COUNTIF($Q$11:Q1187,Q1187),5)=0,OFFSET(装备属性!$K$1083,1+INT(COUNTA($Q$11:Q1187)/5),0),N1187)</f>
        <v>0.09</v>
      </c>
      <c r="O1188" s="76">
        <f ca="1">IF(MOD(COUNTIF($Q$11:Q1187,Q1187),5)=0,OFFSET(装备属性!$L$1083,1+INT(COUNTA($Q$11:Q1187)/5),0),O1187)</f>
        <v>0.1</v>
      </c>
      <c r="Q1188" s="89" t="str">
        <f ca="1">IF(MOD(COUNTIF($Q$11:Q1187,Q1187),5)=0,OFFSET(装备属性!$M$1083,1+INT(COUNTA($Q$11:Q1187)/5),0),Q1187)</f>
        <v>玩法类</v>
      </c>
      <c r="R1188" s="83">
        <f ca="1">IF(MOD(COUNTIF($Q$11:Q1187,Q1187),5)=0,10000*SUBSTITUTE(SUBSTITUTE(OFFSET(装备属性!$F$1083,1+INT(COUNTA($Q$11:Q1187)/5),0),"[",""),"]","")+_xlfn.XLOOKUP(C1188,$M$3:$M$7,$N$3:$N$7)*100,R1187)</f>
        <v>40800</v>
      </c>
    </row>
    <row r="1189" customHeight="1" spans="1:18">
      <c r="A1189" s="78">
        <f ca="1" t="shared" si="54"/>
        <v>40802</v>
      </c>
      <c r="B1189" s="82">
        <f ca="1">IFERROR(R1189+COUNTIFS($R$11:$R1189,R1189),"")</f>
        <v>40829</v>
      </c>
      <c r="C1189" s="83" t="str">
        <f ca="1">IF(MOD(COUNTIF($Q$11:Q1188,Q1188),5)=0,OFFSET(装备属性!$D$1083,1+INT(COUNTA($Q$11:Q1188)/5),0),C1188)</f>
        <v>彩</v>
      </c>
      <c r="D1189" s="82">
        <f t="shared" si="56"/>
        <v>1500</v>
      </c>
      <c r="F1189" s="82">
        <f ca="1" t="shared" si="55"/>
        <v>40805</v>
      </c>
      <c r="G1189" s="78" t="str">
        <f ca="1">IF(AND(LEFT("[{"&amp;M1189&amp;","&amp;CEILING(N1189*10000+(O1189-N1189)/4*(COUNTIF($F$11:F1189,F1189)-1)*10000,10)&amp;"}]",7)="[{equip",MID("[{"&amp;M1189&amp;","&amp;CEILING(N1189*10000+(O1189-N1189)/4*(COUNTIF($F$11:F1189,F1189)-1)*10000,10)&amp;"}]",8,1)&lt;&gt;"_"),"[{"&amp;M1189&amp;","&amp;1&amp;"}]","[{"&amp;M1189&amp;","&amp;CEILING(N1189*10000+(O1189-N1189)/4*(COUNTIF($F$11:F1189,F1189)-1)*10000,10)&amp;"}]")</f>
        <v>[{chapter_pve_hit_rate,980}]</v>
      </c>
      <c r="H1189" s="82" t="s">
        <v>563</v>
      </c>
      <c r="J1189" s="78">
        <f ca="1">IF(MOD(COUNTIF($Q$11:Q1188,Q1188),5)=0,OFFSET(装备属性!$P$1083,1+INT(COUNTA($Q$11:Q1188)/5),0),J1188)</f>
        <v>6</v>
      </c>
      <c r="K1189" s="83" t="str">
        <f ca="1">IF(RIGHT(G1189,13)="rune_slot,1}]",_xlfn.XLOOKUP(LEFT(SUBSTITUTE(G1189,"[{",""),FIND(",",SUBSTITUTE(G1189,"[{",""))-1),Sheet2!B:B,Sheet2!C:C)&amp;"+"&amp;1,_xlfn.XLOOKUP(LEFT(SUBSTITUTE(G1189,"[{",""),FIND(",",SUBSTITUTE(G1189,"[{",""))-1),Sheet2!B:B,Sheet2!C:C)&amp;"+"&amp;SUBSTITUTE(RIGHT(G1189,LEN(G1189)-FIND(",",G1189)),"}]","")/100&amp;"%")</f>
        <v>主线挑战增伤+9.8%</v>
      </c>
      <c r="L1189" s="83" t="str">
        <f ca="1">IF(MOD(COUNTIF($Q$11:Q1188,Q1188),5)=0,OFFSET(装备属性!$G$1083,1+INT(COUNTA($Q$11:Q1188)/5),0),L1188)</f>
        <v>主线清场Ⅴ</v>
      </c>
      <c r="M1189" s="89" t="str">
        <f ca="1">IF(MOD(COUNTIF($Q$11:Q1188,Q1188),5)=0,OFFSET(装备属性!$H$1083,1+INT(COUNTA($Q$11:Q1188)/5),0),M1188)</f>
        <v>chapter_pve_hit_rate</v>
      </c>
      <c r="N1189" s="76">
        <f ca="1">IF(MOD(COUNTIF($Q$11:Q1188,Q1188),5)=0,OFFSET(装备属性!$K$1083,1+INT(COUNTA($Q$11:Q1188)/5),0),N1188)</f>
        <v>0.09</v>
      </c>
      <c r="O1189" s="76">
        <f ca="1">IF(MOD(COUNTIF($Q$11:Q1188,Q1188),5)=0,OFFSET(装备属性!$L$1083,1+INT(COUNTA($Q$11:Q1188)/5),0),O1188)</f>
        <v>0.1</v>
      </c>
      <c r="Q1189" s="89" t="str">
        <f ca="1">IF(MOD(COUNTIF($Q$11:Q1188,Q1188),5)=0,OFFSET(装备属性!$M$1083,1+INT(COUNTA($Q$11:Q1188)/5),0),Q1188)</f>
        <v>玩法类</v>
      </c>
      <c r="R1189" s="83">
        <f ca="1">IF(MOD(COUNTIF($Q$11:Q1188,Q1188),5)=0,10000*SUBSTITUTE(SUBSTITUTE(OFFSET(装备属性!$F$1083,1+INT(COUNTA($Q$11:Q1188)/5),0),"[",""),"]","")+_xlfn.XLOOKUP(C1189,$M$3:$M$7,$N$3:$N$7)*100,R1188)</f>
        <v>40800</v>
      </c>
    </row>
    <row r="1190" customHeight="1" spans="1:18">
      <c r="A1190" s="78">
        <f ca="1" t="shared" si="54"/>
        <v>40802</v>
      </c>
      <c r="B1190" s="82">
        <f ca="1">IFERROR(R1190+COUNTIFS($R$11:$R1190,R1190),"")</f>
        <v>40830</v>
      </c>
      <c r="C1190" s="83" t="str">
        <f ca="1">IF(MOD(COUNTIF($Q$11:Q1189,Q1189),5)=0,OFFSET(装备属性!$D$1083,1+INT(COUNTA($Q$11:Q1189)/5),0),C1189)</f>
        <v>彩</v>
      </c>
      <c r="D1190" s="82">
        <f t="shared" si="56"/>
        <v>1000</v>
      </c>
      <c r="F1190" s="82">
        <f ca="1" t="shared" si="55"/>
        <v>40805</v>
      </c>
      <c r="G1190" s="78" t="str">
        <f ca="1">IF(AND(LEFT("[{"&amp;M1190&amp;","&amp;CEILING(N1190*10000+(O1190-N1190)/4*(COUNTIF($F$11:F1190,F1190)-1)*10000,10)&amp;"}]",7)="[{equip",MID("[{"&amp;M1190&amp;","&amp;CEILING(N1190*10000+(O1190-N1190)/4*(COUNTIF($F$11:F1190,F1190)-1)*10000,10)&amp;"}]",8,1)&lt;&gt;"_"),"[{"&amp;M1190&amp;","&amp;1&amp;"}]","[{"&amp;M1190&amp;","&amp;CEILING(N1190*10000+(O1190-N1190)/4*(COUNTIF($F$11:F1190,F1190)-1)*10000,10)&amp;"}]")</f>
        <v>[{chapter_pve_hit_rate,1000}]</v>
      </c>
      <c r="H1190" s="82" t="s">
        <v>563</v>
      </c>
      <c r="J1190" s="78">
        <f ca="1">IF(MOD(COUNTIF($Q$11:Q1189,Q1189),5)=0,OFFSET(装备属性!$P$1083,1+INT(COUNTA($Q$11:Q1189)/5),0),J1189)</f>
        <v>6</v>
      </c>
      <c r="K1190" s="83" t="str">
        <f ca="1">IF(RIGHT(G1190,13)="rune_slot,1}]",_xlfn.XLOOKUP(LEFT(SUBSTITUTE(G1190,"[{",""),FIND(",",SUBSTITUTE(G1190,"[{",""))-1),Sheet2!B:B,Sheet2!C:C)&amp;"+"&amp;1,_xlfn.XLOOKUP(LEFT(SUBSTITUTE(G1190,"[{",""),FIND(",",SUBSTITUTE(G1190,"[{",""))-1),Sheet2!B:B,Sheet2!C:C)&amp;"+"&amp;SUBSTITUTE(RIGHT(G1190,LEN(G1190)-FIND(",",G1190)),"}]","")/100&amp;"%")</f>
        <v>主线挑战增伤+10%</v>
      </c>
      <c r="L1190" s="83" t="str">
        <f ca="1">IF(MOD(COUNTIF($Q$11:Q1189,Q1189),5)=0,OFFSET(装备属性!$G$1083,1+INT(COUNTA($Q$11:Q1189)/5),0),L1189)</f>
        <v>主线清场Ⅴ</v>
      </c>
      <c r="M1190" s="89" t="str">
        <f ca="1">IF(MOD(COUNTIF($Q$11:Q1189,Q1189),5)=0,OFFSET(装备属性!$H$1083,1+INT(COUNTA($Q$11:Q1189)/5),0),M1189)</f>
        <v>chapter_pve_hit_rate</v>
      </c>
      <c r="N1190" s="76">
        <f ca="1">IF(MOD(COUNTIF($Q$11:Q1189,Q1189),5)=0,OFFSET(装备属性!$K$1083,1+INT(COUNTA($Q$11:Q1189)/5),0),N1189)</f>
        <v>0.09</v>
      </c>
      <c r="O1190" s="76">
        <f ca="1">IF(MOD(COUNTIF($Q$11:Q1189,Q1189),5)=0,OFFSET(装备属性!$L$1083,1+INT(COUNTA($Q$11:Q1189)/5),0),O1189)</f>
        <v>0.1</v>
      </c>
      <c r="Q1190" s="89" t="str">
        <f ca="1">IF(MOD(COUNTIF($Q$11:Q1189,Q1189),5)=0,OFFSET(装备属性!$M$1083,1+INT(COUNTA($Q$11:Q1189)/5),0),Q1189)</f>
        <v>玩法类</v>
      </c>
      <c r="R1190" s="83">
        <f ca="1">IF(MOD(COUNTIF($Q$11:Q1189,Q1189),5)=0,10000*SUBSTITUTE(SUBSTITUTE(OFFSET(装备属性!$F$1083,1+INT(COUNTA($Q$11:Q1189)/5),0),"[",""),"]","")+_xlfn.XLOOKUP(C1190,$M$3:$M$7,$N$3:$N$7)*100,R1189)</f>
        <v>40800</v>
      </c>
    </row>
    <row r="1191" customHeight="1" spans="1:18">
      <c r="A1191" s="78">
        <f ca="1" t="shared" si="54"/>
        <v>40801</v>
      </c>
      <c r="B1191" s="82">
        <f ca="1">IFERROR(R1191+COUNTIFS($R$11:$R1191,R1191),"")</f>
        <v>40831</v>
      </c>
      <c r="C1191" s="83" t="str">
        <f ca="1">IF(MOD(COUNTIF($Q$11:Q1190,Q1190),5)=0,OFFSET(装备属性!$D$1083,1+INT(COUNTA($Q$11:Q1190)/5),0),C1190)</f>
        <v>彩</v>
      </c>
      <c r="D1191" s="82">
        <f t="shared" si="56"/>
        <v>3000</v>
      </c>
      <c r="F1191" s="82">
        <f ca="1" t="shared" si="55"/>
        <v>40806</v>
      </c>
      <c r="G1191" s="78" t="str">
        <f ca="1">IF(AND(LEFT("[{"&amp;M1191&amp;","&amp;CEILING(N1191*10000+(O1191-N1191)/4*(COUNTIF($F$11:F1191,F1191)-1)*10000,10)&amp;"}]",7)="[{equip",MID("[{"&amp;M1191&amp;","&amp;CEILING(N1191*10000+(O1191-N1191)/4*(COUNTIF($F$11:F1191,F1191)-1)*10000,10)&amp;"}]",8,1)&lt;&gt;"_"),"[{"&amp;M1191&amp;","&amp;1&amp;"}]","[{"&amp;M1191&amp;","&amp;CEILING(N1191*10000+(O1191-N1191)/4*(COUNTIF($F$11:F1191,F1191)-1)*10000,10)&amp;"}]")</f>
        <v>[{drug_dmg_red_rate,350}]</v>
      </c>
      <c r="H1191" s="82" t="s">
        <v>563</v>
      </c>
      <c r="J1191" s="78">
        <f ca="1">IF(MOD(COUNTIF($Q$11:Q1190,Q1190),5)=0,OFFSET(装备属性!$P$1083,1+INT(COUNTA($Q$11:Q1190)/5),0),J1190)</f>
        <v>5</v>
      </c>
      <c r="K1191" s="83" t="str">
        <f ca="1">IF(RIGHT(G1191,13)="rune_slot,1}]",_xlfn.XLOOKUP(LEFT(SUBSTITUTE(G1191,"[{",""),FIND(",",SUBSTITUTE(G1191,"[{",""))-1),Sheet2!B:B,Sheet2!C:C)&amp;"+"&amp;1,_xlfn.XLOOKUP(LEFT(SUBSTITUTE(G1191,"[{",""),FIND(",",SUBSTITUTE(G1191,"[{",""))-1),Sheet2!B:B,Sheet2!C:C)&amp;"+"&amp;SUBSTITUTE(RIGHT(G1191,LEN(G1191)-FIND(",",G1191)),"}]","")/100&amp;"%")</f>
        <v>毒系伤害减免+3.5%</v>
      </c>
      <c r="L1191" s="83" t="str">
        <f ca="1">IF(MOD(COUNTIF($Q$11:Q1190,Q1190),5)=0,OFFSET(装备属性!$G$1083,1+INT(COUNTA($Q$11:Q1190)/5),0),L1190)</f>
        <v>毒毒不怕Ⅴ</v>
      </c>
      <c r="M1191" s="89" t="str">
        <f ca="1">IF(MOD(COUNTIF($Q$11:Q1190,Q1190),5)=0,OFFSET(装备属性!$H$1083,1+INT(COUNTA($Q$11:Q1190)/5),0),M1190)</f>
        <v>drug_dmg_red_rate</v>
      </c>
      <c r="N1191" s="76">
        <f ca="1">IF(MOD(COUNTIF($Q$11:Q1190,Q1190),5)=0,OFFSET(装备属性!$K$1083,1+INT(COUNTA($Q$11:Q1190)/5),0),N1190)</f>
        <v>0.035</v>
      </c>
      <c r="O1191" s="76">
        <f ca="1">IF(MOD(COUNTIF($Q$11:Q1190,Q1190),5)=0,OFFSET(装备属性!$L$1083,1+INT(COUNTA($Q$11:Q1190)/5),0),O1190)</f>
        <v>0.039</v>
      </c>
      <c r="Q1191" s="89" t="str">
        <f ca="1">IF(MOD(COUNTIF($Q$11:Q1190,Q1190),5)=0,OFFSET(装备属性!$M$1083,1+INT(COUNTA($Q$11:Q1190)/5),0),Q1190)</f>
        <v>通用属性</v>
      </c>
      <c r="R1191" s="83">
        <f ca="1">IF(MOD(COUNTIF($Q$11:Q1190,Q1190),5)=0,10000*SUBSTITUTE(SUBSTITUTE(OFFSET(装备属性!$F$1083,1+INT(COUNTA($Q$11:Q1190)/5),0),"[",""),"]","")+_xlfn.XLOOKUP(C1191,$M$3:$M$7,$N$3:$N$7)*100,R1190)</f>
        <v>40800</v>
      </c>
    </row>
    <row r="1192" customHeight="1" spans="1:18">
      <c r="A1192" s="78">
        <f ca="1" t="shared" si="54"/>
        <v>40801</v>
      </c>
      <c r="B1192" s="82">
        <f ca="1">IFERROR(R1192+COUNTIFS($R$11:$R1192,R1192),"")</f>
        <v>40832</v>
      </c>
      <c r="C1192" s="83" t="str">
        <f ca="1">IF(MOD(COUNTIF($Q$11:Q1191,Q1191),5)=0,OFFSET(装备属性!$D$1083,1+INT(COUNTA($Q$11:Q1191)/5),0),C1191)</f>
        <v>彩</v>
      </c>
      <c r="D1192" s="82">
        <f t="shared" si="56"/>
        <v>2500</v>
      </c>
      <c r="F1192" s="82">
        <f ca="1" t="shared" si="55"/>
        <v>40806</v>
      </c>
      <c r="G1192" s="78" t="str">
        <f ca="1">IF(AND(LEFT("[{"&amp;M1192&amp;","&amp;CEILING(N1192*10000+(O1192-N1192)/4*(COUNTIF($F$11:F1192,F1192)-1)*10000,10)&amp;"}]",7)="[{equip",MID("[{"&amp;M1192&amp;","&amp;CEILING(N1192*10000+(O1192-N1192)/4*(COUNTIF($F$11:F1192,F1192)-1)*10000,10)&amp;"}]",8,1)&lt;&gt;"_"),"[{"&amp;M1192&amp;","&amp;1&amp;"}]","[{"&amp;M1192&amp;","&amp;CEILING(N1192*10000+(O1192-N1192)/4*(COUNTIF($F$11:F1192,F1192)-1)*10000,10)&amp;"}]")</f>
        <v>[{drug_dmg_red_rate,360}]</v>
      </c>
      <c r="H1192" s="82" t="s">
        <v>563</v>
      </c>
      <c r="J1192" s="78">
        <f ca="1">IF(MOD(COUNTIF($Q$11:Q1191,Q1191),5)=0,OFFSET(装备属性!$P$1083,1+INT(COUNTA($Q$11:Q1191)/5),0),J1191)</f>
        <v>5</v>
      </c>
      <c r="K1192" s="83" t="str">
        <f ca="1">IF(RIGHT(G1192,13)="rune_slot,1}]",_xlfn.XLOOKUP(LEFT(SUBSTITUTE(G1192,"[{",""),FIND(",",SUBSTITUTE(G1192,"[{",""))-1),Sheet2!B:B,Sheet2!C:C)&amp;"+"&amp;1,_xlfn.XLOOKUP(LEFT(SUBSTITUTE(G1192,"[{",""),FIND(",",SUBSTITUTE(G1192,"[{",""))-1),Sheet2!B:B,Sheet2!C:C)&amp;"+"&amp;SUBSTITUTE(RIGHT(G1192,LEN(G1192)-FIND(",",G1192)),"}]","")/100&amp;"%")</f>
        <v>毒系伤害减免+3.6%</v>
      </c>
      <c r="L1192" s="83" t="str">
        <f ca="1">IF(MOD(COUNTIF($Q$11:Q1191,Q1191),5)=0,OFFSET(装备属性!$G$1083,1+INT(COUNTA($Q$11:Q1191)/5),0),L1191)</f>
        <v>毒毒不怕Ⅴ</v>
      </c>
      <c r="M1192" s="89" t="str">
        <f ca="1">IF(MOD(COUNTIF($Q$11:Q1191,Q1191),5)=0,OFFSET(装备属性!$H$1083,1+INT(COUNTA($Q$11:Q1191)/5),0),M1191)</f>
        <v>drug_dmg_red_rate</v>
      </c>
      <c r="N1192" s="76">
        <f ca="1">IF(MOD(COUNTIF($Q$11:Q1191,Q1191),5)=0,OFFSET(装备属性!$K$1083,1+INT(COUNTA($Q$11:Q1191)/5),0),N1191)</f>
        <v>0.035</v>
      </c>
      <c r="O1192" s="76">
        <f ca="1">IF(MOD(COUNTIF($Q$11:Q1191,Q1191),5)=0,OFFSET(装备属性!$L$1083,1+INT(COUNTA($Q$11:Q1191)/5),0),O1191)</f>
        <v>0.039</v>
      </c>
      <c r="Q1192" s="89" t="str">
        <f ca="1">IF(MOD(COUNTIF($Q$11:Q1191,Q1191),5)=0,OFFSET(装备属性!$M$1083,1+INT(COUNTA($Q$11:Q1191)/5),0),Q1191)</f>
        <v>通用属性</v>
      </c>
      <c r="R1192" s="83">
        <f ca="1">IF(MOD(COUNTIF($Q$11:Q1191,Q1191),5)=0,10000*SUBSTITUTE(SUBSTITUTE(OFFSET(装备属性!$F$1083,1+INT(COUNTA($Q$11:Q1191)/5),0),"[",""),"]","")+_xlfn.XLOOKUP(C1192,$M$3:$M$7,$N$3:$N$7)*100,R1191)</f>
        <v>40800</v>
      </c>
    </row>
    <row r="1193" customHeight="1" spans="1:18">
      <c r="A1193" s="78">
        <f ca="1" t="shared" si="54"/>
        <v>40801</v>
      </c>
      <c r="B1193" s="82">
        <f ca="1">IFERROR(R1193+COUNTIFS($R$11:$R1193,R1193),"")</f>
        <v>40833</v>
      </c>
      <c r="C1193" s="83" t="str">
        <f ca="1">IF(MOD(COUNTIF($Q$11:Q1192,Q1192),5)=0,OFFSET(装备属性!$D$1083,1+INT(COUNTA($Q$11:Q1192)/5),0),C1192)</f>
        <v>彩</v>
      </c>
      <c r="D1193" s="82">
        <f t="shared" si="56"/>
        <v>2000</v>
      </c>
      <c r="F1193" s="82">
        <f ca="1" t="shared" si="55"/>
        <v>40806</v>
      </c>
      <c r="G1193" s="78" t="str">
        <f ca="1">IF(AND(LEFT("[{"&amp;M1193&amp;","&amp;CEILING(N1193*10000+(O1193-N1193)/4*(COUNTIF($F$11:F1193,F1193)-1)*10000,10)&amp;"}]",7)="[{equip",MID("[{"&amp;M1193&amp;","&amp;CEILING(N1193*10000+(O1193-N1193)/4*(COUNTIF($F$11:F1193,F1193)-1)*10000,10)&amp;"}]",8,1)&lt;&gt;"_"),"[{"&amp;M1193&amp;","&amp;1&amp;"}]","[{"&amp;M1193&amp;","&amp;CEILING(N1193*10000+(O1193-N1193)/4*(COUNTIF($F$11:F1193,F1193)-1)*10000,10)&amp;"}]")</f>
        <v>[{drug_dmg_red_rate,370}]</v>
      </c>
      <c r="H1193" s="82" t="s">
        <v>563</v>
      </c>
      <c r="J1193" s="78">
        <f ca="1">IF(MOD(COUNTIF($Q$11:Q1192,Q1192),5)=0,OFFSET(装备属性!$P$1083,1+INT(COUNTA($Q$11:Q1192)/5),0),J1192)</f>
        <v>5</v>
      </c>
      <c r="K1193" s="83" t="str">
        <f ca="1">IF(RIGHT(G1193,13)="rune_slot,1}]",_xlfn.XLOOKUP(LEFT(SUBSTITUTE(G1193,"[{",""),FIND(",",SUBSTITUTE(G1193,"[{",""))-1),Sheet2!B:B,Sheet2!C:C)&amp;"+"&amp;1,_xlfn.XLOOKUP(LEFT(SUBSTITUTE(G1193,"[{",""),FIND(",",SUBSTITUTE(G1193,"[{",""))-1),Sheet2!B:B,Sheet2!C:C)&amp;"+"&amp;SUBSTITUTE(RIGHT(G1193,LEN(G1193)-FIND(",",G1193)),"}]","")/100&amp;"%")</f>
        <v>毒系伤害减免+3.7%</v>
      </c>
      <c r="L1193" s="83" t="str">
        <f ca="1">IF(MOD(COUNTIF($Q$11:Q1192,Q1192),5)=0,OFFSET(装备属性!$G$1083,1+INT(COUNTA($Q$11:Q1192)/5),0),L1192)</f>
        <v>毒毒不怕Ⅴ</v>
      </c>
      <c r="M1193" s="89" t="str">
        <f ca="1">IF(MOD(COUNTIF($Q$11:Q1192,Q1192),5)=0,OFFSET(装备属性!$H$1083,1+INT(COUNTA($Q$11:Q1192)/5),0),M1192)</f>
        <v>drug_dmg_red_rate</v>
      </c>
      <c r="N1193" s="76">
        <f ca="1">IF(MOD(COUNTIF($Q$11:Q1192,Q1192),5)=0,OFFSET(装备属性!$K$1083,1+INT(COUNTA($Q$11:Q1192)/5),0),N1192)</f>
        <v>0.035</v>
      </c>
      <c r="O1193" s="76">
        <f ca="1">IF(MOD(COUNTIF($Q$11:Q1192,Q1192),5)=0,OFFSET(装备属性!$L$1083,1+INT(COUNTA($Q$11:Q1192)/5),0),O1192)</f>
        <v>0.039</v>
      </c>
      <c r="Q1193" s="89" t="str">
        <f ca="1">IF(MOD(COUNTIF($Q$11:Q1192,Q1192),5)=0,OFFSET(装备属性!$M$1083,1+INT(COUNTA($Q$11:Q1192)/5),0),Q1192)</f>
        <v>通用属性</v>
      </c>
      <c r="R1193" s="83">
        <f ca="1">IF(MOD(COUNTIF($Q$11:Q1192,Q1192),5)=0,10000*SUBSTITUTE(SUBSTITUTE(OFFSET(装备属性!$F$1083,1+INT(COUNTA($Q$11:Q1192)/5),0),"[",""),"]","")+_xlfn.XLOOKUP(C1193,$M$3:$M$7,$N$3:$N$7)*100,R1192)</f>
        <v>40800</v>
      </c>
    </row>
    <row r="1194" customHeight="1" spans="1:18">
      <c r="A1194" s="78">
        <f ca="1" t="shared" si="54"/>
        <v>40801</v>
      </c>
      <c r="B1194" s="82">
        <f ca="1">IFERROR(R1194+COUNTIFS($R$11:$R1194,R1194),"")</f>
        <v>40834</v>
      </c>
      <c r="C1194" s="83" t="str">
        <f ca="1">IF(MOD(COUNTIF($Q$11:Q1193,Q1193),5)=0,OFFSET(装备属性!$D$1083,1+INT(COUNTA($Q$11:Q1193)/5),0),C1193)</f>
        <v>彩</v>
      </c>
      <c r="D1194" s="82">
        <f t="shared" si="56"/>
        <v>1500</v>
      </c>
      <c r="F1194" s="82">
        <f ca="1" t="shared" si="55"/>
        <v>40806</v>
      </c>
      <c r="G1194" s="78" t="str">
        <f ca="1">IF(AND(LEFT("[{"&amp;M1194&amp;","&amp;CEILING(N1194*10000+(O1194-N1194)/4*(COUNTIF($F$11:F1194,F1194)-1)*10000,10)&amp;"}]",7)="[{equip",MID("[{"&amp;M1194&amp;","&amp;CEILING(N1194*10000+(O1194-N1194)/4*(COUNTIF($F$11:F1194,F1194)-1)*10000,10)&amp;"}]",8,1)&lt;&gt;"_"),"[{"&amp;M1194&amp;","&amp;1&amp;"}]","[{"&amp;M1194&amp;","&amp;CEILING(N1194*10000+(O1194-N1194)/4*(COUNTIF($F$11:F1194,F1194)-1)*10000,10)&amp;"}]")</f>
        <v>[{drug_dmg_red_rate,380}]</v>
      </c>
      <c r="H1194" s="82" t="s">
        <v>563</v>
      </c>
      <c r="J1194" s="78">
        <f ca="1">IF(MOD(COUNTIF($Q$11:Q1193,Q1193),5)=0,OFFSET(装备属性!$P$1083,1+INT(COUNTA($Q$11:Q1193)/5),0),J1193)</f>
        <v>5</v>
      </c>
      <c r="K1194" s="83" t="str">
        <f ca="1">IF(RIGHT(G1194,13)="rune_slot,1}]",_xlfn.XLOOKUP(LEFT(SUBSTITUTE(G1194,"[{",""),FIND(",",SUBSTITUTE(G1194,"[{",""))-1),Sheet2!B:B,Sheet2!C:C)&amp;"+"&amp;1,_xlfn.XLOOKUP(LEFT(SUBSTITUTE(G1194,"[{",""),FIND(",",SUBSTITUTE(G1194,"[{",""))-1),Sheet2!B:B,Sheet2!C:C)&amp;"+"&amp;SUBSTITUTE(RIGHT(G1194,LEN(G1194)-FIND(",",G1194)),"}]","")/100&amp;"%")</f>
        <v>毒系伤害减免+3.8%</v>
      </c>
      <c r="L1194" s="83" t="str">
        <f ca="1">IF(MOD(COUNTIF($Q$11:Q1193,Q1193),5)=0,OFFSET(装备属性!$G$1083,1+INT(COUNTA($Q$11:Q1193)/5),0),L1193)</f>
        <v>毒毒不怕Ⅴ</v>
      </c>
      <c r="M1194" s="89" t="str">
        <f ca="1">IF(MOD(COUNTIF($Q$11:Q1193,Q1193),5)=0,OFFSET(装备属性!$H$1083,1+INT(COUNTA($Q$11:Q1193)/5),0),M1193)</f>
        <v>drug_dmg_red_rate</v>
      </c>
      <c r="N1194" s="76">
        <f ca="1">IF(MOD(COUNTIF($Q$11:Q1193,Q1193),5)=0,OFFSET(装备属性!$K$1083,1+INT(COUNTA($Q$11:Q1193)/5),0),N1193)</f>
        <v>0.035</v>
      </c>
      <c r="O1194" s="76">
        <f ca="1">IF(MOD(COUNTIF($Q$11:Q1193,Q1193),5)=0,OFFSET(装备属性!$L$1083,1+INT(COUNTA($Q$11:Q1193)/5),0),O1193)</f>
        <v>0.039</v>
      </c>
      <c r="Q1194" s="89" t="str">
        <f ca="1">IF(MOD(COUNTIF($Q$11:Q1193,Q1193),5)=0,OFFSET(装备属性!$M$1083,1+INT(COUNTA($Q$11:Q1193)/5),0),Q1193)</f>
        <v>通用属性</v>
      </c>
      <c r="R1194" s="83">
        <f ca="1">IF(MOD(COUNTIF($Q$11:Q1193,Q1193),5)=0,10000*SUBSTITUTE(SUBSTITUTE(OFFSET(装备属性!$F$1083,1+INT(COUNTA($Q$11:Q1193)/5),0),"[",""),"]","")+_xlfn.XLOOKUP(C1194,$M$3:$M$7,$N$3:$N$7)*100,R1193)</f>
        <v>40800</v>
      </c>
    </row>
    <row r="1195" customHeight="1" spans="1:18">
      <c r="A1195" s="78">
        <f ca="1" t="shared" si="54"/>
        <v>40801</v>
      </c>
      <c r="B1195" s="82">
        <f ca="1">IFERROR(R1195+COUNTIFS($R$11:$R1195,R1195),"")</f>
        <v>40835</v>
      </c>
      <c r="C1195" s="83" t="str">
        <f ca="1">IF(MOD(COUNTIF($Q$11:Q1194,Q1194),5)=0,OFFSET(装备属性!$D$1083,1+INT(COUNTA($Q$11:Q1194)/5),0),C1194)</f>
        <v>彩</v>
      </c>
      <c r="D1195" s="82">
        <f t="shared" si="56"/>
        <v>1000</v>
      </c>
      <c r="F1195" s="82">
        <f ca="1" t="shared" si="55"/>
        <v>40806</v>
      </c>
      <c r="G1195" s="78" t="str">
        <f ca="1">IF(AND(LEFT("[{"&amp;M1195&amp;","&amp;CEILING(N1195*10000+(O1195-N1195)/4*(COUNTIF($F$11:F1195,F1195)-1)*10000,10)&amp;"}]",7)="[{equip",MID("[{"&amp;M1195&amp;","&amp;CEILING(N1195*10000+(O1195-N1195)/4*(COUNTIF($F$11:F1195,F1195)-1)*10000,10)&amp;"}]",8,1)&lt;&gt;"_"),"[{"&amp;M1195&amp;","&amp;1&amp;"}]","[{"&amp;M1195&amp;","&amp;CEILING(N1195*10000+(O1195-N1195)/4*(COUNTIF($F$11:F1195,F1195)-1)*10000,10)&amp;"}]")</f>
        <v>[{drug_dmg_red_rate,390}]</v>
      </c>
      <c r="H1195" s="82" t="s">
        <v>563</v>
      </c>
      <c r="J1195" s="78">
        <f ca="1">IF(MOD(COUNTIF($Q$11:Q1194,Q1194),5)=0,OFFSET(装备属性!$P$1083,1+INT(COUNTA($Q$11:Q1194)/5),0),J1194)</f>
        <v>5</v>
      </c>
      <c r="K1195" s="83" t="str">
        <f ca="1">IF(RIGHT(G1195,13)="rune_slot,1}]",_xlfn.XLOOKUP(LEFT(SUBSTITUTE(G1195,"[{",""),FIND(",",SUBSTITUTE(G1195,"[{",""))-1),Sheet2!B:B,Sheet2!C:C)&amp;"+"&amp;1,_xlfn.XLOOKUP(LEFT(SUBSTITUTE(G1195,"[{",""),FIND(",",SUBSTITUTE(G1195,"[{",""))-1),Sheet2!B:B,Sheet2!C:C)&amp;"+"&amp;SUBSTITUTE(RIGHT(G1195,LEN(G1195)-FIND(",",G1195)),"}]","")/100&amp;"%")</f>
        <v>毒系伤害减免+3.9%</v>
      </c>
      <c r="L1195" s="83" t="str">
        <f ca="1">IF(MOD(COUNTIF($Q$11:Q1194,Q1194),5)=0,OFFSET(装备属性!$G$1083,1+INT(COUNTA($Q$11:Q1194)/5),0),L1194)</f>
        <v>毒毒不怕Ⅴ</v>
      </c>
      <c r="M1195" s="89" t="str">
        <f ca="1">IF(MOD(COUNTIF($Q$11:Q1194,Q1194),5)=0,OFFSET(装备属性!$H$1083,1+INT(COUNTA($Q$11:Q1194)/5),0),M1194)</f>
        <v>drug_dmg_red_rate</v>
      </c>
      <c r="N1195" s="76">
        <f ca="1">IF(MOD(COUNTIF($Q$11:Q1194,Q1194),5)=0,OFFSET(装备属性!$K$1083,1+INT(COUNTA($Q$11:Q1194)/5),0),N1194)</f>
        <v>0.035</v>
      </c>
      <c r="O1195" s="76">
        <f ca="1">IF(MOD(COUNTIF($Q$11:Q1194,Q1194),5)=0,OFFSET(装备属性!$L$1083,1+INT(COUNTA($Q$11:Q1194)/5),0),O1194)</f>
        <v>0.039</v>
      </c>
      <c r="Q1195" s="89" t="str">
        <f ca="1">IF(MOD(COUNTIF($Q$11:Q1194,Q1194),5)=0,OFFSET(装备属性!$M$1083,1+INT(COUNTA($Q$11:Q1194)/5),0),Q1194)</f>
        <v>通用属性</v>
      </c>
      <c r="R1195" s="83">
        <f ca="1">IF(MOD(COUNTIF($Q$11:Q1194,Q1194),5)=0,10000*SUBSTITUTE(SUBSTITUTE(OFFSET(装备属性!$F$1083,1+INT(COUNTA($Q$11:Q1194)/5),0),"[",""),"]","")+_xlfn.XLOOKUP(C1195,$M$3:$M$7,$N$3:$N$7)*100,R1194)</f>
        <v>40800</v>
      </c>
    </row>
    <row r="1196" customHeight="1" spans="1:18">
      <c r="A1196" s="78">
        <f ca="1" t="shared" si="54"/>
        <v>40801</v>
      </c>
      <c r="B1196" s="82">
        <f ca="1">IFERROR(R1196+COUNTIFS($R$11:$R1196,R1196),"")</f>
        <v>40836</v>
      </c>
      <c r="C1196" s="83" t="str">
        <f ca="1">IF(MOD(COUNTIF($Q$11:Q1195,Q1195),5)=0,OFFSET(装备属性!$D$1083,1+INT(COUNTA($Q$11:Q1195)/5),0),C1195)</f>
        <v>彩</v>
      </c>
      <c r="D1196" s="82">
        <f t="shared" si="56"/>
        <v>3000</v>
      </c>
      <c r="F1196" s="82">
        <f ca="1" t="shared" si="55"/>
        <v>40807</v>
      </c>
      <c r="G1196" s="78" t="str">
        <f ca="1">IF(AND(LEFT("[{"&amp;M1196&amp;","&amp;CEILING(N1196*10000+(O1196-N1196)/4*(COUNTIF($F$11:F1196,F1196)-1)*10000,10)&amp;"}]",7)="[{equip",MID("[{"&amp;M1196&amp;","&amp;CEILING(N1196*10000+(O1196-N1196)/4*(COUNTIF($F$11:F1196,F1196)-1)*10000,10)&amp;"}]",8,1)&lt;&gt;"_"),"[{"&amp;M1196&amp;","&amp;1&amp;"}]","[{"&amp;M1196&amp;","&amp;CEILING(N1196*10000+(O1196-N1196)/4*(COUNTIF($F$11:F1196,F1196)-1)*10000,10)&amp;"}]")</f>
        <v>[{drug_dmg_rate,900}]</v>
      </c>
      <c r="H1196" s="82" t="s">
        <v>563</v>
      </c>
      <c r="J1196" s="78">
        <f ca="1">IF(MOD(COUNTIF($Q$11:Q1195,Q1195),5)=0,OFFSET(装备属性!$P$1083,1+INT(COUNTA($Q$11:Q1195)/5),0),J1195)</f>
        <v>3</v>
      </c>
      <c r="K1196" s="83" t="str">
        <f ca="1">IF(RIGHT(G1196,13)="rune_slot,1}]",_xlfn.XLOOKUP(LEFT(SUBSTITUTE(G1196,"[{",""),FIND(",",SUBSTITUTE(G1196,"[{",""))-1),Sheet2!B:B,Sheet2!C:C)&amp;"+"&amp;1,_xlfn.XLOOKUP(LEFT(SUBSTITUTE(G1196,"[{",""),FIND(",",SUBSTITUTE(G1196,"[{",""))-1),Sheet2!B:B,Sheet2!C:C)&amp;"+"&amp;SUBSTITUTE(RIGHT(G1196,LEN(G1196)-FIND(",",G1196)),"}]","")/100&amp;"%")</f>
        <v>毒系伤害+9%</v>
      </c>
      <c r="L1196" s="83" t="str">
        <f ca="1">IF(MOD(COUNTIF($Q$11:Q1195,Q1195),5)=0,OFFSET(装备属性!$G$1083,1+INT(COUNTA($Q$11:Q1195)/5),0),L1195)</f>
        <v>毒毒加量Ⅴ</v>
      </c>
      <c r="M1196" s="89" t="str">
        <f ca="1">IF(MOD(COUNTIF($Q$11:Q1195,Q1195),5)=0,OFFSET(装备属性!$H$1083,1+INT(COUNTA($Q$11:Q1195)/5),0),M1195)</f>
        <v>drug_dmg_rate</v>
      </c>
      <c r="N1196" s="76">
        <f ca="1">IF(MOD(COUNTIF($Q$11:Q1195,Q1195),5)=0,OFFSET(装备属性!$K$1083,1+INT(COUNTA($Q$11:Q1195)/5),0),N1195)</f>
        <v>0.09</v>
      </c>
      <c r="O1196" s="76">
        <f ca="1">IF(MOD(COUNTIF($Q$11:Q1195,Q1195),5)=0,OFFSET(装备属性!$L$1083,1+INT(COUNTA($Q$11:Q1195)/5),0),O1195)</f>
        <v>0.1</v>
      </c>
      <c r="Q1196" s="89" t="str">
        <f ca="1">IF(MOD(COUNTIF($Q$11:Q1195,Q1195),5)=0,OFFSET(装备属性!$M$1083,1+INT(COUNTA($Q$11:Q1195)/5),0),Q1195)</f>
        <v>通用属性</v>
      </c>
      <c r="R1196" s="83">
        <f ca="1">IF(MOD(COUNTIF($Q$11:Q1195,Q1195),5)=0,10000*SUBSTITUTE(SUBSTITUTE(OFFSET(装备属性!$F$1083,1+INT(COUNTA($Q$11:Q1195)/5),0),"[",""),"]","")+_xlfn.XLOOKUP(C1196,$M$3:$M$7,$N$3:$N$7)*100,R1195)</f>
        <v>40800</v>
      </c>
    </row>
    <row r="1197" customHeight="1" spans="1:18">
      <c r="A1197" s="78">
        <f ca="1" t="shared" si="54"/>
        <v>40801</v>
      </c>
      <c r="B1197" s="82">
        <f ca="1">IFERROR(R1197+COUNTIFS($R$11:$R1197,R1197),"")</f>
        <v>40837</v>
      </c>
      <c r="C1197" s="83" t="str">
        <f ca="1">IF(MOD(COUNTIF($Q$11:Q1196,Q1196),5)=0,OFFSET(装备属性!$D$1083,1+INT(COUNTA($Q$11:Q1196)/5),0),C1196)</f>
        <v>彩</v>
      </c>
      <c r="D1197" s="82">
        <f t="shared" si="56"/>
        <v>2500</v>
      </c>
      <c r="F1197" s="82">
        <f ca="1" t="shared" si="55"/>
        <v>40807</v>
      </c>
      <c r="G1197" s="78" t="str">
        <f ca="1">IF(AND(LEFT("[{"&amp;M1197&amp;","&amp;CEILING(N1197*10000+(O1197-N1197)/4*(COUNTIF($F$11:F1197,F1197)-1)*10000,10)&amp;"}]",7)="[{equip",MID("[{"&amp;M1197&amp;","&amp;CEILING(N1197*10000+(O1197-N1197)/4*(COUNTIF($F$11:F1197,F1197)-1)*10000,10)&amp;"}]",8,1)&lt;&gt;"_"),"[{"&amp;M1197&amp;","&amp;1&amp;"}]","[{"&amp;M1197&amp;","&amp;CEILING(N1197*10000+(O1197-N1197)/4*(COUNTIF($F$11:F1197,F1197)-1)*10000,10)&amp;"}]")</f>
        <v>[{drug_dmg_rate,930}]</v>
      </c>
      <c r="H1197" s="82" t="s">
        <v>563</v>
      </c>
      <c r="J1197" s="78">
        <f ca="1">IF(MOD(COUNTIF($Q$11:Q1196,Q1196),5)=0,OFFSET(装备属性!$P$1083,1+INT(COUNTA($Q$11:Q1196)/5),0),J1196)</f>
        <v>3</v>
      </c>
      <c r="K1197" s="83" t="str">
        <f ca="1">IF(RIGHT(G1197,13)="rune_slot,1}]",_xlfn.XLOOKUP(LEFT(SUBSTITUTE(G1197,"[{",""),FIND(",",SUBSTITUTE(G1197,"[{",""))-1),Sheet2!B:B,Sheet2!C:C)&amp;"+"&amp;1,_xlfn.XLOOKUP(LEFT(SUBSTITUTE(G1197,"[{",""),FIND(",",SUBSTITUTE(G1197,"[{",""))-1),Sheet2!B:B,Sheet2!C:C)&amp;"+"&amp;SUBSTITUTE(RIGHT(G1197,LEN(G1197)-FIND(",",G1197)),"}]","")/100&amp;"%")</f>
        <v>毒系伤害+9.3%</v>
      </c>
      <c r="L1197" s="83" t="str">
        <f ca="1">IF(MOD(COUNTIF($Q$11:Q1196,Q1196),5)=0,OFFSET(装备属性!$G$1083,1+INT(COUNTA($Q$11:Q1196)/5),0),L1196)</f>
        <v>毒毒加量Ⅴ</v>
      </c>
      <c r="M1197" s="89" t="str">
        <f ca="1">IF(MOD(COUNTIF($Q$11:Q1196,Q1196),5)=0,OFFSET(装备属性!$H$1083,1+INT(COUNTA($Q$11:Q1196)/5),0),M1196)</f>
        <v>drug_dmg_rate</v>
      </c>
      <c r="N1197" s="76">
        <f ca="1">IF(MOD(COUNTIF($Q$11:Q1196,Q1196),5)=0,OFFSET(装备属性!$K$1083,1+INT(COUNTA($Q$11:Q1196)/5),0),N1196)</f>
        <v>0.09</v>
      </c>
      <c r="O1197" s="76">
        <f ca="1">IF(MOD(COUNTIF($Q$11:Q1196,Q1196),5)=0,OFFSET(装备属性!$L$1083,1+INT(COUNTA($Q$11:Q1196)/5),0),O1196)</f>
        <v>0.1</v>
      </c>
      <c r="Q1197" s="89" t="str">
        <f ca="1">IF(MOD(COUNTIF($Q$11:Q1196,Q1196),5)=0,OFFSET(装备属性!$M$1083,1+INT(COUNTA($Q$11:Q1196)/5),0),Q1196)</f>
        <v>通用属性</v>
      </c>
      <c r="R1197" s="83">
        <f ca="1">IF(MOD(COUNTIF($Q$11:Q1196,Q1196),5)=0,10000*SUBSTITUTE(SUBSTITUTE(OFFSET(装备属性!$F$1083,1+INT(COUNTA($Q$11:Q1196)/5),0),"[",""),"]","")+_xlfn.XLOOKUP(C1197,$M$3:$M$7,$N$3:$N$7)*100,R1196)</f>
        <v>40800</v>
      </c>
    </row>
    <row r="1198" customHeight="1" spans="1:18">
      <c r="A1198" s="78">
        <f ca="1" t="shared" si="54"/>
        <v>40801</v>
      </c>
      <c r="B1198" s="82">
        <f ca="1">IFERROR(R1198+COUNTIFS($R$11:$R1198,R1198),"")</f>
        <v>40838</v>
      </c>
      <c r="C1198" s="83" t="str">
        <f ca="1">IF(MOD(COUNTIF($Q$11:Q1197,Q1197),5)=0,OFFSET(装备属性!$D$1083,1+INT(COUNTA($Q$11:Q1197)/5),0),C1197)</f>
        <v>彩</v>
      </c>
      <c r="D1198" s="82">
        <f t="shared" si="56"/>
        <v>2000</v>
      </c>
      <c r="F1198" s="82">
        <f ca="1" t="shared" si="55"/>
        <v>40807</v>
      </c>
      <c r="G1198" s="78" t="str">
        <f ca="1">IF(AND(LEFT("[{"&amp;M1198&amp;","&amp;CEILING(N1198*10000+(O1198-N1198)/4*(COUNTIF($F$11:F1198,F1198)-1)*10000,10)&amp;"}]",7)="[{equip",MID("[{"&amp;M1198&amp;","&amp;CEILING(N1198*10000+(O1198-N1198)/4*(COUNTIF($F$11:F1198,F1198)-1)*10000,10)&amp;"}]",8,1)&lt;&gt;"_"),"[{"&amp;M1198&amp;","&amp;1&amp;"}]","[{"&amp;M1198&amp;","&amp;CEILING(N1198*10000+(O1198-N1198)/4*(COUNTIF($F$11:F1198,F1198)-1)*10000,10)&amp;"}]")</f>
        <v>[{drug_dmg_rate,950}]</v>
      </c>
      <c r="H1198" s="82" t="s">
        <v>563</v>
      </c>
      <c r="J1198" s="78">
        <f ca="1">IF(MOD(COUNTIF($Q$11:Q1197,Q1197),5)=0,OFFSET(装备属性!$P$1083,1+INT(COUNTA($Q$11:Q1197)/5),0),J1197)</f>
        <v>3</v>
      </c>
      <c r="K1198" s="83" t="str">
        <f ca="1">IF(RIGHT(G1198,13)="rune_slot,1}]",_xlfn.XLOOKUP(LEFT(SUBSTITUTE(G1198,"[{",""),FIND(",",SUBSTITUTE(G1198,"[{",""))-1),Sheet2!B:B,Sheet2!C:C)&amp;"+"&amp;1,_xlfn.XLOOKUP(LEFT(SUBSTITUTE(G1198,"[{",""),FIND(",",SUBSTITUTE(G1198,"[{",""))-1),Sheet2!B:B,Sheet2!C:C)&amp;"+"&amp;SUBSTITUTE(RIGHT(G1198,LEN(G1198)-FIND(",",G1198)),"}]","")/100&amp;"%")</f>
        <v>毒系伤害+9.5%</v>
      </c>
      <c r="L1198" s="83" t="str">
        <f ca="1">IF(MOD(COUNTIF($Q$11:Q1197,Q1197),5)=0,OFFSET(装备属性!$G$1083,1+INT(COUNTA($Q$11:Q1197)/5),0),L1197)</f>
        <v>毒毒加量Ⅴ</v>
      </c>
      <c r="M1198" s="89" t="str">
        <f ca="1">IF(MOD(COUNTIF($Q$11:Q1197,Q1197),5)=0,OFFSET(装备属性!$H$1083,1+INT(COUNTA($Q$11:Q1197)/5),0),M1197)</f>
        <v>drug_dmg_rate</v>
      </c>
      <c r="N1198" s="76">
        <f ca="1">IF(MOD(COUNTIF($Q$11:Q1197,Q1197),5)=0,OFFSET(装备属性!$K$1083,1+INT(COUNTA($Q$11:Q1197)/5),0),N1197)</f>
        <v>0.09</v>
      </c>
      <c r="O1198" s="76">
        <f ca="1">IF(MOD(COUNTIF($Q$11:Q1197,Q1197),5)=0,OFFSET(装备属性!$L$1083,1+INT(COUNTA($Q$11:Q1197)/5),0),O1197)</f>
        <v>0.1</v>
      </c>
      <c r="Q1198" s="89" t="str">
        <f ca="1">IF(MOD(COUNTIF($Q$11:Q1197,Q1197),5)=0,OFFSET(装备属性!$M$1083,1+INT(COUNTA($Q$11:Q1197)/5),0),Q1197)</f>
        <v>通用属性</v>
      </c>
      <c r="R1198" s="83">
        <f ca="1">IF(MOD(COUNTIF($Q$11:Q1197,Q1197),5)=0,10000*SUBSTITUTE(SUBSTITUTE(OFFSET(装备属性!$F$1083,1+INT(COUNTA($Q$11:Q1197)/5),0),"[",""),"]","")+_xlfn.XLOOKUP(C1198,$M$3:$M$7,$N$3:$N$7)*100,R1197)</f>
        <v>40800</v>
      </c>
    </row>
    <row r="1199" customHeight="1" spans="1:18">
      <c r="A1199" s="78">
        <f ca="1" t="shared" si="54"/>
        <v>40801</v>
      </c>
      <c r="B1199" s="82">
        <f ca="1">IFERROR(R1199+COUNTIFS($R$11:$R1199,R1199),"")</f>
        <v>40839</v>
      </c>
      <c r="C1199" s="83" t="str">
        <f ca="1">IF(MOD(COUNTIF($Q$11:Q1198,Q1198),5)=0,OFFSET(装备属性!$D$1083,1+INT(COUNTA($Q$11:Q1198)/5),0),C1198)</f>
        <v>彩</v>
      </c>
      <c r="D1199" s="82">
        <f t="shared" si="56"/>
        <v>1500</v>
      </c>
      <c r="F1199" s="82">
        <f ca="1" t="shared" si="55"/>
        <v>40807</v>
      </c>
      <c r="G1199" s="78" t="str">
        <f ca="1">IF(AND(LEFT("[{"&amp;M1199&amp;","&amp;CEILING(N1199*10000+(O1199-N1199)/4*(COUNTIF($F$11:F1199,F1199)-1)*10000,10)&amp;"}]",7)="[{equip",MID("[{"&amp;M1199&amp;","&amp;CEILING(N1199*10000+(O1199-N1199)/4*(COUNTIF($F$11:F1199,F1199)-1)*10000,10)&amp;"}]",8,1)&lt;&gt;"_"),"[{"&amp;M1199&amp;","&amp;1&amp;"}]","[{"&amp;M1199&amp;","&amp;CEILING(N1199*10000+(O1199-N1199)/4*(COUNTIF($F$11:F1199,F1199)-1)*10000,10)&amp;"}]")</f>
        <v>[{drug_dmg_rate,980}]</v>
      </c>
      <c r="H1199" s="82" t="s">
        <v>563</v>
      </c>
      <c r="J1199" s="78">
        <f ca="1">IF(MOD(COUNTIF($Q$11:Q1198,Q1198),5)=0,OFFSET(装备属性!$P$1083,1+INT(COUNTA($Q$11:Q1198)/5),0),J1198)</f>
        <v>3</v>
      </c>
      <c r="K1199" s="83" t="str">
        <f ca="1">IF(RIGHT(G1199,13)="rune_slot,1}]",_xlfn.XLOOKUP(LEFT(SUBSTITUTE(G1199,"[{",""),FIND(",",SUBSTITUTE(G1199,"[{",""))-1),Sheet2!B:B,Sheet2!C:C)&amp;"+"&amp;1,_xlfn.XLOOKUP(LEFT(SUBSTITUTE(G1199,"[{",""),FIND(",",SUBSTITUTE(G1199,"[{",""))-1),Sheet2!B:B,Sheet2!C:C)&amp;"+"&amp;SUBSTITUTE(RIGHT(G1199,LEN(G1199)-FIND(",",G1199)),"}]","")/100&amp;"%")</f>
        <v>毒系伤害+9.8%</v>
      </c>
      <c r="L1199" s="83" t="str">
        <f ca="1">IF(MOD(COUNTIF($Q$11:Q1198,Q1198),5)=0,OFFSET(装备属性!$G$1083,1+INT(COUNTA($Q$11:Q1198)/5),0),L1198)</f>
        <v>毒毒加量Ⅴ</v>
      </c>
      <c r="M1199" s="89" t="str">
        <f ca="1">IF(MOD(COUNTIF($Q$11:Q1198,Q1198),5)=0,OFFSET(装备属性!$H$1083,1+INT(COUNTA($Q$11:Q1198)/5),0),M1198)</f>
        <v>drug_dmg_rate</v>
      </c>
      <c r="N1199" s="76">
        <f ca="1">IF(MOD(COUNTIF($Q$11:Q1198,Q1198),5)=0,OFFSET(装备属性!$K$1083,1+INT(COUNTA($Q$11:Q1198)/5),0),N1198)</f>
        <v>0.09</v>
      </c>
      <c r="O1199" s="76">
        <f ca="1">IF(MOD(COUNTIF($Q$11:Q1198,Q1198),5)=0,OFFSET(装备属性!$L$1083,1+INT(COUNTA($Q$11:Q1198)/5),0),O1198)</f>
        <v>0.1</v>
      </c>
      <c r="Q1199" s="89" t="str">
        <f ca="1">IF(MOD(COUNTIF($Q$11:Q1198,Q1198),5)=0,OFFSET(装备属性!$M$1083,1+INT(COUNTA($Q$11:Q1198)/5),0),Q1198)</f>
        <v>通用属性</v>
      </c>
      <c r="R1199" s="83">
        <f ca="1">IF(MOD(COUNTIF($Q$11:Q1198,Q1198),5)=0,10000*SUBSTITUTE(SUBSTITUTE(OFFSET(装备属性!$F$1083,1+INT(COUNTA($Q$11:Q1198)/5),0),"[",""),"]","")+_xlfn.XLOOKUP(C1199,$M$3:$M$7,$N$3:$N$7)*100,R1198)</f>
        <v>40800</v>
      </c>
    </row>
    <row r="1200" customHeight="1" spans="1:18">
      <c r="A1200" s="78">
        <f ca="1" t="shared" si="54"/>
        <v>40801</v>
      </c>
      <c r="B1200" s="82">
        <f ca="1">IFERROR(R1200+COUNTIFS($R$11:$R1200,R1200),"")</f>
        <v>40840</v>
      </c>
      <c r="C1200" s="83" t="str">
        <f ca="1">IF(MOD(COUNTIF($Q$11:Q1199,Q1199),5)=0,OFFSET(装备属性!$D$1083,1+INT(COUNTA($Q$11:Q1199)/5),0),C1199)</f>
        <v>彩</v>
      </c>
      <c r="D1200" s="82">
        <f t="shared" si="56"/>
        <v>1000</v>
      </c>
      <c r="F1200" s="82">
        <f ca="1" t="shared" si="55"/>
        <v>40807</v>
      </c>
      <c r="G1200" s="78" t="str">
        <f ca="1">IF(AND(LEFT("[{"&amp;M1200&amp;","&amp;CEILING(N1200*10000+(O1200-N1200)/4*(COUNTIF($F$11:F1200,F1200)-1)*10000,10)&amp;"}]",7)="[{equip",MID("[{"&amp;M1200&amp;","&amp;CEILING(N1200*10000+(O1200-N1200)/4*(COUNTIF($F$11:F1200,F1200)-1)*10000,10)&amp;"}]",8,1)&lt;&gt;"_"),"[{"&amp;M1200&amp;","&amp;1&amp;"}]","[{"&amp;M1200&amp;","&amp;CEILING(N1200*10000+(O1200-N1200)/4*(COUNTIF($F$11:F1200,F1200)-1)*10000,10)&amp;"}]")</f>
        <v>[{drug_dmg_rate,1000}]</v>
      </c>
      <c r="H1200" s="82" t="s">
        <v>563</v>
      </c>
      <c r="J1200" s="78">
        <f ca="1">IF(MOD(COUNTIF($Q$11:Q1199,Q1199),5)=0,OFFSET(装备属性!$P$1083,1+INT(COUNTA($Q$11:Q1199)/5),0),J1199)</f>
        <v>3</v>
      </c>
      <c r="K1200" s="83" t="str">
        <f ca="1">IF(RIGHT(G1200,13)="rune_slot,1}]",_xlfn.XLOOKUP(LEFT(SUBSTITUTE(G1200,"[{",""),FIND(",",SUBSTITUTE(G1200,"[{",""))-1),Sheet2!B:B,Sheet2!C:C)&amp;"+"&amp;1,_xlfn.XLOOKUP(LEFT(SUBSTITUTE(G1200,"[{",""),FIND(",",SUBSTITUTE(G1200,"[{",""))-1),Sheet2!B:B,Sheet2!C:C)&amp;"+"&amp;SUBSTITUTE(RIGHT(G1200,LEN(G1200)-FIND(",",G1200)),"}]","")/100&amp;"%")</f>
        <v>毒系伤害+10%</v>
      </c>
      <c r="L1200" s="83" t="str">
        <f ca="1">IF(MOD(COUNTIF($Q$11:Q1199,Q1199),5)=0,OFFSET(装备属性!$G$1083,1+INT(COUNTA($Q$11:Q1199)/5),0),L1199)</f>
        <v>毒毒加量Ⅴ</v>
      </c>
      <c r="M1200" s="89" t="str">
        <f ca="1">IF(MOD(COUNTIF($Q$11:Q1199,Q1199),5)=0,OFFSET(装备属性!$H$1083,1+INT(COUNTA($Q$11:Q1199)/5),0),M1199)</f>
        <v>drug_dmg_rate</v>
      </c>
      <c r="N1200" s="76">
        <f ca="1">IF(MOD(COUNTIF($Q$11:Q1199,Q1199),5)=0,OFFSET(装备属性!$K$1083,1+INT(COUNTA($Q$11:Q1199)/5),0),N1199)</f>
        <v>0.09</v>
      </c>
      <c r="O1200" s="76">
        <f ca="1">IF(MOD(COUNTIF($Q$11:Q1199,Q1199),5)=0,OFFSET(装备属性!$L$1083,1+INT(COUNTA($Q$11:Q1199)/5),0),O1199)</f>
        <v>0.1</v>
      </c>
      <c r="Q1200" s="89" t="str">
        <f ca="1">IF(MOD(COUNTIF($Q$11:Q1199,Q1199),5)=0,OFFSET(装备属性!$M$1083,1+INT(COUNTA($Q$11:Q1199)/5),0),Q1199)</f>
        <v>通用属性</v>
      </c>
      <c r="R1200" s="83">
        <f ca="1">IF(MOD(COUNTIF($Q$11:Q1199,Q1199),5)=0,10000*SUBSTITUTE(SUBSTITUTE(OFFSET(装备属性!$F$1083,1+INT(COUNTA($Q$11:Q1199)/5),0),"[",""),"]","")+_xlfn.XLOOKUP(C1200,$M$3:$M$7,$N$3:$N$7)*100,R1199)</f>
        <v>40800</v>
      </c>
    </row>
    <row r="1201" customHeight="1" spans="1:18">
      <c r="A1201" s="78">
        <f ca="1" t="shared" si="54"/>
        <v>40801</v>
      </c>
      <c r="B1201" s="82">
        <f ca="1">IFERROR(R1201+COUNTIFS($R$11:$R1201,R1201),"")</f>
        <v>40841</v>
      </c>
      <c r="C1201" s="83" t="str">
        <f ca="1">IF(MOD(COUNTIF($Q$11:Q1200,Q1200),5)=0,OFFSET(装备属性!$D$1083,1+INT(COUNTA($Q$11:Q1200)/5),0),C1200)</f>
        <v>彩</v>
      </c>
      <c r="D1201" s="82">
        <f t="shared" si="56"/>
        <v>3000</v>
      </c>
      <c r="F1201" s="82">
        <f ca="1" t="shared" si="55"/>
        <v>40808</v>
      </c>
      <c r="G1201" s="78" t="str">
        <f ca="1">IF(AND(LEFT("[{"&amp;M1201&amp;","&amp;CEILING(N1201*10000+(O1201-N1201)/4*(COUNTIF($F$11:F1201,F1201)-1)*10000,10)&amp;"}]",7)="[{equip",MID("[{"&amp;M1201&amp;","&amp;CEILING(N1201*10000+(O1201-N1201)/4*(COUNTIF($F$11:F1201,F1201)-1)*10000,10)&amp;"}]",8,1)&lt;&gt;"_"),"[{"&amp;M1201&amp;","&amp;1&amp;"}]","[{"&amp;M1201&amp;","&amp;CEILING(N1201*10000+(O1201-N1201)/4*(COUNTIF($F$11:F1201,F1201)-1)*10000,10)&amp;"}]")</f>
        <v>[{drug_class_dmg_rate,1300}]</v>
      </c>
      <c r="H1201" s="82" t="s">
        <v>563</v>
      </c>
      <c r="J1201" s="78">
        <f ca="1">IF(MOD(COUNTIF($Q$11:Q1200,Q1200),5)=0,OFFSET(装备属性!$P$1083,1+INT(COUNTA($Q$11:Q1200)/5),0),J1200)</f>
        <v>4</v>
      </c>
      <c r="K1201" s="83" t="str">
        <f ca="1">IF(RIGHT(G1201,13)="rune_slot,1}]",_xlfn.XLOOKUP(LEFT(SUBSTITUTE(G1201,"[{",""),FIND(",",SUBSTITUTE(G1201,"[{",""))-1),Sheet2!B:B,Sheet2!C:C)&amp;"+"&amp;1,_xlfn.XLOOKUP(LEFT(SUBSTITUTE(G1201,"[{",""),FIND(",",SUBSTITUTE(G1201,"[{",""))-1),Sheet2!B:B,Sheet2!C:C)&amp;"+"&amp;SUBSTITUTE(RIGHT(G1201,LEN(G1201)-FIND(",",G1201)),"}]","")/100&amp;"%")</f>
        <v>上阵两个毒系职业增伤+13%</v>
      </c>
      <c r="L1201" s="83" t="str">
        <f ca="1">IF(MOD(COUNTIF($Q$11:Q1200,Q1200),5)=0,OFFSET(装备属性!$G$1083,1+INT(COUNTA($Q$11:Q1200)/5),0),L1200)</f>
        <v>毒毒小队Ⅴ</v>
      </c>
      <c r="M1201" s="89" t="str">
        <f ca="1">IF(MOD(COUNTIF($Q$11:Q1200,Q1200),5)=0,OFFSET(装备属性!$H$1083,1+INT(COUNTA($Q$11:Q1200)/5),0),M1200)</f>
        <v>drug_class_dmg_rate</v>
      </c>
      <c r="N1201" s="76">
        <f ca="1">IF(MOD(COUNTIF($Q$11:Q1200,Q1200),5)=0,OFFSET(装备属性!$K$1083,1+INT(COUNTA($Q$11:Q1200)/5),0),N1200)</f>
        <v>0.13</v>
      </c>
      <c r="O1201" s="76">
        <f ca="1">IF(MOD(COUNTIF($Q$11:Q1200,Q1200),5)=0,OFFSET(装备属性!$L$1083,1+INT(COUNTA($Q$11:Q1200)/5),0),O1200)</f>
        <v>0.15</v>
      </c>
      <c r="Q1201" s="89" t="str">
        <f ca="1">IF(MOD(COUNTIF($Q$11:Q1200,Q1200),5)=0,OFFSET(装备属性!$M$1083,1+INT(COUNTA($Q$11:Q1200)/5),0),Q1200)</f>
        <v>通用属性</v>
      </c>
      <c r="R1201" s="83">
        <f ca="1">IF(MOD(COUNTIF($Q$11:Q1200,Q1200),5)=0,10000*SUBSTITUTE(SUBSTITUTE(OFFSET(装备属性!$F$1083,1+INT(COUNTA($Q$11:Q1200)/5),0),"[",""),"]","")+_xlfn.XLOOKUP(C1201,$M$3:$M$7,$N$3:$N$7)*100,R1200)</f>
        <v>40800</v>
      </c>
    </row>
    <row r="1202" customHeight="1" spans="1:18">
      <c r="A1202" s="78">
        <f ca="1" t="shared" si="54"/>
        <v>40801</v>
      </c>
      <c r="B1202" s="82">
        <f ca="1">IFERROR(R1202+COUNTIFS($R$11:$R1202,R1202),"")</f>
        <v>40842</v>
      </c>
      <c r="C1202" s="83" t="str">
        <f ca="1">IF(MOD(COUNTIF($Q$11:Q1201,Q1201),5)=0,OFFSET(装备属性!$D$1083,1+INT(COUNTA($Q$11:Q1201)/5),0),C1201)</f>
        <v>彩</v>
      </c>
      <c r="D1202" s="82">
        <f t="shared" si="56"/>
        <v>2500</v>
      </c>
      <c r="F1202" s="82">
        <f ca="1" t="shared" si="55"/>
        <v>40808</v>
      </c>
      <c r="G1202" s="78" t="str">
        <f ca="1">IF(AND(LEFT("[{"&amp;M1202&amp;","&amp;CEILING(N1202*10000+(O1202-N1202)/4*(COUNTIF($F$11:F1202,F1202)-1)*10000,10)&amp;"}]",7)="[{equip",MID("[{"&amp;M1202&amp;","&amp;CEILING(N1202*10000+(O1202-N1202)/4*(COUNTIF($F$11:F1202,F1202)-1)*10000,10)&amp;"}]",8,1)&lt;&gt;"_"),"[{"&amp;M1202&amp;","&amp;1&amp;"}]","[{"&amp;M1202&amp;","&amp;CEILING(N1202*10000+(O1202-N1202)/4*(COUNTIF($F$11:F1202,F1202)-1)*10000,10)&amp;"}]")</f>
        <v>[{drug_class_dmg_rate,1350}]</v>
      </c>
      <c r="H1202" s="82" t="s">
        <v>563</v>
      </c>
      <c r="J1202" s="78">
        <f ca="1">IF(MOD(COUNTIF($Q$11:Q1201,Q1201),5)=0,OFFSET(装备属性!$P$1083,1+INT(COUNTA($Q$11:Q1201)/5),0),J1201)</f>
        <v>4</v>
      </c>
      <c r="K1202" s="83" t="str">
        <f ca="1">IF(RIGHT(G1202,13)="rune_slot,1}]",_xlfn.XLOOKUP(LEFT(SUBSTITUTE(G1202,"[{",""),FIND(",",SUBSTITUTE(G1202,"[{",""))-1),Sheet2!B:B,Sheet2!C:C)&amp;"+"&amp;1,_xlfn.XLOOKUP(LEFT(SUBSTITUTE(G1202,"[{",""),FIND(",",SUBSTITUTE(G1202,"[{",""))-1),Sheet2!B:B,Sheet2!C:C)&amp;"+"&amp;SUBSTITUTE(RIGHT(G1202,LEN(G1202)-FIND(",",G1202)),"}]","")/100&amp;"%")</f>
        <v>上阵两个毒系职业增伤+13.5%</v>
      </c>
      <c r="L1202" s="83" t="str">
        <f ca="1">IF(MOD(COUNTIF($Q$11:Q1201,Q1201),5)=0,OFFSET(装备属性!$G$1083,1+INT(COUNTA($Q$11:Q1201)/5),0),L1201)</f>
        <v>毒毒小队Ⅴ</v>
      </c>
      <c r="M1202" s="89" t="str">
        <f ca="1">IF(MOD(COUNTIF($Q$11:Q1201,Q1201),5)=0,OFFSET(装备属性!$H$1083,1+INT(COUNTA($Q$11:Q1201)/5),0),M1201)</f>
        <v>drug_class_dmg_rate</v>
      </c>
      <c r="N1202" s="76">
        <f ca="1">IF(MOD(COUNTIF($Q$11:Q1201,Q1201),5)=0,OFFSET(装备属性!$K$1083,1+INT(COUNTA($Q$11:Q1201)/5),0),N1201)</f>
        <v>0.13</v>
      </c>
      <c r="O1202" s="76">
        <f ca="1">IF(MOD(COUNTIF($Q$11:Q1201,Q1201),5)=0,OFFSET(装备属性!$L$1083,1+INT(COUNTA($Q$11:Q1201)/5),0),O1201)</f>
        <v>0.15</v>
      </c>
      <c r="Q1202" s="89" t="str">
        <f ca="1">IF(MOD(COUNTIF($Q$11:Q1201,Q1201),5)=0,OFFSET(装备属性!$M$1083,1+INT(COUNTA($Q$11:Q1201)/5),0),Q1201)</f>
        <v>通用属性</v>
      </c>
      <c r="R1202" s="83">
        <f ca="1">IF(MOD(COUNTIF($Q$11:Q1201,Q1201),5)=0,10000*SUBSTITUTE(SUBSTITUTE(OFFSET(装备属性!$F$1083,1+INT(COUNTA($Q$11:Q1201)/5),0),"[",""),"]","")+_xlfn.XLOOKUP(C1202,$M$3:$M$7,$N$3:$N$7)*100,R1201)</f>
        <v>40800</v>
      </c>
    </row>
    <row r="1203" customHeight="1" spans="1:18">
      <c r="A1203" s="78">
        <f ca="1" t="shared" si="54"/>
        <v>40801</v>
      </c>
      <c r="B1203" s="82">
        <f ca="1">IFERROR(R1203+COUNTIFS($R$11:$R1203,R1203),"")</f>
        <v>40843</v>
      </c>
      <c r="C1203" s="83" t="str">
        <f ca="1">IF(MOD(COUNTIF($Q$11:Q1202,Q1202),5)=0,OFFSET(装备属性!$D$1083,1+INT(COUNTA($Q$11:Q1202)/5),0),C1202)</f>
        <v>彩</v>
      </c>
      <c r="D1203" s="82">
        <f t="shared" si="56"/>
        <v>2000</v>
      </c>
      <c r="F1203" s="82">
        <f ca="1" t="shared" si="55"/>
        <v>40808</v>
      </c>
      <c r="G1203" s="78" t="str">
        <f ca="1">IF(AND(LEFT("[{"&amp;M1203&amp;","&amp;CEILING(N1203*10000+(O1203-N1203)/4*(COUNTIF($F$11:F1203,F1203)-1)*10000,10)&amp;"}]",7)="[{equip",MID("[{"&amp;M1203&amp;","&amp;CEILING(N1203*10000+(O1203-N1203)/4*(COUNTIF($F$11:F1203,F1203)-1)*10000,10)&amp;"}]",8,1)&lt;&gt;"_"),"[{"&amp;M1203&amp;","&amp;1&amp;"}]","[{"&amp;M1203&amp;","&amp;CEILING(N1203*10000+(O1203-N1203)/4*(COUNTIF($F$11:F1203,F1203)-1)*10000,10)&amp;"}]")</f>
        <v>[{drug_class_dmg_rate,1400}]</v>
      </c>
      <c r="H1203" s="82" t="s">
        <v>563</v>
      </c>
      <c r="J1203" s="78">
        <f ca="1">IF(MOD(COUNTIF($Q$11:Q1202,Q1202),5)=0,OFFSET(装备属性!$P$1083,1+INT(COUNTA($Q$11:Q1202)/5),0),J1202)</f>
        <v>4</v>
      </c>
      <c r="K1203" s="83" t="str">
        <f ca="1">IF(RIGHT(G1203,13)="rune_slot,1}]",_xlfn.XLOOKUP(LEFT(SUBSTITUTE(G1203,"[{",""),FIND(",",SUBSTITUTE(G1203,"[{",""))-1),Sheet2!B:B,Sheet2!C:C)&amp;"+"&amp;1,_xlfn.XLOOKUP(LEFT(SUBSTITUTE(G1203,"[{",""),FIND(",",SUBSTITUTE(G1203,"[{",""))-1),Sheet2!B:B,Sheet2!C:C)&amp;"+"&amp;SUBSTITUTE(RIGHT(G1203,LEN(G1203)-FIND(",",G1203)),"}]","")/100&amp;"%")</f>
        <v>上阵两个毒系职业增伤+14%</v>
      </c>
      <c r="L1203" s="83" t="str">
        <f ca="1">IF(MOD(COUNTIF($Q$11:Q1202,Q1202),5)=0,OFFSET(装备属性!$G$1083,1+INT(COUNTA($Q$11:Q1202)/5),0),L1202)</f>
        <v>毒毒小队Ⅴ</v>
      </c>
      <c r="M1203" s="89" t="str">
        <f ca="1">IF(MOD(COUNTIF($Q$11:Q1202,Q1202),5)=0,OFFSET(装备属性!$H$1083,1+INT(COUNTA($Q$11:Q1202)/5),0),M1202)</f>
        <v>drug_class_dmg_rate</v>
      </c>
      <c r="N1203" s="76">
        <f ca="1">IF(MOD(COUNTIF($Q$11:Q1202,Q1202),5)=0,OFFSET(装备属性!$K$1083,1+INT(COUNTA($Q$11:Q1202)/5),0),N1202)</f>
        <v>0.13</v>
      </c>
      <c r="O1203" s="76">
        <f ca="1">IF(MOD(COUNTIF($Q$11:Q1202,Q1202),5)=0,OFFSET(装备属性!$L$1083,1+INT(COUNTA($Q$11:Q1202)/5),0),O1202)</f>
        <v>0.15</v>
      </c>
      <c r="Q1203" s="89" t="str">
        <f ca="1">IF(MOD(COUNTIF($Q$11:Q1202,Q1202),5)=0,OFFSET(装备属性!$M$1083,1+INT(COUNTA($Q$11:Q1202)/5),0),Q1202)</f>
        <v>通用属性</v>
      </c>
      <c r="R1203" s="83">
        <f ca="1">IF(MOD(COUNTIF($Q$11:Q1202,Q1202),5)=0,10000*SUBSTITUTE(SUBSTITUTE(OFFSET(装备属性!$F$1083,1+INT(COUNTA($Q$11:Q1202)/5),0),"[",""),"]","")+_xlfn.XLOOKUP(C1203,$M$3:$M$7,$N$3:$N$7)*100,R1202)</f>
        <v>40800</v>
      </c>
    </row>
    <row r="1204" customHeight="1" spans="1:18">
      <c r="A1204" s="78">
        <f ca="1" t="shared" si="54"/>
        <v>40801</v>
      </c>
      <c r="B1204" s="82">
        <f ca="1">IFERROR(R1204+COUNTIFS($R$11:$R1204,R1204),"")</f>
        <v>40844</v>
      </c>
      <c r="C1204" s="83" t="str">
        <f ca="1">IF(MOD(COUNTIF($Q$11:Q1203,Q1203),5)=0,OFFSET(装备属性!$D$1083,1+INT(COUNTA($Q$11:Q1203)/5),0),C1203)</f>
        <v>彩</v>
      </c>
      <c r="D1204" s="82">
        <f t="shared" si="56"/>
        <v>1500</v>
      </c>
      <c r="F1204" s="82">
        <f ca="1" t="shared" si="55"/>
        <v>40808</v>
      </c>
      <c r="G1204" s="78" t="str">
        <f ca="1">IF(AND(LEFT("[{"&amp;M1204&amp;","&amp;CEILING(N1204*10000+(O1204-N1204)/4*(COUNTIF($F$11:F1204,F1204)-1)*10000,10)&amp;"}]",7)="[{equip",MID("[{"&amp;M1204&amp;","&amp;CEILING(N1204*10000+(O1204-N1204)/4*(COUNTIF($F$11:F1204,F1204)-1)*10000,10)&amp;"}]",8,1)&lt;&gt;"_"),"[{"&amp;M1204&amp;","&amp;1&amp;"}]","[{"&amp;M1204&amp;","&amp;CEILING(N1204*10000+(O1204-N1204)/4*(COUNTIF($F$11:F1204,F1204)-1)*10000,10)&amp;"}]")</f>
        <v>[{drug_class_dmg_rate,1450}]</v>
      </c>
      <c r="H1204" s="82" t="s">
        <v>563</v>
      </c>
      <c r="J1204" s="78">
        <f ca="1">IF(MOD(COUNTIF($Q$11:Q1203,Q1203),5)=0,OFFSET(装备属性!$P$1083,1+INT(COUNTA($Q$11:Q1203)/5),0),J1203)</f>
        <v>4</v>
      </c>
      <c r="K1204" s="83" t="str">
        <f ca="1">IF(RIGHT(G1204,13)="rune_slot,1}]",_xlfn.XLOOKUP(LEFT(SUBSTITUTE(G1204,"[{",""),FIND(",",SUBSTITUTE(G1204,"[{",""))-1),Sheet2!B:B,Sheet2!C:C)&amp;"+"&amp;1,_xlfn.XLOOKUP(LEFT(SUBSTITUTE(G1204,"[{",""),FIND(",",SUBSTITUTE(G1204,"[{",""))-1),Sheet2!B:B,Sheet2!C:C)&amp;"+"&amp;SUBSTITUTE(RIGHT(G1204,LEN(G1204)-FIND(",",G1204)),"}]","")/100&amp;"%")</f>
        <v>上阵两个毒系职业增伤+14.5%</v>
      </c>
      <c r="L1204" s="83" t="str">
        <f ca="1">IF(MOD(COUNTIF($Q$11:Q1203,Q1203),5)=0,OFFSET(装备属性!$G$1083,1+INT(COUNTA($Q$11:Q1203)/5),0),L1203)</f>
        <v>毒毒小队Ⅴ</v>
      </c>
      <c r="M1204" s="89" t="str">
        <f ca="1">IF(MOD(COUNTIF($Q$11:Q1203,Q1203),5)=0,OFFSET(装备属性!$H$1083,1+INT(COUNTA($Q$11:Q1203)/5),0),M1203)</f>
        <v>drug_class_dmg_rate</v>
      </c>
      <c r="N1204" s="76">
        <f ca="1">IF(MOD(COUNTIF($Q$11:Q1203,Q1203),5)=0,OFFSET(装备属性!$K$1083,1+INT(COUNTA($Q$11:Q1203)/5),0),N1203)</f>
        <v>0.13</v>
      </c>
      <c r="O1204" s="76">
        <f ca="1">IF(MOD(COUNTIF($Q$11:Q1203,Q1203),5)=0,OFFSET(装备属性!$L$1083,1+INT(COUNTA($Q$11:Q1203)/5),0),O1203)</f>
        <v>0.15</v>
      </c>
      <c r="Q1204" s="89" t="str">
        <f ca="1">IF(MOD(COUNTIF($Q$11:Q1203,Q1203),5)=0,OFFSET(装备属性!$M$1083,1+INT(COUNTA($Q$11:Q1203)/5),0),Q1203)</f>
        <v>通用属性</v>
      </c>
      <c r="R1204" s="83">
        <f ca="1">IF(MOD(COUNTIF($Q$11:Q1203,Q1203),5)=0,10000*SUBSTITUTE(SUBSTITUTE(OFFSET(装备属性!$F$1083,1+INT(COUNTA($Q$11:Q1203)/5),0),"[",""),"]","")+_xlfn.XLOOKUP(C1204,$M$3:$M$7,$N$3:$N$7)*100,R1203)</f>
        <v>40800</v>
      </c>
    </row>
    <row r="1205" customHeight="1" spans="1:18">
      <c r="A1205" s="78">
        <f ca="1" t="shared" si="54"/>
        <v>40801</v>
      </c>
      <c r="B1205" s="82">
        <f ca="1">IFERROR(R1205+COUNTIFS($R$11:$R1205,R1205),"")</f>
        <v>40845</v>
      </c>
      <c r="C1205" s="83" t="str">
        <f ca="1">IF(MOD(COUNTIF($Q$11:Q1204,Q1204),5)=0,OFFSET(装备属性!$D$1083,1+INT(COUNTA($Q$11:Q1204)/5),0),C1204)</f>
        <v>彩</v>
      </c>
      <c r="D1205" s="82">
        <f t="shared" si="56"/>
        <v>1000</v>
      </c>
      <c r="F1205" s="82">
        <f ca="1" t="shared" si="55"/>
        <v>40808</v>
      </c>
      <c r="G1205" s="78" t="str">
        <f ca="1">IF(AND(LEFT("[{"&amp;M1205&amp;","&amp;CEILING(N1205*10000+(O1205-N1205)/4*(COUNTIF($F$11:F1205,F1205)-1)*10000,10)&amp;"}]",7)="[{equip",MID("[{"&amp;M1205&amp;","&amp;CEILING(N1205*10000+(O1205-N1205)/4*(COUNTIF($F$11:F1205,F1205)-1)*10000,10)&amp;"}]",8,1)&lt;&gt;"_"),"[{"&amp;M1205&amp;","&amp;1&amp;"}]","[{"&amp;M1205&amp;","&amp;CEILING(N1205*10000+(O1205-N1205)/4*(COUNTIF($F$11:F1205,F1205)-1)*10000,10)&amp;"}]")</f>
        <v>[{drug_class_dmg_rate,1500}]</v>
      </c>
      <c r="H1205" s="82" t="s">
        <v>563</v>
      </c>
      <c r="J1205" s="78">
        <f ca="1">IF(MOD(COUNTIF($Q$11:Q1204,Q1204),5)=0,OFFSET(装备属性!$P$1083,1+INT(COUNTA($Q$11:Q1204)/5),0),J1204)</f>
        <v>4</v>
      </c>
      <c r="K1205" s="83" t="str">
        <f ca="1">IF(RIGHT(G1205,13)="rune_slot,1}]",_xlfn.XLOOKUP(LEFT(SUBSTITUTE(G1205,"[{",""),FIND(",",SUBSTITUTE(G1205,"[{",""))-1),Sheet2!B:B,Sheet2!C:C)&amp;"+"&amp;1,_xlfn.XLOOKUP(LEFT(SUBSTITUTE(G1205,"[{",""),FIND(",",SUBSTITUTE(G1205,"[{",""))-1),Sheet2!B:B,Sheet2!C:C)&amp;"+"&amp;SUBSTITUTE(RIGHT(G1205,LEN(G1205)-FIND(",",G1205)),"}]","")/100&amp;"%")</f>
        <v>上阵两个毒系职业增伤+15%</v>
      </c>
      <c r="L1205" s="83" t="str">
        <f ca="1">IF(MOD(COUNTIF($Q$11:Q1204,Q1204),5)=0,OFFSET(装备属性!$G$1083,1+INT(COUNTA($Q$11:Q1204)/5),0),L1204)</f>
        <v>毒毒小队Ⅴ</v>
      </c>
      <c r="M1205" s="89" t="str">
        <f ca="1">IF(MOD(COUNTIF($Q$11:Q1204,Q1204),5)=0,OFFSET(装备属性!$H$1083,1+INT(COUNTA($Q$11:Q1204)/5),0),M1204)</f>
        <v>drug_class_dmg_rate</v>
      </c>
      <c r="N1205" s="76">
        <f ca="1">IF(MOD(COUNTIF($Q$11:Q1204,Q1204),5)=0,OFFSET(装备属性!$K$1083,1+INT(COUNTA($Q$11:Q1204)/5),0),N1204)</f>
        <v>0.13</v>
      </c>
      <c r="O1205" s="76">
        <f ca="1">IF(MOD(COUNTIF($Q$11:Q1204,Q1204),5)=0,OFFSET(装备属性!$L$1083,1+INT(COUNTA($Q$11:Q1204)/5),0),O1204)</f>
        <v>0.15</v>
      </c>
      <c r="Q1205" s="89" t="str">
        <f ca="1">IF(MOD(COUNTIF($Q$11:Q1204,Q1204),5)=0,OFFSET(装备属性!$M$1083,1+INT(COUNTA($Q$11:Q1204)/5),0),Q1204)</f>
        <v>通用属性</v>
      </c>
      <c r="R1205" s="83">
        <f ca="1">IF(MOD(COUNTIF($Q$11:Q1204,Q1204),5)=0,10000*SUBSTITUTE(SUBSTITUTE(OFFSET(装备属性!$F$1083,1+INT(COUNTA($Q$11:Q1204)/5),0),"[",""),"]","")+_xlfn.XLOOKUP(C1205,$M$3:$M$7,$N$3:$N$7)*100,R1204)</f>
        <v>40800</v>
      </c>
    </row>
    <row r="1206" customHeight="1" spans="1:18">
      <c r="A1206" s="78">
        <f ca="1" t="shared" si="54"/>
        <v>40801</v>
      </c>
      <c r="B1206" s="82">
        <f ca="1">IFERROR(R1206+COUNTIFS($R$11:$R1206,R1206),"")</f>
        <v>40846</v>
      </c>
      <c r="C1206" s="83" t="str">
        <f ca="1">IF(MOD(COUNTIF($Q$11:Q1205,Q1205),5)=0,OFFSET(装备属性!$D$1083,1+INT(COUNTA($Q$11:Q1205)/5),0),C1205)</f>
        <v>彩</v>
      </c>
      <c r="D1206" s="82">
        <f t="shared" si="56"/>
        <v>3000</v>
      </c>
      <c r="F1206" s="82">
        <f ca="1" t="shared" si="55"/>
        <v>40809</v>
      </c>
      <c r="G1206" s="78" t="str">
        <f ca="1">IF(AND(LEFT("[{"&amp;M1206&amp;","&amp;CEILING(N1206*10000+(O1206-N1206)/4*(COUNTIF($F$11:F1206,F1206)-1)*10000,10)&amp;"}]",7)="[{equip",MID("[{"&amp;M1206&amp;","&amp;CEILING(N1206*10000+(O1206-N1206)/4*(COUNTIF($F$11:F1206,F1206)-1)*10000,10)&amp;"}]",8,1)&lt;&gt;"_"),"[{"&amp;M1206&amp;","&amp;1&amp;"}]","[{"&amp;M1206&amp;","&amp;CEILING(N1206*10000+(O1206-N1206)/4*(COUNTIF($F$11:F1206,F1206)-1)*10000,10)&amp;"}]")</f>
        <v>[{drug_crit_dmg,3900}]</v>
      </c>
      <c r="H1206" s="82" t="s">
        <v>563</v>
      </c>
      <c r="J1206" s="78">
        <f ca="1">IF(MOD(COUNTIF($Q$11:Q1205,Q1205),5)=0,OFFSET(装备属性!$P$1083,1+INT(COUNTA($Q$11:Q1205)/5),0),J1205)</f>
        <v>10</v>
      </c>
      <c r="K1206" s="83" t="str">
        <f ca="1">IF(RIGHT(G1206,13)="rune_slot,1}]",_xlfn.XLOOKUP(LEFT(SUBSTITUTE(G1206,"[{",""),FIND(",",SUBSTITUTE(G1206,"[{",""))-1),Sheet2!B:B,Sheet2!C:C)&amp;"+"&amp;1,_xlfn.XLOOKUP(LEFT(SUBSTITUTE(G1206,"[{",""),FIND(",",SUBSTITUTE(G1206,"[{",""))-1),Sheet2!B:B,Sheet2!C:C)&amp;"+"&amp;SUBSTITUTE(RIGHT(G1206,LEN(G1206)-FIND(",",G1206)),"}]","")/100&amp;"%")</f>
        <v>毒系暴击伤害+39%</v>
      </c>
      <c r="L1206" s="83" t="str">
        <f ca="1">IF(MOD(COUNTIF($Q$11:Q1205,Q1205),5)=0,OFFSET(装备属性!$G$1083,1+INT(COUNTA($Q$11:Q1205)/5),0),L1205)</f>
        <v>暴走毒毒Ⅴ</v>
      </c>
      <c r="M1206" s="89" t="str">
        <f ca="1">IF(MOD(COUNTIF($Q$11:Q1205,Q1205),5)=0,OFFSET(装备属性!$H$1083,1+INT(COUNTA($Q$11:Q1205)/5),0),M1205)</f>
        <v>drug_crit_dmg</v>
      </c>
      <c r="N1206" s="76">
        <f ca="1">IF(MOD(COUNTIF($Q$11:Q1205,Q1205),5)=0,OFFSET(装备属性!$K$1083,1+INT(COUNTA($Q$11:Q1205)/5),0),N1205)</f>
        <v>0.39</v>
      </c>
      <c r="O1206" s="76">
        <f ca="1">IF(MOD(COUNTIF($Q$11:Q1205,Q1205),5)=0,OFFSET(装备属性!$L$1083,1+INT(COUNTA($Q$11:Q1205)/5),0),O1205)</f>
        <v>0.45</v>
      </c>
      <c r="Q1206" s="89" t="str">
        <f ca="1">IF(MOD(COUNTIF($Q$11:Q1205,Q1205),5)=0,OFFSET(装备属性!$M$1083,1+INT(COUNTA($Q$11:Q1205)/5),0),Q1205)</f>
        <v>通用属性</v>
      </c>
      <c r="R1206" s="83">
        <f ca="1">IF(MOD(COUNTIF($Q$11:Q1205,Q1205),5)=0,10000*SUBSTITUTE(SUBSTITUTE(OFFSET(装备属性!$F$1083,1+INT(COUNTA($Q$11:Q1205)/5),0),"[",""),"]","")+_xlfn.XLOOKUP(C1206,$M$3:$M$7,$N$3:$N$7)*100,R1205)</f>
        <v>40800</v>
      </c>
    </row>
    <row r="1207" customHeight="1" spans="1:18">
      <c r="A1207" s="78">
        <f ca="1" t="shared" si="54"/>
        <v>40801</v>
      </c>
      <c r="B1207" s="82">
        <f ca="1">IFERROR(R1207+COUNTIFS($R$11:$R1207,R1207),"")</f>
        <v>40847</v>
      </c>
      <c r="C1207" s="83" t="str">
        <f ca="1">IF(MOD(COUNTIF($Q$11:Q1206,Q1206),5)=0,OFFSET(装备属性!$D$1083,1+INT(COUNTA($Q$11:Q1206)/5),0),C1206)</f>
        <v>彩</v>
      </c>
      <c r="D1207" s="82">
        <f t="shared" si="56"/>
        <v>2500</v>
      </c>
      <c r="F1207" s="82">
        <f ca="1" t="shared" si="55"/>
        <v>40809</v>
      </c>
      <c r="G1207" s="78" t="str">
        <f ca="1">IF(AND(LEFT("[{"&amp;M1207&amp;","&amp;CEILING(N1207*10000+(O1207-N1207)/4*(COUNTIF($F$11:F1207,F1207)-1)*10000,10)&amp;"}]",7)="[{equip",MID("[{"&amp;M1207&amp;","&amp;CEILING(N1207*10000+(O1207-N1207)/4*(COUNTIF($F$11:F1207,F1207)-1)*10000,10)&amp;"}]",8,1)&lt;&gt;"_"),"[{"&amp;M1207&amp;","&amp;1&amp;"}]","[{"&amp;M1207&amp;","&amp;CEILING(N1207*10000+(O1207-N1207)/4*(COUNTIF($F$11:F1207,F1207)-1)*10000,10)&amp;"}]")</f>
        <v>[{drug_crit_dmg,4050}]</v>
      </c>
      <c r="H1207" s="82" t="s">
        <v>563</v>
      </c>
      <c r="J1207" s="78">
        <f ca="1">IF(MOD(COUNTIF($Q$11:Q1206,Q1206),5)=0,OFFSET(装备属性!$P$1083,1+INT(COUNTA($Q$11:Q1206)/5),0),J1206)</f>
        <v>10</v>
      </c>
      <c r="K1207" s="83" t="str">
        <f ca="1">IF(RIGHT(G1207,13)="rune_slot,1}]",_xlfn.XLOOKUP(LEFT(SUBSTITUTE(G1207,"[{",""),FIND(",",SUBSTITUTE(G1207,"[{",""))-1),Sheet2!B:B,Sheet2!C:C)&amp;"+"&amp;1,_xlfn.XLOOKUP(LEFT(SUBSTITUTE(G1207,"[{",""),FIND(",",SUBSTITUTE(G1207,"[{",""))-1),Sheet2!B:B,Sheet2!C:C)&amp;"+"&amp;SUBSTITUTE(RIGHT(G1207,LEN(G1207)-FIND(",",G1207)),"}]","")/100&amp;"%")</f>
        <v>毒系暴击伤害+40.5%</v>
      </c>
      <c r="L1207" s="83" t="str">
        <f ca="1">IF(MOD(COUNTIF($Q$11:Q1206,Q1206),5)=0,OFFSET(装备属性!$G$1083,1+INT(COUNTA($Q$11:Q1206)/5),0),L1206)</f>
        <v>暴走毒毒Ⅴ</v>
      </c>
      <c r="M1207" s="89" t="str">
        <f ca="1">IF(MOD(COUNTIF($Q$11:Q1206,Q1206),5)=0,OFFSET(装备属性!$H$1083,1+INT(COUNTA($Q$11:Q1206)/5),0),M1206)</f>
        <v>drug_crit_dmg</v>
      </c>
      <c r="N1207" s="76">
        <f ca="1">IF(MOD(COUNTIF($Q$11:Q1206,Q1206),5)=0,OFFSET(装备属性!$K$1083,1+INT(COUNTA($Q$11:Q1206)/5),0),N1206)</f>
        <v>0.39</v>
      </c>
      <c r="O1207" s="76">
        <f ca="1">IF(MOD(COUNTIF($Q$11:Q1206,Q1206),5)=0,OFFSET(装备属性!$L$1083,1+INT(COUNTA($Q$11:Q1206)/5),0),O1206)</f>
        <v>0.45</v>
      </c>
      <c r="Q1207" s="89" t="str">
        <f ca="1">IF(MOD(COUNTIF($Q$11:Q1206,Q1206),5)=0,OFFSET(装备属性!$M$1083,1+INT(COUNTA($Q$11:Q1206)/5),0),Q1206)</f>
        <v>通用属性</v>
      </c>
      <c r="R1207" s="83">
        <f ca="1">IF(MOD(COUNTIF($Q$11:Q1206,Q1206),5)=0,10000*SUBSTITUTE(SUBSTITUTE(OFFSET(装备属性!$F$1083,1+INT(COUNTA($Q$11:Q1206)/5),0),"[",""),"]","")+_xlfn.XLOOKUP(C1207,$M$3:$M$7,$N$3:$N$7)*100,R1206)</f>
        <v>40800</v>
      </c>
    </row>
    <row r="1208" customHeight="1" spans="1:18">
      <c r="A1208" s="78">
        <f ca="1" t="shared" si="54"/>
        <v>40801</v>
      </c>
      <c r="B1208" s="82">
        <f ca="1">IFERROR(R1208+COUNTIFS($R$11:$R1208,R1208),"")</f>
        <v>40848</v>
      </c>
      <c r="C1208" s="83" t="str">
        <f ca="1">IF(MOD(COUNTIF($Q$11:Q1207,Q1207),5)=0,OFFSET(装备属性!$D$1083,1+INT(COUNTA($Q$11:Q1207)/5),0),C1207)</f>
        <v>彩</v>
      </c>
      <c r="D1208" s="82">
        <f t="shared" si="56"/>
        <v>2000</v>
      </c>
      <c r="F1208" s="82">
        <f ca="1" t="shared" si="55"/>
        <v>40809</v>
      </c>
      <c r="G1208" s="78" t="str">
        <f ca="1">IF(AND(LEFT("[{"&amp;M1208&amp;","&amp;CEILING(N1208*10000+(O1208-N1208)/4*(COUNTIF($F$11:F1208,F1208)-1)*10000,10)&amp;"}]",7)="[{equip",MID("[{"&amp;M1208&amp;","&amp;CEILING(N1208*10000+(O1208-N1208)/4*(COUNTIF($F$11:F1208,F1208)-1)*10000,10)&amp;"}]",8,1)&lt;&gt;"_"),"[{"&amp;M1208&amp;","&amp;1&amp;"}]","[{"&amp;M1208&amp;","&amp;CEILING(N1208*10000+(O1208-N1208)/4*(COUNTIF($F$11:F1208,F1208)-1)*10000,10)&amp;"}]")</f>
        <v>[{drug_crit_dmg,4200}]</v>
      </c>
      <c r="H1208" s="82" t="s">
        <v>563</v>
      </c>
      <c r="J1208" s="78">
        <f ca="1">IF(MOD(COUNTIF($Q$11:Q1207,Q1207),5)=0,OFFSET(装备属性!$P$1083,1+INT(COUNTA($Q$11:Q1207)/5),0),J1207)</f>
        <v>10</v>
      </c>
      <c r="K1208" s="83" t="str">
        <f ca="1">IF(RIGHT(G1208,13)="rune_slot,1}]",_xlfn.XLOOKUP(LEFT(SUBSTITUTE(G1208,"[{",""),FIND(",",SUBSTITUTE(G1208,"[{",""))-1),Sheet2!B:B,Sheet2!C:C)&amp;"+"&amp;1,_xlfn.XLOOKUP(LEFT(SUBSTITUTE(G1208,"[{",""),FIND(",",SUBSTITUTE(G1208,"[{",""))-1),Sheet2!B:B,Sheet2!C:C)&amp;"+"&amp;SUBSTITUTE(RIGHT(G1208,LEN(G1208)-FIND(",",G1208)),"}]","")/100&amp;"%")</f>
        <v>毒系暴击伤害+42%</v>
      </c>
      <c r="L1208" s="83" t="str">
        <f ca="1">IF(MOD(COUNTIF($Q$11:Q1207,Q1207),5)=0,OFFSET(装备属性!$G$1083,1+INT(COUNTA($Q$11:Q1207)/5),0),L1207)</f>
        <v>暴走毒毒Ⅴ</v>
      </c>
      <c r="M1208" s="89" t="str">
        <f ca="1">IF(MOD(COUNTIF($Q$11:Q1207,Q1207),5)=0,OFFSET(装备属性!$H$1083,1+INT(COUNTA($Q$11:Q1207)/5),0),M1207)</f>
        <v>drug_crit_dmg</v>
      </c>
      <c r="N1208" s="76">
        <f ca="1">IF(MOD(COUNTIF($Q$11:Q1207,Q1207),5)=0,OFFSET(装备属性!$K$1083,1+INT(COUNTA($Q$11:Q1207)/5),0),N1207)</f>
        <v>0.39</v>
      </c>
      <c r="O1208" s="76">
        <f ca="1">IF(MOD(COUNTIF($Q$11:Q1207,Q1207),5)=0,OFFSET(装备属性!$L$1083,1+INT(COUNTA($Q$11:Q1207)/5),0),O1207)</f>
        <v>0.45</v>
      </c>
      <c r="Q1208" s="89" t="str">
        <f ca="1">IF(MOD(COUNTIF($Q$11:Q1207,Q1207),5)=0,OFFSET(装备属性!$M$1083,1+INT(COUNTA($Q$11:Q1207)/5),0),Q1207)</f>
        <v>通用属性</v>
      </c>
      <c r="R1208" s="83">
        <f ca="1">IF(MOD(COUNTIF($Q$11:Q1207,Q1207),5)=0,10000*SUBSTITUTE(SUBSTITUTE(OFFSET(装备属性!$F$1083,1+INT(COUNTA($Q$11:Q1207)/5),0),"[",""),"]","")+_xlfn.XLOOKUP(C1208,$M$3:$M$7,$N$3:$N$7)*100,R1207)</f>
        <v>40800</v>
      </c>
    </row>
    <row r="1209" customHeight="1" spans="1:18">
      <c r="A1209" s="78">
        <f ca="1" t="shared" si="54"/>
        <v>40801</v>
      </c>
      <c r="B1209" s="82">
        <f ca="1">IFERROR(R1209+COUNTIFS($R$11:$R1209,R1209),"")</f>
        <v>40849</v>
      </c>
      <c r="C1209" s="83" t="str">
        <f ca="1">IF(MOD(COUNTIF($Q$11:Q1208,Q1208),5)=0,OFFSET(装备属性!$D$1083,1+INT(COUNTA($Q$11:Q1208)/5),0),C1208)</f>
        <v>彩</v>
      </c>
      <c r="D1209" s="82">
        <f t="shared" si="56"/>
        <v>1500</v>
      </c>
      <c r="F1209" s="82">
        <f ca="1" t="shared" si="55"/>
        <v>40809</v>
      </c>
      <c r="G1209" s="78" t="str">
        <f ca="1">IF(AND(LEFT("[{"&amp;M1209&amp;","&amp;CEILING(N1209*10000+(O1209-N1209)/4*(COUNTIF($F$11:F1209,F1209)-1)*10000,10)&amp;"}]",7)="[{equip",MID("[{"&amp;M1209&amp;","&amp;CEILING(N1209*10000+(O1209-N1209)/4*(COUNTIF($F$11:F1209,F1209)-1)*10000,10)&amp;"}]",8,1)&lt;&gt;"_"),"[{"&amp;M1209&amp;","&amp;1&amp;"}]","[{"&amp;M1209&amp;","&amp;CEILING(N1209*10000+(O1209-N1209)/4*(COUNTIF($F$11:F1209,F1209)-1)*10000,10)&amp;"}]")</f>
        <v>[{drug_crit_dmg,4350}]</v>
      </c>
      <c r="H1209" s="82" t="s">
        <v>563</v>
      </c>
      <c r="J1209" s="78">
        <f ca="1">IF(MOD(COUNTIF($Q$11:Q1208,Q1208),5)=0,OFFSET(装备属性!$P$1083,1+INT(COUNTA($Q$11:Q1208)/5),0),J1208)</f>
        <v>10</v>
      </c>
      <c r="K1209" s="83" t="str">
        <f ca="1">IF(RIGHT(G1209,13)="rune_slot,1}]",_xlfn.XLOOKUP(LEFT(SUBSTITUTE(G1209,"[{",""),FIND(",",SUBSTITUTE(G1209,"[{",""))-1),Sheet2!B:B,Sheet2!C:C)&amp;"+"&amp;1,_xlfn.XLOOKUP(LEFT(SUBSTITUTE(G1209,"[{",""),FIND(",",SUBSTITUTE(G1209,"[{",""))-1),Sheet2!B:B,Sheet2!C:C)&amp;"+"&amp;SUBSTITUTE(RIGHT(G1209,LEN(G1209)-FIND(",",G1209)),"}]","")/100&amp;"%")</f>
        <v>毒系暴击伤害+43.5%</v>
      </c>
      <c r="L1209" s="83" t="str">
        <f ca="1">IF(MOD(COUNTIF($Q$11:Q1208,Q1208),5)=0,OFFSET(装备属性!$G$1083,1+INT(COUNTA($Q$11:Q1208)/5),0),L1208)</f>
        <v>暴走毒毒Ⅴ</v>
      </c>
      <c r="M1209" s="89" t="str">
        <f ca="1">IF(MOD(COUNTIF($Q$11:Q1208,Q1208),5)=0,OFFSET(装备属性!$H$1083,1+INT(COUNTA($Q$11:Q1208)/5),0),M1208)</f>
        <v>drug_crit_dmg</v>
      </c>
      <c r="N1209" s="76">
        <f ca="1">IF(MOD(COUNTIF($Q$11:Q1208,Q1208),5)=0,OFFSET(装备属性!$K$1083,1+INT(COUNTA($Q$11:Q1208)/5),0),N1208)</f>
        <v>0.39</v>
      </c>
      <c r="O1209" s="76">
        <f ca="1">IF(MOD(COUNTIF($Q$11:Q1208,Q1208),5)=0,OFFSET(装备属性!$L$1083,1+INT(COUNTA($Q$11:Q1208)/5),0),O1208)</f>
        <v>0.45</v>
      </c>
      <c r="Q1209" s="89" t="str">
        <f ca="1">IF(MOD(COUNTIF($Q$11:Q1208,Q1208),5)=0,OFFSET(装备属性!$M$1083,1+INT(COUNTA($Q$11:Q1208)/5),0),Q1208)</f>
        <v>通用属性</v>
      </c>
      <c r="R1209" s="83">
        <f ca="1">IF(MOD(COUNTIF($Q$11:Q1208,Q1208),5)=0,10000*SUBSTITUTE(SUBSTITUTE(OFFSET(装备属性!$F$1083,1+INT(COUNTA($Q$11:Q1208)/5),0),"[",""),"]","")+_xlfn.XLOOKUP(C1209,$M$3:$M$7,$N$3:$N$7)*100,R1208)</f>
        <v>40800</v>
      </c>
    </row>
    <row r="1210" customHeight="1" spans="1:18">
      <c r="A1210" s="78">
        <f ca="1" t="shared" si="54"/>
        <v>40801</v>
      </c>
      <c r="B1210" s="82">
        <f ca="1">IFERROR(R1210+COUNTIFS($R$11:$R1210,R1210),"")</f>
        <v>40850</v>
      </c>
      <c r="C1210" s="83" t="str">
        <f ca="1">IF(MOD(COUNTIF($Q$11:Q1209,Q1209),5)=0,OFFSET(装备属性!$D$1083,1+INT(COUNTA($Q$11:Q1209)/5),0),C1209)</f>
        <v>彩</v>
      </c>
      <c r="D1210" s="82">
        <f t="shared" si="56"/>
        <v>1000</v>
      </c>
      <c r="F1210" s="82">
        <f ca="1" t="shared" si="55"/>
        <v>40809</v>
      </c>
      <c r="G1210" s="78" t="str">
        <f ca="1">IF(AND(LEFT("[{"&amp;M1210&amp;","&amp;CEILING(N1210*10000+(O1210-N1210)/4*(COUNTIF($F$11:F1210,F1210)-1)*10000,10)&amp;"}]",7)="[{equip",MID("[{"&amp;M1210&amp;","&amp;CEILING(N1210*10000+(O1210-N1210)/4*(COUNTIF($F$11:F1210,F1210)-1)*10000,10)&amp;"}]",8,1)&lt;&gt;"_"),"[{"&amp;M1210&amp;","&amp;1&amp;"}]","[{"&amp;M1210&amp;","&amp;CEILING(N1210*10000+(O1210-N1210)/4*(COUNTIF($F$11:F1210,F1210)-1)*10000,10)&amp;"}]")</f>
        <v>[{drug_crit_dmg,4500}]</v>
      </c>
      <c r="H1210" s="82" t="s">
        <v>563</v>
      </c>
      <c r="J1210" s="78">
        <f ca="1">IF(MOD(COUNTIF($Q$11:Q1209,Q1209),5)=0,OFFSET(装备属性!$P$1083,1+INT(COUNTA($Q$11:Q1209)/5),0),J1209)</f>
        <v>10</v>
      </c>
      <c r="K1210" s="83" t="str">
        <f ca="1">IF(RIGHT(G1210,13)="rune_slot,1}]",_xlfn.XLOOKUP(LEFT(SUBSTITUTE(G1210,"[{",""),FIND(",",SUBSTITUTE(G1210,"[{",""))-1),Sheet2!B:B,Sheet2!C:C)&amp;"+"&amp;1,_xlfn.XLOOKUP(LEFT(SUBSTITUTE(G1210,"[{",""),FIND(",",SUBSTITUTE(G1210,"[{",""))-1),Sheet2!B:B,Sheet2!C:C)&amp;"+"&amp;SUBSTITUTE(RIGHT(G1210,LEN(G1210)-FIND(",",G1210)),"}]","")/100&amp;"%")</f>
        <v>毒系暴击伤害+45%</v>
      </c>
      <c r="L1210" s="83" t="str">
        <f ca="1">IF(MOD(COUNTIF($Q$11:Q1209,Q1209),5)=0,OFFSET(装备属性!$G$1083,1+INT(COUNTA($Q$11:Q1209)/5),0),L1209)</f>
        <v>暴走毒毒Ⅴ</v>
      </c>
      <c r="M1210" s="89" t="str">
        <f ca="1">IF(MOD(COUNTIF($Q$11:Q1209,Q1209),5)=0,OFFSET(装备属性!$H$1083,1+INT(COUNTA($Q$11:Q1209)/5),0),M1209)</f>
        <v>drug_crit_dmg</v>
      </c>
      <c r="N1210" s="76">
        <f ca="1">IF(MOD(COUNTIF($Q$11:Q1209,Q1209),5)=0,OFFSET(装备属性!$K$1083,1+INT(COUNTA($Q$11:Q1209)/5),0),N1209)</f>
        <v>0.39</v>
      </c>
      <c r="O1210" s="76">
        <f ca="1">IF(MOD(COUNTIF($Q$11:Q1209,Q1209),5)=0,OFFSET(装备属性!$L$1083,1+INT(COUNTA($Q$11:Q1209)/5),0),O1209)</f>
        <v>0.45</v>
      </c>
      <c r="Q1210" s="89" t="str">
        <f ca="1">IF(MOD(COUNTIF($Q$11:Q1209,Q1209),5)=0,OFFSET(装备属性!$M$1083,1+INT(COUNTA($Q$11:Q1209)/5),0),Q1209)</f>
        <v>通用属性</v>
      </c>
      <c r="R1210" s="83">
        <f ca="1">IF(MOD(COUNTIF($Q$11:Q1209,Q1209),5)=0,10000*SUBSTITUTE(SUBSTITUTE(OFFSET(装备属性!$F$1083,1+INT(COUNTA($Q$11:Q1209)/5),0),"[",""),"]","")+_xlfn.XLOOKUP(C1210,$M$3:$M$7,$N$3:$N$7)*100,R1209)</f>
        <v>40800</v>
      </c>
    </row>
    <row r="1211" customHeight="1" spans="1:18">
      <c r="A1211" s="78" t="str">
        <f ca="1" t="shared" si="54"/>
        <v/>
      </c>
      <c r="B1211" s="82" t="str">
        <f ca="1">IFERROR(R1211+COUNTIFS($R$11:$R1211,R1211),"")</f>
        <v/>
      </c>
      <c r="C1211" s="83">
        <f ca="1">IF(MOD(COUNTIF($Q$11:Q1210,Q1210),5)=0,OFFSET(装备属性!$D$1083,1+INT(COUNTA($Q$11:Q1210)/5),0),C1210)</f>
        <v>0</v>
      </c>
      <c r="D1211" s="82">
        <f t="shared" si="56"/>
        <v>3000</v>
      </c>
      <c r="F1211" s="82" t="str">
        <f ca="1" t="shared" si="55"/>
        <v/>
      </c>
      <c r="G1211" s="78" t="str">
        <f ca="1">IF(AND(LEFT("[{"&amp;M1211&amp;","&amp;CEILING(N1211*10000+(O1211-N1211)/4*(COUNTIF($F$11:F1211,F1211)-1)*10000,10)&amp;"}]",7)="[{equip",MID("[{"&amp;M1211&amp;","&amp;CEILING(N1211*10000+(O1211-N1211)/4*(COUNTIF($F$11:F1211,F1211)-1)*10000,10)&amp;"}]",8,1)&lt;&gt;"_"),"[{"&amp;M1211&amp;","&amp;1&amp;"}]","[{"&amp;M1211&amp;","&amp;CEILING(N1211*10000+(O1211-N1211)/4*(COUNTIF($F$11:F1211,F1211)-1)*10000,10)&amp;"}]")</f>
        <v>[{global_dmg_rate,14550}]</v>
      </c>
      <c r="H1211" s="82" t="s">
        <v>563</v>
      </c>
      <c r="J1211" s="78">
        <f ca="1">IF(MOD(COUNTIF($Q$11:Q1210,Q1210),5)=0,OFFSET(装备属性!$P$1083,1+INT(COUNTA($Q$11:Q1210)/5),0),J1210)</f>
        <v>2</v>
      </c>
      <c r="K1211" s="83" t="str">
        <f ca="1">IF(RIGHT(G1211,13)="rune_slot,1}]",_xlfn.XLOOKUP(LEFT(SUBSTITUTE(G1211,"[{",""),FIND(",",SUBSTITUTE(G1211,"[{",""))-1),Sheet2!B:B,Sheet2!C:C)&amp;"+"&amp;1,_xlfn.XLOOKUP(LEFT(SUBSTITUTE(G1211,"[{",""),FIND(",",SUBSTITUTE(G1211,"[{",""))-1),Sheet2!B:B,Sheet2!C:C)&amp;"+"&amp;SUBSTITUTE(RIGHT(G1211,LEN(G1211)-FIND(",",G1211)),"}]","")/100&amp;"%")</f>
        <v>伤害加成+145.5%</v>
      </c>
      <c r="L1211" s="83" t="str">
        <f ca="1">IF(MOD(COUNTIF($Q$11:Q1210,Q1210),5)=0,OFFSET(装备属性!$G$1083,1+INT(COUNTA($Q$11:Q1210)/5),0),L1210)</f>
        <v>全职小队Ⅰ</v>
      </c>
      <c r="M1211" s="89" t="str">
        <f ca="1">IF(MOD(COUNTIF($Q$11:Q1210,Q1210),5)=0,OFFSET(装备属性!$H$1083,1+INT(COUNTA($Q$11:Q1210)/5),0),M1210)</f>
        <v>global_dmg_rate</v>
      </c>
      <c r="N1211" s="76">
        <f ca="1">IF(MOD(COUNTIF($Q$11:Q1210,Q1210),5)=0,OFFSET(装备属性!$K$1083,1+INT(COUNTA($Q$11:Q1210)/5),0),N1210)</f>
        <v>0.03</v>
      </c>
      <c r="O1211" s="76">
        <f ca="1">IF(MOD(COUNTIF($Q$11:Q1210,Q1210),5)=0,OFFSET(装备属性!$L$1083,1+INT(COUNTA($Q$11:Q1210)/5),0),O1210)</f>
        <v>0.042</v>
      </c>
      <c r="Q1211" s="89" t="str">
        <f ca="1">IF(MOD(COUNTIF($Q$11:Q1210,Q1210),5)=0,OFFSET(装备属性!$M$1083,1+INT(COUNTA($Q$11:Q1210)/5),0),Q1210)</f>
        <v>通用属性</v>
      </c>
      <c r="R1211" s="83" t="e">
        <f ca="1">IF(MOD(COUNTIF($Q$11:Q1210,Q1210),5)=0,10000*SUBSTITUTE(SUBSTITUTE(OFFSET(装备属性!$F$1083,1+INT(COUNTA($Q$11:Q1210)/5),0),"[",""),"]","")+_xlfn.XLOOKUP(C1211,$M$3:$M$7,$N$3:$N$7)*100,R1210)</f>
        <v>#N/A</v>
      </c>
    </row>
    <row r="1212" customHeight="1" spans="1:18">
      <c r="A1212" s="78" t="str">
        <f ca="1" t="shared" si="54"/>
        <v/>
      </c>
      <c r="B1212" s="82" t="str">
        <f ca="1">IFERROR(R1212+COUNTIFS($R$11:$R1212,R1212),"")</f>
        <v/>
      </c>
      <c r="C1212" s="83">
        <f ca="1">IF(MOD(COUNTIF($Q$11:Q1211,Q1211),5)=0,OFFSET(装备属性!$D$1083,1+INT(COUNTA($Q$11:Q1211)/5),0),C1211)</f>
        <v>0</v>
      </c>
      <c r="D1212" s="82">
        <f t="shared" si="56"/>
        <v>2500</v>
      </c>
      <c r="F1212" s="82" t="str">
        <f ca="1" t="shared" si="55"/>
        <v/>
      </c>
      <c r="G1212" s="78" t="str">
        <f ca="1">IF(AND(LEFT("[{"&amp;M1212&amp;","&amp;CEILING(N1212*10000+(O1212-N1212)/4*(COUNTIF($F$11:F1212,F1212)-1)*10000,10)&amp;"}]",7)="[{equip",MID("[{"&amp;M1212&amp;","&amp;CEILING(N1212*10000+(O1212-N1212)/4*(COUNTIF($F$11:F1212,F1212)-1)*10000,10)&amp;"}]",8,1)&lt;&gt;"_"),"[{"&amp;M1212&amp;","&amp;1&amp;"}]","[{"&amp;M1212&amp;","&amp;CEILING(N1212*10000+(O1212-N1212)/4*(COUNTIF($F$11:F1212,F1212)-1)*10000,10)&amp;"}]")</f>
        <v>[{global_dmg_rate,14580}]</v>
      </c>
      <c r="H1212" s="82" t="s">
        <v>563</v>
      </c>
      <c r="J1212" s="78">
        <f ca="1">IF(MOD(COUNTIF($Q$11:Q1211,Q1211),5)=0,OFFSET(装备属性!$P$1083,1+INT(COUNTA($Q$11:Q1211)/5),0),J1211)</f>
        <v>2</v>
      </c>
      <c r="K1212" s="83" t="str">
        <f ca="1">IF(RIGHT(G1212,13)="rune_slot,1}]",_xlfn.XLOOKUP(LEFT(SUBSTITUTE(G1212,"[{",""),FIND(",",SUBSTITUTE(G1212,"[{",""))-1),Sheet2!B:B,Sheet2!C:C)&amp;"+"&amp;1,_xlfn.XLOOKUP(LEFT(SUBSTITUTE(G1212,"[{",""),FIND(",",SUBSTITUTE(G1212,"[{",""))-1),Sheet2!B:B,Sheet2!C:C)&amp;"+"&amp;SUBSTITUTE(RIGHT(G1212,LEN(G1212)-FIND(",",G1212)),"}]","")/100&amp;"%")</f>
        <v>伤害加成+145.8%</v>
      </c>
      <c r="L1212" s="83" t="str">
        <f ca="1">IF(MOD(COUNTIF($Q$11:Q1211,Q1211),5)=0,OFFSET(装备属性!$G$1083,1+INT(COUNTA($Q$11:Q1211)/5),0),L1211)</f>
        <v>全职小队Ⅰ</v>
      </c>
      <c r="M1212" s="89" t="str">
        <f ca="1">IF(MOD(COUNTIF($Q$11:Q1211,Q1211),5)=0,OFFSET(装备属性!$H$1083,1+INT(COUNTA($Q$11:Q1211)/5),0),M1211)</f>
        <v>global_dmg_rate</v>
      </c>
      <c r="N1212" s="76">
        <f ca="1">IF(MOD(COUNTIF($Q$11:Q1211,Q1211),5)=0,OFFSET(装备属性!$K$1083,1+INT(COUNTA($Q$11:Q1211)/5),0),N1211)</f>
        <v>0.03</v>
      </c>
      <c r="O1212" s="76">
        <f ca="1">IF(MOD(COUNTIF($Q$11:Q1211,Q1211),5)=0,OFFSET(装备属性!$L$1083,1+INT(COUNTA($Q$11:Q1211)/5),0),O1211)</f>
        <v>0.042</v>
      </c>
      <c r="Q1212" s="89" t="str">
        <f ca="1">IF(MOD(COUNTIF($Q$11:Q1211,Q1211),5)=0,OFFSET(装备属性!$M$1083,1+INT(COUNTA($Q$11:Q1211)/5),0),Q1211)</f>
        <v>通用属性</v>
      </c>
      <c r="R1212" s="83" t="e">
        <f ca="1">IF(MOD(COUNTIF($Q$11:Q1211,Q1211),5)=0,10000*SUBSTITUTE(SUBSTITUTE(OFFSET(装备属性!$F$1083,1+INT(COUNTA($Q$11:Q1211)/5),0),"[",""),"]","")+_xlfn.XLOOKUP(C1212,$M$3:$M$7,$N$3:$N$7)*100,R1211)</f>
        <v>#N/A</v>
      </c>
    </row>
    <row r="1213" customHeight="1" spans="1:18">
      <c r="A1213" s="78" t="str">
        <f ca="1" t="shared" si="54"/>
        <v/>
      </c>
      <c r="B1213" s="82" t="str">
        <f ca="1">IFERROR(R1213+COUNTIFS($R$11:$R1213,R1213),"")</f>
        <v/>
      </c>
      <c r="C1213" s="83">
        <f ca="1">IF(MOD(COUNTIF($Q$11:Q1212,Q1212),5)=0,OFFSET(装备属性!$D$1083,1+INT(COUNTA($Q$11:Q1212)/5),0),C1212)</f>
        <v>0</v>
      </c>
      <c r="D1213" s="82">
        <f t="shared" si="56"/>
        <v>2000</v>
      </c>
      <c r="F1213" s="82" t="str">
        <f ca="1" t="shared" si="55"/>
        <v/>
      </c>
      <c r="G1213" s="78" t="str">
        <f ca="1">IF(AND(LEFT("[{"&amp;M1213&amp;","&amp;CEILING(N1213*10000+(O1213-N1213)/4*(COUNTIF($F$11:F1213,F1213)-1)*10000,10)&amp;"}]",7)="[{equip",MID("[{"&amp;M1213&amp;","&amp;CEILING(N1213*10000+(O1213-N1213)/4*(COUNTIF($F$11:F1213,F1213)-1)*10000,10)&amp;"}]",8,1)&lt;&gt;"_"),"[{"&amp;M1213&amp;","&amp;1&amp;"}]","[{"&amp;M1213&amp;","&amp;CEILING(N1213*10000+(O1213-N1213)/4*(COUNTIF($F$11:F1213,F1213)-1)*10000,10)&amp;"}]")</f>
        <v>[{global_dmg_rate,14610}]</v>
      </c>
      <c r="H1213" s="82" t="s">
        <v>563</v>
      </c>
      <c r="J1213" s="78">
        <f ca="1">IF(MOD(COUNTIF($Q$11:Q1212,Q1212),5)=0,OFFSET(装备属性!$P$1083,1+INT(COUNTA($Q$11:Q1212)/5),0),J1212)</f>
        <v>2</v>
      </c>
      <c r="K1213" s="83" t="str">
        <f ca="1">IF(RIGHT(G1213,13)="rune_slot,1}]",_xlfn.XLOOKUP(LEFT(SUBSTITUTE(G1213,"[{",""),FIND(",",SUBSTITUTE(G1213,"[{",""))-1),Sheet2!B:B,Sheet2!C:C)&amp;"+"&amp;1,_xlfn.XLOOKUP(LEFT(SUBSTITUTE(G1213,"[{",""),FIND(",",SUBSTITUTE(G1213,"[{",""))-1),Sheet2!B:B,Sheet2!C:C)&amp;"+"&amp;SUBSTITUTE(RIGHT(G1213,LEN(G1213)-FIND(",",G1213)),"}]","")/100&amp;"%")</f>
        <v>伤害加成+146.1%</v>
      </c>
      <c r="L1213" s="83" t="str">
        <f ca="1">IF(MOD(COUNTIF($Q$11:Q1212,Q1212),5)=0,OFFSET(装备属性!$G$1083,1+INT(COUNTA($Q$11:Q1212)/5),0),L1212)</f>
        <v>全职小队Ⅰ</v>
      </c>
      <c r="M1213" s="89" t="str">
        <f ca="1">IF(MOD(COUNTIF($Q$11:Q1212,Q1212),5)=0,OFFSET(装备属性!$H$1083,1+INT(COUNTA($Q$11:Q1212)/5),0),M1212)</f>
        <v>global_dmg_rate</v>
      </c>
      <c r="N1213" s="76">
        <f ca="1">IF(MOD(COUNTIF($Q$11:Q1212,Q1212),5)=0,OFFSET(装备属性!$K$1083,1+INT(COUNTA($Q$11:Q1212)/5),0),N1212)</f>
        <v>0.03</v>
      </c>
      <c r="O1213" s="76">
        <f ca="1">IF(MOD(COUNTIF($Q$11:Q1212,Q1212),5)=0,OFFSET(装备属性!$L$1083,1+INT(COUNTA($Q$11:Q1212)/5),0),O1212)</f>
        <v>0.042</v>
      </c>
      <c r="Q1213" s="89" t="str">
        <f ca="1">IF(MOD(COUNTIF($Q$11:Q1212,Q1212),5)=0,OFFSET(装备属性!$M$1083,1+INT(COUNTA($Q$11:Q1212)/5),0),Q1212)</f>
        <v>通用属性</v>
      </c>
      <c r="R1213" s="83" t="e">
        <f ca="1">IF(MOD(COUNTIF($Q$11:Q1212,Q1212),5)=0,10000*SUBSTITUTE(SUBSTITUTE(OFFSET(装备属性!$F$1083,1+INT(COUNTA($Q$11:Q1212)/5),0),"[",""),"]","")+_xlfn.XLOOKUP(C1213,$M$3:$M$7,$N$3:$N$7)*100,R1212)</f>
        <v>#N/A</v>
      </c>
    </row>
    <row r="1214" customHeight="1" spans="1:18">
      <c r="A1214" s="78" t="str">
        <f ca="1" t="shared" si="54"/>
        <v/>
      </c>
      <c r="B1214" s="82" t="str">
        <f ca="1">IFERROR(R1214+COUNTIFS($R$11:$R1214,R1214),"")</f>
        <v/>
      </c>
      <c r="C1214" s="83">
        <f ca="1">IF(MOD(COUNTIF($Q$11:Q1213,Q1213),5)=0,OFFSET(装备属性!$D$1083,1+INT(COUNTA($Q$11:Q1213)/5),0),C1213)</f>
        <v>0</v>
      </c>
      <c r="D1214" s="82">
        <f t="shared" si="56"/>
        <v>1500</v>
      </c>
      <c r="F1214" s="82" t="str">
        <f ca="1" t="shared" si="55"/>
        <v/>
      </c>
      <c r="G1214" s="78" t="str">
        <f ca="1">IF(AND(LEFT("[{"&amp;M1214&amp;","&amp;CEILING(N1214*10000+(O1214-N1214)/4*(COUNTIF($F$11:F1214,F1214)-1)*10000,10)&amp;"}]",7)="[{equip",MID("[{"&amp;M1214&amp;","&amp;CEILING(N1214*10000+(O1214-N1214)/4*(COUNTIF($F$11:F1214,F1214)-1)*10000,10)&amp;"}]",8,1)&lt;&gt;"_"),"[{"&amp;M1214&amp;","&amp;1&amp;"}]","[{"&amp;M1214&amp;","&amp;CEILING(N1214*10000+(O1214-N1214)/4*(COUNTIF($F$11:F1214,F1214)-1)*10000,10)&amp;"}]")</f>
        <v>[{global_dmg_rate,14640}]</v>
      </c>
      <c r="H1214" s="82" t="s">
        <v>563</v>
      </c>
      <c r="J1214" s="78">
        <f ca="1">IF(MOD(COUNTIF($Q$11:Q1213,Q1213),5)=0,OFFSET(装备属性!$P$1083,1+INT(COUNTA($Q$11:Q1213)/5),0),J1213)</f>
        <v>2</v>
      </c>
      <c r="K1214" s="83" t="str">
        <f ca="1">IF(RIGHT(G1214,13)="rune_slot,1}]",_xlfn.XLOOKUP(LEFT(SUBSTITUTE(G1214,"[{",""),FIND(",",SUBSTITUTE(G1214,"[{",""))-1),Sheet2!B:B,Sheet2!C:C)&amp;"+"&amp;1,_xlfn.XLOOKUP(LEFT(SUBSTITUTE(G1214,"[{",""),FIND(",",SUBSTITUTE(G1214,"[{",""))-1),Sheet2!B:B,Sheet2!C:C)&amp;"+"&amp;SUBSTITUTE(RIGHT(G1214,LEN(G1214)-FIND(",",G1214)),"}]","")/100&amp;"%")</f>
        <v>伤害加成+146.4%</v>
      </c>
      <c r="L1214" s="83" t="str">
        <f ca="1">IF(MOD(COUNTIF($Q$11:Q1213,Q1213),5)=0,OFFSET(装备属性!$G$1083,1+INT(COUNTA($Q$11:Q1213)/5),0),L1213)</f>
        <v>全职小队Ⅰ</v>
      </c>
      <c r="M1214" s="89" t="str">
        <f ca="1">IF(MOD(COUNTIF($Q$11:Q1213,Q1213),5)=0,OFFSET(装备属性!$H$1083,1+INT(COUNTA($Q$11:Q1213)/5),0),M1213)</f>
        <v>global_dmg_rate</v>
      </c>
      <c r="N1214" s="76">
        <f ca="1">IF(MOD(COUNTIF($Q$11:Q1213,Q1213),5)=0,OFFSET(装备属性!$K$1083,1+INT(COUNTA($Q$11:Q1213)/5),0),N1213)</f>
        <v>0.03</v>
      </c>
      <c r="O1214" s="76">
        <f ca="1">IF(MOD(COUNTIF($Q$11:Q1213,Q1213),5)=0,OFFSET(装备属性!$L$1083,1+INT(COUNTA($Q$11:Q1213)/5),0),O1213)</f>
        <v>0.042</v>
      </c>
      <c r="Q1214" s="89" t="str">
        <f ca="1">IF(MOD(COUNTIF($Q$11:Q1213,Q1213),5)=0,OFFSET(装备属性!$M$1083,1+INT(COUNTA($Q$11:Q1213)/5),0),Q1213)</f>
        <v>通用属性</v>
      </c>
      <c r="R1214" s="83" t="e">
        <f ca="1">IF(MOD(COUNTIF($Q$11:Q1213,Q1213),5)=0,10000*SUBSTITUTE(SUBSTITUTE(OFFSET(装备属性!$F$1083,1+INT(COUNTA($Q$11:Q1213)/5),0),"[",""),"]","")+_xlfn.XLOOKUP(C1214,$M$3:$M$7,$N$3:$N$7)*100,R1213)</f>
        <v>#N/A</v>
      </c>
    </row>
    <row r="1215" customHeight="1" spans="1:18">
      <c r="A1215" s="78" t="str">
        <f ca="1" t="shared" si="54"/>
        <v/>
      </c>
      <c r="B1215" s="82" t="str">
        <f ca="1">IFERROR(R1215+COUNTIFS($R$11:$R1215,R1215),"")</f>
        <v/>
      </c>
      <c r="C1215" s="83">
        <f ca="1">IF(MOD(COUNTIF($Q$11:Q1214,Q1214),5)=0,OFFSET(装备属性!$D$1083,1+INT(COUNTA($Q$11:Q1214)/5),0),C1214)</f>
        <v>0</v>
      </c>
      <c r="D1215" s="82">
        <f t="shared" si="56"/>
        <v>1000</v>
      </c>
      <c r="F1215" s="82" t="str">
        <f ca="1" t="shared" si="55"/>
        <v/>
      </c>
      <c r="G1215" s="78" t="str">
        <f ca="1">IF(AND(LEFT("[{"&amp;M1215&amp;","&amp;CEILING(N1215*10000+(O1215-N1215)/4*(COUNTIF($F$11:F1215,F1215)-1)*10000,10)&amp;"}]",7)="[{equip",MID("[{"&amp;M1215&amp;","&amp;CEILING(N1215*10000+(O1215-N1215)/4*(COUNTIF($F$11:F1215,F1215)-1)*10000,10)&amp;"}]",8,1)&lt;&gt;"_"),"[{"&amp;M1215&amp;","&amp;1&amp;"}]","[{"&amp;M1215&amp;","&amp;CEILING(N1215*10000+(O1215-N1215)/4*(COUNTIF($F$11:F1215,F1215)-1)*10000,10)&amp;"}]")</f>
        <v>[{global_dmg_rate,14670}]</v>
      </c>
      <c r="H1215" s="82" t="s">
        <v>563</v>
      </c>
      <c r="J1215" s="78">
        <f ca="1">IF(MOD(COUNTIF($Q$11:Q1214,Q1214),5)=0,OFFSET(装备属性!$P$1083,1+INT(COUNTA($Q$11:Q1214)/5),0),J1214)</f>
        <v>2</v>
      </c>
      <c r="K1215" s="83" t="str">
        <f ca="1">IF(RIGHT(G1215,13)="rune_slot,1}]",_xlfn.XLOOKUP(LEFT(SUBSTITUTE(G1215,"[{",""),FIND(",",SUBSTITUTE(G1215,"[{",""))-1),Sheet2!B:B,Sheet2!C:C)&amp;"+"&amp;1,_xlfn.XLOOKUP(LEFT(SUBSTITUTE(G1215,"[{",""),FIND(",",SUBSTITUTE(G1215,"[{",""))-1),Sheet2!B:B,Sheet2!C:C)&amp;"+"&amp;SUBSTITUTE(RIGHT(G1215,LEN(G1215)-FIND(",",G1215)),"}]","")/100&amp;"%")</f>
        <v>伤害加成+146.7%</v>
      </c>
      <c r="L1215" s="83" t="str">
        <f ca="1">IF(MOD(COUNTIF($Q$11:Q1214,Q1214),5)=0,OFFSET(装备属性!$G$1083,1+INT(COUNTA($Q$11:Q1214)/5),0),L1214)</f>
        <v>全职小队Ⅰ</v>
      </c>
      <c r="M1215" s="89" t="str">
        <f ca="1">IF(MOD(COUNTIF($Q$11:Q1214,Q1214),5)=0,OFFSET(装备属性!$H$1083,1+INT(COUNTA($Q$11:Q1214)/5),0),M1214)</f>
        <v>global_dmg_rate</v>
      </c>
      <c r="N1215" s="76">
        <f ca="1">IF(MOD(COUNTIF($Q$11:Q1214,Q1214),5)=0,OFFSET(装备属性!$K$1083,1+INT(COUNTA($Q$11:Q1214)/5),0),N1214)</f>
        <v>0.03</v>
      </c>
      <c r="O1215" s="76">
        <f ca="1">IF(MOD(COUNTIF($Q$11:Q1214,Q1214),5)=0,OFFSET(装备属性!$L$1083,1+INT(COUNTA($Q$11:Q1214)/5),0),O1214)</f>
        <v>0.042</v>
      </c>
      <c r="Q1215" s="89" t="str">
        <f ca="1">IF(MOD(COUNTIF($Q$11:Q1214,Q1214),5)=0,OFFSET(装备属性!$M$1083,1+INT(COUNTA($Q$11:Q1214)/5),0),Q1214)</f>
        <v>通用属性</v>
      </c>
      <c r="R1215" s="83" t="e">
        <f ca="1">IF(MOD(COUNTIF($Q$11:Q1214,Q1214),5)=0,10000*SUBSTITUTE(SUBSTITUTE(OFFSET(装备属性!$F$1083,1+INT(COUNTA($Q$11:Q1214)/5),0),"[",""),"]","")+_xlfn.XLOOKUP(C1215,$M$3:$M$7,$N$3:$N$7)*100,R1214)</f>
        <v>#N/A</v>
      </c>
    </row>
    <row r="1216" customHeight="1" spans="1:18">
      <c r="A1216" s="78">
        <f ca="1" t="shared" si="54"/>
        <v>50401</v>
      </c>
      <c r="B1216" s="82">
        <f ca="1">IFERROR(R1216+COUNTIFS($R$11:$R1216,R1216),"")</f>
        <v>50401</v>
      </c>
      <c r="C1216" s="83" t="str">
        <f ca="1">IF(MOD(COUNTIF($Q$11:Q1215,Q1215),5)=0,OFFSET(装备属性!$D$1083,1+INT(COUNTA($Q$11:Q1215)/5),0),C1215)</f>
        <v>紫</v>
      </c>
      <c r="D1216" s="82">
        <f t="shared" si="56"/>
        <v>3000</v>
      </c>
      <c r="F1216" s="82">
        <f ca="1" t="shared" si="55"/>
        <v>50400</v>
      </c>
      <c r="G1216" s="78" t="str">
        <f ca="1">IF(AND(LEFT("[{"&amp;M1216&amp;","&amp;CEILING(N1216*10000+(O1216-N1216)/4*(COUNTIF($F$11:F1216,F1216)-1)*10000,10)&amp;"}]",7)="[{equip",MID("[{"&amp;M1216&amp;","&amp;CEILING(N1216*10000+(O1216-N1216)/4*(COUNTIF($F$11:F1216,F1216)-1)*10000,10)&amp;"}]",8,1)&lt;&gt;"_"),"[{"&amp;M1216&amp;","&amp;1&amp;"}]","[{"&amp;M1216&amp;","&amp;CEILING(N1216*10000+(O1216-N1216)/4*(COUNTIF($F$11:F1216,F1216)-1)*10000,10)&amp;"}]")</f>
        <v>[{dmg_red_rate,100}]</v>
      </c>
      <c r="H1216" s="82" t="s">
        <v>563</v>
      </c>
      <c r="J1216" s="78">
        <f ca="1">IF(MOD(COUNTIF($Q$11:Q1215,Q1215),5)=0,OFFSET(装备属性!$P$1083,1+INT(COUNTA($Q$11:Q1215)/5),0),J1215)</f>
        <v>6</v>
      </c>
      <c r="K1216" s="83" t="str">
        <f ca="1">IF(RIGHT(G1216,13)="rune_slot,1}]",_xlfn.XLOOKUP(LEFT(SUBSTITUTE(G1216,"[{",""),FIND(",",SUBSTITUTE(G1216,"[{",""))-1),Sheet2!B:B,Sheet2!C:C)&amp;"+"&amp;1,_xlfn.XLOOKUP(LEFT(SUBSTITUTE(G1216,"[{",""),FIND(",",SUBSTITUTE(G1216,"[{",""))-1),Sheet2!B:B,Sheet2!C:C)&amp;"+"&amp;SUBSTITUTE(RIGHT(G1216,LEN(G1216)-FIND(",",G1216)),"}]","")/100&amp;"%")</f>
        <v>伤害减免+1%</v>
      </c>
      <c r="L1216" s="83" t="str">
        <f ca="1">IF(MOD(COUNTIF($Q$11:Q1215,Q1215),5)=0,OFFSET(装备属性!$G$1083,1+INT(COUNTA($Q$11:Q1215)/5),0),L1215)</f>
        <v>全员抗揍Ⅰ</v>
      </c>
      <c r="M1216" s="89" t="str">
        <f ca="1">IF(MOD(COUNTIF($Q$11:Q1215,Q1215),5)=0,OFFSET(装备属性!$H$1083,1+INT(COUNTA($Q$11:Q1215)/5),0),M1215)</f>
        <v>dmg_red_rate</v>
      </c>
      <c r="N1216" s="76">
        <f ca="1">IF(MOD(COUNTIF($Q$11:Q1215,Q1215),5)=0,OFFSET(装备属性!$K$1083,1+INT(COUNTA($Q$11:Q1215)/5),0),N1215)</f>
        <v>0.01</v>
      </c>
      <c r="O1216" s="76">
        <f ca="1">IF(MOD(COUNTIF($Q$11:Q1215,Q1215),5)=0,OFFSET(装备属性!$L$1083,1+INT(COUNTA($Q$11:Q1215)/5),0),O1215)</f>
        <v>0.014</v>
      </c>
      <c r="Q1216" s="89" t="str">
        <f ca="1">IF(MOD(COUNTIF($Q$11:Q1215,Q1215),5)=0,OFFSET(装备属性!$M$1083,1+INT(COUNTA($Q$11:Q1215)/5),0),Q1215)</f>
        <v>通用属性</v>
      </c>
      <c r="R1216" s="83">
        <f ca="1">IF(MOD(COUNTIF($Q$11:Q1215,Q1215),5)=0,10000*SUBSTITUTE(SUBSTITUTE(OFFSET(装备属性!$F$1083,1+INT(COUNTA($Q$11:Q1215)/5),0),"[",""),"]","")+_xlfn.XLOOKUP(C1216,$M$3:$M$7,$N$3:$N$7)*100,R1215)</f>
        <v>50400</v>
      </c>
    </row>
    <row r="1217" customHeight="1" spans="1:18">
      <c r="A1217" s="78">
        <f ca="1" t="shared" si="54"/>
        <v>50401</v>
      </c>
      <c r="B1217" s="82">
        <f ca="1">IFERROR(R1217+COUNTIFS($R$11:$R1217,R1217),"")</f>
        <v>50402</v>
      </c>
      <c r="C1217" s="83" t="str">
        <f ca="1">IF(MOD(COUNTIF($Q$11:Q1216,Q1216),5)=0,OFFSET(装备属性!$D$1083,1+INT(COUNTA($Q$11:Q1216)/5),0),C1216)</f>
        <v>紫</v>
      </c>
      <c r="D1217" s="82">
        <f t="shared" si="56"/>
        <v>2500</v>
      </c>
      <c r="F1217" s="82">
        <f ca="1" t="shared" si="55"/>
        <v>50400</v>
      </c>
      <c r="G1217" s="78" t="str">
        <f ca="1">IF(AND(LEFT("[{"&amp;M1217&amp;","&amp;CEILING(N1217*10000+(O1217-N1217)/4*(COUNTIF($F$11:F1217,F1217)-1)*10000,10)&amp;"}]",7)="[{equip",MID("[{"&amp;M1217&amp;","&amp;CEILING(N1217*10000+(O1217-N1217)/4*(COUNTIF($F$11:F1217,F1217)-1)*10000,10)&amp;"}]",8,1)&lt;&gt;"_"),"[{"&amp;M1217&amp;","&amp;1&amp;"}]","[{"&amp;M1217&amp;","&amp;CEILING(N1217*10000+(O1217-N1217)/4*(COUNTIF($F$11:F1217,F1217)-1)*10000,10)&amp;"}]")</f>
        <v>[{dmg_red_rate,110}]</v>
      </c>
      <c r="H1217" s="82" t="s">
        <v>563</v>
      </c>
      <c r="J1217" s="78">
        <f ca="1">IF(MOD(COUNTIF($Q$11:Q1216,Q1216),5)=0,OFFSET(装备属性!$P$1083,1+INT(COUNTA($Q$11:Q1216)/5),0),J1216)</f>
        <v>6</v>
      </c>
      <c r="K1217" s="83" t="str">
        <f ca="1">IF(RIGHT(G1217,13)="rune_slot,1}]",_xlfn.XLOOKUP(LEFT(SUBSTITUTE(G1217,"[{",""),FIND(",",SUBSTITUTE(G1217,"[{",""))-1),Sheet2!B:B,Sheet2!C:C)&amp;"+"&amp;1,_xlfn.XLOOKUP(LEFT(SUBSTITUTE(G1217,"[{",""),FIND(",",SUBSTITUTE(G1217,"[{",""))-1),Sheet2!B:B,Sheet2!C:C)&amp;"+"&amp;SUBSTITUTE(RIGHT(G1217,LEN(G1217)-FIND(",",G1217)),"}]","")/100&amp;"%")</f>
        <v>伤害减免+1.1%</v>
      </c>
      <c r="L1217" s="83" t="str">
        <f ca="1">IF(MOD(COUNTIF($Q$11:Q1216,Q1216),5)=0,OFFSET(装备属性!$G$1083,1+INT(COUNTA($Q$11:Q1216)/5),0),L1216)</f>
        <v>全员抗揍Ⅰ</v>
      </c>
      <c r="M1217" s="89" t="str">
        <f ca="1">IF(MOD(COUNTIF($Q$11:Q1216,Q1216),5)=0,OFFSET(装备属性!$H$1083,1+INT(COUNTA($Q$11:Q1216)/5),0),M1216)</f>
        <v>dmg_red_rate</v>
      </c>
      <c r="N1217" s="76">
        <f ca="1">IF(MOD(COUNTIF($Q$11:Q1216,Q1216),5)=0,OFFSET(装备属性!$K$1083,1+INT(COUNTA($Q$11:Q1216)/5),0),N1216)</f>
        <v>0.01</v>
      </c>
      <c r="O1217" s="76">
        <f ca="1">IF(MOD(COUNTIF($Q$11:Q1216,Q1216),5)=0,OFFSET(装备属性!$L$1083,1+INT(COUNTA($Q$11:Q1216)/5),0),O1216)</f>
        <v>0.014</v>
      </c>
      <c r="Q1217" s="89" t="str">
        <f ca="1">IF(MOD(COUNTIF($Q$11:Q1216,Q1216),5)=0,OFFSET(装备属性!$M$1083,1+INT(COUNTA($Q$11:Q1216)/5),0),Q1216)</f>
        <v>通用属性</v>
      </c>
      <c r="R1217" s="83">
        <f ca="1">IF(MOD(COUNTIF($Q$11:Q1216,Q1216),5)=0,10000*SUBSTITUTE(SUBSTITUTE(OFFSET(装备属性!$F$1083,1+INT(COUNTA($Q$11:Q1216)/5),0),"[",""),"]","")+_xlfn.XLOOKUP(C1217,$M$3:$M$7,$N$3:$N$7)*100,R1216)</f>
        <v>50400</v>
      </c>
    </row>
    <row r="1218" customHeight="1" spans="1:18">
      <c r="A1218" s="78">
        <f ca="1" t="shared" si="54"/>
        <v>50401</v>
      </c>
      <c r="B1218" s="82">
        <f ca="1">IFERROR(R1218+COUNTIFS($R$11:$R1218,R1218),"")</f>
        <v>50403</v>
      </c>
      <c r="C1218" s="83" t="str">
        <f ca="1">IF(MOD(COUNTIF($Q$11:Q1217,Q1217),5)=0,OFFSET(装备属性!$D$1083,1+INT(COUNTA($Q$11:Q1217)/5),0),C1217)</f>
        <v>紫</v>
      </c>
      <c r="D1218" s="82">
        <f t="shared" si="56"/>
        <v>2000</v>
      </c>
      <c r="F1218" s="82">
        <f ca="1" t="shared" si="55"/>
        <v>50400</v>
      </c>
      <c r="G1218" s="78" t="str">
        <f ca="1">IF(AND(LEFT("[{"&amp;M1218&amp;","&amp;CEILING(N1218*10000+(O1218-N1218)/4*(COUNTIF($F$11:F1218,F1218)-1)*10000,10)&amp;"}]",7)="[{equip",MID("[{"&amp;M1218&amp;","&amp;CEILING(N1218*10000+(O1218-N1218)/4*(COUNTIF($F$11:F1218,F1218)-1)*10000,10)&amp;"}]",8,1)&lt;&gt;"_"),"[{"&amp;M1218&amp;","&amp;1&amp;"}]","[{"&amp;M1218&amp;","&amp;CEILING(N1218*10000+(O1218-N1218)/4*(COUNTIF($F$11:F1218,F1218)-1)*10000,10)&amp;"}]")</f>
        <v>[{dmg_red_rate,120}]</v>
      </c>
      <c r="H1218" s="82" t="s">
        <v>563</v>
      </c>
      <c r="J1218" s="78">
        <f ca="1">IF(MOD(COUNTIF($Q$11:Q1217,Q1217),5)=0,OFFSET(装备属性!$P$1083,1+INT(COUNTA($Q$11:Q1217)/5),0),J1217)</f>
        <v>6</v>
      </c>
      <c r="K1218" s="83" t="str">
        <f ca="1">IF(RIGHT(G1218,13)="rune_slot,1}]",_xlfn.XLOOKUP(LEFT(SUBSTITUTE(G1218,"[{",""),FIND(",",SUBSTITUTE(G1218,"[{",""))-1),Sheet2!B:B,Sheet2!C:C)&amp;"+"&amp;1,_xlfn.XLOOKUP(LEFT(SUBSTITUTE(G1218,"[{",""),FIND(",",SUBSTITUTE(G1218,"[{",""))-1),Sheet2!B:B,Sheet2!C:C)&amp;"+"&amp;SUBSTITUTE(RIGHT(G1218,LEN(G1218)-FIND(",",G1218)),"}]","")/100&amp;"%")</f>
        <v>伤害减免+1.2%</v>
      </c>
      <c r="L1218" s="83" t="str">
        <f ca="1">IF(MOD(COUNTIF($Q$11:Q1217,Q1217),5)=0,OFFSET(装备属性!$G$1083,1+INT(COUNTA($Q$11:Q1217)/5),0),L1217)</f>
        <v>全员抗揍Ⅰ</v>
      </c>
      <c r="M1218" s="89" t="str">
        <f ca="1">IF(MOD(COUNTIF($Q$11:Q1217,Q1217),5)=0,OFFSET(装备属性!$H$1083,1+INT(COUNTA($Q$11:Q1217)/5),0),M1217)</f>
        <v>dmg_red_rate</v>
      </c>
      <c r="N1218" s="76">
        <f ca="1">IF(MOD(COUNTIF($Q$11:Q1217,Q1217),5)=0,OFFSET(装备属性!$K$1083,1+INT(COUNTA($Q$11:Q1217)/5),0),N1217)</f>
        <v>0.01</v>
      </c>
      <c r="O1218" s="76">
        <f ca="1">IF(MOD(COUNTIF($Q$11:Q1217,Q1217),5)=0,OFFSET(装备属性!$L$1083,1+INT(COUNTA($Q$11:Q1217)/5),0),O1217)</f>
        <v>0.014</v>
      </c>
      <c r="Q1218" s="89" t="str">
        <f ca="1">IF(MOD(COUNTIF($Q$11:Q1217,Q1217),5)=0,OFFSET(装备属性!$M$1083,1+INT(COUNTA($Q$11:Q1217)/5),0),Q1217)</f>
        <v>通用属性</v>
      </c>
      <c r="R1218" s="83">
        <f ca="1">IF(MOD(COUNTIF($Q$11:Q1217,Q1217),5)=0,10000*SUBSTITUTE(SUBSTITUTE(OFFSET(装备属性!$F$1083,1+INT(COUNTA($Q$11:Q1217)/5),0),"[",""),"]","")+_xlfn.XLOOKUP(C1218,$M$3:$M$7,$N$3:$N$7)*100,R1217)</f>
        <v>50400</v>
      </c>
    </row>
    <row r="1219" customHeight="1" spans="1:18">
      <c r="A1219" s="78">
        <f ca="1" t="shared" si="54"/>
        <v>50401</v>
      </c>
      <c r="B1219" s="82">
        <f ca="1">IFERROR(R1219+COUNTIFS($R$11:$R1219,R1219),"")</f>
        <v>50404</v>
      </c>
      <c r="C1219" s="83" t="str">
        <f ca="1">IF(MOD(COUNTIF($Q$11:Q1218,Q1218),5)=0,OFFSET(装备属性!$D$1083,1+INT(COUNTA($Q$11:Q1218)/5),0),C1218)</f>
        <v>紫</v>
      </c>
      <c r="D1219" s="82">
        <f t="shared" si="56"/>
        <v>1500</v>
      </c>
      <c r="F1219" s="82">
        <f ca="1" t="shared" si="55"/>
        <v>50400</v>
      </c>
      <c r="G1219" s="78" t="str">
        <f ca="1">IF(AND(LEFT("[{"&amp;M1219&amp;","&amp;CEILING(N1219*10000+(O1219-N1219)/4*(COUNTIF($F$11:F1219,F1219)-1)*10000,10)&amp;"}]",7)="[{equip",MID("[{"&amp;M1219&amp;","&amp;CEILING(N1219*10000+(O1219-N1219)/4*(COUNTIF($F$11:F1219,F1219)-1)*10000,10)&amp;"}]",8,1)&lt;&gt;"_"),"[{"&amp;M1219&amp;","&amp;1&amp;"}]","[{"&amp;M1219&amp;","&amp;CEILING(N1219*10000+(O1219-N1219)/4*(COUNTIF($F$11:F1219,F1219)-1)*10000,10)&amp;"}]")</f>
        <v>[{dmg_red_rate,130}]</v>
      </c>
      <c r="H1219" s="82" t="s">
        <v>563</v>
      </c>
      <c r="J1219" s="78">
        <f ca="1">IF(MOD(COUNTIF($Q$11:Q1218,Q1218),5)=0,OFFSET(装备属性!$P$1083,1+INT(COUNTA($Q$11:Q1218)/5),0),J1218)</f>
        <v>6</v>
      </c>
      <c r="K1219" s="83" t="str">
        <f ca="1">IF(RIGHT(G1219,13)="rune_slot,1}]",_xlfn.XLOOKUP(LEFT(SUBSTITUTE(G1219,"[{",""),FIND(",",SUBSTITUTE(G1219,"[{",""))-1),Sheet2!B:B,Sheet2!C:C)&amp;"+"&amp;1,_xlfn.XLOOKUP(LEFT(SUBSTITUTE(G1219,"[{",""),FIND(",",SUBSTITUTE(G1219,"[{",""))-1),Sheet2!B:B,Sheet2!C:C)&amp;"+"&amp;SUBSTITUTE(RIGHT(G1219,LEN(G1219)-FIND(",",G1219)),"}]","")/100&amp;"%")</f>
        <v>伤害减免+1.3%</v>
      </c>
      <c r="L1219" s="83" t="str">
        <f ca="1">IF(MOD(COUNTIF($Q$11:Q1218,Q1218),5)=0,OFFSET(装备属性!$G$1083,1+INT(COUNTA($Q$11:Q1218)/5),0),L1218)</f>
        <v>全员抗揍Ⅰ</v>
      </c>
      <c r="M1219" s="89" t="str">
        <f ca="1">IF(MOD(COUNTIF($Q$11:Q1218,Q1218),5)=0,OFFSET(装备属性!$H$1083,1+INT(COUNTA($Q$11:Q1218)/5),0),M1218)</f>
        <v>dmg_red_rate</v>
      </c>
      <c r="N1219" s="76">
        <f ca="1">IF(MOD(COUNTIF($Q$11:Q1218,Q1218),5)=0,OFFSET(装备属性!$K$1083,1+INT(COUNTA($Q$11:Q1218)/5),0),N1218)</f>
        <v>0.01</v>
      </c>
      <c r="O1219" s="76">
        <f ca="1">IF(MOD(COUNTIF($Q$11:Q1218,Q1218),5)=0,OFFSET(装备属性!$L$1083,1+INT(COUNTA($Q$11:Q1218)/5),0),O1218)</f>
        <v>0.014</v>
      </c>
      <c r="Q1219" s="89" t="str">
        <f ca="1">IF(MOD(COUNTIF($Q$11:Q1218,Q1218),5)=0,OFFSET(装备属性!$M$1083,1+INT(COUNTA($Q$11:Q1218)/5),0),Q1218)</f>
        <v>通用属性</v>
      </c>
      <c r="R1219" s="83">
        <f ca="1">IF(MOD(COUNTIF($Q$11:Q1218,Q1218),5)=0,10000*SUBSTITUTE(SUBSTITUTE(OFFSET(装备属性!$F$1083,1+INT(COUNTA($Q$11:Q1218)/5),0),"[",""),"]","")+_xlfn.XLOOKUP(C1219,$M$3:$M$7,$N$3:$N$7)*100,R1218)</f>
        <v>50400</v>
      </c>
    </row>
    <row r="1220" customHeight="1" spans="1:18">
      <c r="A1220" s="78">
        <f ca="1" t="shared" si="54"/>
        <v>50401</v>
      </c>
      <c r="B1220" s="82">
        <f ca="1">IFERROR(R1220+COUNTIFS($R$11:$R1220,R1220),"")</f>
        <v>50405</v>
      </c>
      <c r="C1220" s="83" t="str">
        <f ca="1">IF(MOD(COUNTIF($Q$11:Q1219,Q1219),5)=0,OFFSET(装备属性!$D$1083,1+INT(COUNTA($Q$11:Q1219)/5),0),C1219)</f>
        <v>紫</v>
      </c>
      <c r="D1220" s="82">
        <f t="shared" si="56"/>
        <v>1000</v>
      </c>
      <c r="F1220" s="82">
        <f ca="1" t="shared" si="55"/>
        <v>50400</v>
      </c>
      <c r="G1220" s="78" t="str">
        <f ca="1">IF(AND(LEFT("[{"&amp;M1220&amp;","&amp;CEILING(N1220*10000+(O1220-N1220)/4*(COUNTIF($F$11:F1220,F1220)-1)*10000,10)&amp;"}]",7)="[{equip",MID("[{"&amp;M1220&amp;","&amp;CEILING(N1220*10000+(O1220-N1220)/4*(COUNTIF($F$11:F1220,F1220)-1)*10000,10)&amp;"}]",8,1)&lt;&gt;"_"),"[{"&amp;M1220&amp;","&amp;1&amp;"}]","[{"&amp;M1220&amp;","&amp;CEILING(N1220*10000+(O1220-N1220)/4*(COUNTIF($F$11:F1220,F1220)-1)*10000,10)&amp;"}]")</f>
        <v>[{dmg_red_rate,140}]</v>
      </c>
      <c r="H1220" s="82" t="s">
        <v>563</v>
      </c>
      <c r="J1220" s="78">
        <f ca="1">IF(MOD(COUNTIF($Q$11:Q1219,Q1219),5)=0,OFFSET(装备属性!$P$1083,1+INT(COUNTA($Q$11:Q1219)/5),0),J1219)</f>
        <v>6</v>
      </c>
      <c r="K1220" s="83" t="str">
        <f ca="1">IF(RIGHT(G1220,13)="rune_slot,1}]",_xlfn.XLOOKUP(LEFT(SUBSTITUTE(G1220,"[{",""),FIND(",",SUBSTITUTE(G1220,"[{",""))-1),Sheet2!B:B,Sheet2!C:C)&amp;"+"&amp;1,_xlfn.XLOOKUP(LEFT(SUBSTITUTE(G1220,"[{",""),FIND(",",SUBSTITUTE(G1220,"[{",""))-1),Sheet2!B:B,Sheet2!C:C)&amp;"+"&amp;SUBSTITUTE(RIGHT(G1220,LEN(G1220)-FIND(",",G1220)),"}]","")/100&amp;"%")</f>
        <v>伤害减免+1.4%</v>
      </c>
      <c r="L1220" s="83" t="str">
        <f ca="1">IF(MOD(COUNTIF($Q$11:Q1219,Q1219),5)=0,OFFSET(装备属性!$G$1083,1+INT(COUNTA($Q$11:Q1219)/5),0),L1219)</f>
        <v>全员抗揍Ⅰ</v>
      </c>
      <c r="M1220" s="89" t="str">
        <f ca="1">IF(MOD(COUNTIF($Q$11:Q1219,Q1219),5)=0,OFFSET(装备属性!$H$1083,1+INT(COUNTA($Q$11:Q1219)/5),0),M1219)</f>
        <v>dmg_red_rate</v>
      </c>
      <c r="N1220" s="76">
        <f ca="1">IF(MOD(COUNTIF($Q$11:Q1219,Q1219),5)=0,OFFSET(装备属性!$K$1083,1+INT(COUNTA($Q$11:Q1219)/5),0),N1219)</f>
        <v>0.01</v>
      </c>
      <c r="O1220" s="76">
        <f ca="1">IF(MOD(COUNTIF($Q$11:Q1219,Q1219),5)=0,OFFSET(装备属性!$L$1083,1+INT(COUNTA($Q$11:Q1219)/5),0),O1219)</f>
        <v>0.014</v>
      </c>
      <c r="Q1220" s="89" t="str">
        <f ca="1">IF(MOD(COUNTIF($Q$11:Q1219,Q1219),5)=0,OFFSET(装备属性!$M$1083,1+INT(COUNTA($Q$11:Q1219)/5),0),Q1219)</f>
        <v>通用属性</v>
      </c>
      <c r="R1220" s="83">
        <f ca="1">IF(MOD(COUNTIF($Q$11:Q1219,Q1219),5)=0,10000*SUBSTITUTE(SUBSTITUTE(OFFSET(装备属性!$F$1083,1+INT(COUNTA($Q$11:Q1219)/5),0),"[",""),"]","")+_xlfn.XLOOKUP(C1220,$M$3:$M$7,$N$3:$N$7)*100,R1219)</f>
        <v>50400</v>
      </c>
    </row>
    <row r="1221" customHeight="1" spans="1:18">
      <c r="A1221" s="78">
        <f ca="1" t="shared" si="54"/>
        <v>50401</v>
      </c>
      <c r="B1221" s="82">
        <f ca="1">IFERROR(R1221+COUNTIFS($R$11:$R1221,R1221),"")</f>
        <v>50406</v>
      </c>
      <c r="C1221" s="83" t="str">
        <f ca="1">IF(MOD(COUNTIF($Q$11:Q1220,Q1220),5)=0,OFFSET(装备属性!$D$1083,1+INT(COUNTA($Q$11:Q1220)/5),0),C1220)</f>
        <v>紫</v>
      </c>
      <c r="D1221" s="82">
        <f t="shared" si="56"/>
        <v>3000</v>
      </c>
      <c r="F1221" s="82">
        <f ca="1" t="shared" si="55"/>
        <v>50401</v>
      </c>
      <c r="G1221" s="78" t="str">
        <f ca="1">IF(AND(LEFT("[{"&amp;M1221&amp;","&amp;CEILING(N1221*10000+(O1221-N1221)/4*(COUNTIF($F$11:F1221,F1221)-1)*10000,10)&amp;"}]",7)="[{equip",MID("[{"&amp;M1221&amp;","&amp;CEILING(N1221*10000+(O1221-N1221)/4*(COUNTIF($F$11:F1221,F1221)-1)*10000,10)&amp;"}]",8,1)&lt;&gt;"_"),"[{"&amp;M1221&amp;","&amp;1&amp;"}]","[{"&amp;M1221&amp;","&amp;CEILING(N1221*10000+(O1221-N1221)/4*(COUNTIF($F$11:F1221,F1221)-1)*10000,10)&amp;"}]")</f>
        <v>[{all_class_dmg,300}]</v>
      </c>
      <c r="H1221" s="82" t="s">
        <v>563</v>
      </c>
      <c r="J1221" s="78">
        <f ca="1">IF(MOD(COUNTIF($Q$11:Q1220,Q1220),5)=0,OFFSET(装备属性!$P$1083,1+INT(COUNTA($Q$11:Q1220)/5),0),J1220)</f>
        <v>2</v>
      </c>
      <c r="K1221" s="83" t="str">
        <f ca="1">IF(RIGHT(G1221,13)="rune_slot,1}]",_xlfn.XLOOKUP(LEFT(SUBSTITUTE(G1221,"[{",""),FIND(",",SUBSTITUTE(G1221,"[{",""))-1),Sheet2!B:B,Sheet2!C:C)&amp;"+"&amp;1,_xlfn.XLOOKUP(LEFT(SUBSTITUTE(G1221,"[{",""),FIND(",",SUBSTITUTE(G1221,"[{",""))-1),Sheet2!B:B,Sheet2!C:C)&amp;"+"&amp;SUBSTITUTE(RIGHT(G1221,LEN(G1221)-FIND(",",G1221)),"}]","")/100&amp;"%")</f>
        <v>上阵五个不同职业增伤+3%</v>
      </c>
      <c r="L1221" s="83" t="str">
        <f ca="1">IF(MOD(COUNTIF($Q$11:Q1220,Q1220),5)=0,OFFSET(装备属性!$G$1083,1+INT(COUNTA($Q$11:Q1220)/5),0),L1220)</f>
        <v>全员出力Ⅰ</v>
      </c>
      <c r="M1221" s="89" t="str">
        <f ca="1">IF(MOD(COUNTIF($Q$11:Q1220,Q1220),5)=0,OFFSET(装备属性!$H$1083,1+INT(COUNTA($Q$11:Q1220)/5),0),M1220)</f>
        <v>all_class_dmg</v>
      </c>
      <c r="N1221" s="76">
        <f ca="1">IF(MOD(COUNTIF($Q$11:Q1220,Q1220),5)=0,OFFSET(装备属性!$K$1083,1+INT(COUNTA($Q$11:Q1220)/5),0),N1220)</f>
        <v>0.03</v>
      </c>
      <c r="O1221" s="76">
        <f ca="1">IF(MOD(COUNTIF($Q$11:Q1220,Q1220),5)=0,OFFSET(装备属性!$L$1083,1+INT(COUNTA($Q$11:Q1220)/5),0),O1220)</f>
        <v>0.042</v>
      </c>
      <c r="Q1221" s="89" t="str">
        <f ca="1">IF(MOD(COUNTIF($Q$11:Q1220,Q1220),5)=0,OFFSET(装备属性!$M$1083,1+INT(COUNTA($Q$11:Q1220)/5),0),Q1220)</f>
        <v>通用属性</v>
      </c>
      <c r="R1221" s="83">
        <f ca="1">IF(MOD(COUNTIF($Q$11:Q1220,Q1220),5)=0,10000*SUBSTITUTE(SUBSTITUTE(OFFSET(装备属性!$F$1083,1+INT(COUNTA($Q$11:Q1220)/5),0),"[",""),"]","")+_xlfn.XLOOKUP(C1221,$M$3:$M$7,$N$3:$N$7)*100,R1220)</f>
        <v>50400</v>
      </c>
    </row>
    <row r="1222" customHeight="1" spans="1:18">
      <c r="A1222" s="78">
        <f ca="1" t="shared" si="54"/>
        <v>50401</v>
      </c>
      <c r="B1222" s="82">
        <f ca="1">IFERROR(R1222+COUNTIFS($R$11:$R1222,R1222),"")</f>
        <v>50407</v>
      </c>
      <c r="C1222" s="83" t="str">
        <f ca="1">IF(MOD(COUNTIF($Q$11:Q1221,Q1221),5)=0,OFFSET(装备属性!$D$1083,1+INT(COUNTA($Q$11:Q1221)/5),0),C1221)</f>
        <v>紫</v>
      </c>
      <c r="D1222" s="82">
        <f t="shared" si="56"/>
        <v>2500</v>
      </c>
      <c r="F1222" s="82">
        <f ca="1" t="shared" si="55"/>
        <v>50401</v>
      </c>
      <c r="G1222" s="78" t="str">
        <f ca="1">IF(AND(LEFT("[{"&amp;M1222&amp;","&amp;CEILING(N1222*10000+(O1222-N1222)/4*(COUNTIF($F$11:F1222,F1222)-1)*10000,10)&amp;"}]",7)="[{equip",MID("[{"&amp;M1222&amp;","&amp;CEILING(N1222*10000+(O1222-N1222)/4*(COUNTIF($F$11:F1222,F1222)-1)*10000,10)&amp;"}]",8,1)&lt;&gt;"_"),"[{"&amp;M1222&amp;","&amp;1&amp;"}]","[{"&amp;M1222&amp;","&amp;CEILING(N1222*10000+(O1222-N1222)/4*(COUNTIF($F$11:F1222,F1222)-1)*10000,10)&amp;"}]")</f>
        <v>[{all_class_dmg,330}]</v>
      </c>
      <c r="H1222" s="82" t="s">
        <v>563</v>
      </c>
      <c r="J1222" s="78">
        <f ca="1">IF(MOD(COUNTIF($Q$11:Q1221,Q1221),5)=0,OFFSET(装备属性!$P$1083,1+INT(COUNTA($Q$11:Q1221)/5),0),J1221)</f>
        <v>2</v>
      </c>
      <c r="K1222" s="83" t="str">
        <f ca="1">IF(RIGHT(G1222,13)="rune_slot,1}]",_xlfn.XLOOKUP(LEFT(SUBSTITUTE(G1222,"[{",""),FIND(",",SUBSTITUTE(G1222,"[{",""))-1),Sheet2!B:B,Sheet2!C:C)&amp;"+"&amp;1,_xlfn.XLOOKUP(LEFT(SUBSTITUTE(G1222,"[{",""),FIND(",",SUBSTITUTE(G1222,"[{",""))-1),Sheet2!B:B,Sheet2!C:C)&amp;"+"&amp;SUBSTITUTE(RIGHT(G1222,LEN(G1222)-FIND(",",G1222)),"}]","")/100&amp;"%")</f>
        <v>上阵五个不同职业增伤+3.3%</v>
      </c>
      <c r="L1222" s="83" t="str">
        <f ca="1">IF(MOD(COUNTIF($Q$11:Q1221,Q1221),5)=0,OFFSET(装备属性!$G$1083,1+INT(COUNTA($Q$11:Q1221)/5),0),L1221)</f>
        <v>全员出力Ⅰ</v>
      </c>
      <c r="M1222" s="89" t="str">
        <f ca="1">IF(MOD(COUNTIF($Q$11:Q1221,Q1221),5)=0,OFFSET(装备属性!$H$1083,1+INT(COUNTA($Q$11:Q1221)/5),0),M1221)</f>
        <v>all_class_dmg</v>
      </c>
      <c r="N1222" s="76">
        <f ca="1">IF(MOD(COUNTIF($Q$11:Q1221,Q1221),5)=0,OFFSET(装备属性!$K$1083,1+INT(COUNTA($Q$11:Q1221)/5),0),N1221)</f>
        <v>0.03</v>
      </c>
      <c r="O1222" s="76">
        <f ca="1">IF(MOD(COUNTIF($Q$11:Q1221,Q1221),5)=0,OFFSET(装备属性!$L$1083,1+INT(COUNTA($Q$11:Q1221)/5),0),O1221)</f>
        <v>0.042</v>
      </c>
      <c r="Q1222" s="89" t="str">
        <f ca="1">IF(MOD(COUNTIF($Q$11:Q1221,Q1221),5)=0,OFFSET(装备属性!$M$1083,1+INT(COUNTA($Q$11:Q1221)/5),0),Q1221)</f>
        <v>通用属性</v>
      </c>
      <c r="R1222" s="83">
        <f ca="1">IF(MOD(COUNTIF($Q$11:Q1221,Q1221),5)=0,10000*SUBSTITUTE(SUBSTITUTE(OFFSET(装备属性!$F$1083,1+INT(COUNTA($Q$11:Q1221)/5),0),"[",""),"]","")+_xlfn.XLOOKUP(C1222,$M$3:$M$7,$N$3:$N$7)*100,R1221)</f>
        <v>50400</v>
      </c>
    </row>
    <row r="1223" customHeight="1" spans="1:18">
      <c r="A1223" s="78">
        <f ca="1" t="shared" si="54"/>
        <v>50401</v>
      </c>
      <c r="B1223" s="82">
        <f ca="1">IFERROR(R1223+COUNTIFS($R$11:$R1223,R1223),"")</f>
        <v>50408</v>
      </c>
      <c r="C1223" s="83" t="str">
        <f ca="1">IF(MOD(COUNTIF($Q$11:Q1222,Q1222),5)=0,OFFSET(装备属性!$D$1083,1+INT(COUNTA($Q$11:Q1222)/5),0),C1222)</f>
        <v>紫</v>
      </c>
      <c r="D1223" s="82">
        <f t="shared" si="56"/>
        <v>2000</v>
      </c>
      <c r="F1223" s="82">
        <f ca="1" t="shared" si="55"/>
        <v>50401</v>
      </c>
      <c r="G1223" s="78" t="str">
        <f ca="1">IF(AND(LEFT("[{"&amp;M1223&amp;","&amp;CEILING(N1223*10000+(O1223-N1223)/4*(COUNTIF($F$11:F1223,F1223)-1)*10000,10)&amp;"}]",7)="[{equip",MID("[{"&amp;M1223&amp;","&amp;CEILING(N1223*10000+(O1223-N1223)/4*(COUNTIF($F$11:F1223,F1223)-1)*10000,10)&amp;"}]",8,1)&lt;&gt;"_"),"[{"&amp;M1223&amp;","&amp;1&amp;"}]","[{"&amp;M1223&amp;","&amp;CEILING(N1223*10000+(O1223-N1223)/4*(COUNTIF($F$11:F1223,F1223)-1)*10000,10)&amp;"}]")</f>
        <v>[{all_class_dmg,360}]</v>
      </c>
      <c r="H1223" s="82" t="s">
        <v>563</v>
      </c>
      <c r="J1223" s="78">
        <f ca="1">IF(MOD(COUNTIF($Q$11:Q1222,Q1222),5)=0,OFFSET(装备属性!$P$1083,1+INT(COUNTA($Q$11:Q1222)/5),0),J1222)</f>
        <v>2</v>
      </c>
      <c r="K1223" s="83" t="str">
        <f ca="1">IF(RIGHT(G1223,13)="rune_slot,1}]",_xlfn.XLOOKUP(LEFT(SUBSTITUTE(G1223,"[{",""),FIND(",",SUBSTITUTE(G1223,"[{",""))-1),Sheet2!B:B,Sheet2!C:C)&amp;"+"&amp;1,_xlfn.XLOOKUP(LEFT(SUBSTITUTE(G1223,"[{",""),FIND(",",SUBSTITUTE(G1223,"[{",""))-1),Sheet2!B:B,Sheet2!C:C)&amp;"+"&amp;SUBSTITUTE(RIGHT(G1223,LEN(G1223)-FIND(",",G1223)),"}]","")/100&amp;"%")</f>
        <v>上阵五个不同职业增伤+3.6%</v>
      </c>
      <c r="L1223" s="83" t="str">
        <f ca="1">IF(MOD(COUNTIF($Q$11:Q1222,Q1222),5)=0,OFFSET(装备属性!$G$1083,1+INT(COUNTA($Q$11:Q1222)/5),0),L1222)</f>
        <v>全员出力Ⅰ</v>
      </c>
      <c r="M1223" s="89" t="str">
        <f ca="1">IF(MOD(COUNTIF($Q$11:Q1222,Q1222),5)=0,OFFSET(装备属性!$H$1083,1+INT(COUNTA($Q$11:Q1222)/5),0),M1222)</f>
        <v>all_class_dmg</v>
      </c>
      <c r="N1223" s="76">
        <f ca="1">IF(MOD(COUNTIF($Q$11:Q1222,Q1222),5)=0,OFFSET(装备属性!$K$1083,1+INT(COUNTA($Q$11:Q1222)/5),0),N1222)</f>
        <v>0.03</v>
      </c>
      <c r="O1223" s="76">
        <f ca="1">IF(MOD(COUNTIF($Q$11:Q1222,Q1222),5)=0,OFFSET(装备属性!$L$1083,1+INT(COUNTA($Q$11:Q1222)/5),0),O1222)</f>
        <v>0.042</v>
      </c>
      <c r="Q1223" s="89" t="str">
        <f ca="1">IF(MOD(COUNTIF($Q$11:Q1222,Q1222),5)=0,OFFSET(装备属性!$M$1083,1+INT(COUNTA($Q$11:Q1222)/5),0),Q1222)</f>
        <v>通用属性</v>
      </c>
      <c r="R1223" s="83">
        <f ca="1">IF(MOD(COUNTIF($Q$11:Q1222,Q1222),5)=0,10000*SUBSTITUTE(SUBSTITUTE(OFFSET(装备属性!$F$1083,1+INT(COUNTA($Q$11:Q1222)/5),0),"[",""),"]","")+_xlfn.XLOOKUP(C1223,$M$3:$M$7,$N$3:$N$7)*100,R1222)</f>
        <v>50400</v>
      </c>
    </row>
    <row r="1224" customHeight="1" spans="1:18">
      <c r="A1224" s="78">
        <f ca="1" t="shared" si="54"/>
        <v>50401</v>
      </c>
      <c r="B1224" s="82">
        <f ca="1">IFERROR(R1224+COUNTIFS($R$11:$R1224,R1224),"")</f>
        <v>50409</v>
      </c>
      <c r="C1224" s="83" t="str">
        <f ca="1">IF(MOD(COUNTIF($Q$11:Q1223,Q1223),5)=0,OFFSET(装备属性!$D$1083,1+INT(COUNTA($Q$11:Q1223)/5),0),C1223)</f>
        <v>紫</v>
      </c>
      <c r="D1224" s="82">
        <f t="shared" si="56"/>
        <v>1500</v>
      </c>
      <c r="F1224" s="82">
        <f ca="1" t="shared" si="55"/>
        <v>50401</v>
      </c>
      <c r="G1224" s="78" t="str">
        <f ca="1">IF(AND(LEFT("[{"&amp;M1224&amp;","&amp;CEILING(N1224*10000+(O1224-N1224)/4*(COUNTIF($F$11:F1224,F1224)-1)*10000,10)&amp;"}]",7)="[{equip",MID("[{"&amp;M1224&amp;","&amp;CEILING(N1224*10000+(O1224-N1224)/4*(COUNTIF($F$11:F1224,F1224)-1)*10000,10)&amp;"}]",8,1)&lt;&gt;"_"),"[{"&amp;M1224&amp;","&amp;1&amp;"}]","[{"&amp;M1224&amp;","&amp;CEILING(N1224*10000+(O1224-N1224)/4*(COUNTIF($F$11:F1224,F1224)-1)*10000,10)&amp;"}]")</f>
        <v>[{all_class_dmg,390}]</v>
      </c>
      <c r="H1224" s="82" t="s">
        <v>563</v>
      </c>
      <c r="J1224" s="78">
        <f ca="1">IF(MOD(COUNTIF($Q$11:Q1223,Q1223),5)=0,OFFSET(装备属性!$P$1083,1+INT(COUNTA($Q$11:Q1223)/5),0),J1223)</f>
        <v>2</v>
      </c>
      <c r="K1224" s="83" t="str">
        <f ca="1">IF(RIGHT(G1224,13)="rune_slot,1}]",_xlfn.XLOOKUP(LEFT(SUBSTITUTE(G1224,"[{",""),FIND(",",SUBSTITUTE(G1224,"[{",""))-1),Sheet2!B:B,Sheet2!C:C)&amp;"+"&amp;1,_xlfn.XLOOKUP(LEFT(SUBSTITUTE(G1224,"[{",""),FIND(",",SUBSTITUTE(G1224,"[{",""))-1),Sheet2!B:B,Sheet2!C:C)&amp;"+"&amp;SUBSTITUTE(RIGHT(G1224,LEN(G1224)-FIND(",",G1224)),"}]","")/100&amp;"%")</f>
        <v>上阵五个不同职业增伤+3.9%</v>
      </c>
      <c r="L1224" s="83" t="str">
        <f ca="1">IF(MOD(COUNTIF($Q$11:Q1223,Q1223),5)=0,OFFSET(装备属性!$G$1083,1+INT(COUNTA($Q$11:Q1223)/5),0),L1223)</f>
        <v>全员出力Ⅰ</v>
      </c>
      <c r="M1224" s="89" t="str">
        <f ca="1">IF(MOD(COUNTIF($Q$11:Q1223,Q1223),5)=0,OFFSET(装备属性!$H$1083,1+INT(COUNTA($Q$11:Q1223)/5),0),M1223)</f>
        <v>all_class_dmg</v>
      </c>
      <c r="N1224" s="76">
        <f ca="1">IF(MOD(COUNTIF($Q$11:Q1223,Q1223),5)=0,OFFSET(装备属性!$K$1083,1+INT(COUNTA($Q$11:Q1223)/5),0),N1223)</f>
        <v>0.03</v>
      </c>
      <c r="O1224" s="76">
        <f ca="1">IF(MOD(COUNTIF($Q$11:Q1223,Q1223),5)=0,OFFSET(装备属性!$L$1083,1+INT(COUNTA($Q$11:Q1223)/5),0),O1223)</f>
        <v>0.042</v>
      </c>
      <c r="Q1224" s="89" t="str">
        <f ca="1">IF(MOD(COUNTIF($Q$11:Q1223,Q1223),5)=0,OFFSET(装备属性!$M$1083,1+INT(COUNTA($Q$11:Q1223)/5),0),Q1223)</f>
        <v>通用属性</v>
      </c>
      <c r="R1224" s="83">
        <f ca="1">IF(MOD(COUNTIF($Q$11:Q1223,Q1223),5)=0,10000*SUBSTITUTE(SUBSTITUTE(OFFSET(装备属性!$F$1083,1+INT(COUNTA($Q$11:Q1223)/5),0),"[",""),"]","")+_xlfn.XLOOKUP(C1224,$M$3:$M$7,$N$3:$N$7)*100,R1223)</f>
        <v>50400</v>
      </c>
    </row>
    <row r="1225" customHeight="1" spans="1:18">
      <c r="A1225" s="78">
        <f ca="1" t="shared" si="54"/>
        <v>50401</v>
      </c>
      <c r="B1225" s="82">
        <f ca="1">IFERROR(R1225+COUNTIFS($R$11:$R1225,R1225),"")</f>
        <v>50410</v>
      </c>
      <c r="C1225" s="83" t="str">
        <f ca="1">IF(MOD(COUNTIF($Q$11:Q1224,Q1224),5)=0,OFFSET(装备属性!$D$1083,1+INT(COUNTA($Q$11:Q1224)/5),0),C1224)</f>
        <v>紫</v>
      </c>
      <c r="D1225" s="82">
        <f t="shared" si="56"/>
        <v>1000</v>
      </c>
      <c r="F1225" s="82">
        <f ca="1" t="shared" si="55"/>
        <v>50401</v>
      </c>
      <c r="G1225" s="78" t="str">
        <f ca="1">IF(AND(LEFT("[{"&amp;M1225&amp;","&amp;CEILING(N1225*10000+(O1225-N1225)/4*(COUNTIF($F$11:F1225,F1225)-1)*10000,10)&amp;"}]",7)="[{equip",MID("[{"&amp;M1225&amp;","&amp;CEILING(N1225*10000+(O1225-N1225)/4*(COUNTIF($F$11:F1225,F1225)-1)*10000,10)&amp;"}]",8,1)&lt;&gt;"_"),"[{"&amp;M1225&amp;","&amp;1&amp;"}]","[{"&amp;M1225&amp;","&amp;CEILING(N1225*10000+(O1225-N1225)/4*(COUNTIF($F$11:F1225,F1225)-1)*10000,10)&amp;"}]")</f>
        <v>[{all_class_dmg,420}]</v>
      </c>
      <c r="H1225" s="82" t="s">
        <v>563</v>
      </c>
      <c r="J1225" s="78">
        <f ca="1">IF(MOD(COUNTIF($Q$11:Q1224,Q1224),5)=0,OFFSET(装备属性!$P$1083,1+INT(COUNTA($Q$11:Q1224)/5),0),J1224)</f>
        <v>2</v>
      </c>
      <c r="K1225" s="83" t="str">
        <f ca="1">IF(RIGHT(G1225,13)="rune_slot,1}]",_xlfn.XLOOKUP(LEFT(SUBSTITUTE(G1225,"[{",""),FIND(",",SUBSTITUTE(G1225,"[{",""))-1),Sheet2!B:B,Sheet2!C:C)&amp;"+"&amp;1,_xlfn.XLOOKUP(LEFT(SUBSTITUTE(G1225,"[{",""),FIND(",",SUBSTITUTE(G1225,"[{",""))-1),Sheet2!B:B,Sheet2!C:C)&amp;"+"&amp;SUBSTITUTE(RIGHT(G1225,LEN(G1225)-FIND(",",G1225)),"}]","")/100&amp;"%")</f>
        <v>上阵五个不同职业增伤+4.2%</v>
      </c>
      <c r="L1225" s="83" t="str">
        <f ca="1">IF(MOD(COUNTIF($Q$11:Q1224,Q1224),5)=0,OFFSET(装备属性!$G$1083,1+INT(COUNTA($Q$11:Q1224)/5),0),L1224)</f>
        <v>全员出力Ⅰ</v>
      </c>
      <c r="M1225" s="89" t="str">
        <f ca="1">IF(MOD(COUNTIF($Q$11:Q1224,Q1224),5)=0,OFFSET(装备属性!$H$1083,1+INT(COUNTA($Q$11:Q1224)/5),0),M1224)</f>
        <v>all_class_dmg</v>
      </c>
      <c r="N1225" s="76">
        <f ca="1">IF(MOD(COUNTIF($Q$11:Q1224,Q1224),5)=0,OFFSET(装备属性!$K$1083,1+INT(COUNTA($Q$11:Q1224)/5),0),N1224)</f>
        <v>0.03</v>
      </c>
      <c r="O1225" s="76">
        <f ca="1">IF(MOD(COUNTIF($Q$11:Q1224,Q1224),5)=0,OFFSET(装备属性!$L$1083,1+INT(COUNTA($Q$11:Q1224)/5),0),O1224)</f>
        <v>0.042</v>
      </c>
      <c r="Q1225" s="89" t="str">
        <f ca="1">IF(MOD(COUNTIF($Q$11:Q1224,Q1224),5)=0,OFFSET(装备属性!$M$1083,1+INT(COUNTA($Q$11:Q1224)/5),0),Q1224)</f>
        <v>通用属性</v>
      </c>
      <c r="R1225" s="83">
        <f ca="1">IF(MOD(COUNTIF($Q$11:Q1224,Q1224),5)=0,10000*SUBSTITUTE(SUBSTITUTE(OFFSET(装备属性!$F$1083,1+INT(COUNTA($Q$11:Q1224)/5),0),"[",""),"]","")+_xlfn.XLOOKUP(C1225,$M$3:$M$7,$N$3:$N$7)*100,R1224)</f>
        <v>50400</v>
      </c>
    </row>
    <row r="1226" customHeight="1" spans="1:18">
      <c r="A1226" s="78" t="str">
        <f ca="1" t="shared" si="54"/>
        <v/>
      </c>
      <c r="B1226" s="82" t="str">
        <f ca="1">IFERROR(R1226+COUNTIFS($R$11:$R1226,R1226),"")</f>
        <v/>
      </c>
      <c r="C1226" s="83">
        <f ca="1">IF(MOD(COUNTIF($Q$11:Q1225,Q1225),5)=0,OFFSET(装备属性!$D$1083,1+INT(COUNTA($Q$11:Q1225)/5),0),C1225)</f>
        <v>0</v>
      </c>
      <c r="D1226" s="82">
        <f t="shared" si="56"/>
        <v>3000</v>
      </c>
      <c r="F1226" s="82" t="str">
        <f ca="1" t="shared" si="55"/>
        <v/>
      </c>
      <c r="G1226" s="78" t="str">
        <f ca="1">IF(AND(LEFT("[{"&amp;M1226&amp;","&amp;CEILING(N1226*10000+(O1226-N1226)/4*(COUNTIF($F$11:F1226,F1226)-1)*10000,10)&amp;"}]",7)="[{equip",MID("[{"&amp;M1226&amp;","&amp;CEILING(N1226*10000+(O1226-N1226)/4*(COUNTIF($F$11:F1226,F1226)-1)*10000,10)&amp;"}]",8,1)&lt;&gt;"_"),"[{"&amp;M1226&amp;","&amp;1&amp;"}]","[{"&amp;M1226&amp;","&amp;CEILING(N1226*10000+(O1226-N1226)/4*(COUNTIF($F$11:F1226,F1226)-1)*10000,10)&amp;"}]")</f>
        <v>[{exp_boost,2000}]</v>
      </c>
      <c r="H1226" s="82" t="s">
        <v>563</v>
      </c>
      <c r="J1226" s="78">
        <f ca="1">IF(MOD(COUNTIF($Q$11:Q1225,Q1225),5)=0,OFFSET(装备属性!$P$1083,1+INT(COUNTA($Q$11:Q1225)/5),0),J1225)</f>
        <v>9</v>
      </c>
      <c r="K1226" s="83" t="str">
        <f ca="1">IF(RIGHT(G1226,13)="rune_slot,1}]",_xlfn.XLOOKUP(LEFT(SUBSTITUTE(G1226,"[{",""),FIND(",",SUBSTITUTE(G1226,"[{",""))-1),Sheet2!B:B,Sheet2!C:C)&amp;"+"&amp;1,_xlfn.XLOOKUP(LEFT(SUBSTITUTE(G1226,"[{",""),FIND(",",SUBSTITUTE(G1226,"[{",""))-1),Sheet2!B:B,Sheet2!C:C)&amp;"+"&amp;SUBSTITUTE(RIGHT(G1226,LEN(G1226)-FIND(",",G1226)),"}]","")/100&amp;"%")</f>
        <v>经验加成+20%</v>
      </c>
      <c r="L1226" s="83" t="str">
        <f ca="1">IF(MOD(COUNTIF($Q$11:Q1225,Q1225),5)=0,OFFSET(装备属性!$G$1083,1+INT(COUNTA($Q$11:Q1225)/5),0),L1225)</f>
        <v>涨见识</v>
      </c>
      <c r="M1226" s="89" t="str">
        <f ca="1">IF(MOD(COUNTIF($Q$11:Q1225,Q1225),5)=0,OFFSET(装备属性!$H$1083,1+INT(COUNTA($Q$11:Q1225)/5),0),M1225)</f>
        <v>exp_boost</v>
      </c>
      <c r="N1226" s="76">
        <f ca="1">IF(MOD(COUNTIF($Q$11:Q1225,Q1225),5)=0,OFFSET(装备属性!$K$1083,1+INT(COUNTA($Q$11:Q1225)/5),0),N1225)</f>
        <v>0.2</v>
      </c>
      <c r="O1226" s="76">
        <f ca="1">IF(MOD(COUNTIF($Q$11:Q1225,Q1225),5)=0,OFFSET(装备属性!$L$1083,1+INT(COUNTA($Q$11:Q1225)/5),0),O1225)</f>
        <v>0.2</v>
      </c>
      <c r="Q1226" s="89" t="str">
        <f ca="1">IF(MOD(COUNTIF($Q$11:Q1225,Q1225),5)=0,OFFSET(装备属性!$M$1083,1+INT(COUNTA($Q$11:Q1225)/5),0),Q1225)</f>
        <v>稀有词条</v>
      </c>
      <c r="R1226" s="83" t="e">
        <f ca="1">IF(MOD(COUNTIF($Q$11:Q1225,Q1225),5)=0,10000*SUBSTITUTE(SUBSTITUTE(OFFSET(装备属性!$F$1083,1+INT(COUNTA($Q$11:Q1225)/5),0),"[",""),"]","")+_xlfn.XLOOKUP(C1226,$M$3:$M$7,$N$3:$N$7)*100,R1225)</f>
        <v>#N/A</v>
      </c>
    </row>
    <row r="1227" customHeight="1" spans="1:18">
      <c r="A1227" s="78" t="str">
        <f ca="1" t="shared" si="54"/>
        <v/>
      </c>
      <c r="B1227" s="82" t="str">
        <f ca="1">IFERROR(R1227+COUNTIFS($R$11:$R1227,R1227),"")</f>
        <v/>
      </c>
      <c r="C1227" s="83">
        <f ca="1">IF(MOD(COUNTIF($Q$11:Q1226,Q1226),5)=0,OFFSET(装备属性!$D$1083,1+INT(COUNTA($Q$11:Q1226)/5),0),C1226)</f>
        <v>0</v>
      </c>
      <c r="D1227" s="82">
        <f t="shared" si="56"/>
        <v>2500</v>
      </c>
      <c r="F1227" s="82" t="str">
        <f ca="1" t="shared" si="55"/>
        <v/>
      </c>
      <c r="G1227" s="78" t="str">
        <f ca="1">IF(AND(LEFT("[{"&amp;M1227&amp;","&amp;CEILING(N1227*10000+(O1227-N1227)/4*(COUNTIF($F$11:F1227,F1227)-1)*10000,10)&amp;"}]",7)="[{equip",MID("[{"&amp;M1227&amp;","&amp;CEILING(N1227*10000+(O1227-N1227)/4*(COUNTIF($F$11:F1227,F1227)-1)*10000,10)&amp;"}]",8,1)&lt;&gt;"_"),"[{"&amp;M1227&amp;","&amp;1&amp;"}]","[{"&amp;M1227&amp;","&amp;CEILING(N1227*10000+(O1227-N1227)/4*(COUNTIF($F$11:F1227,F1227)-1)*10000,10)&amp;"}]")</f>
        <v>[{exp_boost,2000}]</v>
      </c>
      <c r="H1227" s="82" t="s">
        <v>563</v>
      </c>
      <c r="J1227" s="78">
        <f ca="1">IF(MOD(COUNTIF($Q$11:Q1226,Q1226),5)=0,OFFSET(装备属性!$P$1083,1+INT(COUNTA($Q$11:Q1226)/5),0),J1226)</f>
        <v>9</v>
      </c>
      <c r="K1227" s="83" t="str">
        <f ca="1">IF(RIGHT(G1227,13)="rune_slot,1}]",_xlfn.XLOOKUP(LEFT(SUBSTITUTE(G1227,"[{",""),FIND(",",SUBSTITUTE(G1227,"[{",""))-1),Sheet2!B:B,Sheet2!C:C)&amp;"+"&amp;1,_xlfn.XLOOKUP(LEFT(SUBSTITUTE(G1227,"[{",""),FIND(",",SUBSTITUTE(G1227,"[{",""))-1),Sheet2!B:B,Sheet2!C:C)&amp;"+"&amp;SUBSTITUTE(RIGHT(G1227,LEN(G1227)-FIND(",",G1227)),"}]","")/100&amp;"%")</f>
        <v>经验加成+20%</v>
      </c>
      <c r="L1227" s="83" t="str">
        <f ca="1">IF(MOD(COUNTIF($Q$11:Q1226,Q1226),5)=0,OFFSET(装备属性!$G$1083,1+INT(COUNTA($Q$11:Q1226)/5),0),L1226)</f>
        <v>涨见识</v>
      </c>
      <c r="M1227" s="89" t="str">
        <f ca="1">IF(MOD(COUNTIF($Q$11:Q1226,Q1226),5)=0,OFFSET(装备属性!$H$1083,1+INT(COUNTA($Q$11:Q1226)/5),0),M1226)</f>
        <v>exp_boost</v>
      </c>
      <c r="N1227" s="76">
        <f ca="1">IF(MOD(COUNTIF($Q$11:Q1226,Q1226),5)=0,OFFSET(装备属性!$K$1083,1+INT(COUNTA($Q$11:Q1226)/5),0),N1226)</f>
        <v>0.2</v>
      </c>
      <c r="O1227" s="76">
        <f ca="1">IF(MOD(COUNTIF($Q$11:Q1226,Q1226),5)=0,OFFSET(装备属性!$L$1083,1+INT(COUNTA($Q$11:Q1226)/5),0),O1226)</f>
        <v>0.2</v>
      </c>
      <c r="Q1227" s="89" t="str">
        <f ca="1">IF(MOD(COUNTIF($Q$11:Q1226,Q1226),5)=0,OFFSET(装备属性!$M$1083,1+INT(COUNTA($Q$11:Q1226)/5),0),Q1226)</f>
        <v>稀有词条</v>
      </c>
      <c r="R1227" s="83" t="e">
        <f ca="1">IF(MOD(COUNTIF($Q$11:Q1226,Q1226),5)=0,10000*SUBSTITUTE(SUBSTITUTE(OFFSET(装备属性!$F$1083,1+INT(COUNTA($Q$11:Q1226)/5),0),"[",""),"]","")+_xlfn.XLOOKUP(C1227,$M$3:$M$7,$N$3:$N$7)*100,R1226)</f>
        <v>#N/A</v>
      </c>
    </row>
    <row r="1228" customHeight="1" spans="1:18">
      <c r="A1228" s="78" t="str">
        <f ca="1" t="shared" ref="A1228:A1291" si="57">IFERROR(R1228+IF(Q1228="通用属性",1,IF(Q1228="玩法类",2,IF(Q1228="稀有词条",3,0))),"")</f>
        <v/>
      </c>
      <c r="B1228" s="82" t="str">
        <f ca="1">IFERROR(R1228+COUNTIFS($R$11:$R1228,R1228),"")</f>
        <v/>
      </c>
      <c r="C1228" s="83">
        <f ca="1">IF(MOD(COUNTIF($Q$11:Q1227,Q1227),5)=0,OFFSET(装备属性!$D$1083,1+INT(COUNTA($Q$11:Q1227)/5),0),C1227)</f>
        <v>0</v>
      </c>
      <c r="D1228" s="82">
        <f t="shared" si="56"/>
        <v>2000</v>
      </c>
      <c r="F1228" s="82" t="str">
        <f ca="1" t="shared" ref="F1228:F1291" si="58">IFERROR(R1228+INT((B1228-R1228-1)/5),"")</f>
        <v/>
      </c>
      <c r="G1228" s="78" t="str">
        <f ca="1">IF(AND(LEFT("[{"&amp;M1228&amp;","&amp;CEILING(N1228*10000+(O1228-N1228)/4*(COUNTIF($F$11:F1228,F1228)-1)*10000,10)&amp;"}]",7)="[{equip",MID("[{"&amp;M1228&amp;","&amp;CEILING(N1228*10000+(O1228-N1228)/4*(COUNTIF($F$11:F1228,F1228)-1)*10000,10)&amp;"}]",8,1)&lt;&gt;"_"),"[{"&amp;M1228&amp;","&amp;1&amp;"}]","[{"&amp;M1228&amp;","&amp;CEILING(N1228*10000+(O1228-N1228)/4*(COUNTIF($F$11:F1228,F1228)-1)*10000,10)&amp;"}]")</f>
        <v>[{exp_boost,2000}]</v>
      </c>
      <c r="H1228" s="82" t="s">
        <v>563</v>
      </c>
      <c r="J1228" s="78">
        <f ca="1">IF(MOD(COUNTIF($Q$11:Q1227,Q1227),5)=0,OFFSET(装备属性!$P$1083,1+INT(COUNTA($Q$11:Q1227)/5),0),J1227)</f>
        <v>9</v>
      </c>
      <c r="K1228" s="83" t="str">
        <f ca="1">IF(RIGHT(G1228,13)="rune_slot,1}]",_xlfn.XLOOKUP(LEFT(SUBSTITUTE(G1228,"[{",""),FIND(",",SUBSTITUTE(G1228,"[{",""))-1),Sheet2!B:B,Sheet2!C:C)&amp;"+"&amp;1,_xlfn.XLOOKUP(LEFT(SUBSTITUTE(G1228,"[{",""),FIND(",",SUBSTITUTE(G1228,"[{",""))-1),Sheet2!B:B,Sheet2!C:C)&amp;"+"&amp;SUBSTITUTE(RIGHT(G1228,LEN(G1228)-FIND(",",G1228)),"}]","")/100&amp;"%")</f>
        <v>经验加成+20%</v>
      </c>
      <c r="L1228" s="83" t="str">
        <f ca="1">IF(MOD(COUNTIF($Q$11:Q1227,Q1227),5)=0,OFFSET(装备属性!$G$1083,1+INT(COUNTA($Q$11:Q1227)/5),0),L1227)</f>
        <v>涨见识</v>
      </c>
      <c r="M1228" s="89" t="str">
        <f ca="1">IF(MOD(COUNTIF($Q$11:Q1227,Q1227),5)=0,OFFSET(装备属性!$H$1083,1+INT(COUNTA($Q$11:Q1227)/5),0),M1227)</f>
        <v>exp_boost</v>
      </c>
      <c r="N1228" s="76">
        <f ca="1">IF(MOD(COUNTIF($Q$11:Q1227,Q1227),5)=0,OFFSET(装备属性!$K$1083,1+INT(COUNTA($Q$11:Q1227)/5),0),N1227)</f>
        <v>0.2</v>
      </c>
      <c r="O1228" s="76">
        <f ca="1">IF(MOD(COUNTIF($Q$11:Q1227,Q1227),5)=0,OFFSET(装备属性!$L$1083,1+INT(COUNTA($Q$11:Q1227)/5),0),O1227)</f>
        <v>0.2</v>
      </c>
      <c r="Q1228" s="89" t="str">
        <f ca="1">IF(MOD(COUNTIF($Q$11:Q1227,Q1227),5)=0,OFFSET(装备属性!$M$1083,1+INT(COUNTA($Q$11:Q1227)/5),0),Q1227)</f>
        <v>稀有词条</v>
      </c>
      <c r="R1228" s="83" t="e">
        <f ca="1">IF(MOD(COUNTIF($Q$11:Q1227,Q1227),5)=0,10000*SUBSTITUTE(SUBSTITUTE(OFFSET(装备属性!$F$1083,1+INT(COUNTA($Q$11:Q1227)/5),0),"[",""),"]","")+_xlfn.XLOOKUP(C1228,$M$3:$M$7,$N$3:$N$7)*100,R1227)</f>
        <v>#N/A</v>
      </c>
    </row>
    <row r="1229" customHeight="1" spans="1:18">
      <c r="A1229" s="78" t="str">
        <f ca="1" t="shared" si="57"/>
        <v/>
      </c>
      <c r="B1229" s="82" t="str">
        <f ca="1">IFERROR(R1229+COUNTIFS($R$11:$R1229,R1229),"")</f>
        <v/>
      </c>
      <c r="C1229" s="83">
        <f ca="1">IF(MOD(COUNTIF($Q$11:Q1228,Q1228),5)=0,OFFSET(装备属性!$D$1083,1+INT(COUNTA($Q$11:Q1228)/5),0),C1228)</f>
        <v>0</v>
      </c>
      <c r="D1229" s="82">
        <f t="shared" si="56"/>
        <v>1500</v>
      </c>
      <c r="F1229" s="82" t="str">
        <f ca="1" t="shared" si="58"/>
        <v/>
      </c>
      <c r="G1229" s="78" t="str">
        <f ca="1">IF(AND(LEFT("[{"&amp;M1229&amp;","&amp;CEILING(N1229*10000+(O1229-N1229)/4*(COUNTIF($F$11:F1229,F1229)-1)*10000,10)&amp;"}]",7)="[{equip",MID("[{"&amp;M1229&amp;","&amp;CEILING(N1229*10000+(O1229-N1229)/4*(COUNTIF($F$11:F1229,F1229)-1)*10000,10)&amp;"}]",8,1)&lt;&gt;"_"),"[{"&amp;M1229&amp;","&amp;1&amp;"}]","[{"&amp;M1229&amp;","&amp;CEILING(N1229*10000+(O1229-N1229)/4*(COUNTIF($F$11:F1229,F1229)-1)*10000,10)&amp;"}]")</f>
        <v>[{exp_boost,2000}]</v>
      </c>
      <c r="H1229" s="82" t="s">
        <v>563</v>
      </c>
      <c r="J1229" s="78">
        <f ca="1">IF(MOD(COUNTIF($Q$11:Q1228,Q1228),5)=0,OFFSET(装备属性!$P$1083,1+INT(COUNTA($Q$11:Q1228)/5),0),J1228)</f>
        <v>9</v>
      </c>
      <c r="K1229" s="83" t="str">
        <f ca="1">IF(RIGHT(G1229,13)="rune_slot,1}]",_xlfn.XLOOKUP(LEFT(SUBSTITUTE(G1229,"[{",""),FIND(",",SUBSTITUTE(G1229,"[{",""))-1),Sheet2!B:B,Sheet2!C:C)&amp;"+"&amp;1,_xlfn.XLOOKUP(LEFT(SUBSTITUTE(G1229,"[{",""),FIND(",",SUBSTITUTE(G1229,"[{",""))-1),Sheet2!B:B,Sheet2!C:C)&amp;"+"&amp;SUBSTITUTE(RIGHT(G1229,LEN(G1229)-FIND(",",G1229)),"}]","")/100&amp;"%")</f>
        <v>经验加成+20%</v>
      </c>
      <c r="L1229" s="83" t="str">
        <f ca="1">IF(MOD(COUNTIF($Q$11:Q1228,Q1228),5)=0,OFFSET(装备属性!$G$1083,1+INT(COUNTA($Q$11:Q1228)/5),0),L1228)</f>
        <v>涨见识</v>
      </c>
      <c r="M1229" s="89" t="str">
        <f ca="1">IF(MOD(COUNTIF($Q$11:Q1228,Q1228),5)=0,OFFSET(装备属性!$H$1083,1+INT(COUNTA($Q$11:Q1228)/5),0),M1228)</f>
        <v>exp_boost</v>
      </c>
      <c r="N1229" s="76">
        <f ca="1">IF(MOD(COUNTIF($Q$11:Q1228,Q1228),5)=0,OFFSET(装备属性!$K$1083,1+INT(COUNTA($Q$11:Q1228)/5),0),N1228)</f>
        <v>0.2</v>
      </c>
      <c r="O1229" s="76">
        <f ca="1">IF(MOD(COUNTIF($Q$11:Q1228,Q1228),5)=0,OFFSET(装备属性!$L$1083,1+INT(COUNTA($Q$11:Q1228)/5),0),O1228)</f>
        <v>0.2</v>
      </c>
      <c r="Q1229" s="89" t="str">
        <f ca="1">IF(MOD(COUNTIF($Q$11:Q1228,Q1228),5)=0,OFFSET(装备属性!$M$1083,1+INT(COUNTA($Q$11:Q1228)/5),0),Q1228)</f>
        <v>稀有词条</v>
      </c>
      <c r="R1229" s="83" t="e">
        <f ca="1">IF(MOD(COUNTIF($Q$11:Q1228,Q1228),5)=0,10000*SUBSTITUTE(SUBSTITUTE(OFFSET(装备属性!$F$1083,1+INT(COUNTA($Q$11:Q1228)/5),0),"[",""),"]","")+_xlfn.XLOOKUP(C1229,$M$3:$M$7,$N$3:$N$7)*100,R1228)</f>
        <v>#N/A</v>
      </c>
    </row>
    <row r="1230" customHeight="1" spans="1:18">
      <c r="A1230" s="78" t="str">
        <f ca="1" t="shared" si="57"/>
        <v/>
      </c>
      <c r="B1230" s="82" t="str">
        <f ca="1">IFERROR(R1230+COUNTIFS($R$11:$R1230,R1230),"")</f>
        <v/>
      </c>
      <c r="C1230" s="83">
        <f ca="1">IF(MOD(COUNTIF($Q$11:Q1229,Q1229),5)=0,OFFSET(装备属性!$D$1083,1+INT(COUNTA($Q$11:Q1229)/5),0),C1229)</f>
        <v>0</v>
      </c>
      <c r="D1230" s="82">
        <f t="shared" si="56"/>
        <v>1000</v>
      </c>
      <c r="F1230" s="82" t="str">
        <f ca="1" t="shared" si="58"/>
        <v/>
      </c>
      <c r="G1230" s="78" t="str">
        <f ca="1">IF(AND(LEFT("[{"&amp;M1230&amp;","&amp;CEILING(N1230*10000+(O1230-N1230)/4*(COUNTIF($F$11:F1230,F1230)-1)*10000,10)&amp;"}]",7)="[{equip",MID("[{"&amp;M1230&amp;","&amp;CEILING(N1230*10000+(O1230-N1230)/4*(COUNTIF($F$11:F1230,F1230)-1)*10000,10)&amp;"}]",8,1)&lt;&gt;"_"),"[{"&amp;M1230&amp;","&amp;1&amp;"}]","[{"&amp;M1230&amp;","&amp;CEILING(N1230*10000+(O1230-N1230)/4*(COUNTIF($F$11:F1230,F1230)-1)*10000,10)&amp;"}]")</f>
        <v>[{exp_boost,2000}]</v>
      </c>
      <c r="H1230" s="82" t="s">
        <v>563</v>
      </c>
      <c r="J1230" s="78">
        <f ca="1">IF(MOD(COUNTIF($Q$11:Q1229,Q1229),5)=0,OFFSET(装备属性!$P$1083,1+INT(COUNTA($Q$11:Q1229)/5),0),J1229)</f>
        <v>9</v>
      </c>
      <c r="K1230" s="83" t="str">
        <f ca="1">IF(RIGHT(G1230,13)="rune_slot,1}]",_xlfn.XLOOKUP(LEFT(SUBSTITUTE(G1230,"[{",""),FIND(",",SUBSTITUTE(G1230,"[{",""))-1),Sheet2!B:B,Sheet2!C:C)&amp;"+"&amp;1,_xlfn.XLOOKUP(LEFT(SUBSTITUTE(G1230,"[{",""),FIND(",",SUBSTITUTE(G1230,"[{",""))-1),Sheet2!B:B,Sheet2!C:C)&amp;"+"&amp;SUBSTITUTE(RIGHT(G1230,LEN(G1230)-FIND(",",G1230)),"}]","")/100&amp;"%")</f>
        <v>经验加成+20%</v>
      </c>
      <c r="L1230" s="83" t="str">
        <f ca="1">IF(MOD(COUNTIF($Q$11:Q1229,Q1229),5)=0,OFFSET(装备属性!$G$1083,1+INT(COUNTA($Q$11:Q1229)/5),0),L1229)</f>
        <v>涨见识</v>
      </c>
      <c r="M1230" s="89" t="str">
        <f ca="1">IF(MOD(COUNTIF($Q$11:Q1229,Q1229),5)=0,OFFSET(装备属性!$H$1083,1+INT(COUNTA($Q$11:Q1229)/5),0),M1229)</f>
        <v>exp_boost</v>
      </c>
      <c r="N1230" s="76">
        <f ca="1">IF(MOD(COUNTIF($Q$11:Q1229,Q1229),5)=0,OFFSET(装备属性!$K$1083,1+INT(COUNTA($Q$11:Q1229)/5),0),N1229)</f>
        <v>0.2</v>
      </c>
      <c r="O1230" s="76">
        <f ca="1">IF(MOD(COUNTIF($Q$11:Q1229,Q1229),5)=0,OFFSET(装备属性!$L$1083,1+INT(COUNTA($Q$11:Q1229)/5),0),O1229)</f>
        <v>0.2</v>
      </c>
      <c r="Q1230" s="89" t="str">
        <f ca="1">IF(MOD(COUNTIF($Q$11:Q1229,Q1229),5)=0,OFFSET(装备属性!$M$1083,1+INT(COUNTA($Q$11:Q1229)/5),0),Q1229)</f>
        <v>稀有词条</v>
      </c>
      <c r="R1230" s="83" t="e">
        <f ca="1">IF(MOD(COUNTIF($Q$11:Q1229,Q1229),5)=0,10000*SUBSTITUTE(SUBSTITUTE(OFFSET(装备属性!$F$1083,1+INT(COUNTA($Q$11:Q1229)/5),0),"[",""),"]","")+_xlfn.XLOOKUP(C1230,$M$3:$M$7,$N$3:$N$7)*100,R1229)</f>
        <v>#N/A</v>
      </c>
    </row>
    <row r="1231" customHeight="1" spans="1:18">
      <c r="A1231" s="78" t="str">
        <f ca="1" t="shared" si="57"/>
        <v/>
      </c>
      <c r="B1231" s="82" t="str">
        <f ca="1">IFERROR(R1231+COUNTIFS($R$11:$R1231,R1231),"")</f>
        <v/>
      </c>
      <c r="C1231" s="83">
        <f ca="1">IF(MOD(COUNTIF($Q$11:Q1230,Q1230),5)=0,OFFSET(装备属性!$D$1083,1+INT(COUNTA($Q$11:Q1230)/5),0),C1230)</f>
        <v>0</v>
      </c>
      <c r="D1231" s="82">
        <f t="shared" si="56"/>
        <v>3000</v>
      </c>
      <c r="F1231" s="82" t="str">
        <f ca="1" t="shared" si="58"/>
        <v/>
      </c>
      <c r="G1231" s="78" t="str">
        <f ca="1">IF(AND(LEFT("[{"&amp;M1231&amp;","&amp;CEILING(N1231*10000+(O1231-N1231)/4*(COUNTIF($F$11:F1231,F1231)-1)*10000,10)&amp;"}]",7)="[{equip",MID("[{"&amp;M1231&amp;","&amp;CEILING(N1231*10000+(O1231-N1231)/4*(COUNTIF($F$11:F1231,F1231)-1)*10000,10)&amp;"}]",8,1)&lt;&gt;"_"),"[{"&amp;M1231&amp;","&amp;1&amp;"}]","[{"&amp;M1231&amp;","&amp;CEILING(N1231*10000+(O1231-N1231)/4*(COUNTIF($F$11:F1231,F1231)-1)*10000,10)&amp;"}]")</f>
        <v>[{equip_base_attr,2500}]</v>
      </c>
      <c r="H1231" s="82" t="s">
        <v>563</v>
      </c>
      <c r="J1231" s="78">
        <f ca="1">IF(MOD(COUNTIF($Q$11:Q1230,Q1230),5)=0,OFFSET(装备属性!$P$1083,1+INT(COUNTA($Q$11:Q1230)/5),0),J1230)</f>
        <v>7</v>
      </c>
      <c r="K1231" s="83" t="str">
        <f ca="1">IF(RIGHT(G1231,13)="rune_slot,1}]",_xlfn.XLOOKUP(LEFT(SUBSTITUTE(G1231,"[{",""),FIND(",",SUBSTITUTE(G1231,"[{",""))-1),Sheet2!B:B,Sheet2!C:C)&amp;"+"&amp;1,_xlfn.XLOOKUP(LEFT(SUBSTITUTE(G1231,"[{",""),FIND(",",SUBSTITUTE(G1231,"[{",""))-1),Sheet2!B:B,Sheet2!C:C)&amp;"+"&amp;SUBSTITUTE(RIGHT(G1231,LEN(G1231)-FIND(",",G1231)),"}]","")/100&amp;"%")</f>
        <v>装备基础属性加成+25%</v>
      </c>
      <c r="L1231" s="83" t="str">
        <f ca="1">IF(MOD(COUNTIF($Q$11:Q1230,Q1230),5)=0,OFFSET(装备属性!$G$1083,1+INT(COUNTA($Q$11:Q1230)/5),0),L1230)</f>
        <v>厚底子</v>
      </c>
      <c r="M1231" s="89" t="str">
        <f ca="1">IF(MOD(COUNTIF($Q$11:Q1230,Q1230),5)=0,OFFSET(装备属性!$H$1083,1+INT(COUNTA($Q$11:Q1230)/5),0),M1230)</f>
        <v>equip_base_attr</v>
      </c>
      <c r="N1231" s="76">
        <f ca="1">IF(MOD(COUNTIF($Q$11:Q1230,Q1230),5)=0,OFFSET(装备属性!$K$1083,1+INT(COUNTA($Q$11:Q1230)/5),0),N1230)</f>
        <v>0.25</v>
      </c>
      <c r="O1231" s="76">
        <f ca="1">IF(MOD(COUNTIF($Q$11:Q1230,Q1230),5)=0,OFFSET(装备属性!$L$1083,1+INT(COUNTA($Q$11:Q1230)/5),0),O1230)</f>
        <v>0.25</v>
      </c>
      <c r="Q1231" s="89" t="str">
        <f ca="1">IF(MOD(COUNTIF($Q$11:Q1230,Q1230),5)=0,OFFSET(装备属性!$M$1083,1+INT(COUNTA($Q$11:Q1230)/5),0),Q1230)</f>
        <v>稀有词条</v>
      </c>
      <c r="R1231" s="83" t="e">
        <f ca="1">IF(MOD(COUNTIF($Q$11:Q1230,Q1230),5)=0,10000*SUBSTITUTE(SUBSTITUTE(OFFSET(装备属性!$F$1083,1+INT(COUNTA($Q$11:Q1230)/5),0),"[",""),"]","")+_xlfn.XLOOKUP(C1231,$M$3:$M$7,$N$3:$N$7)*100,R1230)</f>
        <v>#N/A</v>
      </c>
    </row>
    <row r="1232" customHeight="1" spans="1:18">
      <c r="A1232" s="78" t="str">
        <f ca="1" t="shared" si="57"/>
        <v/>
      </c>
      <c r="B1232" s="82" t="str">
        <f ca="1">IFERROR(R1232+COUNTIFS($R$11:$R1232,R1232),"")</f>
        <v/>
      </c>
      <c r="C1232" s="83">
        <f ca="1">IF(MOD(COUNTIF($Q$11:Q1231,Q1231),5)=0,OFFSET(装备属性!$D$1083,1+INT(COUNTA($Q$11:Q1231)/5),0),C1231)</f>
        <v>0</v>
      </c>
      <c r="D1232" s="82">
        <f t="shared" si="56"/>
        <v>2500</v>
      </c>
      <c r="F1232" s="82" t="str">
        <f ca="1" t="shared" si="58"/>
        <v/>
      </c>
      <c r="G1232" s="78" t="str">
        <f ca="1">IF(AND(LEFT("[{"&amp;M1232&amp;","&amp;CEILING(N1232*10000+(O1232-N1232)/4*(COUNTIF($F$11:F1232,F1232)-1)*10000,10)&amp;"}]",7)="[{equip",MID("[{"&amp;M1232&amp;","&amp;CEILING(N1232*10000+(O1232-N1232)/4*(COUNTIF($F$11:F1232,F1232)-1)*10000,10)&amp;"}]",8,1)&lt;&gt;"_"),"[{"&amp;M1232&amp;","&amp;1&amp;"}]","[{"&amp;M1232&amp;","&amp;CEILING(N1232*10000+(O1232-N1232)/4*(COUNTIF($F$11:F1232,F1232)-1)*10000,10)&amp;"}]")</f>
        <v>[{equip_base_attr,2500}]</v>
      </c>
      <c r="H1232" s="82" t="s">
        <v>563</v>
      </c>
      <c r="J1232" s="78">
        <f ca="1">IF(MOD(COUNTIF($Q$11:Q1231,Q1231),5)=0,OFFSET(装备属性!$P$1083,1+INT(COUNTA($Q$11:Q1231)/5),0),J1231)</f>
        <v>7</v>
      </c>
      <c r="K1232" s="83" t="str">
        <f ca="1">IF(RIGHT(G1232,13)="rune_slot,1}]",_xlfn.XLOOKUP(LEFT(SUBSTITUTE(G1232,"[{",""),FIND(",",SUBSTITUTE(G1232,"[{",""))-1),Sheet2!B:B,Sheet2!C:C)&amp;"+"&amp;1,_xlfn.XLOOKUP(LEFT(SUBSTITUTE(G1232,"[{",""),FIND(",",SUBSTITUTE(G1232,"[{",""))-1),Sheet2!B:B,Sheet2!C:C)&amp;"+"&amp;SUBSTITUTE(RIGHT(G1232,LEN(G1232)-FIND(",",G1232)),"}]","")/100&amp;"%")</f>
        <v>装备基础属性加成+25%</v>
      </c>
      <c r="L1232" s="83" t="str">
        <f ca="1">IF(MOD(COUNTIF($Q$11:Q1231,Q1231),5)=0,OFFSET(装备属性!$G$1083,1+INT(COUNTA($Q$11:Q1231)/5),0),L1231)</f>
        <v>厚底子</v>
      </c>
      <c r="M1232" s="89" t="str">
        <f ca="1">IF(MOD(COUNTIF($Q$11:Q1231,Q1231),5)=0,OFFSET(装备属性!$H$1083,1+INT(COUNTA($Q$11:Q1231)/5),0),M1231)</f>
        <v>equip_base_attr</v>
      </c>
      <c r="N1232" s="76">
        <f ca="1">IF(MOD(COUNTIF($Q$11:Q1231,Q1231),5)=0,OFFSET(装备属性!$K$1083,1+INT(COUNTA($Q$11:Q1231)/5),0),N1231)</f>
        <v>0.25</v>
      </c>
      <c r="O1232" s="76">
        <f ca="1">IF(MOD(COUNTIF($Q$11:Q1231,Q1231),5)=0,OFFSET(装备属性!$L$1083,1+INT(COUNTA($Q$11:Q1231)/5),0),O1231)</f>
        <v>0.25</v>
      </c>
      <c r="Q1232" s="89" t="str">
        <f ca="1">IF(MOD(COUNTIF($Q$11:Q1231,Q1231),5)=0,OFFSET(装备属性!$M$1083,1+INT(COUNTA($Q$11:Q1231)/5),0),Q1231)</f>
        <v>稀有词条</v>
      </c>
      <c r="R1232" s="83" t="e">
        <f ca="1">IF(MOD(COUNTIF($Q$11:Q1231,Q1231),5)=0,10000*SUBSTITUTE(SUBSTITUTE(OFFSET(装备属性!$F$1083,1+INT(COUNTA($Q$11:Q1231)/5),0),"[",""),"]","")+_xlfn.XLOOKUP(C1232,$M$3:$M$7,$N$3:$N$7)*100,R1231)</f>
        <v>#N/A</v>
      </c>
    </row>
    <row r="1233" customHeight="1" spans="1:18">
      <c r="A1233" s="78" t="str">
        <f ca="1" t="shared" si="57"/>
        <v/>
      </c>
      <c r="B1233" s="82" t="str">
        <f ca="1">IFERROR(R1233+COUNTIFS($R$11:$R1233,R1233),"")</f>
        <v/>
      </c>
      <c r="C1233" s="83">
        <f ca="1">IF(MOD(COUNTIF($Q$11:Q1232,Q1232),5)=0,OFFSET(装备属性!$D$1083,1+INT(COUNTA($Q$11:Q1232)/5),0),C1232)</f>
        <v>0</v>
      </c>
      <c r="D1233" s="82">
        <f t="shared" ref="D1233:D1296" si="59">D1228</f>
        <v>2000</v>
      </c>
      <c r="F1233" s="82" t="str">
        <f ca="1" t="shared" si="58"/>
        <v/>
      </c>
      <c r="G1233" s="78" t="str">
        <f ca="1">IF(AND(LEFT("[{"&amp;M1233&amp;","&amp;CEILING(N1233*10000+(O1233-N1233)/4*(COUNTIF($F$11:F1233,F1233)-1)*10000,10)&amp;"}]",7)="[{equip",MID("[{"&amp;M1233&amp;","&amp;CEILING(N1233*10000+(O1233-N1233)/4*(COUNTIF($F$11:F1233,F1233)-1)*10000,10)&amp;"}]",8,1)&lt;&gt;"_"),"[{"&amp;M1233&amp;","&amp;1&amp;"}]","[{"&amp;M1233&amp;","&amp;CEILING(N1233*10000+(O1233-N1233)/4*(COUNTIF($F$11:F1233,F1233)-1)*10000,10)&amp;"}]")</f>
        <v>[{equip_base_attr,2500}]</v>
      </c>
      <c r="H1233" s="82" t="s">
        <v>563</v>
      </c>
      <c r="J1233" s="78">
        <f ca="1">IF(MOD(COUNTIF($Q$11:Q1232,Q1232),5)=0,OFFSET(装备属性!$P$1083,1+INT(COUNTA($Q$11:Q1232)/5),0),J1232)</f>
        <v>7</v>
      </c>
      <c r="K1233" s="83" t="str">
        <f ca="1">IF(RIGHT(G1233,13)="rune_slot,1}]",_xlfn.XLOOKUP(LEFT(SUBSTITUTE(G1233,"[{",""),FIND(",",SUBSTITUTE(G1233,"[{",""))-1),Sheet2!B:B,Sheet2!C:C)&amp;"+"&amp;1,_xlfn.XLOOKUP(LEFT(SUBSTITUTE(G1233,"[{",""),FIND(",",SUBSTITUTE(G1233,"[{",""))-1),Sheet2!B:B,Sheet2!C:C)&amp;"+"&amp;SUBSTITUTE(RIGHT(G1233,LEN(G1233)-FIND(",",G1233)),"}]","")/100&amp;"%")</f>
        <v>装备基础属性加成+25%</v>
      </c>
      <c r="L1233" s="83" t="str">
        <f ca="1">IF(MOD(COUNTIF($Q$11:Q1232,Q1232),5)=0,OFFSET(装备属性!$G$1083,1+INT(COUNTA($Q$11:Q1232)/5),0),L1232)</f>
        <v>厚底子</v>
      </c>
      <c r="M1233" s="89" t="str">
        <f ca="1">IF(MOD(COUNTIF($Q$11:Q1232,Q1232),5)=0,OFFSET(装备属性!$H$1083,1+INT(COUNTA($Q$11:Q1232)/5),0),M1232)</f>
        <v>equip_base_attr</v>
      </c>
      <c r="N1233" s="76">
        <f ca="1">IF(MOD(COUNTIF($Q$11:Q1232,Q1232),5)=0,OFFSET(装备属性!$K$1083,1+INT(COUNTA($Q$11:Q1232)/5),0),N1232)</f>
        <v>0.25</v>
      </c>
      <c r="O1233" s="76">
        <f ca="1">IF(MOD(COUNTIF($Q$11:Q1232,Q1232),5)=0,OFFSET(装备属性!$L$1083,1+INT(COUNTA($Q$11:Q1232)/5),0),O1232)</f>
        <v>0.25</v>
      </c>
      <c r="Q1233" s="89" t="str">
        <f ca="1">IF(MOD(COUNTIF($Q$11:Q1232,Q1232),5)=0,OFFSET(装备属性!$M$1083,1+INT(COUNTA($Q$11:Q1232)/5),0),Q1232)</f>
        <v>稀有词条</v>
      </c>
      <c r="R1233" s="83" t="e">
        <f ca="1">IF(MOD(COUNTIF($Q$11:Q1232,Q1232),5)=0,10000*SUBSTITUTE(SUBSTITUTE(OFFSET(装备属性!$F$1083,1+INT(COUNTA($Q$11:Q1232)/5),0),"[",""),"]","")+_xlfn.XLOOKUP(C1233,$M$3:$M$7,$N$3:$N$7)*100,R1232)</f>
        <v>#N/A</v>
      </c>
    </row>
    <row r="1234" customHeight="1" spans="1:18">
      <c r="A1234" s="78" t="str">
        <f ca="1" t="shared" si="57"/>
        <v/>
      </c>
      <c r="B1234" s="82" t="str">
        <f ca="1">IFERROR(R1234+COUNTIFS($R$11:$R1234,R1234),"")</f>
        <v/>
      </c>
      <c r="C1234" s="83">
        <f ca="1">IF(MOD(COUNTIF($Q$11:Q1233,Q1233),5)=0,OFFSET(装备属性!$D$1083,1+INT(COUNTA($Q$11:Q1233)/5),0),C1233)</f>
        <v>0</v>
      </c>
      <c r="D1234" s="82">
        <f t="shared" si="59"/>
        <v>1500</v>
      </c>
      <c r="F1234" s="82" t="str">
        <f ca="1" t="shared" si="58"/>
        <v/>
      </c>
      <c r="G1234" s="78" t="str">
        <f ca="1">IF(AND(LEFT("[{"&amp;M1234&amp;","&amp;CEILING(N1234*10000+(O1234-N1234)/4*(COUNTIF($F$11:F1234,F1234)-1)*10000,10)&amp;"}]",7)="[{equip",MID("[{"&amp;M1234&amp;","&amp;CEILING(N1234*10000+(O1234-N1234)/4*(COUNTIF($F$11:F1234,F1234)-1)*10000,10)&amp;"}]",8,1)&lt;&gt;"_"),"[{"&amp;M1234&amp;","&amp;1&amp;"}]","[{"&amp;M1234&amp;","&amp;CEILING(N1234*10000+(O1234-N1234)/4*(COUNTIF($F$11:F1234,F1234)-1)*10000,10)&amp;"}]")</f>
        <v>[{equip_base_attr,2500}]</v>
      </c>
      <c r="H1234" s="82" t="s">
        <v>563</v>
      </c>
      <c r="J1234" s="78">
        <f ca="1">IF(MOD(COUNTIF($Q$11:Q1233,Q1233),5)=0,OFFSET(装备属性!$P$1083,1+INT(COUNTA($Q$11:Q1233)/5),0),J1233)</f>
        <v>7</v>
      </c>
      <c r="K1234" s="83" t="str">
        <f ca="1">IF(RIGHT(G1234,13)="rune_slot,1}]",_xlfn.XLOOKUP(LEFT(SUBSTITUTE(G1234,"[{",""),FIND(",",SUBSTITUTE(G1234,"[{",""))-1),Sheet2!B:B,Sheet2!C:C)&amp;"+"&amp;1,_xlfn.XLOOKUP(LEFT(SUBSTITUTE(G1234,"[{",""),FIND(",",SUBSTITUTE(G1234,"[{",""))-1),Sheet2!B:B,Sheet2!C:C)&amp;"+"&amp;SUBSTITUTE(RIGHT(G1234,LEN(G1234)-FIND(",",G1234)),"}]","")/100&amp;"%")</f>
        <v>装备基础属性加成+25%</v>
      </c>
      <c r="L1234" s="83" t="str">
        <f ca="1">IF(MOD(COUNTIF($Q$11:Q1233,Q1233),5)=0,OFFSET(装备属性!$G$1083,1+INT(COUNTA($Q$11:Q1233)/5),0),L1233)</f>
        <v>厚底子</v>
      </c>
      <c r="M1234" s="89" t="str">
        <f ca="1">IF(MOD(COUNTIF($Q$11:Q1233,Q1233),5)=0,OFFSET(装备属性!$H$1083,1+INT(COUNTA($Q$11:Q1233)/5),0),M1233)</f>
        <v>equip_base_attr</v>
      </c>
      <c r="N1234" s="76">
        <f ca="1">IF(MOD(COUNTIF($Q$11:Q1233,Q1233),5)=0,OFFSET(装备属性!$K$1083,1+INT(COUNTA($Q$11:Q1233)/5),0),N1233)</f>
        <v>0.25</v>
      </c>
      <c r="O1234" s="76">
        <f ca="1">IF(MOD(COUNTIF($Q$11:Q1233,Q1233),5)=0,OFFSET(装备属性!$L$1083,1+INT(COUNTA($Q$11:Q1233)/5),0),O1233)</f>
        <v>0.25</v>
      </c>
      <c r="Q1234" s="89" t="str">
        <f ca="1">IF(MOD(COUNTIF($Q$11:Q1233,Q1233),5)=0,OFFSET(装备属性!$M$1083,1+INT(COUNTA($Q$11:Q1233)/5),0),Q1233)</f>
        <v>稀有词条</v>
      </c>
      <c r="R1234" s="83" t="e">
        <f ca="1">IF(MOD(COUNTIF($Q$11:Q1233,Q1233),5)=0,10000*SUBSTITUTE(SUBSTITUTE(OFFSET(装备属性!$F$1083,1+INT(COUNTA($Q$11:Q1233)/5),0),"[",""),"]","")+_xlfn.XLOOKUP(C1234,$M$3:$M$7,$N$3:$N$7)*100,R1233)</f>
        <v>#N/A</v>
      </c>
    </row>
    <row r="1235" customHeight="1" spans="1:18">
      <c r="A1235" s="78" t="str">
        <f ca="1" t="shared" si="57"/>
        <v/>
      </c>
      <c r="B1235" s="82" t="str">
        <f ca="1">IFERROR(R1235+COUNTIFS($R$11:$R1235,R1235),"")</f>
        <v/>
      </c>
      <c r="C1235" s="83">
        <f ca="1">IF(MOD(COUNTIF($Q$11:Q1234,Q1234),5)=0,OFFSET(装备属性!$D$1083,1+INT(COUNTA($Q$11:Q1234)/5),0),C1234)</f>
        <v>0</v>
      </c>
      <c r="D1235" s="82">
        <f t="shared" si="59"/>
        <v>1000</v>
      </c>
      <c r="F1235" s="82" t="str">
        <f ca="1" t="shared" si="58"/>
        <v/>
      </c>
      <c r="G1235" s="78" t="str">
        <f ca="1">IF(AND(LEFT("[{"&amp;M1235&amp;","&amp;CEILING(N1235*10000+(O1235-N1235)/4*(COUNTIF($F$11:F1235,F1235)-1)*10000,10)&amp;"}]",7)="[{equip",MID("[{"&amp;M1235&amp;","&amp;CEILING(N1235*10000+(O1235-N1235)/4*(COUNTIF($F$11:F1235,F1235)-1)*10000,10)&amp;"}]",8,1)&lt;&gt;"_"),"[{"&amp;M1235&amp;","&amp;1&amp;"}]","[{"&amp;M1235&amp;","&amp;CEILING(N1235*10000+(O1235-N1235)/4*(COUNTIF($F$11:F1235,F1235)-1)*10000,10)&amp;"}]")</f>
        <v>[{equip_base_attr,2500}]</v>
      </c>
      <c r="H1235" s="82" t="s">
        <v>563</v>
      </c>
      <c r="J1235" s="78">
        <f ca="1">IF(MOD(COUNTIF($Q$11:Q1234,Q1234),5)=0,OFFSET(装备属性!$P$1083,1+INT(COUNTA($Q$11:Q1234)/5),0),J1234)</f>
        <v>7</v>
      </c>
      <c r="K1235" s="83" t="str">
        <f ca="1">IF(RIGHT(G1235,13)="rune_slot,1}]",_xlfn.XLOOKUP(LEFT(SUBSTITUTE(G1235,"[{",""),FIND(",",SUBSTITUTE(G1235,"[{",""))-1),Sheet2!B:B,Sheet2!C:C)&amp;"+"&amp;1,_xlfn.XLOOKUP(LEFT(SUBSTITUTE(G1235,"[{",""),FIND(",",SUBSTITUTE(G1235,"[{",""))-1),Sheet2!B:B,Sheet2!C:C)&amp;"+"&amp;SUBSTITUTE(RIGHT(G1235,LEN(G1235)-FIND(",",G1235)),"}]","")/100&amp;"%")</f>
        <v>装备基础属性加成+25%</v>
      </c>
      <c r="L1235" s="83" t="str">
        <f ca="1">IF(MOD(COUNTIF($Q$11:Q1234,Q1234),5)=0,OFFSET(装备属性!$G$1083,1+INT(COUNTA($Q$11:Q1234)/5),0),L1234)</f>
        <v>厚底子</v>
      </c>
      <c r="M1235" s="89" t="str">
        <f ca="1">IF(MOD(COUNTIF($Q$11:Q1234,Q1234),5)=0,OFFSET(装备属性!$H$1083,1+INT(COUNTA($Q$11:Q1234)/5),0),M1234)</f>
        <v>equip_base_attr</v>
      </c>
      <c r="N1235" s="76">
        <f ca="1">IF(MOD(COUNTIF($Q$11:Q1234,Q1234),5)=0,OFFSET(装备属性!$K$1083,1+INT(COUNTA($Q$11:Q1234)/5),0),N1234)</f>
        <v>0.25</v>
      </c>
      <c r="O1235" s="76">
        <f ca="1">IF(MOD(COUNTIF($Q$11:Q1234,Q1234),5)=0,OFFSET(装备属性!$L$1083,1+INT(COUNTA($Q$11:Q1234)/5),0),O1234)</f>
        <v>0.25</v>
      </c>
      <c r="Q1235" s="89" t="str">
        <f ca="1">IF(MOD(COUNTIF($Q$11:Q1234,Q1234),5)=0,OFFSET(装备属性!$M$1083,1+INT(COUNTA($Q$11:Q1234)/5),0),Q1234)</f>
        <v>稀有词条</v>
      </c>
      <c r="R1235" s="83" t="e">
        <f ca="1">IF(MOD(COUNTIF($Q$11:Q1234,Q1234),5)=0,10000*SUBSTITUTE(SUBSTITUTE(OFFSET(装备属性!$F$1083,1+INT(COUNTA($Q$11:Q1234)/5),0),"[",""),"]","")+_xlfn.XLOOKUP(C1235,$M$3:$M$7,$N$3:$N$7)*100,R1234)</f>
        <v>#N/A</v>
      </c>
    </row>
    <row r="1236" customHeight="1" spans="1:18">
      <c r="A1236" s="78" t="str">
        <f ca="1" t="shared" si="57"/>
        <v/>
      </c>
      <c r="B1236" s="82" t="str">
        <f ca="1">IFERROR(R1236+COUNTIFS($R$11:$R1236,R1236),"")</f>
        <v/>
      </c>
      <c r="C1236" s="83">
        <f ca="1">IF(MOD(COUNTIF($Q$11:Q1235,Q1235),5)=0,OFFSET(装备属性!$D$1083,1+INT(COUNTA($Q$11:Q1235)/5),0),C1235)</f>
        <v>0</v>
      </c>
      <c r="D1236" s="82">
        <f t="shared" si="59"/>
        <v>3000</v>
      </c>
      <c r="F1236" s="82" t="str">
        <f ca="1" t="shared" si="58"/>
        <v/>
      </c>
      <c r="G1236" s="78" t="str">
        <f ca="1">IF(AND(LEFT("[{"&amp;M1236&amp;","&amp;CEILING(N1236*10000+(O1236-N1236)/4*(COUNTIF($F$11:F1236,F1236)-1)*10000,10)&amp;"}]",7)="[{equip",MID("[{"&amp;M1236&amp;","&amp;CEILING(N1236*10000+(O1236-N1236)/4*(COUNTIF($F$11:F1236,F1236)-1)*10000,10)&amp;"}]",8,1)&lt;&gt;"_"),"[{"&amp;M1236&amp;","&amp;1&amp;"}]","[{"&amp;M1236&amp;","&amp;CEILING(N1236*10000+(O1236-N1236)/4*(COUNTIF($F$11:F1236,F1236)-1)*10000,10)&amp;"}]")</f>
        <v>[{equip_extra_attr,5000}]</v>
      </c>
      <c r="H1236" s="82" t="s">
        <v>563</v>
      </c>
      <c r="J1236" s="78">
        <f ca="1">IF(MOD(COUNTIF($Q$11:Q1235,Q1235),5)=0,OFFSET(装备属性!$P$1083,1+INT(COUNTA($Q$11:Q1235)/5),0),J1235)</f>
        <v>8</v>
      </c>
      <c r="K1236" s="83" t="str">
        <f ca="1">IF(RIGHT(G1236,13)="rune_slot,1}]",_xlfn.XLOOKUP(LEFT(SUBSTITUTE(G1236,"[{",""),FIND(",",SUBSTITUTE(G1236,"[{",""))-1),Sheet2!B:B,Sheet2!C:C)&amp;"+"&amp;1,_xlfn.XLOOKUP(LEFT(SUBSTITUTE(G1236,"[{",""),FIND(",",SUBSTITUTE(G1236,"[{",""))-1),Sheet2!B:B,Sheet2!C:C)&amp;"+"&amp;SUBSTITUTE(RIGHT(G1236,LEN(G1236)-FIND(",",G1236)),"}]","")/100&amp;"%")</f>
        <v>装备附加属性加成+50%</v>
      </c>
      <c r="L1236" s="83" t="str">
        <f ca="1">IF(MOD(COUNTIF($Q$11:Q1235,Q1235),5)=0,OFFSET(装备属性!$G$1083,1+INT(COUNTA($Q$11:Q1235)/5),0),L1235)</f>
        <v>提成色</v>
      </c>
      <c r="M1236" s="89" t="str">
        <f ca="1">IF(MOD(COUNTIF($Q$11:Q1235,Q1235),5)=0,OFFSET(装备属性!$H$1083,1+INT(COUNTA($Q$11:Q1235)/5),0),M1235)</f>
        <v>equip_extra_attr</v>
      </c>
      <c r="N1236" s="76">
        <f ca="1">IF(MOD(COUNTIF($Q$11:Q1235,Q1235),5)=0,OFFSET(装备属性!$K$1083,1+INT(COUNTA($Q$11:Q1235)/5),0),N1235)</f>
        <v>0.5</v>
      </c>
      <c r="O1236" s="76">
        <f ca="1">IF(MOD(COUNTIF($Q$11:Q1235,Q1235),5)=0,OFFSET(装备属性!$L$1083,1+INT(COUNTA($Q$11:Q1235)/5),0),O1235)</f>
        <v>0.5</v>
      </c>
      <c r="Q1236" s="89" t="str">
        <f ca="1">IF(MOD(COUNTIF($Q$11:Q1235,Q1235),5)=0,OFFSET(装备属性!$M$1083,1+INT(COUNTA($Q$11:Q1235)/5),0),Q1235)</f>
        <v>稀有词条</v>
      </c>
      <c r="R1236" s="83" t="e">
        <f ca="1">IF(MOD(COUNTIF($Q$11:Q1235,Q1235),5)=0,10000*SUBSTITUTE(SUBSTITUTE(OFFSET(装备属性!$F$1083,1+INT(COUNTA($Q$11:Q1235)/5),0),"[",""),"]","")+_xlfn.XLOOKUP(C1236,$M$3:$M$7,$N$3:$N$7)*100,R1235)</f>
        <v>#N/A</v>
      </c>
    </row>
    <row r="1237" customHeight="1" spans="1:18">
      <c r="A1237" s="78" t="str">
        <f ca="1" t="shared" si="57"/>
        <v/>
      </c>
      <c r="B1237" s="82" t="str">
        <f ca="1">IFERROR(R1237+COUNTIFS($R$11:$R1237,R1237),"")</f>
        <v/>
      </c>
      <c r="C1237" s="83">
        <f ca="1">IF(MOD(COUNTIF($Q$11:Q1236,Q1236),5)=0,OFFSET(装备属性!$D$1083,1+INT(COUNTA($Q$11:Q1236)/5),0),C1236)</f>
        <v>0</v>
      </c>
      <c r="D1237" s="82">
        <f t="shared" si="59"/>
        <v>2500</v>
      </c>
      <c r="F1237" s="82" t="str">
        <f ca="1" t="shared" si="58"/>
        <v/>
      </c>
      <c r="G1237" s="78" t="str">
        <f ca="1">IF(AND(LEFT("[{"&amp;M1237&amp;","&amp;CEILING(N1237*10000+(O1237-N1237)/4*(COUNTIF($F$11:F1237,F1237)-1)*10000,10)&amp;"}]",7)="[{equip",MID("[{"&amp;M1237&amp;","&amp;CEILING(N1237*10000+(O1237-N1237)/4*(COUNTIF($F$11:F1237,F1237)-1)*10000,10)&amp;"}]",8,1)&lt;&gt;"_"),"[{"&amp;M1237&amp;","&amp;1&amp;"}]","[{"&amp;M1237&amp;","&amp;CEILING(N1237*10000+(O1237-N1237)/4*(COUNTIF($F$11:F1237,F1237)-1)*10000,10)&amp;"}]")</f>
        <v>[{equip_extra_attr,5000}]</v>
      </c>
      <c r="H1237" s="82" t="s">
        <v>563</v>
      </c>
      <c r="J1237" s="78">
        <f ca="1">IF(MOD(COUNTIF($Q$11:Q1236,Q1236),5)=0,OFFSET(装备属性!$P$1083,1+INT(COUNTA($Q$11:Q1236)/5),0),J1236)</f>
        <v>8</v>
      </c>
      <c r="K1237" s="83" t="str">
        <f ca="1">IF(RIGHT(G1237,13)="rune_slot,1}]",_xlfn.XLOOKUP(LEFT(SUBSTITUTE(G1237,"[{",""),FIND(",",SUBSTITUTE(G1237,"[{",""))-1),Sheet2!B:B,Sheet2!C:C)&amp;"+"&amp;1,_xlfn.XLOOKUP(LEFT(SUBSTITUTE(G1237,"[{",""),FIND(",",SUBSTITUTE(G1237,"[{",""))-1),Sheet2!B:B,Sheet2!C:C)&amp;"+"&amp;SUBSTITUTE(RIGHT(G1237,LEN(G1237)-FIND(",",G1237)),"}]","")/100&amp;"%")</f>
        <v>装备附加属性加成+50%</v>
      </c>
      <c r="L1237" s="83" t="str">
        <f ca="1">IF(MOD(COUNTIF($Q$11:Q1236,Q1236),5)=0,OFFSET(装备属性!$G$1083,1+INT(COUNTA($Q$11:Q1236)/5),0),L1236)</f>
        <v>提成色</v>
      </c>
      <c r="M1237" s="89" t="str">
        <f ca="1">IF(MOD(COUNTIF($Q$11:Q1236,Q1236),5)=0,OFFSET(装备属性!$H$1083,1+INT(COUNTA($Q$11:Q1236)/5),0),M1236)</f>
        <v>equip_extra_attr</v>
      </c>
      <c r="N1237" s="76">
        <f ca="1">IF(MOD(COUNTIF($Q$11:Q1236,Q1236),5)=0,OFFSET(装备属性!$K$1083,1+INT(COUNTA($Q$11:Q1236)/5),0),N1236)</f>
        <v>0.5</v>
      </c>
      <c r="O1237" s="76">
        <f ca="1">IF(MOD(COUNTIF($Q$11:Q1236,Q1236),5)=0,OFFSET(装备属性!$L$1083,1+INT(COUNTA($Q$11:Q1236)/5),0),O1236)</f>
        <v>0.5</v>
      </c>
      <c r="Q1237" s="89" t="str">
        <f ca="1">IF(MOD(COUNTIF($Q$11:Q1236,Q1236),5)=0,OFFSET(装备属性!$M$1083,1+INT(COUNTA($Q$11:Q1236)/5),0),Q1236)</f>
        <v>稀有词条</v>
      </c>
      <c r="R1237" s="83" t="e">
        <f ca="1">IF(MOD(COUNTIF($Q$11:Q1236,Q1236),5)=0,10000*SUBSTITUTE(SUBSTITUTE(OFFSET(装备属性!$F$1083,1+INT(COUNTA($Q$11:Q1236)/5),0),"[",""),"]","")+_xlfn.XLOOKUP(C1237,$M$3:$M$7,$N$3:$N$7)*100,R1236)</f>
        <v>#N/A</v>
      </c>
    </row>
    <row r="1238" customHeight="1" spans="1:18">
      <c r="A1238" s="78" t="str">
        <f ca="1" t="shared" si="57"/>
        <v/>
      </c>
      <c r="B1238" s="82" t="str">
        <f ca="1">IFERROR(R1238+COUNTIFS($R$11:$R1238,R1238),"")</f>
        <v/>
      </c>
      <c r="C1238" s="83">
        <f ca="1">IF(MOD(COUNTIF($Q$11:Q1237,Q1237),5)=0,OFFSET(装备属性!$D$1083,1+INT(COUNTA($Q$11:Q1237)/5),0),C1237)</f>
        <v>0</v>
      </c>
      <c r="D1238" s="82">
        <f t="shared" si="59"/>
        <v>2000</v>
      </c>
      <c r="F1238" s="82" t="str">
        <f ca="1" t="shared" si="58"/>
        <v/>
      </c>
      <c r="G1238" s="78" t="str">
        <f ca="1">IF(AND(LEFT("[{"&amp;M1238&amp;","&amp;CEILING(N1238*10000+(O1238-N1238)/4*(COUNTIF($F$11:F1238,F1238)-1)*10000,10)&amp;"}]",7)="[{equip",MID("[{"&amp;M1238&amp;","&amp;CEILING(N1238*10000+(O1238-N1238)/4*(COUNTIF($F$11:F1238,F1238)-1)*10000,10)&amp;"}]",8,1)&lt;&gt;"_"),"[{"&amp;M1238&amp;","&amp;1&amp;"}]","[{"&amp;M1238&amp;","&amp;CEILING(N1238*10000+(O1238-N1238)/4*(COUNTIF($F$11:F1238,F1238)-1)*10000,10)&amp;"}]")</f>
        <v>[{equip_extra_attr,5000}]</v>
      </c>
      <c r="H1238" s="82" t="s">
        <v>563</v>
      </c>
      <c r="J1238" s="78">
        <f ca="1">IF(MOD(COUNTIF($Q$11:Q1237,Q1237),5)=0,OFFSET(装备属性!$P$1083,1+INT(COUNTA($Q$11:Q1237)/5),0),J1237)</f>
        <v>8</v>
      </c>
      <c r="K1238" s="83" t="str">
        <f ca="1">IF(RIGHT(G1238,13)="rune_slot,1}]",_xlfn.XLOOKUP(LEFT(SUBSTITUTE(G1238,"[{",""),FIND(",",SUBSTITUTE(G1238,"[{",""))-1),Sheet2!B:B,Sheet2!C:C)&amp;"+"&amp;1,_xlfn.XLOOKUP(LEFT(SUBSTITUTE(G1238,"[{",""),FIND(",",SUBSTITUTE(G1238,"[{",""))-1),Sheet2!B:B,Sheet2!C:C)&amp;"+"&amp;SUBSTITUTE(RIGHT(G1238,LEN(G1238)-FIND(",",G1238)),"}]","")/100&amp;"%")</f>
        <v>装备附加属性加成+50%</v>
      </c>
      <c r="L1238" s="83" t="str">
        <f ca="1">IF(MOD(COUNTIF($Q$11:Q1237,Q1237),5)=0,OFFSET(装备属性!$G$1083,1+INT(COUNTA($Q$11:Q1237)/5),0),L1237)</f>
        <v>提成色</v>
      </c>
      <c r="M1238" s="89" t="str">
        <f ca="1">IF(MOD(COUNTIF($Q$11:Q1237,Q1237),5)=0,OFFSET(装备属性!$H$1083,1+INT(COUNTA($Q$11:Q1237)/5),0),M1237)</f>
        <v>equip_extra_attr</v>
      </c>
      <c r="N1238" s="76">
        <f ca="1">IF(MOD(COUNTIF($Q$11:Q1237,Q1237),5)=0,OFFSET(装备属性!$K$1083,1+INT(COUNTA($Q$11:Q1237)/5),0),N1237)</f>
        <v>0.5</v>
      </c>
      <c r="O1238" s="76">
        <f ca="1">IF(MOD(COUNTIF($Q$11:Q1237,Q1237),5)=0,OFFSET(装备属性!$L$1083,1+INT(COUNTA($Q$11:Q1237)/5),0),O1237)</f>
        <v>0.5</v>
      </c>
      <c r="Q1238" s="89" t="str">
        <f ca="1">IF(MOD(COUNTIF($Q$11:Q1237,Q1237),5)=0,OFFSET(装备属性!$M$1083,1+INT(COUNTA($Q$11:Q1237)/5),0),Q1237)</f>
        <v>稀有词条</v>
      </c>
      <c r="R1238" s="83" t="e">
        <f ca="1">IF(MOD(COUNTIF($Q$11:Q1237,Q1237),5)=0,10000*SUBSTITUTE(SUBSTITUTE(OFFSET(装备属性!$F$1083,1+INT(COUNTA($Q$11:Q1237)/5),0),"[",""),"]","")+_xlfn.XLOOKUP(C1238,$M$3:$M$7,$N$3:$N$7)*100,R1237)</f>
        <v>#N/A</v>
      </c>
    </row>
    <row r="1239" customHeight="1" spans="1:18">
      <c r="A1239" s="78" t="str">
        <f ca="1" t="shared" si="57"/>
        <v/>
      </c>
      <c r="B1239" s="82" t="str">
        <f ca="1">IFERROR(R1239+COUNTIFS($R$11:$R1239,R1239),"")</f>
        <v/>
      </c>
      <c r="C1239" s="83">
        <f ca="1">IF(MOD(COUNTIF($Q$11:Q1238,Q1238),5)=0,OFFSET(装备属性!$D$1083,1+INT(COUNTA($Q$11:Q1238)/5),0),C1238)</f>
        <v>0</v>
      </c>
      <c r="D1239" s="82">
        <f t="shared" si="59"/>
        <v>1500</v>
      </c>
      <c r="F1239" s="82" t="str">
        <f ca="1" t="shared" si="58"/>
        <v/>
      </c>
      <c r="G1239" s="78" t="str">
        <f ca="1">IF(AND(LEFT("[{"&amp;M1239&amp;","&amp;CEILING(N1239*10000+(O1239-N1239)/4*(COUNTIF($F$11:F1239,F1239)-1)*10000,10)&amp;"}]",7)="[{equip",MID("[{"&amp;M1239&amp;","&amp;CEILING(N1239*10000+(O1239-N1239)/4*(COUNTIF($F$11:F1239,F1239)-1)*10000,10)&amp;"}]",8,1)&lt;&gt;"_"),"[{"&amp;M1239&amp;","&amp;1&amp;"}]","[{"&amp;M1239&amp;","&amp;CEILING(N1239*10000+(O1239-N1239)/4*(COUNTIF($F$11:F1239,F1239)-1)*10000,10)&amp;"}]")</f>
        <v>[{equip_extra_attr,5000}]</v>
      </c>
      <c r="H1239" s="82" t="s">
        <v>563</v>
      </c>
      <c r="J1239" s="78">
        <f ca="1">IF(MOD(COUNTIF($Q$11:Q1238,Q1238),5)=0,OFFSET(装备属性!$P$1083,1+INT(COUNTA($Q$11:Q1238)/5),0),J1238)</f>
        <v>8</v>
      </c>
      <c r="K1239" s="83" t="str">
        <f ca="1">IF(RIGHT(G1239,13)="rune_slot,1}]",_xlfn.XLOOKUP(LEFT(SUBSTITUTE(G1239,"[{",""),FIND(",",SUBSTITUTE(G1239,"[{",""))-1),Sheet2!B:B,Sheet2!C:C)&amp;"+"&amp;1,_xlfn.XLOOKUP(LEFT(SUBSTITUTE(G1239,"[{",""),FIND(",",SUBSTITUTE(G1239,"[{",""))-1),Sheet2!B:B,Sheet2!C:C)&amp;"+"&amp;SUBSTITUTE(RIGHT(G1239,LEN(G1239)-FIND(",",G1239)),"}]","")/100&amp;"%")</f>
        <v>装备附加属性加成+50%</v>
      </c>
      <c r="L1239" s="83" t="str">
        <f ca="1">IF(MOD(COUNTIF($Q$11:Q1238,Q1238),5)=0,OFFSET(装备属性!$G$1083,1+INT(COUNTA($Q$11:Q1238)/5),0),L1238)</f>
        <v>提成色</v>
      </c>
      <c r="M1239" s="89" t="str">
        <f ca="1">IF(MOD(COUNTIF($Q$11:Q1238,Q1238),5)=0,OFFSET(装备属性!$H$1083,1+INT(COUNTA($Q$11:Q1238)/5),0),M1238)</f>
        <v>equip_extra_attr</v>
      </c>
      <c r="N1239" s="76">
        <f ca="1">IF(MOD(COUNTIF($Q$11:Q1238,Q1238),5)=0,OFFSET(装备属性!$K$1083,1+INT(COUNTA($Q$11:Q1238)/5),0),N1238)</f>
        <v>0.5</v>
      </c>
      <c r="O1239" s="76">
        <f ca="1">IF(MOD(COUNTIF($Q$11:Q1238,Q1238),5)=0,OFFSET(装备属性!$L$1083,1+INT(COUNTA($Q$11:Q1238)/5),0),O1238)</f>
        <v>0.5</v>
      </c>
      <c r="Q1239" s="89" t="str">
        <f ca="1">IF(MOD(COUNTIF($Q$11:Q1238,Q1238),5)=0,OFFSET(装备属性!$M$1083,1+INT(COUNTA($Q$11:Q1238)/5),0),Q1238)</f>
        <v>稀有词条</v>
      </c>
      <c r="R1239" s="83" t="e">
        <f ca="1">IF(MOD(COUNTIF($Q$11:Q1238,Q1238),5)=0,10000*SUBSTITUTE(SUBSTITUTE(OFFSET(装备属性!$F$1083,1+INT(COUNTA($Q$11:Q1238)/5),0),"[",""),"]","")+_xlfn.XLOOKUP(C1239,$M$3:$M$7,$N$3:$N$7)*100,R1238)</f>
        <v>#N/A</v>
      </c>
    </row>
    <row r="1240" customHeight="1" spans="1:18">
      <c r="A1240" s="78" t="str">
        <f ca="1" t="shared" si="57"/>
        <v/>
      </c>
      <c r="B1240" s="82" t="str">
        <f ca="1">IFERROR(R1240+COUNTIFS($R$11:$R1240,R1240),"")</f>
        <v/>
      </c>
      <c r="C1240" s="83">
        <f ca="1">IF(MOD(COUNTIF($Q$11:Q1239,Q1239),5)=0,OFFSET(装备属性!$D$1083,1+INT(COUNTA($Q$11:Q1239)/5),0),C1239)</f>
        <v>0</v>
      </c>
      <c r="D1240" s="82">
        <f t="shared" si="59"/>
        <v>1000</v>
      </c>
      <c r="F1240" s="82" t="str">
        <f ca="1" t="shared" si="58"/>
        <v/>
      </c>
      <c r="G1240" s="78" t="str">
        <f ca="1">IF(AND(LEFT("[{"&amp;M1240&amp;","&amp;CEILING(N1240*10000+(O1240-N1240)/4*(COUNTIF($F$11:F1240,F1240)-1)*10000,10)&amp;"}]",7)="[{equip",MID("[{"&amp;M1240&amp;","&amp;CEILING(N1240*10000+(O1240-N1240)/4*(COUNTIF($F$11:F1240,F1240)-1)*10000,10)&amp;"}]",8,1)&lt;&gt;"_"),"[{"&amp;M1240&amp;","&amp;1&amp;"}]","[{"&amp;M1240&amp;","&amp;CEILING(N1240*10000+(O1240-N1240)/4*(COUNTIF($F$11:F1240,F1240)-1)*10000,10)&amp;"}]")</f>
        <v>[{equip_extra_attr,5000}]</v>
      </c>
      <c r="H1240" s="82" t="s">
        <v>563</v>
      </c>
      <c r="J1240" s="78">
        <f ca="1">IF(MOD(COUNTIF($Q$11:Q1239,Q1239),5)=0,OFFSET(装备属性!$P$1083,1+INT(COUNTA($Q$11:Q1239)/5),0),J1239)</f>
        <v>8</v>
      </c>
      <c r="K1240" s="83" t="str">
        <f ca="1">IF(RIGHT(G1240,13)="rune_slot,1}]",_xlfn.XLOOKUP(LEFT(SUBSTITUTE(G1240,"[{",""),FIND(",",SUBSTITUTE(G1240,"[{",""))-1),Sheet2!B:B,Sheet2!C:C)&amp;"+"&amp;1,_xlfn.XLOOKUP(LEFT(SUBSTITUTE(G1240,"[{",""),FIND(",",SUBSTITUTE(G1240,"[{",""))-1),Sheet2!B:B,Sheet2!C:C)&amp;"+"&amp;SUBSTITUTE(RIGHT(G1240,LEN(G1240)-FIND(",",G1240)),"}]","")/100&amp;"%")</f>
        <v>装备附加属性加成+50%</v>
      </c>
      <c r="L1240" s="83" t="str">
        <f ca="1">IF(MOD(COUNTIF($Q$11:Q1239,Q1239),5)=0,OFFSET(装备属性!$G$1083,1+INT(COUNTA($Q$11:Q1239)/5),0),L1239)</f>
        <v>提成色</v>
      </c>
      <c r="M1240" s="89" t="str">
        <f ca="1">IF(MOD(COUNTIF($Q$11:Q1239,Q1239),5)=0,OFFSET(装备属性!$H$1083,1+INT(COUNTA($Q$11:Q1239)/5),0),M1239)</f>
        <v>equip_extra_attr</v>
      </c>
      <c r="N1240" s="76">
        <f ca="1">IF(MOD(COUNTIF($Q$11:Q1239,Q1239),5)=0,OFFSET(装备属性!$K$1083,1+INT(COUNTA($Q$11:Q1239)/5),0),N1239)</f>
        <v>0.5</v>
      </c>
      <c r="O1240" s="76">
        <f ca="1">IF(MOD(COUNTIF($Q$11:Q1239,Q1239),5)=0,OFFSET(装备属性!$L$1083,1+INT(COUNTA($Q$11:Q1239)/5),0),O1239)</f>
        <v>0.5</v>
      </c>
      <c r="Q1240" s="89" t="str">
        <f ca="1">IF(MOD(COUNTIF($Q$11:Q1239,Q1239),5)=0,OFFSET(装备属性!$M$1083,1+INT(COUNTA($Q$11:Q1239)/5),0),Q1239)</f>
        <v>稀有词条</v>
      </c>
      <c r="R1240" s="83" t="e">
        <f ca="1">IF(MOD(COUNTIF($Q$11:Q1239,Q1239),5)=0,10000*SUBSTITUTE(SUBSTITUTE(OFFSET(装备属性!$F$1083,1+INT(COUNTA($Q$11:Q1239)/5),0),"[",""),"]","")+_xlfn.XLOOKUP(C1240,$M$3:$M$7,$N$3:$N$7)*100,R1239)</f>
        <v>#N/A</v>
      </c>
    </row>
    <row r="1241" customHeight="1" spans="1:18">
      <c r="A1241" s="78" t="str">
        <f ca="1" t="shared" si="57"/>
        <v/>
      </c>
      <c r="B1241" s="82" t="str">
        <f ca="1">IFERROR(R1241+COUNTIFS($R$11:$R1241,R1241),"")</f>
        <v/>
      </c>
      <c r="C1241" s="83">
        <f ca="1">IF(MOD(COUNTIF($Q$11:Q1240,Q1240),5)=0,OFFSET(装备属性!$D$1083,1+INT(COUNTA($Q$11:Q1240)/5),0),C1240)</f>
        <v>0</v>
      </c>
      <c r="D1241" s="82">
        <f t="shared" si="59"/>
        <v>3000</v>
      </c>
      <c r="F1241" s="82" t="str">
        <f ca="1" t="shared" si="58"/>
        <v/>
      </c>
      <c r="G1241" s="78" t="str">
        <f ca="1">IF(AND(LEFT("[{"&amp;M1241&amp;","&amp;CEILING(N1241*10000+(O1241-N1241)/4*(COUNTIF($F$11:F1241,F1241)-1)*10000,10)&amp;"}]",7)="[{equip",MID("[{"&amp;M1241&amp;","&amp;CEILING(N1241*10000+(O1241-N1241)/4*(COUNTIF($F$11:F1241,F1241)-1)*10000,10)&amp;"}]",8,1)&lt;&gt;"_"),"[{"&amp;M1241&amp;","&amp;1&amp;"}]","[{"&amp;M1241&amp;","&amp;CEILING(N1241*10000+(O1241-N1241)/4*(COUNTIF($F$11:F1241,F1241)-1)*10000,10)&amp;"}]")</f>
        <v>[{equip5_rune_slot,1}]</v>
      </c>
      <c r="H1241" s="82" t="s">
        <v>563</v>
      </c>
      <c r="J1241" s="78">
        <f ca="1">IF(MOD(COUNTIF($Q$11:Q1240,Q1240),5)=0,OFFSET(装备属性!$P$1083,1+INT(COUNTA($Q$11:Q1240)/5),0),J1240)</f>
        <v>1</v>
      </c>
      <c r="K1241" s="83" t="str">
        <f ca="1">IF(RIGHT(G1241,13)="rune_slot,1}]",_xlfn.XLOOKUP(LEFT(SUBSTITUTE(G1241,"[{",""),FIND(",",SUBSTITUTE(G1241,"[{",""))-1),Sheet2!B:B,Sheet2!C:C)&amp;"+"&amp;1,_xlfn.XLOOKUP(LEFT(SUBSTITUTE(G1241,"[{",""),FIND(",",SUBSTITUTE(G1241,"[{",""))-1),Sheet2!B:B,Sheet2!C:C)&amp;"+"&amp;SUBSTITUTE(RIGHT(G1241,LEN(G1241)-FIND(",",G1241)),"}]","")/100&amp;"%")</f>
        <v>鞋子符文孔位+1</v>
      </c>
      <c r="L1241" s="83" t="str">
        <f ca="1">IF(MOD(COUNTIF($Q$11:Q1240,Q1240),5)=0,OFFSET(装备属性!$G$1083,1+INT(COUNTA($Q$11:Q1240)/5),0),L1240)</f>
        <v>扩符槽</v>
      </c>
      <c r="M1241" s="89" t="str">
        <f ca="1">IF(MOD(COUNTIF($Q$11:Q1240,Q1240),5)=0,OFFSET(装备属性!$H$1083,1+INT(COUNTA($Q$11:Q1240)/5),0),M1240)</f>
        <v>equip5_rune_slot</v>
      </c>
      <c r="N1241" s="76">
        <f ca="1">IF(MOD(COUNTIF($Q$11:Q1240,Q1240),5)=0,OFFSET(装备属性!$K$1083,1+INT(COUNTA($Q$11:Q1240)/5),0),N1240)</f>
        <v>1</v>
      </c>
      <c r="O1241" s="76">
        <f ca="1">IF(MOD(COUNTIF($Q$11:Q1240,Q1240),5)=0,OFFSET(装备属性!$L$1083,1+INT(COUNTA($Q$11:Q1240)/5),0),O1240)</f>
        <v>1</v>
      </c>
      <c r="Q1241" s="89" t="str">
        <f ca="1">IF(MOD(COUNTIF($Q$11:Q1240,Q1240),5)=0,OFFSET(装备属性!$M$1083,1+INT(COUNTA($Q$11:Q1240)/5),0),Q1240)</f>
        <v>稀有词条</v>
      </c>
      <c r="R1241" s="83" t="e">
        <f ca="1">IF(MOD(COUNTIF($Q$11:Q1240,Q1240),5)=0,10000*SUBSTITUTE(SUBSTITUTE(OFFSET(装备属性!$F$1083,1+INT(COUNTA($Q$11:Q1240)/5),0),"[",""),"]","")+_xlfn.XLOOKUP(C1241,$M$3:$M$7,$N$3:$N$7)*100,R1240)</f>
        <v>#N/A</v>
      </c>
    </row>
    <row r="1242" customHeight="1" spans="1:18">
      <c r="A1242" s="78" t="str">
        <f ca="1" t="shared" si="57"/>
        <v/>
      </c>
      <c r="B1242" s="82" t="str">
        <f ca="1">IFERROR(R1242+COUNTIFS($R$11:$R1242,R1242),"")</f>
        <v/>
      </c>
      <c r="C1242" s="83">
        <f ca="1">IF(MOD(COUNTIF($Q$11:Q1241,Q1241),5)=0,OFFSET(装备属性!$D$1083,1+INT(COUNTA($Q$11:Q1241)/5),0),C1241)</f>
        <v>0</v>
      </c>
      <c r="D1242" s="82">
        <f t="shared" si="59"/>
        <v>2500</v>
      </c>
      <c r="F1242" s="82" t="str">
        <f ca="1" t="shared" si="58"/>
        <v/>
      </c>
      <c r="G1242" s="78" t="str">
        <f ca="1">IF(AND(LEFT("[{"&amp;M1242&amp;","&amp;CEILING(N1242*10000+(O1242-N1242)/4*(COUNTIF($F$11:F1242,F1242)-1)*10000,10)&amp;"}]",7)="[{equip",MID("[{"&amp;M1242&amp;","&amp;CEILING(N1242*10000+(O1242-N1242)/4*(COUNTIF($F$11:F1242,F1242)-1)*10000,10)&amp;"}]",8,1)&lt;&gt;"_"),"[{"&amp;M1242&amp;","&amp;1&amp;"}]","[{"&amp;M1242&amp;","&amp;CEILING(N1242*10000+(O1242-N1242)/4*(COUNTIF($F$11:F1242,F1242)-1)*10000,10)&amp;"}]")</f>
        <v>[{equip5_rune_slot,1}]</v>
      </c>
      <c r="H1242" s="82" t="s">
        <v>563</v>
      </c>
      <c r="J1242" s="78">
        <f ca="1">IF(MOD(COUNTIF($Q$11:Q1241,Q1241),5)=0,OFFSET(装备属性!$P$1083,1+INT(COUNTA($Q$11:Q1241)/5),0),J1241)</f>
        <v>1</v>
      </c>
      <c r="K1242" s="83" t="str">
        <f ca="1">IF(RIGHT(G1242,13)="rune_slot,1}]",_xlfn.XLOOKUP(LEFT(SUBSTITUTE(G1242,"[{",""),FIND(",",SUBSTITUTE(G1242,"[{",""))-1),Sheet2!B:B,Sheet2!C:C)&amp;"+"&amp;1,_xlfn.XLOOKUP(LEFT(SUBSTITUTE(G1242,"[{",""),FIND(",",SUBSTITUTE(G1242,"[{",""))-1),Sheet2!B:B,Sheet2!C:C)&amp;"+"&amp;SUBSTITUTE(RIGHT(G1242,LEN(G1242)-FIND(",",G1242)),"}]","")/100&amp;"%")</f>
        <v>鞋子符文孔位+1</v>
      </c>
      <c r="L1242" s="83" t="str">
        <f ca="1">IF(MOD(COUNTIF($Q$11:Q1241,Q1241),5)=0,OFFSET(装备属性!$G$1083,1+INT(COUNTA($Q$11:Q1241)/5),0),L1241)</f>
        <v>扩符槽</v>
      </c>
      <c r="M1242" s="89" t="str">
        <f ca="1">IF(MOD(COUNTIF($Q$11:Q1241,Q1241),5)=0,OFFSET(装备属性!$H$1083,1+INT(COUNTA($Q$11:Q1241)/5),0),M1241)</f>
        <v>equip5_rune_slot</v>
      </c>
      <c r="N1242" s="76">
        <f ca="1">IF(MOD(COUNTIF($Q$11:Q1241,Q1241),5)=0,OFFSET(装备属性!$K$1083,1+INT(COUNTA($Q$11:Q1241)/5),0),N1241)</f>
        <v>1</v>
      </c>
      <c r="O1242" s="76">
        <f ca="1">IF(MOD(COUNTIF($Q$11:Q1241,Q1241),5)=0,OFFSET(装备属性!$L$1083,1+INT(COUNTA($Q$11:Q1241)/5),0),O1241)</f>
        <v>1</v>
      </c>
      <c r="Q1242" s="89" t="str">
        <f ca="1">IF(MOD(COUNTIF($Q$11:Q1241,Q1241),5)=0,OFFSET(装备属性!$M$1083,1+INT(COUNTA($Q$11:Q1241)/5),0),Q1241)</f>
        <v>稀有词条</v>
      </c>
      <c r="R1242" s="83" t="e">
        <f ca="1">IF(MOD(COUNTIF($Q$11:Q1241,Q1241),5)=0,10000*SUBSTITUTE(SUBSTITUTE(OFFSET(装备属性!$F$1083,1+INT(COUNTA($Q$11:Q1241)/5),0),"[",""),"]","")+_xlfn.XLOOKUP(C1242,$M$3:$M$7,$N$3:$N$7)*100,R1241)</f>
        <v>#N/A</v>
      </c>
    </row>
    <row r="1243" customHeight="1" spans="1:18">
      <c r="A1243" s="78" t="str">
        <f ca="1" t="shared" si="57"/>
        <v/>
      </c>
      <c r="B1243" s="82" t="str">
        <f ca="1">IFERROR(R1243+COUNTIFS($R$11:$R1243,R1243),"")</f>
        <v/>
      </c>
      <c r="C1243" s="83">
        <f ca="1">IF(MOD(COUNTIF($Q$11:Q1242,Q1242),5)=0,OFFSET(装备属性!$D$1083,1+INT(COUNTA($Q$11:Q1242)/5),0),C1242)</f>
        <v>0</v>
      </c>
      <c r="D1243" s="82">
        <f t="shared" si="59"/>
        <v>2000</v>
      </c>
      <c r="F1243" s="82" t="str">
        <f ca="1" t="shared" si="58"/>
        <v/>
      </c>
      <c r="G1243" s="78" t="str">
        <f ca="1">IF(AND(LEFT("[{"&amp;M1243&amp;","&amp;CEILING(N1243*10000+(O1243-N1243)/4*(COUNTIF($F$11:F1243,F1243)-1)*10000,10)&amp;"}]",7)="[{equip",MID("[{"&amp;M1243&amp;","&amp;CEILING(N1243*10000+(O1243-N1243)/4*(COUNTIF($F$11:F1243,F1243)-1)*10000,10)&amp;"}]",8,1)&lt;&gt;"_"),"[{"&amp;M1243&amp;","&amp;1&amp;"}]","[{"&amp;M1243&amp;","&amp;CEILING(N1243*10000+(O1243-N1243)/4*(COUNTIF($F$11:F1243,F1243)-1)*10000,10)&amp;"}]")</f>
        <v>[{equip5_rune_slot,1}]</v>
      </c>
      <c r="H1243" s="82" t="s">
        <v>563</v>
      </c>
      <c r="J1243" s="78">
        <f ca="1">IF(MOD(COUNTIF($Q$11:Q1242,Q1242),5)=0,OFFSET(装备属性!$P$1083,1+INT(COUNTA($Q$11:Q1242)/5),0),J1242)</f>
        <v>1</v>
      </c>
      <c r="K1243" s="83" t="str">
        <f ca="1">IF(RIGHT(G1243,13)="rune_slot,1}]",_xlfn.XLOOKUP(LEFT(SUBSTITUTE(G1243,"[{",""),FIND(",",SUBSTITUTE(G1243,"[{",""))-1),Sheet2!B:B,Sheet2!C:C)&amp;"+"&amp;1,_xlfn.XLOOKUP(LEFT(SUBSTITUTE(G1243,"[{",""),FIND(",",SUBSTITUTE(G1243,"[{",""))-1),Sheet2!B:B,Sheet2!C:C)&amp;"+"&amp;SUBSTITUTE(RIGHT(G1243,LEN(G1243)-FIND(",",G1243)),"}]","")/100&amp;"%")</f>
        <v>鞋子符文孔位+1</v>
      </c>
      <c r="L1243" s="83" t="str">
        <f ca="1">IF(MOD(COUNTIF($Q$11:Q1242,Q1242),5)=0,OFFSET(装备属性!$G$1083,1+INT(COUNTA($Q$11:Q1242)/5),0),L1242)</f>
        <v>扩符槽</v>
      </c>
      <c r="M1243" s="89" t="str">
        <f ca="1">IF(MOD(COUNTIF($Q$11:Q1242,Q1242),5)=0,OFFSET(装备属性!$H$1083,1+INT(COUNTA($Q$11:Q1242)/5),0),M1242)</f>
        <v>equip5_rune_slot</v>
      </c>
      <c r="N1243" s="76">
        <f ca="1">IF(MOD(COUNTIF($Q$11:Q1242,Q1242),5)=0,OFFSET(装备属性!$K$1083,1+INT(COUNTA($Q$11:Q1242)/5),0),N1242)</f>
        <v>1</v>
      </c>
      <c r="O1243" s="76">
        <f ca="1">IF(MOD(COUNTIF($Q$11:Q1242,Q1242),5)=0,OFFSET(装备属性!$L$1083,1+INT(COUNTA($Q$11:Q1242)/5),0),O1242)</f>
        <v>1</v>
      </c>
      <c r="Q1243" s="89" t="str">
        <f ca="1">IF(MOD(COUNTIF($Q$11:Q1242,Q1242),5)=0,OFFSET(装备属性!$M$1083,1+INT(COUNTA($Q$11:Q1242)/5),0),Q1242)</f>
        <v>稀有词条</v>
      </c>
      <c r="R1243" s="83" t="e">
        <f ca="1">IF(MOD(COUNTIF($Q$11:Q1242,Q1242),5)=0,10000*SUBSTITUTE(SUBSTITUTE(OFFSET(装备属性!$F$1083,1+INT(COUNTA($Q$11:Q1242)/5),0),"[",""),"]","")+_xlfn.XLOOKUP(C1243,$M$3:$M$7,$N$3:$N$7)*100,R1242)</f>
        <v>#N/A</v>
      </c>
    </row>
    <row r="1244" customHeight="1" spans="1:18">
      <c r="A1244" s="78" t="str">
        <f ca="1" t="shared" si="57"/>
        <v/>
      </c>
      <c r="B1244" s="82" t="str">
        <f ca="1">IFERROR(R1244+COUNTIFS($R$11:$R1244,R1244),"")</f>
        <v/>
      </c>
      <c r="C1244" s="83">
        <f ca="1">IF(MOD(COUNTIF($Q$11:Q1243,Q1243),5)=0,OFFSET(装备属性!$D$1083,1+INT(COUNTA($Q$11:Q1243)/5),0),C1243)</f>
        <v>0</v>
      </c>
      <c r="D1244" s="82">
        <f t="shared" si="59"/>
        <v>1500</v>
      </c>
      <c r="F1244" s="82" t="str">
        <f ca="1" t="shared" si="58"/>
        <v/>
      </c>
      <c r="G1244" s="78" t="str">
        <f ca="1">IF(AND(LEFT("[{"&amp;M1244&amp;","&amp;CEILING(N1244*10000+(O1244-N1244)/4*(COUNTIF($F$11:F1244,F1244)-1)*10000,10)&amp;"}]",7)="[{equip",MID("[{"&amp;M1244&amp;","&amp;CEILING(N1244*10000+(O1244-N1244)/4*(COUNTIF($F$11:F1244,F1244)-1)*10000,10)&amp;"}]",8,1)&lt;&gt;"_"),"[{"&amp;M1244&amp;","&amp;1&amp;"}]","[{"&amp;M1244&amp;","&amp;CEILING(N1244*10000+(O1244-N1244)/4*(COUNTIF($F$11:F1244,F1244)-1)*10000,10)&amp;"}]")</f>
        <v>[{equip5_rune_slot,1}]</v>
      </c>
      <c r="H1244" s="82" t="s">
        <v>563</v>
      </c>
      <c r="J1244" s="78">
        <f ca="1">IF(MOD(COUNTIF($Q$11:Q1243,Q1243),5)=0,OFFSET(装备属性!$P$1083,1+INT(COUNTA($Q$11:Q1243)/5),0),J1243)</f>
        <v>1</v>
      </c>
      <c r="K1244" s="83" t="str">
        <f ca="1">IF(RIGHT(G1244,13)="rune_slot,1}]",_xlfn.XLOOKUP(LEFT(SUBSTITUTE(G1244,"[{",""),FIND(",",SUBSTITUTE(G1244,"[{",""))-1),Sheet2!B:B,Sheet2!C:C)&amp;"+"&amp;1,_xlfn.XLOOKUP(LEFT(SUBSTITUTE(G1244,"[{",""),FIND(",",SUBSTITUTE(G1244,"[{",""))-1),Sheet2!B:B,Sheet2!C:C)&amp;"+"&amp;SUBSTITUTE(RIGHT(G1244,LEN(G1244)-FIND(",",G1244)),"}]","")/100&amp;"%")</f>
        <v>鞋子符文孔位+1</v>
      </c>
      <c r="L1244" s="83" t="str">
        <f ca="1">IF(MOD(COUNTIF($Q$11:Q1243,Q1243),5)=0,OFFSET(装备属性!$G$1083,1+INT(COUNTA($Q$11:Q1243)/5),0),L1243)</f>
        <v>扩符槽</v>
      </c>
      <c r="M1244" s="89" t="str">
        <f ca="1">IF(MOD(COUNTIF($Q$11:Q1243,Q1243),5)=0,OFFSET(装备属性!$H$1083,1+INT(COUNTA($Q$11:Q1243)/5),0),M1243)</f>
        <v>equip5_rune_slot</v>
      </c>
      <c r="N1244" s="76">
        <f ca="1">IF(MOD(COUNTIF($Q$11:Q1243,Q1243),5)=0,OFFSET(装备属性!$K$1083,1+INT(COUNTA($Q$11:Q1243)/5),0),N1243)</f>
        <v>1</v>
      </c>
      <c r="O1244" s="76">
        <f ca="1">IF(MOD(COUNTIF($Q$11:Q1243,Q1243),5)=0,OFFSET(装备属性!$L$1083,1+INT(COUNTA($Q$11:Q1243)/5),0),O1243)</f>
        <v>1</v>
      </c>
      <c r="Q1244" s="89" t="str">
        <f ca="1">IF(MOD(COUNTIF($Q$11:Q1243,Q1243),5)=0,OFFSET(装备属性!$M$1083,1+INT(COUNTA($Q$11:Q1243)/5),0),Q1243)</f>
        <v>稀有词条</v>
      </c>
      <c r="R1244" s="83" t="e">
        <f ca="1">IF(MOD(COUNTIF($Q$11:Q1243,Q1243),5)=0,10000*SUBSTITUTE(SUBSTITUTE(OFFSET(装备属性!$F$1083,1+INT(COUNTA($Q$11:Q1243)/5),0),"[",""),"]","")+_xlfn.XLOOKUP(C1244,$M$3:$M$7,$N$3:$N$7)*100,R1243)</f>
        <v>#N/A</v>
      </c>
    </row>
    <row r="1245" customHeight="1" spans="1:18">
      <c r="A1245" s="78" t="str">
        <f ca="1" t="shared" si="57"/>
        <v/>
      </c>
      <c r="B1245" s="82" t="str">
        <f ca="1">IFERROR(R1245+COUNTIFS($R$11:$R1245,R1245),"")</f>
        <v/>
      </c>
      <c r="C1245" s="83">
        <f ca="1">IF(MOD(COUNTIF($Q$11:Q1244,Q1244),5)=0,OFFSET(装备属性!$D$1083,1+INT(COUNTA($Q$11:Q1244)/5),0),C1244)</f>
        <v>0</v>
      </c>
      <c r="D1245" s="82">
        <f t="shared" si="59"/>
        <v>1000</v>
      </c>
      <c r="F1245" s="82" t="str">
        <f ca="1" t="shared" si="58"/>
        <v/>
      </c>
      <c r="G1245" s="78" t="str">
        <f ca="1">IF(AND(LEFT("[{"&amp;M1245&amp;","&amp;CEILING(N1245*10000+(O1245-N1245)/4*(COUNTIF($F$11:F1245,F1245)-1)*10000,10)&amp;"}]",7)="[{equip",MID("[{"&amp;M1245&amp;","&amp;CEILING(N1245*10000+(O1245-N1245)/4*(COUNTIF($F$11:F1245,F1245)-1)*10000,10)&amp;"}]",8,1)&lt;&gt;"_"),"[{"&amp;M1245&amp;","&amp;1&amp;"}]","[{"&amp;M1245&amp;","&amp;CEILING(N1245*10000+(O1245-N1245)/4*(COUNTIF($F$11:F1245,F1245)-1)*10000,10)&amp;"}]")</f>
        <v>[{equip5_rune_slot,1}]</v>
      </c>
      <c r="H1245" s="82" t="s">
        <v>563</v>
      </c>
      <c r="J1245" s="78">
        <f ca="1">IF(MOD(COUNTIF($Q$11:Q1244,Q1244),5)=0,OFFSET(装备属性!$P$1083,1+INT(COUNTA($Q$11:Q1244)/5),0),J1244)</f>
        <v>1</v>
      </c>
      <c r="K1245" s="83" t="str">
        <f ca="1">IF(RIGHT(G1245,13)="rune_slot,1}]",_xlfn.XLOOKUP(LEFT(SUBSTITUTE(G1245,"[{",""),FIND(",",SUBSTITUTE(G1245,"[{",""))-1),Sheet2!B:B,Sheet2!C:C)&amp;"+"&amp;1,_xlfn.XLOOKUP(LEFT(SUBSTITUTE(G1245,"[{",""),FIND(",",SUBSTITUTE(G1245,"[{",""))-1),Sheet2!B:B,Sheet2!C:C)&amp;"+"&amp;SUBSTITUTE(RIGHT(G1245,LEN(G1245)-FIND(",",G1245)),"}]","")/100&amp;"%")</f>
        <v>鞋子符文孔位+1</v>
      </c>
      <c r="L1245" s="83" t="str">
        <f ca="1">IF(MOD(COUNTIF($Q$11:Q1244,Q1244),5)=0,OFFSET(装备属性!$G$1083,1+INT(COUNTA($Q$11:Q1244)/5),0),L1244)</f>
        <v>扩符槽</v>
      </c>
      <c r="M1245" s="89" t="str">
        <f ca="1">IF(MOD(COUNTIF($Q$11:Q1244,Q1244),5)=0,OFFSET(装备属性!$H$1083,1+INT(COUNTA($Q$11:Q1244)/5),0),M1244)</f>
        <v>equip5_rune_slot</v>
      </c>
      <c r="N1245" s="76">
        <f ca="1">IF(MOD(COUNTIF($Q$11:Q1244,Q1244),5)=0,OFFSET(装备属性!$K$1083,1+INT(COUNTA($Q$11:Q1244)/5),0),N1244)</f>
        <v>1</v>
      </c>
      <c r="O1245" s="76">
        <f ca="1">IF(MOD(COUNTIF($Q$11:Q1244,Q1244),5)=0,OFFSET(装备属性!$L$1083,1+INT(COUNTA($Q$11:Q1244)/5),0),O1244)</f>
        <v>1</v>
      </c>
      <c r="Q1245" s="89" t="str">
        <f ca="1">IF(MOD(COUNTIF($Q$11:Q1244,Q1244),5)=0,OFFSET(装备属性!$M$1083,1+INT(COUNTA($Q$11:Q1244)/5),0),Q1244)</f>
        <v>稀有词条</v>
      </c>
      <c r="R1245" s="83" t="e">
        <f ca="1">IF(MOD(COUNTIF($Q$11:Q1244,Q1244),5)=0,10000*SUBSTITUTE(SUBSTITUTE(OFFSET(装备属性!$F$1083,1+INT(COUNTA($Q$11:Q1244)/5),0),"[",""),"]","")+_xlfn.XLOOKUP(C1245,$M$3:$M$7,$N$3:$N$7)*100,R1244)</f>
        <v>#N/A</v>
      </c>
    </row>
    <row r="1246" customHeight="1" spans="1:18">
      <c r="A1246" s="78" t="str">
        <f ca="1" t="shared" si="57"/>
        <v/>
      </c>
      <c r="B1246" s="82" t="str">
        <f ca="1">IFERROR(R1246+COUNTIFS($R$11:$R1246,R1246),"")</f>
        <v/>
      </c>
      <c r="C1246" s="83">
        <f ca="1">IF(MOD(COUNTIF($Q$11:Q1245,Q1245),5)=0,OFFSET(装备属性!$D$1083,1+INT(COUNTA($Q$11:Q1245)/5),0),C1245)</f>
        <v>0</v>
      </c>
      <c r="D1246" s="82">
        <f t="shared" si="59"/>
        <v>3000</v>
      </c>
      <c r="F1246" s="82" t="str">
        <f ca="1" t="shared" si="58"/>
        <v/>
      </c>
      <c r="G1246" s="78" t="str">
        <f ca="1">IF(AND(LEFT("[{"&amp;M1246&amp;","&amp;CEILING(N1246*10000+(O1246-N1246)/4*(COUNTIF($F$11:F1246,F1246)-1)*10000,10)&amp;"}]",7)="[{equip",MID("[{"&amp;M1246&amp;","&amp;CEILING(N1246*10000+(O1246-N1246)/4*(COUNTIF($F$11:F1246,F1246)-1)*10000,10)&amp;"}]",8,1)&lt;&gt;"_"),"[{"&amp;M1246&amp;","&amp;1&amp;"}]","[{"&amp;M1246&amp;","&amp;CEILING(N1246*10000+(O1246-N1246)/4*(COUNTIF($F$11:F1246,F1246)-1)*10000,10)&amp;"}]")</f>
        <v>[{elitist_monster_hit_rate,15620}]</v>
      </c>
      <c r="H1246" s="82" t="s">
        <v>563</v>
      </c>
      <c r="J1246" s="78">
        <f ca="1">IF(MOD(COUNTIF($Q$11:Q1245,Q1245),5)=0,OFFSET(装备属性!$P$1083,1+INT(COUNTA($Q$11:Q1245)/5),0),J1245)</f>
        <v>6</v>
      </c>
      <c r="K1246" s="83" t="str">
        <f ca="1">IF(RIGHT(G1246,13)="rune_slot,1}]",_xlfn.XLOOKUP(LEFT(SUBSTITUTE(G1246,"[{",""),FIND(",",SUBSTITUTE(G1246,"[{",""))-1),Sheet2!B:B,Sheet2!C:C)&amp;"+"&amp;1,_xlfn.XLOOKUP(LEFT(SUBSTITUTE(G1246,"[{",""),FIND(",",SUBSTITUTE(G1246,"[{",""))-1),Sheet2!B:B,Sheet2!C:C)&amp;"+"&amp;SUBSTITUTE(RIGHT(G1246,LEN(G1246)-FIND(",",G1246)),"}]","")/100&amp;"%")</f>
        <v>对精英增伤+156.2%</v>
      </c>
      <c r="L1246" s="83" t="str">
        <f ca="1">IF(MOD(COUNTIF($Q$11:Q1245,Q1245),5)=0,OFFSET(装备属性!$G$1083,1+INT(COUNTA($Q$11:Q1245)/5),0),L1245)</f>
        <v>Boss加餐Ⅰ</v>
      </c>
      <c r="M1246" s="89" t="str">
        <f ca="1">IF(MOD(COUNTIF($Q$11:Q1245,Q1245),5)=0,OFFSET(装备属性!$H$1083,1+INT(COUNTA($Q$11:Q1245)/5),0),M1245)</f>
        <v>elitist_monster_hit_rate</v>
      </c>
      <c r="N1246" s="76">
        <f ca="1">IF(MOD(COUNTIF($Q$11:Q1245,Q1245),5)=0,OFFSET(装备属性!$K$1083,1+INT(COUNTA($Q$11:Q1245)/5),0),N1245)</f>
        <v>0.062</v>
      </c>
      <c r="O1246" s="76">
        <f ca="1">IF(MOD(COUNTIF($Q$11:Q1245,Q1245),5)=0,OFFSET(装备属性!$L$1083,1+INT(COUNTA($Q$11:Q1245)/5),0),O1245)</f>
        <v>0.074</v>
      </c>
      <c r="Q1246" s="89" t="str">
        <f ca="1">IF(MOD(COUNTIF($Q$11:Q1245,Q1245),5)=0,OFFSET(装备属性!$M$1083,1+INT(COUNTA($Q$11:Q1245)/5),0),Q1245)</f>
        <v>玩法类</v>
      </c>
      <c r="R1246" s="83" t="e">
        <f ca="1">IF(MOD(COUNTIF($Q$11:Q1245,Q1245),5)=0,10000*SUBSTITUTE(SUBSTITUTE(OFFSET(装备属性!$F$1083,1+INT(COUNTA($Q$11:Q1245)/5),0),"[",""),"]","")+_xlfn.XLOOKUP(C1246,$M$3:$M$7,$N$3:$N$7)*100,R1245)</f>
        <v>#N/A</v>
      </c>
    </row>
    <row r="1247" customHeight="1" spans="1:18">
      <c r="A1247" s="78" t="str">
        <f ca="1" t="shared" si="57"/>
        <v/>
      </c>
      <c r="B1247" s="82" t="str">
        <f ca="1">IFERROR(R1247+COUNTIFS($R$11:$R1247,R1247),"")</f>
        <v/>
      </c>
      <c r="C1247" s="83">
        <f ca="1">IF(MOD(COUNTIF($Q$11:Q1246,Q1246),5)=0,OFFSET(装备属性!$D$1083,1+INT(COUNTA($Q$11:Q1246)/5),0),C1246)</f>
        <v>0</v>
      </c>
      <c r="D1247" s="82">
        <f t="shared" si="59"/>
        <v>2500</v>
      </c>
      <c r="F1247" s="82" t="str">
        <f ca="1" t="shared" si="58"/>
        <v/>
      </c>
      <c r="G1247" s="78" t="str">
        <f ca="1">IF(AND(LEFT("[{"&amp;M1247&amp;","&amp;CEILING(N1247*10000+(O1247-N1247)/4*(COUNTIF($F$11:F1247,F1247)-1)*10000,10)&amp;"}]",7)="[{equip",MID("[{"&amp;M1247&amp;","&amp;CEILING(N1247*10000+(O1247-N1247)/4*(COUNTIF($F$11:F1247,F1247)-1)*10000,10)&amp;"}]",8,1)&lt;&gt;"_"),"[{"&amp;M1247&amp;","&amp;1&amp;"}]","[{"&amp;M1247&amp;","&amp;CEILING(N1247*10000+(O1247-N1247)/4*(COUNTIF($F$11:F1247,F1247)-1)*10000,10)&amp;"}]")</f>
        <v>[{elitist_monster_hit_rate,15650}]</v>
      </c>
      <c r="H1247" s="82" t="s">
        <v>563</v>
      </c>
      <c r="J1247" s="78">
        <f ca="1">IF(MOD(COUNTIF($Q$11:Q1246,Q1246),5)=0,OFFSET(装备属性!$P$1083,1+INT(COUNTA($Q$11:Q1246)/5),0),J1246)</f>
        <v>6</v>
      </c>
      <c r="K1247" s="83" t="str">
        <f ca="1">IF(RIGHT(G1247,13)="rune_slot,1}]",_xlfn.XLOOKUP(LEFT(SUBSTITUTE(G1247,"[{",""),FIND(",",SUBSTITUTE(G1247,"[{",""))-1),Sheet2!B:B,Sheet2!C:C)&amp;"+"&amp;1,_xlfn.XLOOKUP(LEFT(SUBSTITUTE(G1247,"[{",""),FIND(",",SUBSTITUTE(G1247,"[{",""))-1),Sheet2!B:B,Sheet2!C:C)&amp;"+"&amp;SUBSTITUTE(RIGHT(G1247,LEN(G1247)-FIND(",",G1247)),"}]","")/100&amp;"%")</f>
        <v>对精英增伤+156.5%</v>
      </c>
      <c r="L1247" s="83" t="str">
        <f ca="1">IF(MOD(COUNTIF($Q$11:Q1246,Q1246),5)=0,OFFSET(装备属性!$G$1083,1+INT(COUNTA($Q$11:Q1246)/5),0),L1246)</f>
        <v>Boss加餐Ⅰ</v>
      </c>
      <c r="M1247" s="89" t="str">
        <f ca="1">IF(MOD(COUNTIF($Q$11:Q1246,Q1246),5)=0,OFFSET(装备属性!$H$1083,1+INT(COUNTA($Q$11:Q1246)/5),0),M1246)</f>
        <v>elitist_monster_hit_rate</v>
      </c>
      <c r="N1247" s="76">
        <f ca="1">IF(MOD(COUNTIF($Q$11:Q1246,Q1246),5)=0,OFFSET(装备属性!$K$1083,1+INT(COUNTA($Q$11:Q1246)/5),0),N1246)</f>
        <v>0.062</v>
      </c>
      <c r="O1247" s="76">
        <f ca="1">IF(MOD(COUNTIF($Q$11:Q1246,Q1246),5)=0,OFFSET(装备属性!$L$1083,1+INT(COUNTA($Q$11:Q1246)/5),0),O1246)</f>
        <v>0.074</v>
      </c>
      <c r="Q1247" s="89" t="str">
        <f ca="1">IF(MOD(COUNTIF($Q$11:Q1246,Q1246),5)=0,OFFSET(装备属性!$M$1083,1+INT(COUNTA($Q$11:Q1246)/5),0),Q1246)</f>
        <v>玩法类</v>
      </c>
      <c r="R1247" s="83" t="e">
        <f ca="1">IF(MOD(COUNTIF($Q$11:Q1246,Q1246),5)=0,10000*SUBSTITUTE(SUBSTITUTE(OFFSET(装备属性!$F$1083,1+INT(COUNTA($Q$11:Q1246)/5),0),"[",""),"]","")+_xlfn.XLOOKUP(C1247,$M$3:$M$7,$N$3:$N$7)*100,R1246)</f>
        <v>#N/A</v>
      </c>
    </row>
    <row r="1248" customHeight="1" spans="1:18">
      <c r="A1248" s="78" t="str">
        <f ca="1" t="shared" si="57"/>
        <v/>
      </c>
      <c r="B1248" s="82" t="str">
        <f ca="1">IFERROR(R1248+COUNTIFS($R$11:$R1248,R1248),"")</f>
        <v/>
      </c>
      <c r="C1248" s="83">
        <f ca="1">IF(MOD(COUNTIF($Q$11:Q1247,Q1247),5)=0,OFFSET(装备属性!$D$1083,1+INT(COUNTA($Q$11:Q1247)/5),0),C1247)</f>
        <v>0</v>
      </c>
      <c r="D1248" s="82">
        <f t="shared" si="59"/>
        <v>2000</v>
      </c>
      <c r="F1248" s="82" t="str">
        <f ca="1" t="shared" si="58"/>
        <v/>
      </c>
      <c r="G1248" s="78" t="str">
        <f ca="1">IF(AND(LEFT("[{"&amp;M1248&amp;","&amp;CEILING(N1248*10000+(O1248-N1248)/4*(COUNTIF($F$11:F1248,F1248)-1)*10000,10)&amp;"}]",7)="[{equip",MID("[{"&amp;M1248&amp;","&amp;CEILING(N1248*10000+(O1248-N1248)/4*(COUNTIF($F$11:F1248,F1248)-1)*10000,10)&amp;"}]",8,1)&lt;&gt;"_"),"[{"&amp;M1248&amp;","&amp;1&amp;"}]","[{"&amp;M1248&amp;","&amp;CEILING(N1248*10000+(O1248-N1248)/4*(COUNTIF($F$11:F1248,F1248)-1)*10000,10)&amp;"}]")</f>
        <v>[{elitist_monster_hit_rate,15680}]</v>
      </c>
      <c r="H1248" s="82" t="s">
        <v>563</v>
      </c>
      <c r="J1248" s="78">
        <f ca="1">IF(MOD(COUNTIF($Q$11:Q1247,Q1247),5)=0,OFFSET(装备属性!$P$1083,1+INT(COUNTA($Q$11:Q1247)/5),0),J1247)</f>
        <v>6</v>
      </c>
      <c r="K1248" s="83" t="str">
        <f ca="1">IF(RIGHT(G1248,13)="rune_slot,1}]",_xlfn.XLOOKUP(LEFT(SUBSTITUTE(G1248,"[{",""),FIND(",",SUBSTITUTE(G1248,"[{",""))-1),Sheet2!B:B,Sheet2!C:C)&amp;"+"&amp;1,_xlfn.XLOOKUP(LEFT(SUBSTITUTE(G1248,"[{",""),FIND(",",SUBSTITUTE(G1248,"[{",""))-1),Sheet2!B:B,Sheet2!C:C)&amp;"+"&amp;SUBSTITUTE(RIGHT(G1248,LEN(G1248)-FIND(",",G1248)),"}]","")/100&amp;"%")</f>
        <v>对精英增伤+156.8%</v>
      </c>
      <c r="L1248" s="83" t="str">
        <f ca="1">IF(MOD(COUNTIF($Q$11:Q1247,Q1247),5)=0,OFFSET(装备属性!$G$1083,1+INT(COUNTA($Q$11:Q1247)/5),0),L1247)</f>
        <v>Boss加餐Ⅰ</v>
      </c>
      <c r="M1248" s="89" t="str">
        <f ca="1">IF(MOD(COUNTIF($Q$11:Q1247,Q1247),5)=0,OFFSET(装备属性!$H$1083,1+INT(COUNTA($Q$11:Q1247)/5),0),M1247)</f>
        <v>elitist_monster_hit_rate</v>
      </c>
      <c r="N1248" s="76">
        <f ca="1">IF(MOD(COUNTIF($Q$11:Q1247,Q1247),5)=0,OFFSET(装备属性!$K$1083,1+INT(COUNTA($Q$11:Q1247)/5),0),N1247)</f>
        <v>0.062</v>
      </c>
      <c r="O1248" s="76">
        <f ca="1">IF(MOD(COUNTIF($Q$11:Q1247,Q1247),5)=0,OFFSET(装备属性!$L$1083,1+INT(COUNTA($Q$11:Q1247)/5),0),O1247)</f>
        <v>0.074</v>
      </c>
      <c r="Q1248" s="89" t="str">
        <f ca="1">IF(MOD(COUNTIF($Q$11:Q1247,Q1247),5)=0,OFFSET(装备属性!$M$1083,1+INT(COUNTA($Q$11:Q1247)/5),0),Q1247)</f>
        <v>玩法类</v>
      </c>
      <c r="R1248" s="83" t="e">
        <f ca="1">IF(MOD(COUNTIF($Q$11:Q1247,Q1247),5)=0,10000*SUBSTITUTE(SUBSTITUTE(OFFSET(装备属性!$F$1083,1+INT(COUNTA($Q$11:Q1247)/5),0),"[",""),"]","")+_xlfn.XLOOKUP(C1248,$M$3:$M$7,$N$3:$N$7)*100,R1247)</f>
        <v>#N/A</v>
      </c>
    </row>
    <row r="1249" customHeight="1" spans="1:18">
      <c r="A1249" s="78" t="str">
        <f ca="1" t="shared" si="57"/>
        <v/>
      </c>
      <c r="B1249" s="82" t="str">
        <f ca="1">IFERROR(R1249+COUNTIFS($R$11:$R1249,R1249),"")</f>
        <v/>
      </c>
      <c r="C1249" s="83">
        <f ca="1">IF(MOD(COUNTIF($Q$11:Q1248,Q1248),5)=0,OFFSET(装备属性!$D$1083,1+INT(COUNTA($Q$11:Q1248)/5),0),C1248)</f>
        <v>0</v>
      </c>
      <c r="D1249" s="82">
        <f t="shared" si="59"/>
        <v>1500</v>
      </c>
      <c r="F1249" s="82" t="str">
        <f ca="1" t="shared" si="58"/>
        <v/>
      </c>
      <c r="G1249" s="78" t="str">
        <f ca="1">IF(AND(LEFT("[{"&amp;M1249&amp;","&amp;CEILING(N1249*10000+(O1249-N1249)/4*(COUNTIF($F$11:F1249,F1249)-1)*10000,10)&amp;"}]",7)="[{equip",MID("[{"&amp;M1249&amp;","&amp;CEILING(N1249*10000+(O1249-N1249)/4*(COUNTIF($F$11:F1249,F1249)-1)*10000,10)&amp;"}]",8,1)&lt;&gt;"_"),"[{"&amp;M1249&amp;","&amp;1&amp;"}]","[{"&amp;M1249&amp;","&amp;CEILING(N1249*10000+(O1249-N1249)/4*(COUNTIF($F$11:F1249,F1249)-1)*10000,10)&amp;"}]")</f>
        <v>[{elitist_monster_hit_rate,15710}]</v>
      </c>
      <c r="H1249" s="82" t="s">
        <v>563</v>
      </c>
      <c r="J1249" s="78">
        <f ca="1">IF(MOD(COUNTIF($Q$11:Q1248,Q1248),5)=0,OFFSET(装备属性!$P$1083,1+INT(COUNTA($Q$11:Q1248)/5),0),J1248)</f>
        <v>6</v>
      </c>
      <c r="K1249" s="83" t="str">
        <f ca="1">IF(RIGHT(G1249,13)="rune_slot,1}]",_xlfn.XLOOKUP(LEFT(SUBSTITUTE(G1249,"[{",""),FIND(",",SUBSTITUTE(G1249,"[{",""))-1),Sheet2!B:B,Sheet2!C:C)&amp;"+"&amp;1,_xlfn.XLOOKUP(LEFT(SUBSTITUTE(G1249,"[{",""),FIND(",",SUBSTITUTE(G1249,"[{",""))-1),Sheet2!B:B,Sheet2!C:C)&amp;"+"&amp;SUBSTITUTE(RIGHT(G1249,LEN(G1249)-FIND(",",G1249)),"}]","")/100&amp;"%")</f>
        <v>对精英增伤+157.1%</v>
      </c>
      <c r="L1249" s="83" t="str">
        <f ca="1">IF(MOD(COUNTIF($Q$11:Q1248,Q1248),5)=0,OFFSET(装备属性!$G$1083,1+INT(COUNTA($Q$11:Q1248)/5),0),L1248)</f>
        <v>Boss加餐Ⅰ</v>
      </c>
      <c r="M1249" s="89" t="str">
        <f ca="1">IF(MOD(COUNTIF($Q$11:Q1248,Q1248),5)=0,OFFSET(装备属性!$H$1083,1+INT(COUNTA($Q$11:Q1248)/5),0),M1248)</f>
        <v>elitist_monster_hit_rate</v>
      </c>
      <c r="N1249" s="76">
        <f ca="1">IF(MOD(COUNTIF($Q$11:Q1248,Q1248),5)=0,OFFSET(装备属性!$K$1083,1+INT(COUNTA($Q$11:Q1248)/5),0),N1248)</f>
        <v>0.062</v>
      </c>
      <c r="O1249" s="76">
        <f ca="1">IF(MOD(COUNTIF($Q$11:Q1248,Q1248),5)=0,OFFSET(装备属性!$L$1083,1+INT(COUNTA($Q$11:Q1248)/5),0),O1248)</f>
        <v>0.074</v>
      </c>
      <c r="Q1249" s="89" t="str">
        <f ca="1">IF(MOD(COUNTIF($Q$11:Q1248,Q1248),5)=0,OFFSET(装备属性!$M$1083,1+INT(COUNTA($Q$11:Q1248)/5),0),Q1248)</f>
        <v>玩法类</v>
      </c>
      <c r="R1249" s="83" t="e">
        <f ca="1">IF(MOD(COUNTIF($Q$11:Q1248,Q1248),5)=0,10000*SUBSTITUTE(SUBSTITUTE(OFFSET(装备属性!$F$1083,1+INT(COUNTA($Q$11:Q1248)/5),0),"[",""),"]","")+_xlfn.XLOOKUP(C1249,$M$3:$M$7,$N$3:$N$7)*100,R1248)</f>
        <v>#N/A</v>
      </c>
    </row>
    <row r="1250" customHeight="1" spans="1:18">
      <c r="A1250" s="78" t="str">
        <f ca="1" t="shared" si="57"/>
        <v/>
      </c>
      <c r="B1250" s="82" t="str">
        <f ca="1">IFERROR(R1250+COUNTIFS($R$11:$R1250,R1250),"")</f>
        <v/>
      </c>
      <c r="C1250" s="83">
        <f ca="1">IF(MOD(COUNTIF($Q$11:Q1249,Q1249),5)=0,OFFSET(装备属性!$D$1083,1+INT(COUNTA($Q$11:Q1249)/5),0),C1249)</f>
        <v>0</v>
      </c>
      <c r="D1250" s="82">
        <f t="shared" si="59"/>
        <v>1000</v>
      </c>
      <c r="F1250" s="82" t="str">
        <f ca="1" t="shared" si="58"/>
        <v/>
      </c>
      <c r="G1250" s="78" t="str">
        <f ca="1">IF(AND(LEFT("[{"&amp;M1250&amp;","&amp;CEILING(N1250*10000+(O1250-N1250)/4*(COUNTIF($F$11:F1250,F1250)-1)*10000,10)&amp;"}]",7)="[{equip",MID("[{"&amp;M1250&amp;","&amp;CEILING(N1250*10000+(O1250-N1250)/4*(COUNTIF($F$11:F1250,F1250)-1)*10000,10)&amp;"}]",8,1)&lt;&gt;"_"),"[{"&amp;M1250&amp;","&amp;1&amp;"}]","[{"&amp;M1250&amp;","&amp;CEILING(N1250*10000+(O1250-N1250)/4*(COUNTIF($F$11:F1250,F1250)-1)*10000,10)&amp;"}]")</f>
        <v>[{elitist_monster_hit_rate,15740}]</v>
      </c>
      <c r="H1250" s="82" t="s">
        <v>563</v>
      </c>
      <c r="J1250" s="78">
        <f ca="1">IF(MOD(COUNTIF($Q$11:Q1249,Q1249),5)=0,OFFSET(装备属性!$P$1083,1+INT(COUNTA($Q$11:Q1249)/5),0),J1249)</f>
        <v>6</v>
      </c>
      <c r="K1250" s="83" t="str">
        <f ca="1">IF(RIGHT(G1250,13)="rune_slot,1}]",_xlfn.XLOOKUP(LEFT(SUBSTITUTE(G1250,"[{",""),FIND(",",SUBSTITUTE(G1250,"[{",""))-1),Sheet2!B:B,Sheet2!C:C)&amp;"+"&amp;1,_xlfn.XLOOKUP(LEFT(SUBSTITUTE(G1250,"[{",""),FIND(",",SUBSTITUTE(G1250,"[{",""))-1),Sheet2!B:B,Sheet2!C:C)&amp;"+"&amp;SUBSTITUTE(RIGHT(G1250,LEN(G1250)-FIND(",",G1250)),"}]","")/100&amp;"%")</f>
        <v>对精英增伤+157.4%</v>
      </c>
      <c r="L1250" s="83" t="str">
        <f ca="1">IF(MOD(COUNTIF($Q$11:Q1249,Q1249),5)=0,OFFSET(装备属性!$G$1083,1+INT(COUNTA($Q$11:Q1249)/5),0),L1249)</f>
        <v>Boss加餐Ⅰ</v>
      </c>
      <c r="M1250" s="89" t="str">
        <f ca="1">IF(MOD(COUNTIF($Q$11:Q1249,Q1249),5)=0,OFFSET(装备属性!$H$1083,1+INT(COUNTA($Q$11:Q1249)/5),0),M1249)</f>
        <v>elitist_monster_hit_rate</v>
      </c>
      <c r="N1250" s="76">
        <f ca="1">IF(MOD(COUNTIF($Q$11:Q1249,Q1249),5)=0,OFFSET(装备属性!$K$1083,1+INT(COUNTA($Q$11:Q1249)/5),0),N1249)</f>
        <v>0.062</v>
      </c>
      <c r="O1250" s="76">
        <f ca="1">IF(MOD(COUNTIF($Q$11:Q1249,Q1249),5)=0,OFFSET(装备属性!$L$1083,1+INT(COUNTA($Q$11:Q1249)/5),0),O1249)</f>
        <v>0.074</v>
      </c>
      <c r="Q1250" s="89" t="str">
        <f ca="1">IF(MOD(COUNTIF($Q$11:Q1249,Q1249),5)=0,OFFSET(装备属性!$M$1083,1+INT(COUNTA($Q$11:Q1249)/5),0),Q1249)</f>
        <v>玩法类</v>
      </c>
      <c r="R1250" s="83" t="e">
        <f ca="1">IF(MOD(COUNTIF($Q$11:Q1249,Q1249),5)=0,10000*SUBSTITUTE(SUBSTITUTE(OFFSET(装备属性!$F$1083,1+INT(COUNTA($Q$11:Q1249)/5),0),"[",""),"]","")+_xlfn.XLOOKUP(C1250,$M$3:$M$7,$N$3:$N$7)*100,R1249)</f>
        <v>#N/A</v>
      </c>
    </row>
    <row r="1251" customHeight="1" spans="1:18">
      <c r="A1251" s="78">
        <f ca="1" t="shared" si="57"/>
        <v>50401</v>
      </c>
      <c r="B1251" s="82">
        <f ca="1">IFERROR(R1251+COUNTIFS($R$11:$R1251,R1251),"")</f>
        <v>50411</v>
      </c>
      <c r="C1251" s="83" t="str">
        <f ca="1">IF(MOD(COUNTIF($Q$11:Q1250,Q1250),5)=0,OFFSET(装备属性!$D$1083,1+INT(COUNTA($Q$11:Q1250)/5),0),C1250)</f>
        <v>紫</v>
      </c>
      <c r="D1251" s="82">
        <f t="shared" si="59"/>
        <v>3000</v>
      </c>
      <c r="F1251" s="82">
        <f ca="1" t="shared" si="58"/>
        <v>50402</v>
      </c>
      <c r="G1251" s="78" t="str">
        <f ca="1">IF(AND(LEFT("[{"&amp;M1251&amp;","&amp;CEILING(N1251*10000+(O1251-N1251)/4*(COUNTIF($F$11:F1251,F1251)-1)*10000,10)&amp;"}]",7)="[{equip",MID("[{"&amp;M1251&amp;","&amp;CEILING(N1251*10000+(O1251-N1251)/4*(COUNTIF($F$11:F1251,F1251)-1)*10000,10)&amp;"}]",8,1)&lt;&gt;"_"),"[{"&amp;M1251&amp;","&amp;1&amp;"}]","[{"&amp;M1251&amp;","&amp;CEILING(N1251*10000+(O1251-N1251)/4*(COUNTIF($F$11:F1251,F1251)-1)*10000,10)&amp;"}]")</f>
        <v>[{control_dmg_rate,440}]</v>
      </c>
      <c r="H1251" s="82" t="s">
        <v>563</v>
      </c>
      <c r="J1251" s="78">
        <f ca="1">IF(MOD(COUNTIF($Q$11:Q1250,Q1250),5)=0,OFFSET(装备属性!$P$1083,1+INT(COUNTA($Q$11:Q1250)/5),0),J1250)</f>
        <v>5</v>
      </c>
      <c r="K1251" s="83" t="str">
        <f ca="1">IF(RIGHT(G1251,13)="rune_slot,1}]",_xlfn.XLOOKUP(LEFT(SUBSTITUTE(G1251,"[{",""),FIND(",",SUBSTITUTE(G1251,"[{",""))-1),Sheet2!B:B,Sheet2!C:C)&amp;"+"&amp;1,_xlfn.XLOOKUP(LEFT(SUBSTITUTE(G1251,"[{",""),FIND(",",SUBSTITUTE(G1251,"[{",""))-1),Sheet2!B:B,Sheet2!C:C)&amp;"+"&amp;SUBSTITUTE(RIGHT(G1251,LEN(G1251)-FIND(",",G1251)),"}]","")/100&amp;"%")</f>
        <v>控制伤害+4.4%</v>
      </c>
      <c r="L1251" s="83" t="str">
        <f ca="1">IF(MOD(COUNTIF($Q$11:Q1250,Q1250),5)=0,OFFSET(装备属性!$G$1083,1+INT(COUNTA($Q$11:Q1250)/5),0),L1250)</f>
        <v>控场添力Ⅰ</v>
      </c>
      <c r="M1251" s="89" t="str">
        <f ca="1">IF(MOD(COUNTIF($Q$11:Q1250,Q1250),5)=0,OFFSET(装备属性!$H$1083,1+INT(COUNTA($Q$11:Q1250)/5),0),M1250)</f>
        <v>control_dmg_rate</v>
      </c>
      <c r="N1251" s="76">
        <f ca="1">IF(MOD(COUNTIF($Q$11:Q1250,Q1250),5)=0,OFFSET(装备属性!$K$1083,1+INT(COUNTA($Q$11:Q1250)/5),0),N1250)</f>
        <v>0.044</v>
      </c>
      <c r="O1251" s="76">
        <f ca="1">IF(MOD(COUNTIF($Q$11:Q1250,Q1250),5)=0,OFFSET(装备属性!$L$1083,1+INT(COUNTA($Q$11:Q1250)/5),0),O1250)</f>
        <v>0.058</v>
      </c>
      <c r="Q1251" s="89" t="str">
        <f ca="1">IF(MOD(COUNTIF($Q$11:Q1250,Q1250),5)=0,OFFSET(装备属性!$M$1083,1+INT(COUNTA($Q$11:Q1250)/5),0),Q1250)</f>
        <v>通用属性</v>
      </c>
      <c r="R1251" s="83">
        <f ca="1">IF(MOD(COUNTIF($Q$11:Q1250,Q1250),5)=0,10000*SUBSTITUTE(SUBSTITUTE(OFFSET(装备属性!$F$1083,1+INT(COUNTA($Q$11:Q1250)/5),0),"[",""),"]","")+_xlfn.XLOOKUP(C1251,$M$3:$M$7,$N$3:$N$7)*100,R1250)</f>
        <v>50400</v>
      </c>
    </row>
    <row r="1252" customHeight="1" spans="1:18">
      <c r="A1252" s="78">
        <f ca="1" t="shared" si="57"/>
        <v>50401</v>
      </c>
      <c r="B1252" s="82">
        <f ca="1">IFERROR(R1252+COUNTIFS($R$11:$R1252,R1252),"")</f>
        <v>50412</v>
      </c>
      <c r="C1252" s="83" t="str">
        <f ca="1">IF(MOD(COUNTIF($Q$11:Q1251,Q1251),5)=0,OFFSET(装备属性!$D$1083,1+INT(COUNTA($Q$11:Q1251)/5),0),C1251)</f>
        <v>紫</v>
      </c>
      <c r="D1252" s="82">
        <f t="shared" si="59"/>
        <v>2500</v>
      </c>
      <c r="F1252" s="82">
        <f ca="1" t="shared" si="58"/>
        <v>50402</v>
      </c>
      <c r="G1252" s="78" t="str">
        <f ca="1">IF(AND(LEFT("[{"&amp;M1252&amp;","&amp;CEILING(N1252*10000+(O1252-N1252)/4*(COUNTIF($F$11:F1252,F1252)-1)*10000,10)&amp;"}]",7)="[{equip",MID("[{"&amp;M1252&amp;","&amp;CEILING(N1252*10000+(O1252-N1252)/4*(COUNTIF($F$11:F1252,F1252)-1)*10000,10)&amp;"}]",8,1)&lt;&gt;"_"),"[{"&amp;M1252&amp;","&amp;1&amp;"}]","[{"&amp;M1252&amp;","&amp;CEILING(N1252*10000+(O1252-N1252)/4*(COUNTIF($F$11:F1252,F1252)-1)*10000,10)&amp;"}]")</f>
        <v>[{control_dmg_rate,480}]</v>
      </c>
      <c r="H1252" s="82" t="s">
        <v>563</v>
      </c>
      <c r="J1252" s="78">
        <f ca="1">IF(MOD(COUNTIF($Q$11:Q1251,Q1251),5)=0,OFFSET(装备属性!$P$1083,1+INT(COUNTA($Q$11:Q1251)/5),0),J1251)</f>
        <v>5</v>
      </c>
      <c r="K1252" s="83" t="str">
        <f ca="1">IF(RIGHT(G1252,13)="rune_slot,1}]",_xlfn.XLOOKUP(LEFT(SUBSTITUTE(G1252,"[{",""),FIND(",",SUBSTITUTE(G1252,"[{",""))-1),Sheet2!B:B,Sheet2!C:C)&amp;"+"&amp;1,_xlfn.XLOOKUP(LEFT(SUBSTITUTE(G1252,"[{",""),FIND(",",SUBSTITUTE(G1252,"[{",""))-1),Sheet2!B:B,Sheet2!C:C)&amp;"+"&amp;SUBSTITUTE(RIGHT(G1252,LEN(G1252)-FIND(",",G1252)),"}]","")/100&amp;"%")</f>
        <v>控制伤害+4.8%</v>
      </c>
      <c r="L1252" s="83" t="str">
        <f ca="1">IF(MOD(COUNTIF($Q$11:Q1251,Q1251),5)=0,OFFSET(装备属性!$G$1083,1+INT(COUNTA($Q$11:Q1251)/5),0),L1251)</f>
        <v>控场添力Ⅰ</v>
      </c>
      <c r="M1252" s="89" t="str">
        <f ca="1">IF(MOD(COUNTIF($Q$11:Q1251,Q1251),5)=0,OFFSET(装备属性!$H$1083,1+INT(COUNTA($Q$11:Q1251)/5),0),M1251)</f>
        <v>control_dmg_rate</v>
      </c>
      <c r="N1252" s="76">
        <f ca="1">IF(MOD(COUNTIF($Q$11:Q1251,Q1251),5)=0,OFFSET(装备属性!$K$1083,1+INT(COUNTA($Q$11:Q1251)/5),0),N1251)</f>
        <v>0.044</v>
      </c>
      <c r="O1252" s="76">
        <f ca="1">IF(MOD(COUNTIF($Q$11:Q1251,Q1251),5)=0,OFFSET(装备属性!$L$1083,1+INT(COUNTA($Q$11:Q1251)/5),0),O1251)</f>
        <v>0.058</v>
      </c>
      <c r="Q1252" s="89" t="str">
        <f ca="1">IF(MOD(COUNTIF($Q$11:Q1251,Q1251),5)=0,OFFSET(装备属性!$M$1083,1+INT(COUNTA($Q$11:Q1251)/5),0),Q1251)</f>
        <v>通用属性</v>
      </c>
      <c r="R1252" s="83">
        <f ca="1">IF(MOD(COUNTIF($Q$11:Q1251,Q1251),5)=0,10000*SUBSTITUTE(SUBSTITUTE(OFFSET(装备属性!$F$1083,1+INT(COUNTA($Q$11:Q1251)/5),0),"[",""),"]","")+_xlfn.XLOOKUP(C1252,$M$3:$M$7,$N$3:$N$7)*100,R1251)</f>
        <v>50400</v>
      </c>
    </row>
    <row r="1253" customHeight="1" spans="1:18">
      <c r="A1253" s="78">
        <f ca="1" t="shared" si="57"/>
        <v>50401</v>
      </c>
      <c r="B1253" s="82">
        <f ca="1">IFERROR(R1253+COUNTIFS($R$11:$R1253,R1253),"")</f>
        <v>50413</v>
      </c>
      <c r="C1253" s="83" t="str">
        <f ca="1">IF(MOD(COUNTIF($Q$11:Q1252,Q1252),5)=0,OFFSET(装备属性!$D$1083,1+INT(COUNTA($Q$11:Q1252)/5),0),C1252)</f>
        <v>紫</v>
      </c>
      <c r="D1253" s="82">
        <f t="shared" si="59"/>
        <v>2000</v>
      </c>
      <c r="F1253" s="82">
        <f ca="1" t="shared" si="58"/>
        <v>50402</v>
      </c>
      <c r="G1253" s="78" t="str">
        <f ca="1">IF(AND(LEFT("[{"&amp;M1253&amp;","&amp;CEILING(N1253*10000+(O1253-N1253)/4*(COUNTIF($F$11:F1253,F1253)-1)*10000,10)&amp;"}]",7)="[{equip",MID("[{"&amp;M1253&amp;","&amp;CEILING(N1253*10000+(O1253-N1253)/4*(COUNTIF($F$11:F1253,F1253)-1)*10000,10)&amp;"}]",8,1)&lt;&gt;"_"),"[{"&amp;M1253&amp;","&amp;1&amp;"}]","[{"&amp;M1253&amp;","&amp;CEILING(N1253*10000+(O1253-N1253)/4*(COUNTIF($F$11:F1253,F1253)-1)*10000,10)&amp;"}]")</f>
        <v>[{control_dmg_rate,510}]</v>
      </c>
      <c r="H1253" s="82" t="s">
        <v>563</v>
      </c>
      <c r="J1253" s="78">
        <f ca="1">IF(MOD(COUNTIF($Q$11:Q1252,Q1252),5)=0,OFFSET(装备属性!$P$1083,1+INT(COUNTA($Q$11:Q1252)/5),0),J1252)</f>
        <v>5</v>
      </c>
      <c r="K1253" s="83" t="str">
        <f ca="1">IF(RIGHT(G1253,13)="rune_slot,1}]",_xlfn.XLOOKUP(LEFT(SUBSTITUTE(G1253,"[{",""),FIND(",",SUBSTITUTE(G1253,"[{",""))-1),Sheet2!B:B,Sheet2!C:C)&amp;"+"&amp;1,_xlfn.XLOOKUP(LEFT(SUBSTITUTE(G1253,"[{",""),FIND(",",SUBSTITUTE(G1253,"[{",""))-1),Sheet2!B:B,Sheet2!C:C)&amp;"+"&amp;SUBSTITUTE(RIGHT(G1253,LEN(G1253)-FIND(",",G1253)),"}]","")/100&amp;"%")</f>
        <v>控制伤害+5.1%</v>
      </c>
      <c r="L1253" s="83" t="str">
        <f ca="1">IF(MOD(COUNTIF($Q$11:Q1252,Q1252),5)=0,OFFSET(装备属性!$G$1083,1+INT(COUNTA($Q$11:Q1252)/5),0),L1252)</f>
        <v>控场添力Ⅰ</v>
      </c>
      <c r="M1253" s="89" t="str">
        <f ca="1">IF(MOD(COUNTIF($Q$11:Q1252,Q1252),5)=0,OFFSET(装备属性!$H$1083,1+INT(COUNTA($Q$11:Q1252)/5),0),M1252)</f>
        <v>control_dmg_rate</v>
      </c>
      <c r="N1253" s="76">
        <f ca="1">IF(MOD(COUNTIF($Q$11:Q1252,Q1252),5)=0,OFFSET(装备属性!$K$1083,1+INT(COUNTA($Q$11:Q1252)/5),0),N1252)</f>
        <v>0.044</v>
      </c>
      <c r="O1253" s="76">
        <f ca="1">IF(MOD(COUNTIF($Q$11:Q1252,Q1252),5)=0,OFFSET(装备属性!$L$1083,1+INT(COUNTA($Q$11:Q1252)/5),0),O1252)</f>
        <v>0.058</v>
      </c>
      <c r="Q1253" s="89" t="str">
        <f ca="1">IF(MOD(COUNTIF($Q$11:Q1252,Q1252),5)=0,OFFSET(装备属性!$M$1083,1+INT(COUNTA($Q$11:Q1252)/5),0),Q1252)</f>
        <v>通用属性</v>
      </c>
      <c r="R1253" s="83">
        <f ca="1">IF(MOD(COUNTIF($Q$11:Q1252,Q1252),5)=0,10000*SUBSTITUTE(SUBSTITUTE(OFFSET(装备属性!$F$1083,1+INT(COUNTA($Q$11:Q1252)/5),0),"[",""),"]","")+_xlfn.XLOOKUP(C1253,$M$3:$M$7,$N$3:$N$7)*100,R1252)</f>
        <v>50400</v>
      </c>
    </row>
    <row r="1254" customHeight="1" spans="1:18">
      <c r="A1254" s="78">
        <f ca="1" t="shared" si="57"/>
        <v>50401</v>
      </c>
      <c r="B1254" s="82">
        <f ca="1">IFERROR(R1254+COUNTIFS($R$11:$R1254,R1254),"")</f>
        <v>50414</v>
      </c>
      <c r="C1254" s="83" t="str">
        <f ca="1">IF(MOD(COUNTIF($Q$11:Q1253,Q1253),5)=0,OFFSET(装备属性!$D$1083,1+INT(COUNTA($Q$11:Q1253)/5),0),C1253)</f>
        <v>紫</v>
      </c>
      <c r="D1254" s="82">
        <f t="shared" si="59"/>
        <v>1500</v>
      </c>
      <c r="F1254" s="82">
        <f ca="1" t="shared" si="58"/>
        <v>50402</v>
      </c>
      <c r="G1254" s="78" t="str">
        <f ca="1">IF(AND(LEFT("[{"&amp;M1254&amp;","&amp;CEILING(N1254*10000+(O1254-N1254)/4*(COUNTIF($F$11:F1254,F1254)-1)*10000,10)&amp;"}]",7)="[{equip",MID("[{"&amp;M1254&amp;","&amp;CEILING(N1254*10000+(O1254-N1254)/4*(COUNTIF($F$11:F1254,F1254)-1)*10000,10)&amp;"}]",8,1)&lt;&gt;"_"),"[{"&amp;M1254&amp;","&amp;1&amp;"}]","[{"&amp;M1254&amp;","&amp;CEILING(N1254*10000+(O1254-N1254)/4*(COUNTIF($F$11:F1254,F1254)-1)*10000,10)&amp;"}]")</f>
        <v>[{control_dmg_rate,550}]</v>
      </c>
      <c r="H1254" s="82" t="s">
        <v>563</v>
      </c>
      <c r="J1254" s="78">
        <f ca="1">IF(MOD(COUNTIF($Q$11:Q1253,Q1253),5)=0,OFFSET(装备属性!$P$1083,1+INT(COUNTA($Q$11:Q1253)/5),0),J1253)</f>
        <v>5</v>
      </c>
      <c r="K1254" s="83" t="str">
        <f ca="1">IF(RIGHT(G1254,13)="rune_slot,1}]",_xlfn.XLOOKUP(LEFT(SUBSTITUTE(G1254,"[{",""),FIND(",",SUBSTITUTE(G1254,"[{",""))-1),Sheet2!B:B,Sheet2!C:C)&amp;"+"&amp;1,_xlfn.XLOOKUP(LEFT(SUBSTITUTE(G1254,"[{",""),FIND(",",SUBSTITUTE(G1254,"[{",""))-1),Sheet2!B:B,Sheet2!C:C)&amp;"+"&amp;SUBSTITUTE(RIGHT(G1254,LEN(G1254)-FIND(",",G1254)),"}]","")/100&amp;"%")</f>
        <v>控制伤害+5.5%</v>
      </c>
      <c r="L1254" s="83" t="str">
        <f ca="1">IF(MOD(COUNTIF($Q$11:Q1253,Q1253),5)=0,OFFSET(装备属性!$G$1083,1+INT(COUNTA($Q$11:Q1253)/5),0),L1253)</f>
        <v>控场添力Ⅰ</v>
      </c>
      <c r="M1254" s="89" t="str">
        <f ca="1">IF(MOD(COUNTIF($Q$11:Q1253,Q1253),5)=0,OFFSET(装备属性!$H$1083,1+INT(COUNTA($Q$11:Q1253)/5),0),M1253)</f>
        <v>control_dmg_rate</v>
      </c>
      <c r="N1254" s="76">
        <f ca="1">IF(MOD(COUNTIF($Q$11:Q1253,Q1253),5)=0,OFFSET(装备属性!$K$1083,1+INT(COUNTA($Q$11:Q1253)/5),0),N1253)</f>
        <v>0.044</v>
      </c>
      <c r="O1254" s="76">
        <f ca="1">IF(MOD(COUNTIF($Q$11:Q1253,Q1253),5)=0,OFFSET(装备属性!$L$1083,1+INT(COUNTA($Q$11:Q1253)/5),0),O1253)</f>
        <v>0.058</v>
      </c>
      <c r="Q1254" s="89" t="str">
        <f ca="1">IF(MOD(COUNTIF($Q$11:Q1253,Q1253),5)=0,OFFSET(装备属性!$M$1083,1+INT(COUNTA($Q$11:Q1253)/5),0),Q1253)</f>
        <v>通用属性</v>
      </c>
      <c r="R1254" s="83">
        <f ca="1">IF(MOD(COUNTIF($Q$11:Q1253,Q1253),5)=0,10000*SUBSTITUTE(SUBSTITUTE(OFFSET(装备属性!$F$1083,1+INT(COUNTA($Q$11:Q1253)/5),0),"[",""),"]","")+_xlfn.XLOOKUP(C1254,$M$3:$M$7,$N$3:$N$7)*100,R1253)</f>
        <v>50400</v>
      </c>
    </row>
    <row r="1255" customHeight="1" spans="1:18">
      <c r="A1255" s="78">
        <f ca="1" t="shared" si="57"/>
        <v>50401</v>
      </c>
      <c r="B1255" s="82">
        <f ca="1">IFERROR(R1255+COUNTIFS($R$11:$R1255,R1255),"")</f>
        <v>50415</v>
      </c>
      <c r="C1255" s="83" t="str">
        <f ca="1">IF(MOD(COUNTIF($Q$11:Q1254,Q1254),5)=0,OFFSET(装备属性!$D$1083,1+INT(COUNTA($Q$11:Q1254)/5),0),C1254)</f>
        <v>紫</v>
      </c>
      <c r="D1255" s="82">
        <f t="shared" si="59"/>
        <v>1000</v>
      </c>
      <c r="F1255" s="82">
        <f ca="1" t="shared" si="58"/>
        <v>50402</v>
      </c>
      <c r="G1255" s="78" t="str">
        <f ca="1">IF(AND(LEFT("[{"&amp;M1255&amp;","&amp;CEILING(N1255*10000+(O1255-N1255)/4*(COUNTIF($F$11:F1255,F1255)-1)*10000,10)&amp;"}]",7)="[{equip",MID("[{"&amp;M1255&amp;","&amp;CEILING(N1255*10000+(O1255-N1255)/4*(COUNTIF($F$11:F1255,F1255)-1)*10000,10)&amp;"}]",8,1)&lt;&gt;"_"),"[{"&amp;M1255&amp;","&amp;1&amp;"}]","[{"&amp;M1255&amp;","&amp;CEILING(N1255*10000+(O1255-N1255)/4*(COUNTIF($F$11:F1255,F1255)-1)*10000,10)&amp;"}]")</f>
        <v>[{control_dmg_rate,580}]</v>
      </c>
      <c r="H1255" s="82" t="s">
        <v>563</v>
      </c>
      <c r="J1255" s="78">
        <f ca="1">IF(MOD(COUNTIF($Q$11:Q1254,Q1254),5)=0,OFFSET(装备属性!$P$1083,1+INT(COUNTA($Q$11:Q1254)/5),0),J1254)</f>
        <v>5</v>
      </c>
      <c r="K1255" s="83" t="str">
        <f ca="1">IF(RIGHT(G1255,13)="rune_slot,1}]",_xlfn.XLOOKUP(LEFT(SUBSTITUTE(G1255,"[{",""),FIND(",",SUBSTITUTE(G1255,"[{",""))-1),Sheet2!B:B,Sheet2!C:C)&amp;"+"&amp;1,_xlfn.XLOOKUP(LEFT(SUBSTITUTE(G1255,"[{",""),FIND(",",SUBSTITUTE(G1255,"[{",""))-1),Sheet2!B:B,Sheet2!C:C)&amp;"+"&amp;SUBSTITUTE(RIGHT(G1255,LEN(G1255)-FIND(",",G1255)),"}]","")/100&amp;"%")</f>
        <v>控制伤害+5.8%</v>
      </c>
      <c r="L1255" s="83" t="str">
        <f ca="1">IF(MOD(COUNTIF($Q$11:Q1254,Q1254),5)=0,OFFSET(装备属性!$G$1083,1+INT(COUNTA($Q$11:Q1254)/5),0),L1254)</f>
        <v>控场添力Ⅰ</v>
      </c>
      <c r="M1255" s="89" t="str">
        <f ca="1">IF(MOD(COUNTIF($Q$11:Q1254,Q1254),5)=0,OFFSET(装备属性!$H$1083,1+INT(COUNTA($Q$11:Q1254)/5),0),M1254)</f>
        <v>control_dmg_rate</v>
      </c>
      <c r="N1255" s="76">
        <f ca="1">IF(MOD(COUNTIF($Q$11:Q1254,Q1254),5)=0,OFFSET(装备属性!$K$1083,1+INT(COUNTA($Q$11:Q1254)/5),0),N1254)</f>
        <v>0.044</v>
      </c>
      <c r="O1255" s="76">
        <f ca="1">IF(MOD(COUNTIF($Q$11:Q1254,Q1254),5)=0,OFFSET(装备属性!$L$1083,1+INT(COUNTA($Q$11:Q1254)/5),0),O1254)</f>
        <v>0.058</v>
      </c>
      <c r="Q1255" s="89" t="str">
        <f ca="1">IF(MOD(COUNTIF($Q$11:Q1254,Q1254),5)=0,OFFSET(装备属性!$M$1083,1+INT(COUNTA($Q$11:Q1254)/5),0),Q1254)</f>
        <v>通用属性</v>
      </c>
      <c r="R1255" s="83">
        <f ca="1">IF(MOD(COUNTIF($Q$11:Q1254,Q1254),5)=0,10000*SUBSTITUTE(SUBSTITUTE(OFFSET(装备属性!$F$1083,1+INT(COUNTA($Q$11:Q1254)/5),0),"[",""),"]","")+_xlfn.XLOOKUP(C1255,$M$3:$M$7,$N$3:$N$7)*100,R1254)</f>
        <v>50400</v>
      </c>
    </row>
    <row r="1256" customHeight="1" spans="1:18">
      <c r="A1256" s="78">
        <f ca="1" t="shared" si="57"/>
        <v>50401</v>
      </c>
      <c r="B1256" s="82">
        <f ca="1">IFERROR(R1256+COUNTIFS($R$11:$R1256,R1256),"")</f>
        <v>50416</v>
      </c>
      <c r="C1256" s="83" t="str">
        <f ca="1">IF(MOD(COUNTIF($Q$11:Q1255,Q1255),5)=0,OFFSET(装备属性!$D$1083,1+INT(COUNTA($Q$11:Q1255)/5),0),C1255)</f>
        <v>紫</v>
      </c>
      <c r="D1256" s="82">
        <f t="shared" si="59"/>
        <v>3000</v>
      </c>
      <c r="F1256" s="82">
        <f ca="1" t="shared" si="58"/>
        <v>50403</v>
      </c>
      <c r="G1256" s="78" t="str">
        <f ca="1">IF(AND(LEFT("[{"&amp;M1256&amp;","&amp;CEILING(N1256*10000+(O1256-N1256)/4*(COUNTIF($F$11:F1256,F1256)-1)*10000,10)&amp;"}]",7)="[{equip",MID("[{"&amp;M1256&amp;","&amp;CEILING(N1256*10000+(O1256-N1256)/4*(COUNTIF($F$11:F1256,F1256)-1)*10000,10)&amp;"}]",8,1)&lt;&gt;"_"),"[{"&amp;M1256&amp;","&amp;1&amp;"}]","[{"&amp;M1256&amp;","&amp;CEILING(N1256*10000+(O1256-N1256)/4*(COUNTIF($F$11:F1256,F1256)-1)*10000,10)&amp;"}]")</f>
        <v>[{control_dmg_red_rate,150}]</v>
      </c>
      <c r="H1256" s="82" t="s">
        <v>563</v>
      </c>
      <c r="J1256" s="78">
        <f ca="1">IF(MOD(COUNTIF($Q$11:Q1255,Q1255),5)=0,OFFSET(装备属性!$P$1083,1+INT(COUNTA($Q$11:Q1255)/5),0),J1255)</f>
        <v>3</v>
      </c>
      <c r="K1256" s="83" t="str">
        <f ca="1">IF(RIGHT(G1256,13)="rune_slot,1}]",_xlfn.XLOOKUP(LEFT(SUBSTITUTE(G1256,"[{",""),FIND(",",SUBSTITUTE(G1256,"[{",""))-1),Sheet2!B:B,Sheet2!C:C)&amp;"+"&amp;1,_xlfn.XLOOKUP(LEFT(SUBSTITUTE(G1256,"[{",""),FIND(",",SUBSTITUTE(G1256,"[{",""))-1),Sheet2!B:B,Sheet2!C:C)&amp;"+"&amp;SUBSTITUTE(RIGHT(G1256,LEN(G1256)-FIND(",",G1256)),"}]","")/100&amp;"%")</f>
        <v>控制伤害减免+1.5%</v>
      </c>
      <c r="L1256" s="83" t="str">
        <f ca="1">IF(MOD(COUNTIF($Q$11:Q1255,Q1255),5)=0,OFFSET(装备属性!$G$1083,1+INT(COUNTA($Q$11:Q1255)/5),0),L1255)</f>
        <v>控场能苟Ⅰ</v>
      </c>
      <c r="M1256" s="89" t="str">
        <f ca="1">IF(MOD(COUNTIF($Q$11:Q1255,Q1255),5)=0,OFFSET(装备属性!$H$1083,1+INT(COUNTA($Q$11:Q1255)/5),0),M1255)</f>
        <v>control_dmg_red_rate</v>
      </c>
      <c r="N1256" s="76">
        <f ca="1">IF(MOD(COUNTIF($Q$11:Q1255,Q1255),5)=0,OFFSET(装备属性!$K$1083,1+INT(COUNTA($Q$11:Q1255)/5),0),N1255)</f>
        <v>0.015</v>
      </c>
      <c r="O1256" s="76">
        <f ca="1">IF(MOD(COUNTIF($Q$11:Q1255,Q1255),5)=0,OFFSET(装备属性!$L$1083,1+INT(COUNTA($Q$11:Q1255)/5),0),O1255)</f>
        <v>0.019</v>
      </c>
      <c r="Q1256" s="89" t="str">
        <f ca="1">IF(MOD(COUNTIF($Q$11:Q1255,Q1255),5)=0,OFFSET(装备属性!$M$1083,1+INT(COUNTA($Q$11:Q1255)/5),0),Q1255)</f>
        <v>通用属性</v>
      </c>
      <c r="R1256" s="83">
        <f ca="1">IF(MOD(COUNTIF($Q$11:Q1255,Q1255),5)=0,10000*SUBSTITUTE(SUBSTITUTE(OFFSET(装备属性!$F$1083,1+INT(COUNTA($Q$11:Q1255)/5),0),"[",""),"]","")+_xlfn.XLOOKUP(C1256,$M$3:$M$7,$N$3:$N$7)*100,R1255)</f>
        <v>50400</v>
      </c>
    </row>
    <row r="1257" customHeight="1" spans="1:18">
      <c r="A1257" s="78">
        <f ca="1" t="shared" si="57"/>
        <v>50401</v>
      </c>
      <c r="B1257" s="82">
        <f ca="1">IFERROR(R1257+COUNTIFS($R$11:$R1257,R1257),"")</f>
        <v>50417</v>
      </c>
      <c r="C1257" s="83" t="str">
        <f ca="1">IF(MOD(COUNTIF($Q$11:Q1256,Q1256),5)=0,OFFSET(装备属性!$D$1083,1+INT(COUNTA($Q$11:Q1256)/5),0),C1256)</f>
        <v>紫</v>
      </c>
      <c r="D1257" s="82">
        <f t="shared" si="59"/>
        <v>2500</v>
      </c>
      <c r="F1257" s="82">
        <f ca="1" t="shared" si="58"/>
        <v>50403</v>
      </c>
      <c r="G1257" s="78" t="str">
        <f ca="1">IF(AND(LEFT("[{"&amp;M1257&amp;","&amp;CEILING(N1257*10000+(O1257-N1257)/4*(COUNTIF($F$11:F1257,F1257)-1)*10000,10)&amp;"}]",7)="[{equip",MID("[{"&amp;M1257&amp;","&amp;CEILING(N1257*10000+(O1257-N1257)/4*(COUNTIF($F$11:F1257,F1257)-1)*10000,10)&amp;"}]",8,1)&lt;&gt;"_"),"[{"&amp;M1257&amp;","&amp;1&amp;"}]","[{"&amp;M1257&amp;","&amp;CEILING(N1257*10000+(O1257-N1257)/4*(COUNTIF($F$11:F1257,F1257)-1)*10000,10)&amp;"}]")</f>
        <v>[{control_dmg_red_rate,160}]</v>
      </c>
      <c r="H1257" s="82" t="s">
        <v>563</v>
      </c>
      <c r="J1257" s="78">
        <f ca="1">IF(MOD(COUNTIF($Q$11:Q1256,Q1256),5)=0,OFFSET(装备属性!$P$1083,1+INT(COUNTA($Q$11:Q1256)/5),0),J1256)</f>
        <v>3</v>
      </c>
      <c r="K1257" s="83" t="str">
        <f ca="1">IF(RIGHT(G1257,13)="rune_slot,1}]",_xlfn.XLOOKUP(LEFT(SUBSTITUTE(G1257,"[{",""),FIND(",",SUBSTITUTE(G1257,"[{",""))-1),Sheet2!B:B,Sheet2!C:C)&amp;"+"&amp;1,_xlfn.XLOOKUP(LEFT(SUBSTITUTE(G1257,"[{",""),FIND(",",SUBSTITUTE(G1257,"[{",""))-1),Sheet2!B:B,Sheet2!C:C)&amp;"+"&amp;SUBSTITUTE(RIGHT(G1257,LEN(G1257)-FIND(",",G1257)),"}]","")/100&amp;"%")</f>
        <v>控制伤害减免+1.6%</v>
      </c>
      <c r="L1257" s="83" t="str">
        <f ca="1">IF(MOD(COUNTIF($Q$11:Q1256,Q1256),5)=0,OFFSET(装备属性!$G$1083,1+INT(COUNTA($Q$11:Q1256)/5),0),L1256)</f>
        <v>控场能苟Ⅰ</v>
      </c>
      <c r="M1257" s="89" t="str">
        <f ca="1">IF(MOD(COUNTIF($Q$11:Q1256,Q1256),5)=0,OFFSET(装备属性!$H$1083,1+INT(COUNTA($Q$11:Q1256)/5),0),M1256)</f>
        <v>control_dmg_red_rate</v>
      </c>
      <c r="N1257" s="76">
        <f ca="1">IF(MOD(COUNTIF($Q$11:Q1256,Q1256),5)=0,OFFSET(装备属性!$K$1083,1+INT(COUNTA($Q$11:Q1256)/5),0),N1256)</f>
        <v>0.015</v>
      </c>
      <c r="O1257" s="76">
        <f ca="1">IF(MOD(COUNTIF($Q$11:Q1256,Q1256),5)=0,OFFSET(装备属性!$L$1083,1+INT(COUNTA($Q$11:Q1256)/5),0),O1256)</f>
        <v>0.019</v>
      </c>
      <c r="Q1257" s="89" t="str">
        <f ca="1">IF(MOD(COUNTIF($Q$11:Q1256,Q1256),5)=0,OFFSET(装备属性!$M$1083,1+INT(COUNTA($Q$11:Q1256)/5),0),Q1256)</f>
        <v>通用属性</v>
      </c>
      <c r="R1257" s="83">
        <f ca="1">IF(MOD(COUNTIF($Q$11:Q1256,Q1256),5)=0,10000*SUBSTITUTE(SUBSTITUTE(OFFSET(装备属性!$F$1083,1+INT(COUNTA($Q$11:Q1256)/5),0),"[",""),"]","")+_xlfn.XLOOKUP(C1257,$M$3:$M$7,$N$3:$N$7)*100,R1256)</f>
        <v>50400</v>
      </c>
    </row>
    <row r="1258" customHeight="1" spans="1:18">
      <c r="A1258" s="78">
        <f ca="1" t="shared" si="57"/>
        <v>50401</v>
      </c>
      <c r="B1258" s="82">
        <f ca="1">IFERROR(R1258+COUNTIFS($R$11:$R1258,R1258),"")</f>
        <v>50418</v>
      </c>
      <c r="C1258" s="83" t="str">
        <f ca="1">IF(MOD(COUNTIF($Q$11:Q1257,Q1257),5)=0,OFFSET(装备属性!$D$1083,1+INT(COUNTA($Q$11:Q1257)/5),0),C1257)</f>
        <v>紫</v>
      </c>
      <c r="D1258" s="82">
        <f t="shared" si="59"/>
        <v>2000</v>
      </c>
      <c r="F1258" s="82">
        <f ca="1" t="shared" si="58"/>
        <v>50403</v>
      </c>
      <c r="G1258" s="78" t="str">
        <f ca="1">IF(AND(LEFT("[{"&amp;M1258&amp;","&amp;CEILING(N1258*10000+(O1258-N1258)/4*(COUNTIF($F$11:F1258,F1258)-1)*10000,10)&amp;"}]",7)="[{equip",MID("[{"&amp;M1258&amp;","&amp;CEILING(N1258*10000+(O1258-N1258)/4*(COUNTIF($F$11:F1258,F1258)-1)*10000,10)&amp;"}]",8,1)&lt;&gt;"_"),"[{"&amp;M1258&amp;","&amp;1&amp;"}]","[{"&amp;M1258&amp;","&amp;CEILING(N1258*10000+(O1258-N1258)/4*(COUNTIF($F$11:F1258,F1258)-1)*10000,10)&amp;"}]")</f>
        <v>[{control_dmg_red_rate,170}]</v>
      </c>
      <c r="H1258" s="82" t="s">
        <v>563</v>
      </c>
      <c r="J1258" s="78">
        <f ca="1">IF(MOD(COUNTIF($Q$11:Q1257,Q1257),5)=0,OFFSET(装备属性!$P$1083,1+INT(COUNTA($Q$11:Q1257)/5),0),J1257)</f>
        <v>3</v>
      </c>
      <c r="K1258" s="83" t="str">
        <f ca="1">IF(RIGHT(G1258,13)="rune_slot,1}]",_xlfn.XLOOKUP(LEFT(SUBSTITUTE(G1258,"[{",""),FIND(",",SUBSTITUTE(G1258,"[{",""))-1),Sheet2!B:B,Sheet2!C:C)&amp;"+"&amp;1,_xlfn.XLOOKUP(LEFT(SUBSTITUTE(G1258,"[{",""),FIND(",",SUBSTITUTE(G1258,"[{",""))-1),Sheet2!B:B,Sheet2!C:C)&amp;"+"&amp;SUBSTITUTE(RIGHT(G1258,LEN(G1258)-FIND(",",G1258)),"}]","")/100&amp;"%")</f>
        <v>控制伤害减免+1.7%</v>
      </c>
      <c r="L1258" s="83" t="str">
        <f ca="1">IF(MOD(COUNTIF($Q$11:Q1257,Q1257),5)=0,OFFSET(装备属性!$G$1083,1+INT(COUNTA($Q$11:Q1257)/5),0),L1257)</f>
        <v>控场能苟Ⅰ</v>
      </c>
      <c r="M1258" s="89" t="str">
        <f ca="1">IF(MOD(COUNTIF($Q$11:Q1257,Q1257),5)=0,OFFSET(装备属性!$H$1083,1+INT(COUNTA($Q$11:Q1257)/5),0),M1257)</f>
        <v>control_dmg_red_rate</v>
      </c>
      <c r="N1258" s="76">
        <f ca="1">IF(MOD(COUNTIF($Q$11:Q1257,Q1257),5)=0,OFFSET(装备属性!$K$1083,1+INT(COUNTA($Q$11:Q1257)/5),0),N1257)</f>
        <v>0.015</v>
      </c>
      <c r="O1258" s="76">
        <f ca="1">IF(MOD(COUNTIF($Q$11:Q1257,Q1257),5)=0,OFFSET(装备属性!$L$1083,1+INT(COUNTA($Q$11:Q1257)/5),0),O1257)</f>
        <v>0.019</v>
      </c>
      <c r="Q1258" s="89" t="str">
        <f ca="1">IF(MOD(COUNTIF($Q$11:Q1257,Q1257),5)=0,OFFSET(装备属性!$M$1083,1+INT(COUNTA($Q$11:Q1257)/5),0),Q1257)</f>
        <v>通用属性</v>
      </c>
      <c r="R1258" s="83">
        <f ca="1">IF(MOD(COUNTIF($Q$11:Q1257,Q1257),5)=0,10000*SUBSTITUTE(SUBSTITUTE(OFFSET(装备属性!$F$1083,1+INT(COUNTA($Q$11:Q1257)/5),0),"[",""),"]","")+_xlfn.XLOOKUP(C1258,$M$3:$M$7,$N$3:$N$7)*100,R1257)</f>
        <v>50400</v>
      </c>
    </row>
    <row r="1259" customHeight="1" spans="1:18">
      <c r="A1259" s="78">
        <f ca="1" t="shared" si="57"/>
        <v>50401</v>
      </c>
      <c r="B1259" s="82">
        <f ca="1">IFERROR(R1259+COUNTIFS($R$11:$R1259,R1259),"")</f>
        <v>50419</v>
      </c>
      <c r="C1259" s="83" t="str">
        <f ca="1">IF(MOD(COUNTIF($Q$11:Q1258,Q1258),5)=0,OFFSET(装备属性!$D$1083,1+INT(COUNTA($Q$11:Q1258)/5),0),C1258)</f>
        <v>紫</v>
      </c>
      <c r="D1259" s="82">
        <f t="shared" si="59"/>
        <v>1500</v>
      </c>
      <c r="F1259" s="82">
        <f ca="1" t="shared" si="58"/>
        <v>50403</v>
      </c>
      <c r="G1259" s="78" t="str">
        <f ca="1">IF(AND(LEFT("[{"&amp;M1259&amp;","&amp;CEILING(N1259*10000+(O1259-N1259)/4*(COUNTIF($F$11:F1259,F1259)-1)*10000,10)&amp;"}]",7)="[{equip",MID("[{"&amp;M1259&amp;","&amp;CEILING(N1259*10000+(O1259-N1259)/4*(COUNTIF($F$11:F1259,F1259)-1)*10000,10)&amp;"}]",8,1)&lt;&gt;"_"),"[{"&amp;M1259&amp;","&amp;1&amp;"}]","[{"&amp;M1259&amp;","&amp;CEILING(N1259*10000+(O1259-N1259)/4*(COUNTIF($F$11:F1259,F1259)-1)*10000,10)&amp;"}]")</f>
        <v>[{control_dmg_red_rate,180}]</v>
      </c>
      <c r="H1259" s="82" t="s">
        <v>563</v>
      </c>
      <c r="J1259" s="78">
        <f ca="1">IF(MOD(COUNTIF($Q$11:Q1258,Q1258),5)=0,OFFSET(装备属性!$P$1083,1+INT(COUNTA($Q$11:Q1258)/5),0),J1258)</f>
        <v>3</v>
      </c>
      <c r="K1259" s="83" t="str">
        <f ca="1">IF(RIGHT(G1259,13)="rune_slot,1}]",_xlfn.XLOOKUP(LEFT(SUBSTITUTE(G1259,"[{",""),FIND(",",SUBSTITUTE(G1259,"[{",""))-1),Sheet2!B:B,Sheet2!C:C)&amp;"+"&amp;1,_xlfn.XLOOKUP(LEFT(SUBSTITUTE(G1259,"[{",""),FIND(",",SUBSTITUTE(G1259,"[{",""))-1),Sheet2!B:B,Sheet2!C:C)&amp;"+"&amp;SUBSTITUTE(RIGHT(G1259,LEN(G1259)-FIND(",",G1259)),"}]","")/100&amp;"%")</f>
        <v>控制伤害减免+1.8%</v>
      </c>
      <c r="L1259" s="83" t="str">
        <f ca="1">IF(MOD(COUNTIF($Q$11:Q1258,Q1258),5)=0,OFFSET(装备属性!$G$1083,1+INT(COUNTA($Q$11:Q1258)/5),0),L1258)</f>
        <v>控场能苟Ⅰ</v>
      </c>
      <c r="M1259" s="89" t="str">
        <f ca="1">IF(MOD(COUNTIF($Q$11:Q1258,Q1258),5)=0,OFFSET(装备属性!$H$1083,1+INT(COUNTA($Q$11:Q1258)/5),0),M1258)</f>
        <v>control_dmg_red_rate</v>
      </c>
      <c r="N1259" s="76">
        <f ca="1">IF(MOD(COUNTIF($Q$11:Q1258,Q1258),5)=0,OFFSET(装备属性!$K$1083,1+INT(COUNTA($Q$11:Q1258)/5),0),N1258)</f>
        <v>0.015</v>
      </c>
      <c r="O1259" s="76">
        <f ca="1">IF(MOD(COUNTIF($Q$11:Q1258,Q1258),5)=0,OFFSET(装备属性!$L$1083,1+INT(COUNTA($Q$11:Q1258)/5),0),O1258)</f>
        <v>0.019</v>
      </c>
      <c r="Q1259" s="89" t="str">
        <f ca="1">IF(MOD(COUNTIF($Q$11:Q1258,Q1258),5)=0,OFFSET(装备属性!$M$1083,1+INT(COUNTA($Q$11:Q1258)/5),0),Q1258)</f>
        <v>通用属性</v>
      </c>
      <c r="R1259" s="83">
        <f ca="1">IF(MOD(COUNTIF($Q$11:Q1258,Q1258),5)=0,10000*SUBSTITUTE(SUBSTITUTE(OFFSET(装备属性!$F$1083,1+INT(COUNTA($Q$11:Q1258)/5),0),"[",""),"]","")+_xlfn.XLOOKUP(C1259,$M$3:$M$7,$N$3:$N$7)*100,R1258)</f>
        <v>50400</v>
      </c>
    </row>
    <row r="1260" customHeight="1" spans="1:18">
      <c r="A1260" s="78">
        <f ca="1" t="shared" si="57"/>
        <v>50401</v>
      </c>
      <c r="B1260" s="82">
        <f ca="1">IFERROR(R1260+COUNTIFS($R$11:$R1260,R1260),"")</f>
        <v>50420</v>
      </c>
      <c r="C1260" s="83" t="str">
        <f ca="1">IF(MOD(COUNTIF($Q$11:Q1259,Q1259),5)=0,OFFSET(装备属性!$D$1083,1+INT(COUNTA($Q$11:Q1259)/5),0),C1259)</f>
        <v>紫</v>
      </c>
      <c r="D1260" s="82">
        <f t="shared" si="59"/>
        <v>1000</v>
      </c>
      <c r="F1260" s="82">
        <f ca="1" t="shared" si="58"/>
        <v>50403</v>
      </c>
      <c r="G1260" s="78" t="str">
        <f ca="1">IF(AND(LEFT("[{"&amp;M1260&amp;","&amp;CEILING(N1260*10000+(O1260-N1260)/4*(COUNTIF($F$11:F1260,F1260)-1)*10000,10)&amp;"}]",7)="[{equip",MID("[{"&amp;M1260&amp;","&amp;CEILING(N1260*10000+(O1260-N1260)/4*(COUNTIF($F$11:F1260,F1260)-1)*10000,10)&amp;"}]",8,1)&lt;&gt;"_"),"[{"&amp;M1260&amp;","&amp;1&amp;"}]","[{"&amp;M1260&amp;","&amp;CEILING(N1260*10000+(O1260-N1260)/4*(COUNTIF($F$11:F1260,F1260)-1)*10000,10)&amp;"}]")</f>
        <v>[{control_dmg_red_rate,190}]</v>
      </c>
      <c r="H1260" s="82" t="s">
        <v>563</v>
      </c>
      <c r="J1260" s="78">
        <f ca="1">IF(MOD(COUNTIF($Q$11:Q1259,Q1259),5)=0,OFFSET(装备属性!$P$1083,1+INT(COUNTA($Q$11:Q1259)/5),0),J1259)</f>
        <v>3</v>
      </c>
      <c r="K1260" s="83" t="str">
        <f ca="1">IF(RIGHT(G1260,13)="rune_slot,1}]",_xlfn.XLOOKUP(LEFT(SUBSTITUTE(G1260,"[{",""),FIND(",",SUBSTITUTE(G1260,"[{",""))-1),Sheet2!B:B,Sheet2!C:C)&amp;"+"&amp;1,_xlfn.XLOOKUP(LEFT(SUBSTITUTE(G1260,"[{",""),FIND(",",SUBSTITUTE(G1260,"[{",""))-1),Sheet2!B:B,Sheet2!C:C)&amp;"+"&amp;SUBSTITUTE(RIGHT(G1260,LEN(G1260)-FIND(",",G1260)),"}]","")/100&amp;"%")</f>
        <v>控制伤害减免+1.9%</v>
      </c>
      <c r="L1260" s="83" t="str">
        <f ca="1">IF(MOD(COUNTIF($Q$11:Q1259,Q1259),5)=0,OFFSET(装备属性!$G$1083,1+INT(COUNTA($Q$11:Q1259)/5),0),L1259)</f>
        <v>控场能苟Ⅰ</v>
      </c>
      <c r="M1260" s="89" t="str">
        <f ca="1">IF(MOD(COUNTIF($Q$11:Q1259,Q1259),5)=0,OFFSET(装备属性!$H$1083,1+INT(COUNTA($Q$11:Q1259)/5),0),M1259)</f>
        <v>control_dmg_red_rate</v>
      </c>
      <c r="N1260" s="76">
        <f ca="1">IF(MOD(COUNTIF($Q$11:Q1259,Q1259),5)=0,OFFSET(装备属性!$K$1083,1+INT(COUNTA($Q$11:Q1259)/5),0),N1259)</f>
        <v>0.015</v>
      </c>
      <c r="O1260" s="76">
        <f ca="1">IF(MOD(COUNTIF($Q$11:Q1259,Q1259),5)=0,OFFSET(装备属性!$L$1083,1+INT(COUNTA($Q$11:Q1259)/5),0),O1259)</f>
        <v>0.019</v>
      </c>
      <c r="Q1260" s="89" t="str">
        <f ca="1">IF(MOD(COUNTIF($Q$11:Q1259,Q1259),5)=0,OFFSET(装备属性!$M$1083,1+INT(COUNTA($Q$11:Q1259)/5),0),Q1259)</f>
        <v>通用属性</v>
      </c>
      <c r="R1260" s="83">
        <f ca="1">IF(MOD(COUNTIF($Q$11:Q1259,Q1259),5)=0,10000*SUBSTITUTE(SUBSTITUTE(OFFSET(装备属性!$F$1083,1+INT(COUNTA($Q$11:Q1259)/5),0),"[",""),"]","")+_xlfn.XLOOKUP(C1260,$M$3:$M$7,$N$3:$N$7)*100,R1259)</f>
        <v>50400</v>
      </c>
    </row>
    <row r="1261" customHeight="1" spans="1:18">
      <c r="A1261" s="78" t="str">
        <f ca="1" t="shared" si="57"/>
        <v/>
      </c>
      <c r="B1261" s="82" t="str">
        <f ca="1">IFERROR(R1261+COUNTIFS($R$11:$R1261,R1261),"")</f>
        <v/>
      </c>
      <c r="C1261" s="83">
        <f ca="1">IF(MOD(COUNTIF($Q$11:Q1260,Q1260),5)=0,OFFSET(装备属性!$D$1083,1+INT(COUNTA($Q$11:Q1260)/5),0),C1260)</f>
        <v>0</v>
      </c>
      <c r="D1261" s="82">
        <f t="shared" si="59"/>
        <v>3000</v>
      </c>
      <c r="F1261" s="82" t="str">
        <f ca="1" t="shared" si="58"/>
        <v/>
      </c>
      <c r="G1261" s="78" t="str">
        <f ca="1">IF(AND(LEFT("[{"&amp;M1261&amp;","&amp;CEILING(N1261*10000+(O1261-N1261)/4*(COUNTIF($F$11:F1261,F1261)-1)*10000,10)&amp;"}]",7)="[{equip",MID("[{"&amp;M1261&amp;","&amp;CEILING(N1261*10000+(O1261-N1261)/4*(COUNTIF($F$11:F1261,F1261)-1)*10000,10)&amp;"}]",8,1)&lt;&gt;"_"),"[{"&amp;M1261&amp;","&amp;1&amp;"}]","[{"&amp;M1261&amp;","&amp;CEILING(N1261*10000+(O1261-N1261)/4*(COUNTIF($F$11:F1261,F1261)-1)*10000,10)&amp;"}]")</f>
        <v>[{control_class_dmg_rate,19540}]</v>
      </c>
      <c r="H1261" s="82" t="s">
        <v>563</v>
      </c>
      <c r="J1261" s="78">
        <f ca="1">IF(MOD(COUNTIF($Q$11:Q1260,Q1260),5)=0,OFFSET(装备属性!$P$1083,1+INT(COUNTA($Q$11:Q1260)/5),0),J1260)</f>
        <v>4</v>
      </c>
      <c r="K1261" s="83" t="str">
        <f ca="1">IF(RIGHT(G1261,13)="rune_slot,1}]",_xlfn.XLOOKUP(LEFT(SUBSTITUTE(G1261,"[{",""),FIND(",",SUBSTITUTE(G1261,"[{",""))-1),Sheet2!B:B,Sheet2!C:C)&amp;"+"&amp;1,_xlfn.XLOOKUP(LEFT(SUBSTITUTE(G1261,"[{",""),FIND(",",SUBSTITUTE(G1261,"[{",""))-1),Sheet2!B:B,Sheet2!C:C)&amp;"+"&amp;SUBSTITUTE(RIGHT(G1261,LEN(G1261)-FIND(",",G1261)),"}]","")/100&amp;"%")</f>
        <v>上阵两个控制职业增伤+195.4%</v>
      </c>
      <c r="L1261" s="83" t="str">
        <f ca="1">IF(MOD(COUNTIF($Q$11:Q1260,Q1260),5)=0,OFFSET(装备属性!$G$1083,1+INT(COUNTA($Q$11:Q1260)/5),0),L1260)</f>
        <v>控场小队Ⅰ</v>
      </c>
      <c r="M1261" s="89" t="str">
        <f ca="1">IF(MOD(COUNTIF($Q$11:Q1260,Q1260),5)=0,OFFSET(装备属性!$H$1083,1+INT(COUNTA($Q$11:Q1260)/5),0),M1260)</f>
        <v>control_class_dmg_rate</v>
      </c>
      <c r="N1261" s="76">
        <f ca="1">IF(MOD(COUNTIF($Q$11:Q1260,Q1260),5)=0,OFFSET(装备属性!$K$1083,1+INT(COUNTA($Q$11:Q1260)/5),0),N1260)</f>
        <v>0.06</v>
      </c>
      <c r="O1261" s="76">
        <f ca="1">IF(MOD(COUNTIF($Q$11:Q1260,Q1260),5)=0,OFFSET(装备属性!$L$1083,1+INT(COUNTA($Q$11:Q1260)/5),0),O1260)</f>
        <v>0.075</v>
      </c>
      <c r="Q1261" s="89" t="str">
        <f ca="1">IF(MOD(COUNTIF($Q$11:Q1260,Q1260),5)=0,OFFSET(装备属性!$M$1083,1+INT(COUNTA($Q$11:Q1260)/5),0),Q1260)</f>
        <v>通用属性</v>
      </c>
      <c r="R1261" s="83" t="e">
        <f ca="1">IF(MOD(COUNTIF($Q$11:Q1260,Q1260),5)=0,10000*SUBSTITUTE(SUBSTITUTE(OFFSET(装备属性!$F$1083,1+INT(COUNTA($Q$11:Q1260)/5),0),"[",""),"]","")+_xlfn.XLOOKUP(C1261,$M$3:$M$7,$N$3:$N$7)*100,R1260)</f>
        <v>#N/A</v>
      </c>
    </row>
    <row r="1262" customHeight="1" spans="1:18">
      <c r="A1262" s="78" t="str">
        <f ca="1" t="shared" si="57"/>
        <v/>
      </c>
      <c r="B1262" s="82" t="str">
        <f ca="1">IFERROR(R1262+COUNTIFS($R$11:$R1262,R1262),"")</f>
        <v/>
      </c>
      <c r="C1262" s="83">
        <f ca="1">IF(MOD(COUNTIF($Q$11:Q1261,Q1261),5)=0,OFFSET(装备属性!$D$1083,1+INT(COUNTA($Q$11:Q1261)/5),0),C1261)</f>
        <v>0</v>
      </c>
      <c r="D1262" s="82">
        <f t="shared" si="59"/>
        <v>2500</v>
      </c>
      <c r="F1262" s="82" t="str">
        <f ca="1" t="shared" si="58"/>
        <v/>
      </c>
      <c r="G1262" s="78" t="str">
        <f ca="1">IF(AND(LEFT("[{"&amp;M1262&amp;","&amp;CEILING(N1262*10000+(O1262-N1262)/4*(COUNTIF($F$11:F1262,F1262)-1)*10000,10)&amp;"}]",7)="[{equip",MID("[{"&amp;M1262&amp;","&amp;CEILING(N1262*10000+(O1262-N1262)/4*(COUNTIF($F$11:F1262,F1262)-1)*10000,10)&amp;"}]",8,1)&lt;&gt;"_"),"[{"&amp;M1262&amp;","&amp;1&amp;"}]","[{"&amp;M1262&amp;","&amp;CEILING(N1262*10000+(O1262-N1262)/4*(COUNTIF($F$11:F1262,F1262)-1)*10000,10)&amp;"}]")</f>
        <v>[{control_class_dmg_rate,19580}]</v>
      </c>
      <c r="H1262" s="82" t="s">
        <v>563</v>
      </c>
      <c r="J1262" s="78">
        <f ca="1">IF(MOD(COUNTIF($Q$11:Q1261,Q1261),5)=0,OFFSET(装备属性!$P$1083,1+INT(COUNTA($Q$11:Q1261)/5),0),J1261)</f>
        <v>4</v>
      </c>
      <c r="K1262" s="83" t="str">
        <f ca="1">IF(RIGHT(G1262,13)="rune_slot,1}]",_xlfn.XLOOKUP(LEFT(SUBSTITUTE(G1262,"[{",""),FIND(",",SUBSTITUTE(G1262,"[{",""))-1),Sheet2!B:B,Sheet2!C:C)&amp;"+"&amp;1,_xlfn.XLOOKUP(LEFT(SUBSTITUTE(G1262,"[{",""),FIND(",",SUBSTITUTE(G1262,"[{",""))-1),Sheet2!B:B,Sheet2!C:C)&amp;"+"&amp;SUBSTITUTE(RIGHT(G1262,LEN(G1262)-FIND(",",G1262)),"}]","")/100&amp;"%")</f>
        <v>上阵两个控制职业增伤+195.8%</v>
      </c>
      <c r="L1262" s="83" t="str">
        <f ca="1">IF(MOD(COUNTIF($Q$11:Q1261,Q1261),5)=0,OFFSET(装备属性!$G$1083,1+INT(COUNTA($Q$11:Q1261)/5),0),L1261)</f>
        <v>控场小队Ⅰ</v>
      </c>
      <c r="M1262" s="89" t="str">
        <f ca="1">IF(MOD(COUNTIF($Q$11:Q1261,Q1261),5)=0,OFFSET(装备属性!$H$1083,1+INT(COUNTA($Q$11:Q1261)/5),0),M1261)</f>
        <v>control_class_dmg_rate</v>
      </c>
      <c r="N1262" s="76">
        <f ca="1">IF(MOD(COUNTIF($Q$11:Q1261,Q1261),5)=0,OFFSET(装备属性!$K$1083,1+INT(COUNTA($Q$11:Q1261)/5),0),N1261)</f>
        <v>0.06</v>
      </c>
      <c r="O1262" s="76">
        <f ca="1">IF(MOD(COUNTIF($Q$11:Q1261,Q1261),5)=0,OFFSET(装备属性!$L$1083,1+INT(COUNTA($Q$11:Q1261)/5),0),O1261)</f>
        <v>0.075</v>
      </c>
      <c r="Q1262" s="89" t="str">
        <f ca="1">IF(MOD(COUNTIF($Q$11:Q1261,Q1261),5)=0,OFFSET(装备属性!$M$1083,1+INT(COUNTA($Q$11:Q1261)/5),0),Q1261)</f>
        <v>通用属性</v>
      </c>
      <c r="R1262" s="83" t="e">
        <f ca="1">IF(MOD(COUNTIF($Q$11:Q1261,Q1261),5)=0,10000*SUBSTITUTE(SUBSTITUTE(OFFSET(装备属性!$F$1083,1+INT(COUNTA($Q$11:Q1261)/5),0),"[",""),"]","")+_xlfn.XLOOKUP(C1262,$M$3:$M$7,$N$3:$N$7)*100,R1261)</f>
        <v>#N/A</v>
      </c>
    </row>
    <row r="1263" customHeight="1" spans="1:18">
      <c r="A1263" s="78" t="str">
        <f ca="1" t="shared" si="57"/>
        <v/>
      </c>
      <c r="B1263" s="82" t="str">
        <f ca="1">IFERROR(R1263+COUNTIFS($R$11:$R1263,R1263),"")</f>
        <v/>
      </c>
      <c r="C1263" s="83">
        <f ca="1">IF(MOD(COUNTIF($Q$11:Q1262,Q1262),5)=0,OFFSET(装备属性!$D$1083,1+INT(COUNTA($Q$11:Q1262)/5),0),C1262)</f>
        <v>0</v>
      </c>
      <c r="D1263" s="82">
        <f t="shared" si="59"/>
        <v>2000</v>
      </c>
      <c r="F1263" s="82" t="str">
        <f ca="1" t="shared" si="58"/>
        <v/>
      </c>
      <c r="G1263" s="78" t="str">
        <f ca="1">IF(AND(LEFT("[{"&amp;M1263&amp;","&amp;CEILING(N1263*10000+(O1263-N1263)/4*(COUNTIF($F$11:F1263,F1263)-1)*10000,10)&amp;"}]",7)="[{equip",MID("[{"&amp;M1263&amp;","&amp;CEILING(N1263*10000+(O1263-N1263)/4*(COUNTIF($F$11:F1263,F1263)-1)*10000,10)&amp;"}]",8,1)&lt;&gt;"_"),"[{"&amp;M1263&amp;","&amp;1&amp;"}]","[{"&amp;M1263&amp;","&amp;CEILING(N1263*10000+(O1263-N1263)/4*(COUNTIF($F$11:F1263,F1263)-1)*10000,10)&amp;"}]")</f>
        <v>[{control_class_dmg_rate,19620}]</v>
      </c>
      <c r="H1263" s="82" t="s">
        <v>563</v>
      </c>
      <c r="J1263" s="78">
        <f ca="1">IF(MOD(COUNTIF($Q$11:Q1262,Q1262),5)=0,OFFSET(装备属性!$P$1083,1+INT(COUNTA($Q$11:Q1262)/5),0),J1262)</f>
        <v>4</v>
      </c>
      <c r="K1263" s="83" t="str">
        <f ca="1">IF(RIGHT(G1263,13)="rune_slot,1}]",_xlfn.XLOOKUP(LEFT(SUBSTITUTE(G1263,"[{",""),FIND(",",SUBSTITUTE(G1263,"[{",""))-1),Sheet2!B:B,Sheet2!C:C)&amp;"+"&amp;1,_xlfn.XLOOKUP(LEFT(SUBSTITUTE(G1263,"[{",""),FIND(",",SUBSTITUTE(G1263,"[{",""))-1),Sheet2!B:B,Sheet2!C:C)&amp;"+"&amp;SUBSTITUTE(RIGHT(G1263,LEN(G1263)-FIND(",",G1263)),"}]","")/100&amp;"%")</f>
        <v>上阵两个控制职业增伤+196.2%</v>
      </c>
      <c r="L1263" s="83" t="str">
        <f ca="1">IF(MOD(COUNTIF($Q$11:Q1262,Q1262),5)=0,OFFSET(装备属性!$G$1083,1+INT(COUNTA($Q$11:Q1262)/5),0),L1262)</f>
        <v>控场小队Ⅰ</v>
      </c>
      <c r="M1263" s="89" t="str">
        <f ca="1">IF(MOD(COUNTIF($Q$11:Q1262,Q1262),5)=0,OFFSET(装备属性!$H$1083,1+INT(COUNTA($Q$11:Q1262)/5),0),M1262)</f>
        <v>control_class_dmg_rate</v>
      </c>
      <c r="N1263" s="76">
        <f ca="1">IF(MOD(COUNTIF($Q$11:Q1262,Q1262),5)=0,OFFSET(装备属性!$K$1083,1+INT(COUNTA($Q$11:Q1262)/5),0),N1262)</f>
        <v>0.06</v>
      </c>
      <c r="O1263" s="76">
        <f ca="1">IF(MOD(COUNTIF($Q$11:Q1262,Q1262),5)=0,OFFSET(装备属性!$L$1083,1+INT(COUNTA($Q$11:Q1262)/5),0),O1262)</f>
        <v>0.075</v>
      </c>
      <c r="Q1263" s="89" t="str">
        <f ca="1">IF(MOD(COUNTIF($Q$11:Q1262,Q1262),5)=0,OFFSET(装备属性!$M$1083,1+INT(COUNTA($Q$11:Q1262)/5),0),Q1262)</f>
        <v>通用属性</v>
      </c>
      <c r="R1263" s="83" t="e">
        <f ca="1">IF(MOD(COUNTIF($Q$11:Q1262,Q1262),5)=0,10000*SUBSTITUTE(SUBSTITUTE(OFFSET(装备属性!$F$1083,1+INT(COUNTA($Q$11:Q1262)/5),0),"[",""),"]","")+_xlfn.XLOOKUP(C1263,$M$3:$M$7,$N$3:$N$7)*100,R1262)</f>
        <v>#N/A</v>
      </c>
    </row>
    <row r="1264" customHeight="1" spans="1:18">
      <c r="A1264" s="78" t="str">
        <f ca="1" t="shared" si="57"/>
        <v/>
      </c>
      <c r="B1264" s="82" t="str">
        <f ca="1">IFERROR(R1264+COUNTIFS($R$11:$R1264,R1264),"")</f>
        <v/>
      </c>
      <c r="C1264" s="83">
        <f ca="1">IF(MOD(COUNTIF($Q$11:Q1263,Q1263),5)=0,OFFSET(装备属性!$D$1083,1+INT(COUNTA($Q$11:Q1263)/5),0),C1263)</f>
        <v>0</v>
      </c>
      <c r="D1264" s="82">
        <f t="shared" si="59"/>
        <v>1500</v>
      </c>
      <c r="F1264" s="82" t="str">
        <f ca="1" t="shared" si="58"/>
        <v/>
      </c>
      <c r="G1264" s="78" t="str">
        <f ca="1">IF(AND(LEFT("[{"&amp;M1264&amp;","&amp;CEILING(N1264*10000+(O1264-N1264)/4*(COUNTIF($F$11:F1264,F1264)-1)*10000,10)&amp;"}]",7)="[{equip",MID("[{"&amp;M1264&amp;","&amp;CEILING(N1264*10000+(O1264-N1264)/4*(COUNTIF($F$11:F1264,F1264)-1)*10000,10)&amp;"}]",8,1)&lt;&gt;"_"),"[{"&amp;M1264&amp;","&amp;1&amp;"}]","[{"&amp;M1264&amp;","&amp;CEILING(N1264*10000+(O1264-N1264)/4*(COUNTIF($F$11:F1264,F1264)-1)*10000,10)&amp;"}]")</f>
        <v>[{control_class_dmg_rate,19650}]</v>
      </c>
      <c r="H1264" s="82" t="s">
        <v>563</v>
      </c>
      <c r="J1264" s="78">
        <f ca="1">IF(MOD(COUNTIF($Q$11:Q1263,Q1263),5)=0,OFFSET(装备属性!$P$1083,1+INT(COUNTA($Q$11:Q1263)/5),0),J1263)</f>
        <v>4</v>
      </c>
      <c r="K1264" s="83" t="str">
        <f ca="1">IF(RIGHT(G1264,13)="rune_slot,1}]",_xlfn.XLOOKUP(LEFT(SUBSTITUTE(G1264,"[{",""),FIND(",",SUBSTITUTE(G1264,"[{",""))-1),Sheet2!B:B,Sheet2!C:C)&amp;"+"&amp;1,_xlfn.XLOOKUP(LEFT(SUBSTITUTE(G1264,"[{",""),FIND(",",SUBSTITUTE(G1264,"[{",""))-1),Sheet2!B:B,Sheet2!C:C)&amp;"+"&amp;SUBSTITUTE(RIGHT(G1264,LEN(G1264)-FIND(",",G1264)),"}]","")/100&amp;"%")</f>
        <v>上阵两个控制职业增伤+196.5%</v>
      </c>
      <c r="L1264" s="83" t="str">
        <f ca="1">IF(MOD(COUNTIF($Q$11:Q1263,Q1263),5)=0,OFFSET(装备属性!$G$1083,1+INT(COUNTA($Q$11:Q1263)/5),0),L1263)</f>
        <v>控场小队Ⅰ</v>
      </c>
      <c r="M1264" s="89" t="str">
        <f ca="1">IF(MOD(COUNTIF($Q$11:Q1263,Q1263),5)=0,OFFSET(装备属性!$H$1083,1+INT(COUNTA($Q$11:Q1263)/5),0),M1263)</f>
        <v>control_class_dmg_rate</v>
      </c>
      <c r="N1264" s="76">
        <f ca="1">IF(MOD(COUNTIF($Q$11:Q1263,Q1263),5)=0,OFFSET(装备属性!$K$1083,1+INT(COUNTA($Q$11:Q1263)/5),0),N1263)</f>
        <v>0.06</v>
      </c>
      <c r="O1264" s="76">
        <f ca="1">IF(MOD(COUNTIF($Q$11:Q1263,Q1263),5)=0,OFFSET(装备属性!$L$1083,1+INT(COUNTA($Q$11:Q1263)/5),0),O1263)</f>
        <v>0.075</v>
      </c>
      <c r="Q1264" s="89" t="str">
        <f ca="1">IF(MOD(COUNTIF($Q$11:Q1263,Q1263),5)=0,OFFSET(装备属性!$M$1083,1+INT(COUNTA($Q$11:Q1263)/5),0),Q1263)</f>
        <v>通用属性</v>
      </c>
      <c r="R1264" s="83" t="e">
        <f ca="1">IF(MOD(COUNTIF($Q$11:Q1263,Q1263),5)=0,10000*SUBSTITUTE(SUBSTITUTE(OFFSET(装备属性!$F$1083,1+INT(COUNTA($Q$11:Q1263)/5),0),"[",""),"]","")+_xlfn.XLOOKUP(C1264,$M$3:$M$7,$N$3:$N$7)*100,R1263)</f>
        <v>#N/A</v>
      </c>
    </row>
    <row r="1265" customHeight="1" spans="1:18">
      <c r="A1265" s="78" t="str">
        <f ca="1" t="shared" si="57"/>
        <v/>
      </c>
      <c r="B1265" s="82" t="str">
        <f ca="1">IFERROR(R1265+COUNTIFS($R$11:$R1265,R1265),"")</f>
        <v/>
      </c>
      <c r="C1265" s="83">
        <f ca="1">IF(MOD(COUNTIF($Q$11:Q1264,Q1264),5)=0,OFFSET(装备属性!$D$1083,1+INT(COUNTA($Q$11:Q1264)/5),0),C1264)</f>
        <v>0</v>
      </c>
      <c r="D1265" s="82">
        <f t="shared" si="59"/>
        <v>1000</v>
      </c>
      <c r="F1265" s="82" t="str">
        <f ca="1" t="shared" si="58"/>
        <v/>
      </c>
      <c r="G1265" s="78" t="str">
        <f ca="1">IF(AND(LEFT("[{"&amp;M1265&amp;","&amp;CEILING(N1265*10000+(O1265-N1265)/4*(COUNTIF($F$11:F1265,F1265)-1)*10000,10)&amp;"}]",7)="[{equip",MID("[{"&amp;M1265&amp;","&amp;CEILING(N1265*10000+(O1265-N1265)/4*(COUNTIF($F$11:F1265,F1265)-1)*10000,10)&amp;"}]",8,1)&lt;&gt;"_"),"[{"&amp;M1265&amp;","&amp;1&amp;"}]","[{"&amp;M1265&amp;","&amp;CEILING(N1265*10000+(O1265-N1265)/4*(COUNTIF($F$11:F1265,F1265)-1)*10000,10)&amp;"}]")</f>
        <v>[{control_class_dmg_rate,19690}]</v>
      </c>
      <c r="H1265" s="82" t="s">
        <v>563</v>
      </c>
      <c r="J1265" s="78">
        <f ca="1">IF(MOD(COUNTIF($Q$11:Q1264,Q1264),5)=0,OFFSET(装备属性!$P$1083,1+INT(COUNTA($Q$11:Q1264)/5),0),J1264)</f>
        <v>4</v>
      </c>
      <c r="K1265" s="83" t="str">
        <f ca="1">IF(RIGHT(G1265,13)="rune_slot,1}]",_xlfn.XLOOKUP(LEFT(SUBSTITUTE(G1265,"[{",""),FIND(",",SUBSTITUTE(G1265,"[{",""))-1),Sheet2!B:B,Sheet2!C:C)&amp;"+"&amp;1,_xlfn.XLOOKUP(LEFT(SUBSTITUTE(G1265,"[{",""),FIND(",",SUBSTITUTE(G1265,"[{",""))-1),Sheet2!B:B,Sheet2!C:C)&amp;"+"&amp;SUBSTITUTE(RIGHT(G1265,LEN(G1265)-FIND(",",G1265)),"}]","")/100&amp;"%")</f>
        <v>上阵两个控制职业增伤+196.9%</v>
      </c>
      <c r="L1265" s="83" t="str">
        <f ca="1">IF(MOD(COUNTIF($Q$11:Q1264,Q1264),5)=0,OFFSET(装备属性!$G$1083,1+INT(COUNTA($Q$11:Q1264)/5),0),L1264)</f>
        <v>控场小队Ⅰ</v>
      </c>
      <c r="M1265" s="89" t="str">
        <f ca="1">IF(MOD(COUNTIF($Q$11:Q1264,Q1264),5)=0,OFFSET(装备属性!$H$1083,1+INT(COUNTA($Q$11:Q1264)/5),0),M1264)</f>
        <v>control_class_dmg_rate</v>
      </c>
      <c r="N1265" s="76">
        <f ca="1">IF(MOD(COUNTIF($Q$11:Q1264,Q1264),5)=0,OFFSET(装备属性!$K$1083,1+INT(COUNTA($Q$11:Q1264)/5),0),N1264)</f>
        <v>0.06</v>
      </c>
      <c r="O1265" s="76">
        <f ca="1">IF(MOD(COUNTIF($Q$11:Q1264,Q1264),5)=0,OFFSET(装备属性!$L$1083,1+INT(COUNTA($Q$11:Q1264)/5),0),O1264)</f>
        <v>0.075</v>
      </c>
      <c r="Q1265" s="89" t="str">
        <f ca="1">IF(MOD(COUNTIF($Q$11:Q1264,Q1264),5)=0,OFFSET(装备属性!$M$1083,1+INT(COUNTA($Q$11:Q1264)/5),0),Q1264)</f>
        <v>通用属性</v>
      </c>
      <c r="R1265" s="83" t="e">
        <f ca="1">IF(MOD(COUNTIF($Q$11:Q1264,Q1264),5)=0,10000*SUBSTITUTE(SUBSTITUTE(OFFSET(装备属性!$F$1083,1+INT(COUNTA($Q$11:Q1264)/5),0),"[",""),"]","")+_xlfn.XLOOKUP(C1265,$M$3:$M$7,$N$3:$N$7)*100,R1264)</f>
        <v>#N/A</v>
      </c>
    </row>
    <row r="1266" customHeight="1" spans="1:18">
      <c r="A1266" s="78">
        <f ca="1" t="shared" si="57"/>
        <v>50401</v>
      </c>
      <c r="B1266" s="82">
        <f ca="1">IFERROR(R1266+COUNTIFS($R$11:$R1266,R1266),"")</f>
        <v>50421</v>
      </c>
      <c r="C1266" s="83" t="str">
        <f ca="1">IF(MOD(COUNTIF($Q$11:Q1265,Q1265),5)=0,OFFSET(装备属性!$D$1083,1+INT(COUNTA($Q$11:Q1265)/5),0),C1265)</f>
        <v>紫</v>
      </c>
      <c r="D1266" s="82">
        <f t="shared" si="59"/>
        <v>3000</v>
      </c>
      <c r="F1266" s="82">
        <f ca="1" t="shared" si="58"/>
        <v>50404</v>
      </c>
      <c r="G1266" s="78" t="str">
        <f ca="1">IF(AND(LEFT("[{"&amp;M1266&amp;","&amp;CEILING(N1266*10000+(O1266-N1266)/4*(COUNTIF($F$11:F1266,F1266)-1)*10000,10)&amp;"}]",7)="[{equip",MID("[{"&amp;M1266&amp;","&amp;CEILING(N1266*10000+(O1266-N1266)/4*(COUNTIF($F$11:F1266,F1266)-1)*10000,10)&amp;"}]",8,1)&lt;&gt;"_"),"[{"&amp;M1266&amp;","&amp;1&amp;"}]","[{"&amp;M1266&amp;","&amp;CEILING(N1266*10000+(O1266-N1266)/4*(COUNTIF($F$11:F1266,F1266)-1)*10000,10)&amp;"}]")</f>
        <v>[{control_crit_dmg,2000}]</v>
      </c>
      <c r="H1266" s="82" t="s">
        <v>563</v>
      </c>
      <c r="J1266" s="78">
        <f ca="1">IF(MOD(COUNTIF($Q$11:Q1265,Q1265),5)=0,OFFSET(装备属性!$P$1083,1+INT(COUNTA($Q$11:Q1265)/5),0),J1265)</f>
        <v>10</v>
      </c>
      <c r="K1266" s="83" t="str">
        <f ca="1">IF(RIGHT(G1266,13)="rune_slot,1}]",_xlfn.XLOOKUP(LEFT(SUBSTITUTE(G1266,"[{",""),FIND(",",SUBSTITUTE(G1266,"[{",""))-1),Sheet2!B:B,Sheet2!C:C)&amp;"+"&amp;1,_xlfn.XLOOKUP(LEFT(SUBSTITUTE(G1266,"[{",""),FIND(",",SUBSTITUTE(G1266,"[{",""))-1),Sheet2!B:B,Sheet2!C:C)&amp;"+"&amp;SUBSTITUTE(RIGHT(G1266,LEN(G1266)-FIND(",",G1266)),"}]","")/100&amp;"%")</f>
        <v>控制暴击伤害+20%</v>
      </c>
      <c r="L1266" s="83" t="str">
        <f ca="1">IF(MOD(COUNTIF($Q$11:Q1265,Q1265),5)=0,OFFSET(装备属性!$G$1083,1+INT(COUNTA($Q$11:Q1265)/5),0),L1265)</f>
        <v>暴走控场Ⅰ</v>
      </c>
      <c r="M1266" s="89" t="str">
        <f ca="1">IF(MOD(COUNTIF($Q$11:Q1265,Q1265),5)=0,OFFSET(装备属性!$H$1083,1+INT(COUNTA($Q$11:Q1265)/5),0),M1265)</f>
        <v>control_crit_dmg</v>
      </c>
      <c r="N1266" s="76">
        <f ca="1">IF(MOD(COUNTIF($Q$11:Q1265,Q1265),5)=0,OFFSET(装备属性!$K$1083,1+INT(COUNTA($Q$11:Q1265)/5),0),N1265)</f>
        <v>0.2</v>
      </c>
      <c r="O1266" s="76">
        <f ca="1">IF(MOD(COUNTIF($Q$11:Q1265,Q1265),5)=0,OFFSET(装备属性!$L$1083,1+INT(COUNTA($Q$11:Q1265)/5),0),O1265)</f>
        <v>0.24</v>
      </c>
      <c r="Q1266" s="89" t="str">
        <f ca="1">IF(MOD(COUNTIF($Q$11:Q1265,Q1265),5)=0,OFFSET(装备属性!$M$1083,1+INT(COUNTA($Q$11:Q1265)/5),0),Q1265)</f>
        <v>通用属性</v>
      </c>
      <c r="R1266" s="83">
        <f ca="1">IF(MOD(COUNTIF($Q$11:Q1265,Q1265),5)=0,10000*SUBSTITUTE(SUBSTITUTE(OFFSET(装备属性!$F$1083,1+INT(COUNTA($Q$11:Q1265)/5),0),"[",""),"]","")+_xlfn.XLOOKUP(C1266,$M$3:$M$7,$N$3:$N$7)*100,R1265)</f>
        <v>50400</v>
      </c>
    </row>
    <row r="1267" customHeight="1" spans="1:18">
      <c r="A1267" s="78">
        <f ca="1" t="shared" si="57"/>
        <v>50401</v>
      </c>
      <c r="B1267" s="82">
        <f ca="1">IFERROR(R1267+COUNTIFS($R$11:$R1267,R1267),"")</f>
        <v>50422</v>
      </c>
      <c r="C1267" s="83" t="str">
        <f ca="1">IF(MOD(COUNTIF($Q$11:Q1266,Q1266),5)=0,OFFSET(装备属性!$D$1083,1+INT(COUNTA($Q$11:Q1266)/5),0),C1266)</f>
        <v>紫</v>
      </c>
      <c r="D1267" s="82">
        <f t="shared" si="59"/>
        <v>2500</v>
      </c>
      <c r="F1267" s="82">
        <f ca="1" t="shared" si="58"/>
        <v>50404</v>
      </c>
      <c r="G1267" s="78" t="str">
        <f ca="1">IF(AND(LEFT("[{"&amp;M1267&amp;","&amp;CEILING(N1267*10000+(O1267-N1267)/4*(COUNTIF($F$11:F1267,F1267)-1)*10000,10)&amp;"}]",7)="[{equip",MID("[{"&amp;M1267&amp;","&amp;CEILING(N1267*10000+(O1267-N1267)/4*(COUNTIF($F$11:F1267,F1267)-1)*10000,10)&amp;"}]",8,1)&lt;&gt;"_"),"[{"&amp;M1267&amp;","&amp;1&amp;"}]","[{"&amp;M1267&amp;","&amp;CEILING(N1267*10000+(O1267-N1267)/4*(COUNTIF($F$11:F1267,F1267)-1)*10000,10)&amp;"}]")</f>
        <v>[{control_crit_dmg,2100}]</v>
      </c>
      <c r="H1267" s="82" t="s">
        <v>563</v>
      </c>
      <c r="J1267" s="78">
        <f ca="1">IF(MOD(COUNTIF($Q$11:Q1266,Q1266),5)=0,OFFSET(装备属性!$P$1083,1+INT(COUNTA($Q$11:Q1266)/5),0),J1266)</f>
        <v>10</v>
      </c>
      <c r="K1267" s="83" t="str">
        <f ca="1">IF(RIGHT(G1267,13)="rune_slot,1}]",_xlfn.XLOOKUP(LEFT(SUBSTITUTE(G1267,"[{",""),FIND(",",SUBSTITUTE(G1267,"[{",""))-1),Sheet2!B:B,Sheet2!C:C)&amp;"+"&amp;1,_xlfn.XLOOKUP(LEFT(SUBSTITUTE(G1267,"[{",""),FIND(",",SUBSTITUTE(G1267,"[{",""))-1),Sheet2!B:B,Sheet2!C:C)&amp;"+"&amp;SUBSTITUTE(RIGHT(G1267,LEN(G1267)-FIND(",",G1267)),"}]","")/100&amp;"%")</f>
        <v>控制暴击伤害+21%</v>
      </c>
      <c r="L1267" s="83" t="str">
        <f ca="1">IF(MOD(COUNTIF($Q$11:Q1266,Q1266),5)=0,OFFSET(装备属性!$G$1083,1+INT(COUNTA($Q$11:Q1266)/5),0),L1266)</f>
        <v>暴走控场Ⅰ</v>
      </c>
      <c r="M1267" s="89" t="str">
        <f ca="1">IF(MOD(COUNTIF($Q$11:Q1266,Q1266),5)=0,OFFSET(装备属性!$H$1083,1+INT(COUNTA($Q$11:Q1266)/5),0),M1266)</f>
        <v>control_crit_dmg</v>
      </c>
      <c r="N1267" s="76">
        <f ca="1">IF(MOD(COUNTIF($Q$11:Q1266,Q1266),5)=0,OFFSET(装备属性!$K$1083,1+INT(COUNTA($Q$11:Q1266)/5),0),N1266)</f>
        <v>0.2</v>
      </c>
      <c r="O1267" s="76">
        <f ca="1">IF(MOD(COUNTIF($Q$11:Q1266,Q1266),5)=0,OFFSET(装备属性!$L$1083,1+INT(COUNTA($Q$11:Q1266)/5),0),O1266)</f>
        <v>0.24</v>
      </c>
      <c r="Q1267" s="89" t="str">
        <f ca="1">IF(MOD(COUNTIF($Q$11:Q1266,Q1266),5)=0,OFFSET(装备属性!$M$1083,1+INT(COUNTA($Q$11:Q1266)/5),0),Q1266)</f>
        <v>通用属性</v>
      </c>
      <c r="R1267" s="83">
        <f ca="1">IF(MOD(COUNTIF($Q$11:Q1266,Q1266),5)=0,10000*SUBSTITUTE(SUBSTITUTE(OFFSET(装备属性!$F$1083,1+INT(COUNTA($Q$11:Q1266)/5),0),"[",""),"]","")+_xlfn.XLOOKUP(C1267,$M$3:$M$7,$N$3:$N$7)*100,R1266)</f>
        <v>50400</v>
      </c>
    </row>
    <row r="1268" customHeight="1" spans="1:18">
      <c r="A1268" s="78">
        <f ca="1" t="shared" si="57"/>
        <v>50401</v>
      </c>
      <c r="B1268" s="82">
        <f ca="1">IFERROR(R1268+COUNTIFS($R$11:$R1268,R1268),"")</f>
        <v>50423</v>
      </c>
      <c r="C1268" s="83" t="str">
        <f ca="1">IF(MOD(COUNTIF($Q$11:Q1267,Q1267),5)=0,OFFSET(装备属性!$D$1083,1+INT(COUNTA($Q$11:Q1267)/5),0),C1267)</f>
        <v>紫</v>
      </c>
      <c r="D1268" s="82">
        <f t="shared" si="59"/>
        <v>2000</v>
      </c>
      <c r="F1268" s="82">
        <f ca="1" t="shared" si="58"/>
        <v>50404</v>
      </c>
      <c r="G1268" s="78" t="str">
        <f ca="1">IF(AND(LEFT("[{"&amp;M1268&amp;","&amp;CEILING(N1268*10000+(O1268-N1268)/4*(COUNTIF($F$11:F1268,F1268)-1)*10000,10)&amp;"}]",7)="[{equip",MID("[{"&amp;M1268&amp;","&amp;CEILING(N1268*10000+(O1268-N1268)/4*(COUNTIF($F$11:F1268,F1268)-1)*10000,10)&amp;"}]",8,1)&lt;&gt;"_"),"[{"&amp;M1268&amp;","&amp;1&amp;"}]","[{"&amp;M1268&amp;","&amp;CEILING(N1268*10000+(O1268-N1268)/4*(COUNTIF($F$11:F1268,F1268)-1)*10000,10)&amp;"}]")</f>
        <v>[{control_crit_dmg,2200}]</v>
      </c>
      <c r="H1268" s="82" t="s">
        <v>563</v>
      </c>
      <c r="J1268" s="78">
        <f ca="1">IF(MOD(COUNTIF($Q$11:Q1267,Q1267),5)=0,OFFSET(装备属性!$P$1083,1+INT(COUNTA($Q$11:Q1267)/5),0),J1267)</f>
        <v>10</v>
      </c>
      <c r="K1268" s="83" t="str">
        <f ca="1">IF(RIGHT(G1268,13)="rune_slot,1}]",_xlfn.XLOOKUP(LEFT(SUBSTITUTE(G1268,"[{",""),FIND(",",SUBSTITUTE(G1268,"[{",""))-1),Sheet2!B:B,Sheet2!C:C)&amp;"+"&amp;1,_xlfn.XLOOKUP(LEFT(SUBSTITUTE(G1268,"[{",""),FIND(",",SUBSTITUTE(G1268,"[{",""))-1),Sheet2!B:B,Sheet2!C:C)&amp;"+"&amp;SUBSTITUTE(RIGHT(G1268,LEN(G1268)-FIND(",",G1268)),"}]","")/100&amp;"%")</f>
        <v>控制暴击伤害+22%</v>
      </c>
      <c r="L1268" s="83" t="str">
        <f ca="1">IF(MOD(COUNTIF($Q$11:Q1267,Q1267),5)=0,OFFSET(装备属性!$G$1083,1+INT(COUNTA($Q$11:Q1267)/5),0),L1267)</f>
        <v>暴走控场Ⅰ</v>
      </c>
      <c r="M1268" s="89" t="str">
        <f ca="1">IF(MOD(COUNTIF($Q$11:Q1267,Q1267),5)=0,OFFSET(装备属性!$H$1083,1+INT(COUNTA($Q$11:Q1267)/5),0),M1267)</f>
        <v>control_crit_dmg</v>
      </c>
      <c r="N1268" s="76">
        <f ca="1">IF(MOD(COUNTIF($Q$11:Q1267,Q1267),5)=0,OFFSET(装备属性!$K$1083,1+INT(COUNTA($Q$11:Q1267)/5),0),N1267)</f>
        <v>0.2</v>
      </c>
      <c r="O1268" s="76">
        <f ca="1">IF(MOD(COUNTIF($Q$11:Q1267,Q1267),5)=0,OFFSET(装备属性!$L$1083,1+INT(COUNTA($Q$11:Q1267)/5),0),O1267)</f>
        <v>0.24</v>
      </c>
      <c r="Q1268" s="89" t="str">
        <f ca="1">IF(MOD(COUNTIF($Q$11:Q1267,Q1267),5)=0,OFFSET(装备属性!$M$1083,1+INT(COUNTA($Q$11:Q1267)/5),0),Q1267)</f>
        <v>通用属性</v>
      </c>
      <c r="R1268" s="83">
        <f ca="1">IF(MOD(COUNTIF($Q$11:Q1267,Q1267),5)=0,10000*SUBSTITUTE(SUBSTITUTE(OFFSET(装备属性!$F$1083,1+INT(COUNTA($Q$11:Q1267)/5),0),"[",""),"]","")+_xlfn.XLOOKUP(C1268,$M$3:$M$7,$N$3:$N$7)*100,R1267)</f>
        <v>50400</v>
      </c>
    </row>
    <row r="1269" customHeight="1" spans="1:18">
      <c r="A1269" s="78">
        <f ca="1" t="shared" si="57"/>
        <v>50401</v>
      </c>
      <c r="B1269" s="82">
        <f ca="1">IFERROR(R1269+COUNTIFS($R$11:$R1269,R1269),"")</f>
        <v>50424</v>
      </c>
      <c r="C1269" s="83" t="str">
        <f ca="1">IF(MOD(COUNTIF($Q$11:Q1268,Q1268),5)=0,OFFSET(装备属性!$D$1083,1+INT(COUNTA($Q$11:Q1268)/5),0),C1268)</f>
        <v>紫</v>
      </c>
      <c r="D1269" s="82">
        <f t="shared" si="59"/>
        <v>1500</v>
      </c>
      <c r="F1269" s="82">
        <f ca="1" t="shared" si="58"/>
        <v>50404</v>
      </c>
      <c r="G1269" s="78" t="str">
        <f ca="1">IF(AND(LEFT("[{"&amp;M1269&amp;","&amp;CEILING(N1269*10000+(O1269-N1269)/4*(COUNTIF($F$11:F1269,F1269)-1)*10000,10)&amp;"}]",7)="[{equip",MID("[{"&amp;M1269&amp;","&amp;CEILING(N1269*10000+(O1269-N1269)/4*(COUNTIF($F$11:F1269,F1269)-1)*10000,10)&amp;"}]",8,1)&lt;&gt;"_"),"[{"&amp;M1269&amp;","&amp;1&amp;"}]","[{"&amp;M1269&amp;","&amp;CEILING(N1269*10000+(O1269-N1269)/4*(COUNTIF($F$11:F1269,F1269)-1)*10000,10)&amp;"}]")</f>
        <v>[{control_crit_dmg,2300}]</v>
      </c>
      <c r="H1269" s="82" t="s">
        <v>563</v>
      </c>
      <c r="J1269" s="78">
        <f ca="1">IF(MOD(COUNTIF($Q$11:Q1268,Q1268),5)=0,OFFSET(装备属性!$P$1083,1+INT(COUNTA($Q$11:Q1268)/5),0),J1268)</f>
        <v>10</v>
      </c>
      <c r="K1269" s="83" t="str">
        <f ca="1">IF(RIGHT(G1269,13)="rune_slot,1}]",_xlfn.XLOOKUP(LEFT(SUBSTITUTE(G1269,"[{",""),FIND(",",SUBSTITUTE(G1269,"[{",""))-1),Sheet2!B:B,Sheet2!C:C)&amp;"+"&amp;1,_xlfn.XLOOKUP(LEFT(SUBSTITUTE(G1269,"[{",""),FIND(",",SUBSTITUTE(G1269,"[{",""))-1),Sheet2!B:B,Sheet2!C:C)&amp;"+"&amp;SUBSTITUTE(RIGHT(G1269,LEN(G1269)-FIND(",",G1269)),"}]","")/100&amp;"%")</f>
        <v>控制暴击伤害+23%</v>
      </c>
      <c r="L1269" s="83" t="str">
        <f ca="1">IF(MOD(COUNTIF($Q$11:Q1268,Q1268),5)=0,OFFSET(装备属性!$G$1083,1+INT(COUNTA($Q$11:Q1268)/5),0),L1268)</f>
        <v>暴走控场Ⅰ</v>
      </c>
      <c r="M1269" s="89" t="str">
        <f ca="1">IF(MOD(COUNTIF($Q$11:Q1268,Q1268),5)=0,OFFSET(装备属性!$H$1083,1+INT(COUNTA($Q$11:Q1268)/5),0),M1268)</f>
        <v>control_crit_dmg</v>
      </c>
      <c r="N1269" s="76">
        <f ca="1">IF(MOD(COUNTIF($Q$11:Q1268,Q1268),5)=0,OFFSET(装备属性!$K$1083,1+INT(COUNTA($Q$11:Q1268)/5),0),N1268)</f>
        <v>0.2</v>
      </c>
      <c r="O1269" s="76">
        <f ca="1">IF(MOD(COUNTIF($Q$11:Q1268,Q1268),5)=0,OFFSET(装备属性!$L$1083,1+INT(COUNTA($Q$11:Q1268)/5),0),O1268)</f>
        <v>0.24</v>
      </c>
      <c r="Q1269" s="89" t="str">
        <f ca="1">IF(MOD(COUNTIF($Q$11:Q1268,Q1268),5)=0,OFFSET(装备属性!$M$1083,1+INT(COUNTA($Q$11:Q1268)/5),0),Q1268)</f>
        <v>通用属性</v>
      </c>
      <c r="R1269" s="83">
        <f ca="1">IF(MOD(COUNTIF($Q$11:Q1268,Q1268),5)=0,10000*SUBSTITUTE(SUBSTITUTE(OFFSET(装备属性!$F$1083,1+INT(COUNTA($Q$11:Q1268)/5),0),"[",""),"]","")+_xlfn.XLOOKUP(C1269,$M$3:$M$7,$N$3:$N$7)*100,R1268)</f>
        <v>50400</v>
      </c>
    </row>
    <row r="1270" customHeight="1" spans="1:18">
      <c r="A1270" s="78">
        <f ca="1" t="shared" si="57"/>
        <v>50401</v>
      </c>
      <c r="B1270" s="82">
        <f ca="1">IFERROR(R1270+COUNTIFS($R$11:$R1270,R1270),"")</f>
        <v>50425</v>
      </c>
      <c r="C1270" s="83" t="str">
        <f ca="1">IF(MOD(COUNTIF($Q$11:Q1269,Q1269),5)=0,OFFSET(装备属性!$D$1083,1+INT(COUNTA($Q$11:Q1269)/5),0),C1269)</f>
        <v>紫</v>
      </c>
      <c r="D1270" s="82">
        <f t="shared" si="59"/>
        <v>1000</v>
      </c>
      <c r="F1270" s="82">
        <f ca="1" t="shared" si="58"/>
        <v>50404</v>
      </c>
      <c r="G1270" s="78" t="str">
        <f ca="1">IF(AND(LEFT("[{"&amp;M1270&amp;","&amp;CEILING(N1270*10000+(O1270-N1270)/4*(COUNTIF($F$11:F1270,F1270)-1)*10000,10)&amp;"}]",7)="[{equip",MID("[{"&amp;M1270&amp;","&amp;CEILING(N1270*10000+(O1270-N1270)/4*(COUNTIF($F$11:F1270,F1270)-1)*10000,10)&amp;"}]",8,1)&lt;&gt;"_"),"[{"&amp;M1270&amp;","&amp;1&amp;"}]","[{"&amp;M1270&amp;","&amp;CEILING(N1270*10000+(O1270-N1270)/4*(COUNTIF($F$11:F1270,F1270)-1)*10000,10)&amp;"}]")</f>
        <v>[{control_crit_dmg,2400}]</v>
      </c>
      <c r="H1270" s="82" t="s">
        <v>563</v>
      </c>
      <c r="J1270" s="78">
        <f ca="1">IF(MOD(COUNTIF($Q$11:Q1269,Q1269),5)=0,OFFSET(装备属性!$P$1083,1+INT(COUNTA($Q$11:Q1269)/5),0),J1269)</f>
        <v>10</v>
      </c>
      <c r="K1270" s="83" t="str">
        <f ca="1">IF(RIGHT(G1270,13)="rune_slot,1}]",_xlfn.XLOOKUP(LEFT(SUBSTITUTE(G1270,"[{",""),FIND(",",SUBSTITUTE(G1270,"[{",""))-1),Sheet2!B:B,Sheet2!C:C)&amp;"+"&amp;1,_xlfn.XLOOKUP(LEFT(SUBSTITUTE(G1270,"[{",""),FIND(",",SUBSTITUTE(G1270,"[{",""))-1),Sheet2!B:B,Sheet2!C:C)&amp;"+"&amp;SUBSTITUTE(RIGHT(G1270,LEN(G1270)-FIND(",",G1270)),"}]","")/100&amp;"%")</f>
        <v>控制暴击伤害+24%</v>
      </c>
      <c r="L1270" s="83" t="str">
        <f ca="1">IF(MOD(COUNTIF($Q$11:Q1269,Q1269),5)=0,OFFSET(装备属性!$G$1083,1+INT(COUNTA($Q$11:Q1269)/5),0),L1269)</f>
        <v>暴走控场Ⅰ</v>
      </c>
      <c r="M1270" s="89" t="str">
        <f ca="1">IF(MOD(COUNTIF($Q$11:Q1269,Q1269),5)=0,OFFSET(装备属性!$H$1083,1+INT(COUNTA($Q$11:Q1269)/5),0),M1269)</f>
        <v>control_crit_dmg</v>
      </c>
      <c r="N1270" s="76">
        <f ca="1">IF(MOD(COUNTIF($Q$11:Q1269,Q1269),5)=0,OFFSET(装备属性!$K$1083,1+INT(COUNTA($Q$11:Q1269)/5),0),N1269)</f>
        <v>0.2</v>
      </c>
      <c r="O1270" s="76">
        <f ca="1">IF(MOD(COUNTIF($Q$11:Q1269,Q1269),5)=0,OFFSET(装备属性!$L$1083,1+INT(COUNTA($Q$11:Q1269)/5),0),O1269)</f>
        <v>0.24</v>
      </c>
      <c r="Q1270" s="89" t="str">
        <f ca="1">IF(MOD(COUNTIF($Q$11:Q1269,Q1269),5)=0,OFFSET(装备属性!$M$1083,1+INT(COUNTA($Q$11:Q1269)/5),0),Q1269)</f>
        <v>通用属性</v>
      </c>
      <c r="R1270" s="83">
        <f ca="1">IF(MOD(COUNTIF($Q$11:Q1269,Q1269),5)=0,10000*SUBSTITUTE(SUBSTITUTE(OFFSET(装备属性!$F$1083,1+INT(COUNTA($Q$11:Q1269)/5),0),"[",""),"]","")+_xlfn.XLOOKUP(C1270,$M$3:$M$7,$N$3:$N$7)*100,R1269)</f>
        <v>50400</v>
      </c>
    </row>
    <row r="1271" customHeight="1" spans="1:18">
      <c r="A1271" s="78" t="str">
        <f ca="1" t="shared" si="57"/>
        <v/>
      </c>
      <c r="B1271" s="82" t="str">
        <f ca="1">IFERROR(R1271+COUNTIFS($R$11:$R1271,R1271),"")</f>
        <v/>
      </c>
      <c r="C1271" s="83">
        <f ca="1">IF(MOD(COUNTIF($Q$11:Q1270,Q1270),5)=0,OFFSET(装备属性!$D$1083,1+INT(COUNTA($Q$11:Q1270)/5),0),C1270)</f>
        <v>0</v>
      </c>
      <c r="D1271" s="82">
        <f t="shared" si="59"/>
        <v>3000</v>
      </c>
      <c r="F1271" s="82" t="str">
        <f ca="1" t="shared" si="58"/>
        <v/>
      </c>
      <c r="G1271" s="78" t="str">
        <f ca="1">IF(AND(LEFT("[{"&amp;M1271&amp;","&amp;CEILING(N1271*10000+(O1271-N1271)/4*(COUNTIF($F$11:F1271,F1271)-1)*10000,10)&amp;"}]",7)="[{equip",MID("[{"&amp;M1271&amp;","&amp;CEILING(N1271*10000+(O1271-N1271)/4*(COUNTIF($F$11:F1271,F1271)-1)*10000,10)&amp;"}]",8,1)&lt;&gt;"_"),"[{"&amp;M1271&amp;","&amp;1&amp;"}]","[{"&amp;M1271&amp;","&amp;CEILING(N1271*10000+(O1271-N1271)/4*(COUNTIF($F$11:F1271,F1271)-1)*10000,10)&amp;"}]")</f>
        <v>[{global_dmg_rate,18290}]</v>
      </c>
      <c r="H1271" s="82" t="s">
        <v>563</v>
      </c>
      <c r="J1271" s="78">
        <f ca="1">IF(MOD(COUNTIF($Q$11:Q1270,Q1270),5)=0,OFFSET(装备属性!$P$1083,1+INT(COUNTA($Q$11:Q1270)/5),0),J1270)</f>
        <v>2</v>
      </c>
      <c r="K1271" s="83" t="str">
        <f ca="1">IF(RIGHT(G1271,13)="rune_slot,1}]",_xlfn.XLOOKUP(LEFT(SUBSTITUTE(G1271,"[{",""),FIND(",",SUBSTITUTE(G1271,"[{",""))-1),Sheet2!B:B,Sheet2!C:C)&amp;"+"&amp;1,_xlfn.XLOOKUP(LEFT(SUBSTITUTE(G1271,"[{",""),FIND(",",SUBSTITUTE(G1271,"[{",""))-1),Sheet2!B:B,Sheet2!C:C)&amp;"+"&amp;SUBSTITUTE(RIGHT(G1271,LEN(G1271)-FIND(",",G1271)),"}]","")/100&amp;"%")</f>
        <v>伤害加成+182.9%</v>
      </c>
      <c r="L1271" s="83" t="str">
        <f ca="1">IF(MOD(COUNTIF($Q$11:Q1270,Q1270),5)=0,OFFSET(装备属性!$G$1083,1+INT(COUNTA($Q$11:Q1270)/5),0),L1270)</f>
        <v>全职小队Ⅱ</v>
      </c>
      <c r="M1271" s="89" t="str">
        <f ca="1">IF(MOD(COUNTIF($Q$11:Q1270,Q1270),5)=0,OFFSET(装备属性!$H$1083,1+INT(COUNTA($Q$11:Q1270)/5),0),M1270)</f>
        <v>global_dmg_rate</v>
      </c>
      <c r="N1271" s="76">
        <f ca="1">IF(MOD(COUNTIF($Q$11:Q1270,Q1270),5)=0,OFFSET(装备属性!$K$1083,1+INT(COUNTA($Q$11:Q1270)/5),0),N1270)</f>
        <v>0.044</v>
      </c>
      <c r="O1271" s="76">
        <f ca="1">IF(MOD(COUNTIF($Q$11:Q1270,Q1270),5)=0,OFFSET(装备属性!$L$1083,1+INT(COUNTA($Q$11:Q1270)/5),0),O1270)</f>
        <v>0.058</v>
      </c>
      <c r="Q1271" s="89" t="str">
        <f ca="1">IF(MOD(COUNTIF($Q$11:Q1270,Q1270),5)=0,OFFSET(装备属性!$M$1083,1+INT(COUNTA($Q$11:Q1270)/5),0),Q1270)</f>
        <v>通用属性</v>
      </c>
      <c r="R1271" s="83" t="e">
        <f ca="1">IF(MOD(COUNTIF($Q$11:Q1270,Q1270),5)=0,10000*SUBSTITUTE(SUBSTITUTE(OFFSET(装备属性!$F$1083,1+INT(COUNTA($Q$11:Q1270)/5),0),"[",""),"]","")+_xlfn.XLOOKUP(C1271,$M$3:$M$7,$N$3:$N$7)*100,R1270)</f>
        <v>#N/A</v>
      </c>
    </row>
    <row r="1272" customHeight="1" spans="1:18">
      <c r="A1272" s="78" t="str">
        <f ca="1" t="shared" si="57"/>
        <v/>
      </c>
      <c r="B1272" s="82" t="str">
        <f ca="1">IFERROR(R1272+COUNTIFS($R$11:$R1272,R1272),"")</f>
        <v/>
      </c>
      <c r="C1272" s="83">
        <f ca="1">IF(MOD(COUNTIF($Q$11:Q1271,Q1271),5)=0,OFFSET(装备属性!$D$1083,1+INT(COUNTA($Q$11:Q1271)/5),0),C1271)</f>
        <v>0</v>
      </c>
      <c r="D1272" s="82">
        <f t="shared" si="59"/>
        <v>2500</v>
      </c>
      <c r="F1272" s="82" t="str">
        <f ca="1" t="shared" si="58"/>
        <v/>
      </c>
      <c r="G1272" s="78" t="str">
        <f ca="1">IF(AND(LEFT("[{"&amp;M1272&amp;","&amp;CEILING(N1272*10000+(O1272-N1272)/4*(COUNTIF($F$11:F1272,F1272)-1)*10000,10)&amp;"}]",7)="[{equip",MID("[{"&amp;M1272&amp;","&amp;CEILING(N1272*10000+(O1272-N1272)/4*(COUNTIF($F$11:F1272,F1272)-1)*10000,10)&amp;"}]",8,1)&lt;&gt;"_"),"[{"&amp;M1272&amp;","&amp;1&amp;"}]","[{"&amp;M1272&amp;","&amp;CEILING(N1272*10000+(O1272-N1272)/4*(COUNTIF($F$11:F1272,F1272)-1)*10000,10)&amp;"}]")</f>
        <v>[{global_dmg_rate,18330}]</v>
      </c>
      <c r="H1272" s="82" t="s">
        <v>563</v>
      </c>
      <c r="J1272" s="78">
        <f ca="1">IF(MOD(COUNTIF($Q$11:Q1271,Q1271),5)=0,OFFSET(装备属性!$P$1083,1+INT(COUNTA($Q$11:Q1271)/5),0),J1271)</f>
        <v>2</v>
      </c>
      <c r="K1272" s="83" t="str">
        <f ca="1">IF(RIGHT(G1272,13)="rune_slot,1}]",_xlfn.XLOOKUP(LEFT(SUBSTITUTE(G1272,"[{",""),FIND(",",SUBSTITUTE(G1272,"[{",""))-1),Sheet2!B:B,Sheet2!C:C)&amp;"+"&amp;1,_xlfn.XLOOKUP(LEFT(SUBSTITUTE(G1272,"[{",""),FIND(",",SUBSTITUTE(G1272,"[{",""))-1),Sheet2!B:B,Sheet2!C:C)&amp;"+"&amp;SUBSTITUTE(RIGHT(G1272,LEN(G1272)-FIND(",",G1272)),"}]","")/100&amp;"%")</f>
        <v>伤害加成+183.3%</v>
      </c>
      <c r="L1272" s="83" t="str">
        <f ca="1">IF(MOD(COUNTIF($Q$11:Q1271,Q1271),5)=0,OFFSET(装备属性!$G$1083,1+INT(COUNTA($Q$11:Q1271)/5),0),L1271)</f>
        <v>全职小队Ⅱ</v>
      </c>
      <c r="M1272" s="89" t="str">
        <f ca="1">IF(MOD(COUNTIF($Q$11:Q1271,Q1271),5)=0,OFFSET(装备属性!$H$1083,1+INT(COUNTA($Q$11:Q1271)/5),0),M1271)</f>
        <v>global_dmg_rate</v>
      </c>
      <c r="N1272" s="76">
        <f ca="1">IF(MOD(COUNTIF($Q$11:Q1271,Q1271),5)=0,OFFSET(装备属性!$K$1083,1+INT(COUNTA($Q$11:Q1271)/5),0),N1271)</f>
        <v>0.044</v>
      </c>
      <c r="O1272" s="76">
        <f ca="1">IF(MOD(COUNTIF($Q$11:Q1271,Q1271),5)=0,OFFSET(装备属性!$L$1083,1+INT(COUNTA($Q$11:Q1271)/5),0),O1271)</f>
        <v>0.058</v>
      </c>
      <c r="Q1272" s="89" t="str">
        <f ca="1">IF(MOD(COUNTIF($Q$11:Q1271,Q1271),5)=0,OFFSET(装备属性!$M$1083,1+INT(COUNTA($Q$11:Q1271)/5),0),Q1271)</f>
        <v>通用属性</v>
      </c>
      <c r="R1272" s="83" t="e">
        <f ca="1">IF(MOD(COUNTIF($Q$11:Q1271,Q1271),5)=0,10000*SUBSTITUTE(SUBSTITUTE(OFFSET(装备属性!$F$1083,1+INT(COUNTA($Q$11:Q1271)/5),0),"[",""),"]","")+_xlfn.XLOOKUP(C1272,$M$3:$M$7,$N$3:$N$7)*100,R1271)</f>
        <v>#N/A</v>
      </c>
    </row>
    <row r="1273" customHeight="1" spans="1:18">
      <c r="A1273" s="78" t="str">
        <f ca="1" t="shared" si="57"/>
        <v/>
      </c>
      <c r="B1273" s="82" t="str">
        <f ca="1">IFERROR(R1273+COUNTIFS($R$11:$R1273,R1273),"")</f>
        <v/>
      </c>
      <c r="C1273" s="83">
        <f ca="1">IF(MOD(COUNTIF($Q$11:Q1272,Q1272),5)=0,OFFSET(装备属性!$D$1083,1+INT(COUNTA($Q$11:Q1272)/5),0),C1272)</f>
        <v>0</v>
      </c>
      <c r="D1273" s="82">
        <f t="shared" si="59"/>
        <v>2000</v>
      </c>
      <c r="F1273" s="82" t="str">
        <f ca="1" t="shared" si="58"/>
        <v/>
      </c>
      <c r="G1273" s="78" t="str">
        <f ca="1">IF(AND(LEFT("[{"&amp;M1273&amp;","&amp;CEILING(N1273*10000+(O1273-N1273)/4*(COUNTIF($F$11:F1273,F1273)-1)*10000,10)&amp;"}]",7)="[{equip",MID("[{"&amp;M1273&amp;","&amp;CEILING(N1273*10000+(O1273-N1273)/4*(COUNTIF($F$11:F1273,F1273)-1)*10000,10)&amp;"}]",8,1)&lt;&gt;"_"),"[{"&amp;M1273&amp;","&amp;1&amp;"}]","[{"&amp;M1273&amp;","&amp;CEILING(N1273*10000+(O1273-N1273)/4*(COUNTIF($F$11:F1273,F1273)-1)*10000,10)&amp;"}]")</f>
        <v>[{global_dmg_rate,18360}]</v>
      </c>
      <c r="H1273" s="82" t="s">
        <v>563</v>
      </c>
      <c r="J1273" s="78">
        <f ca="1">IF(MOD(COUNTIF($Q$11:Q1272,Q1272),5)=0,OFFSET(装备属性!$P$1083,1+INT(COUNTA($Q$11:Q1272)/5),0),J1272)</f>
        <v>2</v>
      </c>
      <c r="K1273" s="83" t="str">
        <f ca="1">IF(RIGHT(G1273,13)="rune_slot,1}]",_xlfn.XLOOKUP(LEFT(SUBSTITUTE(G1273,"[{",""),FIND(",",SUBSTITUTE(G1273,"[{",""))-1),Sheet2!B:B,Sheet2!C:C)&amp;"+"&amp;1,_xlfn.XLOOKUP(LEFT(SUBSTITUTE(G1273,"[{",""),FIND(",",SUBSTITUTE(G1273,"[{",""))-1),Sheet2!B:B,Sheet2!C:C)&amp;"+"&amp;SUBSTITUTE(RIGHT(G1273,LEN(G1273)-FIND(",",G1273)),"}]","")/100&amp;"%")</f>
        <v>伤害加成+183.6%</v>
      </c>
      <c r="L1273" s="83" t="str">
        <f ca="1">IF(MOD(COUNTIF($Q$11:Q1272,Q1272),5)=0,OFFSET(装备属性!$G$1083,1+INT(COUNTA($Q$11:Q1272)/5),0),L1272)</f>
        <v>全职小队Ⅱ</v>
      </c>
      <c r="M1273" s="89" t="str">
        <f ca="1">IF(MOD(COUNTIF($Q$11:Q1272,Q1272),5)=0,OFFSET(装备属性!$H$1083,1+INT(COUNTA($Q$11:Q1272)/5),0),M1272)</f>
        <v>global_dmg_rate</v>
      </c>
      <c r="N1273" s="76">
        <f ca="1">IF(MOD(COUNTIF($Q$11:Q1272,Q1272),5)=0,OFFSET(装备属性!$K$1083,1+INT(COUNTA($Q$11:Q1272)/5),0),N1272)</f>
        <v>0.044</v>
      </c>
      <c r="O1273" s="76">
        <f ca="1">IF(MOD(COUNTIF($Q$11:Q1272,Q1272),5)=0,OFFSET(装备属性!$L$1083,1+INT(COUNTA($Q$11:Q1272)/5),0),O1272)</f>
        <v>0.058</v>
      </c>
      <c r="Q1273" s="89" t="str">
        <f ca="1">IF(MOD(COUNTIF($Q$11:Q1272,Q1272),5)=0,OFFSET(装备属性!$M$1083,1+INT(COUNTA($Q$11:Q1272)/5),0),Q1272)</f>
        <v>通用属性</v>
      </c>
      <c r="R1273" s="83" t="e">
        <f ca="1">IF(MOD(COUNTIF($Q$11:Q1272,Q1272),5)=0,10000*SUBSTITUTE(SUBSTITUTE(OFFSET(装备属性!$F$1083,1+INT(COUNTA($Q$11:Q1272)/5),0),"[",""),"]","")+_xlfn.XLOOKUP(C1273,$M$3:$M$7,$N$3:$N$7)*100,R1272)</f>
        <v>#N/A</v>
      </c>
    </row>
    <row r="1274" customHeight="1" spans="1:18">
      <c r="A1274" s="78" t="str">
        <f ca="1" t="shared" si="57"/>
        <v/>
      </c>
      <c r="B1274" s="82" t="str">
        <f ca="1">IFERROR(R1274+COUNTIFS($R$11:$R1274,R1274),"")</f>
        <v/>
      </c>
      <c r="C1274" s="83">
        <f ca="1">IF(MOD(COUNTIF($Q$11:Q1273,Q1273),5)=0,OFFSET(装备属性!$D$1083,1+INT(COUNTA($Q$11:Q1273)/5),0),C1273)</f>
        <v>0</v>
      </c>
      <c r="D1274" s="82">
        <f t="shared" si="59"/>
        <v>1500</v>
      </c>
      <c r="F1274" s="82" t="str">
        <f ca="1" t="shared" si="58"/>
        <v/>
      </c>
      <c r="G1274" s="78" t="str">
        <f ca="1">IF(AND(LEFT("[{"&amp;M1274&amp;","&amp;CEILING(N1274*10000+(O1274-N1274)/4*(COUNTIF($F$11:F1274,F1274)-1)*10000,10)&amp;"}]",7)="[{equip",MID("[{"&amp;M1274&amp;","&amp;CEILING(N1274*10000+(O1274-N1274)/4*(COUNTIF($F$11:F1274,F1274)-1)*10000,10)&amp;"}]",8,1)&lt;&gt;"_"),"[{"&amp;M1274&amp;","&amp;1&amp;"}]","[{"&amp;M1274&amp;","&amp;CEILING(N1274*10000+(O1274-N1274)/4*(COUNTIF($F$11:F1274,F1274)-1)*10000,10)&amp;"}]")</f>
        <v>[{global_dmg_rate,18400}]</v>
      </c>
      <c r="H1274" s="82" t="s">
        <v>563</v>
      </c>
      <c r="J1274" s="78">
        <f ca="1">IF(MOD(COUNTIF($Q$11:Q1273,Q1273),5)=0,OFFSET(装备属性!$P$1083,1+INT(COUNTA($Q$11:Q1273)/5),0),J1273)</f>
        <v>2</v>
      </c>
      <c r="K1274" s="83" t="str">
        <f ca="1">IF(RIGHT(G1274,13)="rune_slot,1}]",_xlfn.XLOOKUP(LEFT(SUBSTITUTE(G1274,"[{",""),FIND(",",SUBSTITUTE(G1274,"[{",""))-1),Sheet2!B:B,Sheet2!C:C)&amp;"+"&amp;1,_xlfn.XLOOKUP(LEFT(SUBSTITUTE(G1274,"[{",""),FIND(",",SUBSTITUTE(G1274,"[{",""))-1),Sheet2!B:B,Sheet2!C:C)&amp;"+"&amp;SUBSTITUTE(RIGHT(G1274,LEN(G1274)-FIND(",",G1274)),"}]","")/100&amp;"%")</f>
        <v>伤害加成+184%</v>
      </c>
      <c r="L1274" s="83" t="str">
        <f ca="1">IF(MOD(COUNTIF($Q$11:Q1273,Q1273),5)=0,OFFSET(装备属性!$G$1083,1+INT(COUNTA($Q$11:Q1273)/5),0),L1273)</f>
        <v>全职小队Ⅱ</v>
      </c>
      <c r="M1274" s="89" t="str">
        <f ca="1">IF(MOD(COUNTIF($Q$11:Q1273,Q1273),5)=0,OFFSET(装备属性!$H$1083,1+INT(COUNTA($Q$11:Q1273)/5),0),M1273)</f>
        <v>global_dmg_rate</v>
      </c>
      <c r="N1274" s="76">
        <f ca="1">IF(MOD(COUNTIF($Q$11:Q1273,Q1273),5)=0,OFFSET(装备属性!$K$1083,1+INT(COUNTA($Q$11:Q1273)/5),0),N1273)</f>
        <v>0.044</v>
      </c>
      <c r="O1274" s="76">
        <f ca="1">IF(MOD(COUNTIF($Q$11:Q1273,Q1273),5)=0,OFFSET(装备属性!$L$1083,1+INT(COUNTA($Q$11:Q1273)/5),0),O1273)</f>
        <v>0.058</v>
      </c>
      <c r="Q1274" s="89" t="str">
        <f ca="1">IF(MOD(COUNTIF($Q$11:Q1273,Q1273),5)=0,OFFSET(装备属性!$M$1083,1+INT(COUNTA($Q$11:Q1273)/5),0),Q1273)</f>
        <v>通用属性</v>
      </c>
      <c r="R1274" s="83" t="e">
        <f ca="1">IF(MOD(COUNTIF($Q$11:Q1273,Q1273),5)=0,10000*SUBSTITUTE(SUBSTITUTE(OFFSET(装备属性!$F$1083,1+INT(COUNTA($Q$11:Q1273)/5),0),"[",""),"]","")+_xlfn.XLOOKUP(C1274,$M$3:$M$7,$N$3:$N$7)*100,R1273)</f>
        <v>#N/A</v>
      </c>
    </row>
    <row r="1275" customHeight="1" spans="1:18">
      <c r="A1275" s="78" t="str">
        <f ca="1" t="shared" si="57"/>
        <v/>
      </c>
      <c r="B1275" s="82" t="str">
        <f ca="1">IFERROR(R1275+COUNTIFS($R$11:$R1275,R1275),"")</f>
        <v/>
      </c>
      <c r="C1275" s="83">
        <f ca="1">IF(MOD(COUNTIF($Q$11:Q1274,Q1274),5)=0,OFFSET(装备属性!$D$1083,1+INT(COUNTA($Q$11:Q1274)/5),0),C1274)</f>
        <v>0</v>
      </c>
      <c r="D1275" s="82">
        <f t="shared" si="59"/>
        <v>1000</v>
      </c>
      <c r="F1275" s="82" t="str">
        <f ca="1" t="shared" si="58"/>
        <v/>
      </c>
      <c r="G1275" s="78" t="str">
        <f ca="1">IF(AND(LEFT("[{"&amp;M1275&amp;","&amp;CEILING(N1275*10000+(O1275-N1275)/4*(COUNTIF($F$11:F1275,F1275)-1)*10000,10)&amp;"}]",7)="[{equip",MID("[{"&amp;M1275&amp;","&amp;CEILING(N1275*10000+(O1275-N1275)/4*(COUNTIF($F$11:F1275,F1275)-1)*10000,10)&amp;"}]",8,1)&lt;&gt;"_"),"[{"&amp;M1275&amp;","&amp;1&amp;"}]","[{"&amp;M1275&amp;","&amp;CEILING(N1275*10000+(O1275-N1275)/4*(COUNTIF($F$11:F1275,F1275)-1)*10000,10)&amp;"}]")</f>
        <v>[{global_dmg_rate,18430}]</v>
      </c>
      <c r="H1275" s="82" t="s">
        <v>563</v>
      </c>
      <c r="J1275" s="78">
        <f ca="1">IF(MOD(COUNTIF($Q$11:Q1274,Q1274),5)=0,OFFSET(装备属性!$P$1083,1+INT(COUNTA($Q$11:Q1274)/5),0),J1274)</f>
        <v>2</v>
      </c>
      <c r="K1275" s="83" t="str">
        <f ca="1">IF(RIGHT(G1275,13)="rune_slot,1}]",_xlfn.XLOOKUP(LEFT(SUBSTITUTE(G1275,"[{",""),FIND(",",SUBSTITUTE(G1275,"[{",""))-1),Sheet2!B:B,Sheet2!C:C)&amp;"+"&amp;1,_xlfn.XLOOKUP(LEFT(SUBSTITUTE(G1275,"[{",""),FIND(",",SUBSTITUTE(G1275,"[{",""))-1),Sheet2!B:B,Sheet2!C:C)&amp;"+"&amp;SUBSTITUTE(RIGHT(G1275,LEN(G1275)-FIND(",",G1275)),"}]","")/100&amp;"%")</f>
        <v>伤害加成+184.3%</v>
      </c>
      <c r="L1275" s="83" t="str">
        <f ca="1">IF(MOD(COUNTIF($Q$11:Q1274,Q1274),5)=0,OFFSET(装备属性!$G$1083,1+INT(COUNTA($Q$11:Q1274)/5),0),L1274)</f>
        <v>全职小队Ⅱ</v>
      </c>
      <c r="M1275" s="89" t="str">
        <f ca="1">IF(MOD(COUNTIF($Q$11:Q1274,Q1274),5)=0,OFFSET(装备属性!$H$1083,1+INT(COUNTA($Q$11:Q1274)/5),0),M1274)</f>
        <v>global_dmg_rate</v>
      </c>
      <c r="N1275" s="76">
        <f ca="1">IF(MOD(COUNTIF($Q$11:Q1274,Q1274),5)=0,OFFSET(装备属性!$K$1083,1+INT(COUNTA($Q$11:Q1274)/5),0),N1274)</f>
        <v>0.044</v>
      </c>
      <c r="O1275" s="76">
        <f ca="1">IF(MOD(COUNTIF($Q$11:Q1274,Q1274),5)=0,OFFSET(装备属性!$L$1083,1+INT(COUNTA($Q$11:Q1274)/5),0),O1274)</f>
        <v>0.058</v>
      </c>
      <c r="Q1275" s="89" t="str">
        <f ca="1">IF(MOD(COUNTIF($Q$11:Q1274,Q1274),5)=0,OFFSET(装备属性!$M$1083,1+INT(COUNTA($Q$11:Q1274)/5),0),Q1274)</f>
        <v>通用属性</v>
      </c>
      <c r="R1275" s="83" t="e">
        <f ca="1">IF(MOD(COUNTIF($Q$11:Q1274,Q1274),5)=0,10000*SUBSTITUTE(SUBSTITUTE(OFFSET(装备属性!$F$1083,1+INT(COUNTA($Q$11:Q1274)/5),0),"[",""),"]","")+_xlfn.XLOOKUP(C1275,$M$3:$M$7,$N$3:$N$7)*100,R1274)</f>
        <v>#N/A</v>
      </c>
    </row>
    <row r="1276" customHeight="1" spans="1:18">
      <c r="A1276" s="78">
        <f ca="1" t="shared" si="57"/>
        <v>50501</v>
      </c>
      <c r="B1276" s="82">
        <f ca="1">IFERROR(R1276+COUNTIFS($R$11:$R1276,R1276),"")</f>
        <v>50501</v>
      </c>
      <c r="C1276" s="83" t="str">
        <f ca="1">IF(MOD(COUNTIF($Q$11:Q1275,Q1275),5)=0,OFFSET(装备属性!$D$1083,1+INT(COUNTA($Q$11:Q1275)/5),0),C1275)</f>
        <v>橙</v>
      </c>
      <c r="D1276" s="82">
        <f t="shared" si="59"/>
        <v>3000</v>
      </c>
      <c r="F1276" s="82">
        <f ca="1" t="shared" si="58"/>
        <v>50500</v>
      </c>
      <c r="G1276" s="78" t="str">
        <f ca="1">IF(AND(LEFT("[{"&amp;M1276&amp;","&amp;CEILING(N1276*10000+(O1276-N1276)/4*(COUNTIF($F$11:F1276,F1276)-1)*10000,10)&amp;"}]",7)="[{equip",MID("[{"&amp;M1276&amp;","&amp;CEILING(N1276*10000+(O1276-N1276)/4*(COUNTIF($F$11:F1276,F1276)-1)*10000,10)&amp;"}]",8,1)&lt;&gt;"_"),"[{"&amp;M1276&amp;","&amp;1&amp;"}]","[{"&amp;M1276&amp;","&amp;CEILING(N1276*10000+(O1276-N1276)/4*(COUNTIF($F$11:F1276,F1276)-1)*10000,10)&amp;"}]")</f>
        <v>[{dmg_red_rate,150}]</v>
      </c>
      <c r="H1276" s="82" t="s">
        <v>563</v>
      </c>
      <c r="J1276" s="78">
        <f ca="1">IF(MOD(COUNTIF($Q$11:Q1275,Q1275),5)=0,OFFSET(装备属性!$P$1083,1+INT(COUNTA($Q$11:Q1275)/5),0),J1275)</f>
        <v>6</v>
      </c>
      <c r="K1276" s="83" t="str">
        <f ca="1">IF(RIGHT(G1276,13)="rune_slot,1}]",_xlfn.XLOOKUP(LEFT(SUBSTITUTE(G1276,"[{",""),FIND(",",SUBSTITUTE(G1276,"[{",""))-1),Sheet2!B:B,Sheet2!C:C)&amp;"+"&amp;1,_xlfn.XLOOKUP(LEFT(SUBSTITUTE(G1276,"[{",""),FIND(",",SUBSTITUTE(G1276,"[{",""))-1),Sheet2!B:B,Sheet2!C:C)&amp;"+"&amp;SUBSTITUTE(RIGHT(G1276,LEN(G1276)-FIND(",",G1276)),"}]","")/100&amp;"%")</f>
        <v>伤害减免+1.5%</v>
      </c>
      <c r="L1276" s="83" t="str">
        <f ca="1">IF(MOD(COUNTIF($Q$11:Q1275,Q1275),5)=0,OFFSET(装备属性!$G$1083,1+INT(COUNTA($Q$11:Q1275)/5),0),L1275)</f>
        <v>全员抗揍Ⅱ</v>
      </c>
      <c r="M1276" s="89" t="str">
        <f ca="1">IF(MOD(COUNTIF($Q$11:Q1275,Q1275),5)=0,OFFSET(装备属性!$H$1083,1+INT(COUNTA($Q$11:Q1275)/5),0),M1275)</f>
        <v>dmg_red_rate</v>
      </c>
      <c r="N1276" s="76">
        <f ca="1">IF(MOD(COUNTIF($Q$11:Q1275,Q1275),5)=0,OFFSET(装备属性!$K$1083,1+INT(COUNTA($Q$11:Q1275)/5),0),N1275)</f>
        <v>0.015</v>
      </c>
      <c r="O1276" s="76">
        <f ca="1">IF(MOD(COUNTIF($Q$11:Q1275,Q1275),5)=0,OFFSET(装备属性!$L$1083,1+INT(COUNTA($Q$11:Q1275)/5),0),O1275)</f>
        <v>0.019</v>
      </c>
      <c r="Q1276" s="89" t="str">
        <f ca="1">IF(MOD(COUNTIF($Q$11:Q1275,Q1275),5)=0,OFFSET(装备属性!$M$1083,1+INT(COUNTA($Q$11:Q1275)/5),0),Q1275)</f>
        <v>通用属性</v>
      </c>
      <c r="R1276" s="83">
        <f ca="1">IF(MOD(COUNTIF($Q$11:Q1275,Q1275),5)=0,10000*SUBSTITUTE(SUBSTITUTE(OFFSET(装备属性!$F$1083,1+INT(COUNTA($Q$11:Q1275)/5),0),"[",""),"]","")+_xlfn.XLOOKUP(C1276,$M$3:$M$7,$N$3:$N$7)*100,R1275)</f>
        <v>50500</v>
      </c>
    </row>
    <row r="1277" customHeight="1" spans="1:18">
      <c r="A1277" s="78">
        <f ca="1" t="shared" si="57"/>
        <v>50501</v>
      </c>
      <c r="B1277" s="82">
        <f ca="1">IFERROR(R1277+COUNTIFS($R$11:$R1277,R1277),"")</f>
        <v>50502</v>
      </c>
      <c r="C1277" s="83" t="str">
        <f ca="1">IF(MOD(COUNTIF($Q$11:Q1276,Q1276),5)=0,OFFSET(装备属性!$D$1083,1+INT(COUNTA($Q$11:Q1276)/5),0),C1276)</f>
        <v>橙</v>
      </c>
      <c r="D1277" s="82">
        <f t="shared" si="59"/>
        <v>2500</v>
      </c>
      <c r="F1277" s="82">
        <f ca="1" t="shared" si="58"/>
        <v>50500</v>
      </c>
      <c r="G1277" s="78" t="str">
        <f ca="1">IF(AND(LEFT("[{"&amp;M1277&amp;","&amp;CEILING(N1277*10000+(O1277-N1277)/4*(COUNTIF($F$11:F1277,F1277)-1)*10000,10)&amp;"}]",7)="[{equip",MID("[{"&amp;M1277&amp;","&amp;CEILING(N1277*10000+(O1277-N1277)/4*(COUNTIF($F$11:F1277,F1277)-1)*10000,10)&amp;"}]",8,1)&lt;&gt;"_"),"[{"&amp;M1277&amp;","&amp;1&amp;"}]","[{"&amp;M1277&amp;","&amp;CEILING(N1277*10000+(O1277-N1277)/4*(COUNTIF($F$11:F1277,F1277)-1)*10000,10)&amp;"}]")</f>
        <v>[{dmg_red_rate,160}]</v>
      </c>
      <c r="H1277" s="82" t="s">
        <v>563</v>
      </c>
      <c r="J1277" s="78">
        <f ca="1">IF(MOD(COUNTIF($Q$11:Q1276,Q1276),5)=0,OFFSET(装备属性!$P$1083,1+INT(COUNTA($Q$11:Q1276)/5),0),J1276)</f>
        <v>6</v>
      </c>
      <c r="K1277" s="83" t="str">
        <f ca="1">IF(RIGHT(G1277,13)="rune_slot,1}]",_xlfn.XLOOKUP(LEFT(SUBSTITUTE(G1277,"[{",""),FIND(",",SUBSTITUTE(G1277,"[{",""))-1),Sheet2!B:B,Sheet2!C:C)&amp;"+"&amp;1,_xlfn.XLOOKUP(LEFT(SUBSTITUTE(G1277,"[{",""),FIND(",",SUBSTITUTE(G1277,"[{",""))-1),Sheet2!B:B,Sheet2!C:C)&amp;"+"&amp;SUBSTITUTE(RIGHT(G1277,LEN(G1277)-FIND(",",G1277)),"}]","")/100&amp;"%")</f>
        <v>伤害减免+1.6%</v>
      </c>
      <c r="L1277" s="83" t="str">
        <f ca="1">IF(MOD(COUNTIF($Q$11:Q1276,Q1276),5)=0,OFFSET(装备属性!$G$1083,1+INT(COUNTA($Q$11:Q1276)/5),0),L1276)</f>
        <v>全员抗揍Ⅱ</v>
      </c>
      <c r="M1277" s="89" t="str">
        <f ca="1">IF(MOD(COUNTIF($Q$11:Q1276,Q1276),5)=0,OFFSET(装备属性!$H$1083,1+INT(COUNTA($Q$11:Q1276)/5),0),M1276)</f>
        <v>dmg_red_rate</v>
      </c>
      <c r="N1277" s="76">
        <f ca="1">IF(MOD(COUNTIF($Q$11:Q1276,Q1276),5)=0,OFFSET(装备属性!$K$1083,1+INT(COUNTA($Q$11:Q1276)/5),0),N1276)</f>
        <v>0.015</v>
      </c>
      <c r="O1277" s="76">
        <f ca="1">IF(MOD(COUNTIF($Q$11:Q1276,Q1276),5)=0,OFFSET(装备属性!$L$1083,1+INT(COUNTA($Q$11:Q1276)/5),0),O1276)</f>
        <v>0.019</v>
      </c>
      <c r="Q1277" s="89" t="str">
        <f ca="1">IF(MOD(COUNTIF($Q$11:Q1276,Q1276),5)=0,OFFSET(装备属性!$M$1083,1+INT(COUNTA($Q$11:Q1276)/5),0),Q1276)</f>
        <v>通用属性</v>
      </c>
      <c r="R1277" s="83">
        <f ca="1">IF(MOD(COUNTIF($Q$11:Q1276,Q1276),5)=0,10000*SUBSTITUTE(SUBSTITUTE(OFFSET(装备属性!$F$1083,1+INT(COUNTA($Q$11:Q1276)/5),0),"[",""),"]","")+_xlfn.XLOOKUP(C1277,$M$3:$M$7,$N$3:$N$7)*100,R1276)</f>
        <v>50500</v>
      </c>
    </row>
    <row r="1278" customHeight="1" spans="1:18">
      <c r="A1278" s="78">
        <f ca="1" t="shared" si="57"/>
        <v>50501</v>
      </c>
      <c r="B1278" s="82">
        <f ca="1">IFERROR(R1278+COUNTIFS($R$11:$R1278,R1278),"")</f>
        <v>50503</v>
      </c>
      <c r="C1278" s="83" t="str">
        <f ca="1">IF(MOD(COUNTIF($Q$11:Q1277,Q1277),5)=0,OFFSET(装备属性!$D$1083,1+INT(COUNTA($Q$11:Q1277)/5),0),C1277)</f>
        <v>橙</v>
      </c>
      <c r="D1278" s="82">
        <f t="shared" si="59"/>
        <v>2000</v>
      </c>
      <c r="F1278" s="82">
        <f ca="1" t="shared" si="58"/>
        <v>50500</v>
      </c>
      <c r="G1278" s="78" t="str">
        <f ca="1">IF(AND(LEFT("[{"&amp;M1278&amp;","&amp;CEILING(N1278*10000+(O1278-N1278)/4*(COUNTIF($F$11:F1278,F1278)-1)*10000,10)&amp;"}]",7)="[{equip",MID("[{"&amp;M1278&amp;","&amp;CEILING(N1278*10000+(O1278-N1278)/4*(COUNTIF($F$11:F1278,F1278)-1)*10000,10)&amp;"}]",8,1)&lt;&gt;"_"),"[{"&amp;M1278&amp;","&amp;1&amp;"}]","[{"&amp;M1278&amp;","&amp;CEILING(N1278*10000+(O1278-N1278)/4*(COUNTIF($F$11:F1278,F1278)-1)*10000,10)&amp;"}]")</f>
        <v>[{dmg_red_rate,170}]</v>
      </c>
      <c r="H1278" s="82" t="s">
        <v>563</v>
      </c>
      <c r="J1278" s="78">
        <f ca="1">IF(MOD(COUNTIF($Q$11:Q1277,Q1277),5)=0,OFFSET(装备属性!$P$1083,1+INT(COUNTA($Q$11:Q1277)/5),0),J1277)</f>
        <v>6</v>
      </c>
      <c r="K1278" s="83" t="str">
        <f ca="1">IF(RIGHT(G1278,13)="rune_slot,1}]",_xlfn.XLOOKUP(LEFT(SUBSTITUTE(G1278,"[{",""),FIND(",",SUBSTITUTE(G1278,"[{",""))-1),Sheet2!B:B,Sheet2!C:C)&amp;"+"&amp;1,_xlfn.XLOOKUP(LEFT(SUBSTITUTE(G1278,"[{",""),FIND(",",SUBSTITUTE(G1278,"[{",""))-1),Sheet2!B:B,Sheet2!C:C)&amp;"+"&amp;SUBSTITUTE(RIGHT(G1278,LEN(G1278)-FIND(",",G1278)),"}]","")/100&amp;"%")</f>
        <v>伤害减免+1.7%</v>
      </c>
      <c r="L1278" s="83" t="str">
        <f ca="1">IF(MOD(COUNTIF($Q$11:Q1277,Q1277),5)=0,OFFSET(装备属性!$G$1083,1+INT(COUNTA($Q$11:Q1277)/5),0),L1277)</f>
        <v>全员抗揍Ⅱ</v>
      </c>
      <c r="M1278" s="89" t="str">
        <f ca="1">IF(MOD(COUNTIF($Q$11:Q1277,Q1277),5)=0,OFFSET(装备属性!$H$1083,1+INT(COUNTA($Q$11:Q1277)/5),0),M1277)</f>
        <v>dmg_red_rate</v>
      </c>
      <c r="N1278" s="76">
        <f ca="1">IF(MOD(COUNTIF($Q$11:Q1277,Q1277),5)=0,OFFSET(装备属性!$K$1083,1+INT(COUNTA($Q$11:Q1277)/5),0),N1277)</f>
        <v>0.015</v>
      </c>
      <c r="O1278" s="76">
        <f ca="1">IF(MOD(COUNTIF($Q$11:Q1277,Q1277),5)=0,OFFSET(装备属性!$L$1083,1+INT(COUNTA($Q$11:Q1277)/5),0),O1277)</f>
        <v>0.019</v>
      </c>
      <c r="Q1278" s="89" t="str">
        <f ca="1">IF(MOD(COUNTIF($Q$11:Q1277,Q1277),5)=0,OFFSET(装备属性!$M$1083,1+INT(COUNTA($Q$11:Q1277)/5),0),Q1277)</f>
        <v>通用属性</v>
      </c>
      <c r="R1278" s="83">
        <f ca="1">IF(MOD(COUNTIF($Q$11:Q1277,Q1277),5)=0,10000*SUBSTITUTE(SUBSTITUTE(OFFSET(装备属性!$F$1083,1+INT(COUNTA($Q$11:Q1277)/5),0),"[",""),"]","")+_xlfn.XLOOKUP(C1278,$M$3:$M$7,$N$3:$N$7)*100,R1277)</f>
        <v>50500</v>
      </c>
    </row>
    <row r="1279" customHeight="1" spans="1:18">
      <c r="A1279" s="78">
        <f ca="1" t="shared" si="57"/>
        <v>50501</v>
      </c>
      <c r="B1279" s="82">
        <f ca="1">IFERROR(R1279+COUNTIFS($R$11:$R1279,R1279),"")</f>
        <v>50504</v>
      </c>
      <c r="C1279" s="83" t="str">
        <f ca="1">IF(MOD(COUNTIF($Q$11:Q1278,Q1278),5)=0,OFFSET(装备属性!$D$1083,1+INT(COUNTA($Q$11:Q1278)/5),0),C1278)</f>
        <v>橙</v>
      </c>
      <c r="D1279" s="82">
        <f t="shared" si="59"/>
        <v>1500</v>
      </c>
      <c r="F1279" s="82">
        <f ca="1" t="shared" si="58"/>
        <v>50500</v>
      </c>
      <c r="G1279" s="78" t="str">
        <f ca="1">IF(AND(LEFT("[{"&amp;M1279&amp;","&amp;CEILING(N1279*10000+(O1279-N1279)/4*(COUNTIF($F$11:F1279,F1279)-1)*10000,10)&amp;"}]",7)="[{equip",MID("[{"&amp;M1279&amp;","&amp;CEILING(N1279*10000+(O1279-N1279)/4*(COUNTIF($F$11:F1279,F1279)-1)*10000,10)&amp;"}]",8,1)&lt;&gt;"_"),"[{"&amp;M1279&amp;","&amp;1&amp;"}]","[{"&amp;M1279&amp;","&amp;CEILING(N1279*10000+(O1279-N1279)/4*(COUNTIF($F$11:F1279,F1279)-1)*10000,10)&amp;"}]")</f>
        <v>[{dmg_red_rate,180}]</v>
      </c>
      <c r="H1279" s="82" t="s">
        <v>563</v>
      </c>
      <c r="J1279" s="78">
        <f ca="1">IF(MOD(COUNTIF($Q$11:Q1278,Q1278),5)=0,OFFSET(装备属性!$P$1083,1+INT(COUNTA($Q$11:Q1278)/5),0),J1278)</f>
        <v>6</v>
      </c>
      <c r="K1279" s="83" t="str">
        <f ca="1">IF(RIGHT(G1279,13)="rune_slot,1}]",_xlfn.XLOOKUP(LEFT(SUBSTITUTE(G1279,"[{",""),FIND(",",SUBSTITUTE(G1279,"[{",""))-1),Sheet2!B:B,Sheet2!C:C)&amp;"+"&amp;1,_xlfn.XLOOKUP(LEFT(SUBSTITUTE(G1279,"[{",""),FIND(",",SUBSTITUTE(G1279,"[{",""))-1),Sheet2!B:B,Sheet2!C:C)&amp;"+"&amp;SUBSTITUTE(RIGHT(G1279,LEN(G1279)-FIND(",",G1279)),"}]","")/100&amp;"%")</f>
        <v>伤害减免+1.8%</v>
      </c>
      <c r="L1279" s="83" t="str">
        <f ca="1">IF(MOD(COUNTIF($Q$11:Q1278,Q1278),5)=0,OFFSET(装备属性!$G$1083,1+INT(COUNTA($Q$11:Q1278)/5),0),L1278)</f>
        <v>全员抗揍Ⅱ</v>
      </c>
      <c r="M1279" s="89" t="str">
        <f ca="1">IF(MOD(COUNTIF($Q$11:Q1278,Q1278),5)=0,OFFSET(装备属性!$H$1083,1+INT(COUNTA($Q$11:Q1278)/5),0),M1278)</f>
        <v>dmg_red_rate</v>
      </c>
      <c r="N1279" s="76">
        <f ca="1">IF(MOD(COUNTIF($Q$11:Q1278,Q1278),5)=0,OFFSET(装备属性!$K$1083,1+INT(COUNTA($Q$11:Q1278)/5),0),N1278)</f>
        <v>0.015</v>
      </c>
      <c r="O1279" s="76">
        <f ca="1">IF(MOD(COUNTIF($Q$11:Q1278,Q1278),5)=0,OFFSET(装备属性!$L$1083,1+INT(COUNTA($Q$11:Q1278)/5),0),O1278)</f>
        <v>0.019</v>
      </c>
      <c r="Q1279" s="89" t="str">
        <f ca="1">IF(MOD(COUNTIF($Q$11:Q1278,Q1278),5)=0,OFFSET(装备属性!$M$1083,1+INT(COUNTA($Q$11:Q1278)/5),0),Q1278)</f>
        <v>通用属性</v>
      </c>
      <c r="R1279" s="83">
        <f ca="1">IF(MOD(COUNTIF($Q$11:Q1278,Q1278),5)=0,10000*SUBSTITUTE(SUBSTITUTE(OFFSET(装备属性!$F$1083,1+INT(COUNTA($Q$11:Q1278)/5),0),"[",""),"]","")+_xlfn.XLOOKUP(C1279,$M$3:$M$7,$N$3:$N$7)*100,R1278)</f>
        <v>50500</v>
      </c>
    </row>
    <row r="1280" customHeight="1" spans="1:18">
      <c r="A1280" s="78">
        <f ca="1" t="shared" si="57"/>
        <v>50501</v>
      </c>
      <c r="B1280" s="82">
        <f ca="1">IFERROR(R1280+COUNTIFS($R$11:$R1280,R1280),"")</f>
        <v>50505</v>
      </c>
      <c r="C1280" s="83" t="str">
        <f ca="1">IF(MOD(COUNTIF($Q$11:Q1279,Q1279),5)=0,OFFSET(装备属性!$D$1083,1+INT(COUNTA($Q$11:Q1279)/5),0),C1279)</f>
        <v>橙</v>
      </c>
      <c r="D1280" s="82">
        <f t="shared" si="59"/>
        <v>1000</v>
      </c>
      <c r="F1280" s="82">
        <f ca="1" t="shared" si="58"/>
        <v>50500</v>
      </c>
      <c r="G1280" s="78" t="str">
        <f ca="1">IF(AND(LEFT("[{"&amp;M1280&amp;","&amp;CEILING(N1280*10000+(O1280-N1280)/4*(COUNTIF($F$11:F1280,F1280)-1)*10000,10)&amp;"}]",7)="[{equip",MID("[{"&amp;M1280&amp;","&amp;CEILING(N1280*10000+(O1280-N1280)/4*(COUNTIF($F$11:F1280,F1280)-1)*10000,10)&amp;"}]",8,1)&lt;&gt;"_"),"[{"&amp;M1280&amp;","&amp;1&amp;"}]","[{"&amp;M1280&amp;","&amp;CEILING(N1280*10000+(O1280-N1280)/4*(COUNTIF($F$11:F1280,F1280)-1)*10000,10)&amp;"}]")</f>
        <v>[{dmg_red_rate,190}]</v>
      </c>
      <c r="H1280" s="82" t="s">
        <v>563</v>
      </c>
      <c r="J1280" s="78">
        <f ca="1">IF(MOD(COUNTIF($Q$11:Q1279,Q1279),5)=0,OFFSET(装备属性!$P$1083,1+INT(COUNTA($Q$11:Q1279)/5),0),J1279)</f>
        <v>6</v>
      </c>
      <c r="K1280" s="83" t="str">
        <f ca="1">IF(RIGHT(G1280,13)="rune_slot,1}]",_xlfn.XLOOKUP(LEFT(SUBSTITUTE(G1280,"[{",""),FIND(",",SUBSTITUTE(G1280,"[{",""))-1),Sheet2!B:B,Sheet2!C:C)&amp;"+"&amp;1,_xlfn.XLOOKUP(LEFT(SUBSTITUTE(G1280,"[{",""),FIND(",",SUBSTITUTE(G1280,"[{",""))-1),Sheet2!B:B,Sheet2!C:C)&amp;"+"&amp;SUBSTITUTE(RIGHT(G1280,LEN(G1280)-FIND(",",G1280)),"}]","")/100&amp;"%")</f>
        <v>伤害减免+1.9%</v>
      </c>
      <c r="L1280" s="83" t="str">
        <f ca="1">IF(MOD(COUNTIF($Q$11:Q1279,Q1279),5)=0,OFFSET(装备属性!$G$1083,1+INT(COUNTA($Q$11:Q1279)/5),0),L1279)</f>
        <v>全员抗揍Ⅱ</v>
      </c>
      <c r="M1280" s="89" t="str">
        <f ca="1">IF(MOD(COUNTIF($Q$11:Q1279,Q1279),5)=0,OFFSET(装备属性!$H$1083,1+INT(COUNTA($Q$11:Q1279)/5),0),M1279)</f>
        <v>dmg_red_rate</v>
      </c>
      <c r="N1280" s="76">
        <f ca="1">IF(MOD(COUNTIF($Q$11:Q1279,Q1279),5)=0,OFFSET(装备属性!$K$1083,1+INT(COUNTA($Q$11:Q1279)/5),0),N1279)</f>
        <v>0.015</v>
      </c>
      <c r="O1280" s="76">
        <f ca="1">IF(MOD(COUNTIF($Q$11:Q1279,Q1279),5)=0,OFFSET(装备属性!$L$1083,1+INT(COUNTA($Q$11:Q1279)/5),0),O1279)</f>
        <v>0.019</v>
      </c>
      <c r="Q1280" s="89" t="str">
        <f ca="1">IF(MOD(COUNTIF($Q$11:Q1279,Q1279),5)=0,OFFSET(装备属性!$M$1083,1+INT(COUNTA($Q$11:Q1279)/5),0),Q1279)</f>
        <v>通用属性</v>
      </c>
      <c r="R1280" s="83">
        <f ca="1">IF(MOD(COUNTIF($Q$11:Q1279,Q1279),5)=0,10000*SUBSTITUTE(SUBSTITUTE(OFFSET(装备属性!$F$1083,1+INT(COUNTA($Q$11:Q1279)/5),0),"[",""),"]","")+_xlfn.XLOOKUP(C1280,$M$3:$M$7,$N$3:$N$7)*100,R1279)</f>
        <v>50500</v>
      </c>
    </row>
    <row r="1281" customHeight="1" spans="1:18">
      <c r="A1281" s="78">
        <f ca="1" t="shared" si="57"/>
        <v>50501</v>
      </c>
      <c r="B1281" s="82">
        <f ca="1">IFERROR(R1281+COUNTIFS($R$11:$R1281,R1281),"")</f>
        <v>50506</v>
      </c>
      <c r="C1281" s="83" t="str">
        <f ca="1">IF(MOD(COUNTIF($Q$11:Q1280,Q1280),5)=0,OFFSET(装备属性!$D$1083,1+INT(COUNTA($Q$11:Q1280)/5),0),C1280)</f>
        <v>橙</v>
      </c>
      <c r="D1281" s="82">
        <f t="shared" si="59"/>
        <v>3000</v>
      </c>
      <c r="F1281" s="82">
        <f ca="1" t="shared" si="58"/>
        <v>50501</v>
      </c>
      <c r="G1281" s="78" t="str">
        <f ca="1">IF(AND(LEFT("[{"&amp;M1281&amp;","&amp;CEILING(N1281*10000+(O1281-N1281)/4*(COUNTIF($F$11:F1281,F1281)-1)*10000,10)&amp;"}]",7)="[{equip",MID("[{"&amp;M1281&amp;","&amp;CEILING(N1281*10000+(O1281-N1281)/4*(COUNTIF($F$11:F1281,F1281)-1)*10000,10)&amp;"}]",8,1)&lt;&gt;"_"),"[{"&amp;M1281&amp;","&amp;1&amp;"}]","[{"&amp;M1281&amp;","&amp;CEILING(N1281*10000+(O1281-N1281)/4*(COUNTIF($F$11:F1281,F1281)-1)*10000,10)&amp;"}]")</f>
        <v>[{all_class_dmg,440}]</v>
      </c>
      <c r="H1281" s="82" t="s">
        <v>563</v>
      </c>
      <c r="J1281" s="78">
        <f ca="1">IF(MOD(COUNTIF($Q$11:Q1280,Q1280),5)=0,OFFSET(装备属性!$P$1083,1+INT(COUNTA($Q$11:Q1280)/5),0),J1280)</f>
        <v>2</v>
      </c>
      <c r="K1281" s="83" t="str">
        <f ca="1">IF(RIGHT(G1281,13)="rune_slot,1}]",_xlfn.XLOOKUP(LEFT(SUBSTITUTE(G1281,"[{",""),FIND(",",SUBSTITUTE(G1281,"[{",""))-1),Sheet2!B:B,Sheet2!C:C)&amp;"+"&amp;1,_xlfn.XLOOKUP(LEFT(SUBSTITUTE(G1281,"[{",""),FIND(",",SUBSTITUTE(G1281,"[{",""))-1),Sheet2!B:B,Sheet2!C:C)&amp;"+"&amp;SUBSTITUTE(RIGHT(G1281,LEN(G1281)-FIND(",",G1281)),"}]","")/100&amp;"%")</f>
        <v>上阵五个不同职业增伤+4.4%</v>
      </c>
      <c r="L1281" s="83" t="str">
        <f ca="1">IF(MOD(COUNTIF($Q$11:Q1280,Q1280),5)=0,OFFSET(装备属性!$G$1083,1+INT(COUNTA($Q$11:Q1280)/5),0),L1280)</f>
        <v>全员出力Ⅱ</v>
      </c>
      <c r="M1281" s="89" t="str">
        <f ca="1">IF(MOD(COUNTIF($Q$11:Q1280,Q1280),5)=0,OFFSET(装备属性!$H$1083,1+INT(COUNTA($Q$11:Q1280)/5),0),M1280)</f>
        <v>all_class_dmg</v>
      </c>
      <c r="N1281" s="76">
        <f ca="1">IF(MOD(COUNTIF($Q$11:Q1280,Q1280),5)=0,OFFSET(装备属性!$K$1083,1+INT(COUNTA($Q$11:Q1280)/5),0),N1280)</f>
        <v>0.044</v>
      </c>
      <c r="O1281" s="76">
        <f ca="1">IF(MOD(COUNTIF($Q$11:Q1280,Q1280),5)=0,OFFSET(装备属性!$L$1083,1+INT(COUNTA($Q$11:Q1280)/5),0),O1280)</f>
        <v>0.058</v>
      </c>
      <c r="Q1281" s="89" t="str">
        <f ca="1">IF(MOD(COUNTIF($Q$11:Q1280,Q1280),5)=0,OFFSET(装备属性!$M$1083,1+INT(COUNTA($Q$11:Q1280)/5),0),Q1280)</f>
        <v>通用属性</v>
      </c>
      <c r="R1281" s="83">
        <f ca="1">IF(MOD(COUNTIF($Q$11:Q1280,Q1280),5)=0,10000*SUBSTITUTE(SUBSTITUTE(OFFSET(装备属性!$F$1083,1+INT(COUNTA($Q$11:Q1280)/5),0),"[",""),"]","")+_xlfn.XLOOKUP(C1281,$M$3:$M$7,$N$3:$N$7)*100,R1280)</f>
        <v>50500</v>
      </c>
    </row>
    <row r="1282" customHeight="1" spans="1:18">
      <c r="A1282" s="78">
        <f ca="1" t="shared" si="57"/>
        <v>50501</v>
      </c>
      <c r="B1282" s="82">
        <f ca="1">IFERROR(R1282+COUNTIFS($R$11:$R1282,R1282),"")</f>
        <v>50507</v>
      </c>
      <c r="C1282" s="83" t="str">
        <f ca="1">IF(MOD(COUNTIF($Q$11:Q1281,Q1281),5)=0,OFFSET(装备属性!$D$1083,1+INT(COUNTA($Q$11:Q1281)/5),0),C1281)</f>
        <v>橙</v>
      </c>
      <c r="D1282" s="82">
        <f t="shared" si="59"/>
        <v>2500</v>
      </c>
      <c r="F1282" s="82">
        <f ca="1" t="shared" si="58"/>
        <v>50501</v>
      </c>
      <c r="G1282" s="78" t="str">
        <f ca="1">IF(AND(LEFT("[{"&amp;M1282&amp;","&amp;CEILING(N1282*10000+(O1282-N1282)/4*(COUNTIF($F$11:F1282,F1282)-1)*10000,10)&amp;"}]",7)="[{equip",MID("[{"&amp;M1282&amp;","&amp;CEILING(N1282*10000+(O1282-N1282)/4*(COUNTIF($F$11:F1282,F1282)-1)*10000,10)&amp;"}]",8,1)&lt;&gt;"_"),"[{"&amp;M1282&amp;","&amp;1&amp;"}]","[{"&amp;M1282&amp;","&amp;CEILING(N1282*10000+(O1282-N1282)/4*(COUNTIF($F$11:F1282,F1282)-1)*10000,10)&amp;"}]")</f>
        <v>[{all_class_dmg,480}]</v>
      </c>
      <c r="H1282" s="82" t="s">
        <v>563</v>
      </c>
      <c r="J1282" s="78">
        <f ca="1">IF(MOD(COUNTIF($Q$11:Q1281,Q1281),5)=0,OFFSET(装备属性!$P$1083,1+INT(COUNTA($Q$11:Q1281)/5),0),J1281)</f>
        <v>2</v>
      </c>
      <c r="K1282" s="83" t="str">
        <f ca="1">IF(RIGHT(G1282,13)="rune_slot,1}]",_xlfn.XLOOKUP(LEFT(SUBSTITUTE(G1282,"[{",""),FIND(",",SUBSTITUTE(G1282,"[{",""))-1),Sheet2!B:B,Sheet2!C:C)&amp;"+"&amp;1,_xlfn.XLOOKUP(LEFT(SUBSTITUTE(G1282,"[{",""),FIND(",",SUBSTITUTE(G1282,"[{",""))-1),Sheet2!B:B,Sheet2!C:C)&amp;"+"&amp;SUBSTITUTE(RIGHT(G1282,LEN(G1282)-FIND(",",G1282)),"}]","")/100&amp;"%")</f>
        <v>上阵五个不同职业增伤+4.8%</v>
      </c>
      <c r="L1282" s="83" t="str">
        <f ca="1">IF(MOD(COUNTIF($Q$11:Q1281,Q1281),5)=0,OFFSET(装备属性!$G$1083,1+INT(COUNTA($Q$11:Q1281)/5),0),L1281)</f>
        <v>全员出力Ⅱ</v>
      </c>
      <c r="M1282" s="89" t="str">
        <f ca="1">IF(MOD(COUNTIF($Q$11:Q1281,Q1281),5)=0,OFFSET(装备属性!$H$1083,1+INT(COUNTA($Q$11:Q1281)/5),0),M1281)</f>
        <v>all_class_dmg</v>
      </c>
      <c r="N1282" s="76">
        <f ca="1">IF(MOD(COUNTIF($Q$11:Q1281,Q1281),5)=0,OFFSET(装备属性!$K$1083,1+INT(COUNTA($Q$11:Q1281)/5),0),N1281)</f>
        <v>0.044</v>
      </c>
      <c r="O1282" s="76">
        <f ca="1">IF(MOD(COUNTIF($Q$11:Q1281,Q1281),5)=0,OFFSET(装备属性!$L$1083,1+INT(COUNTA($Q$11:Q1281)/5),0),O1281)</f>
        <v>0.058</v>
      </c>
      <c r="Q1282" s="89" t="str">
        <f ca="1">IF(MOD(COUNTIF($Q$11:Q1281,Q1281),5)=0,OFFSET(装备属性!$M$1083,1+INT(COUNTA($Q$11:Q1281)/5),0),Q1281)</f>
        <v>通用属性</v>
      </c>
      <c r="R1282" s="83">
        <f ca="1">IF(MOD(COUNTIF($Q$11:Q1281,Q1281),5)=0,10000*SUBSTITUTE(SUBSTITUTE(OFFSET(装备属性!$F$1083,1+INT(COUNTA($Q$11:Q1281)/5),0),"[",""),"]","")+_xlfn.XLOOKUP(C1282,$M$3:$M$7,$N$3:$N$7)*100,R1281)</f>
        <v>50500</v>
      </c>
    </row>
    <row r="1283" customHeight="1" spans="1:18">
      <c r="A1283" s="78">
        <f ca="1" t="shared" si="57"/>
        <v>50501</v>
      </c>
      <c r="B1283" s="82">
        <f ca="1">IFERROR(R1283+COUNTIFS($R$11:$R1283,R1283),"")</f>
        <v>50508</v>
      </c>
      <c r="C1283" s="83" t="str">
        <f ca="1">IF(MOD(COUNTIF($Q$11:Q1282,Q1282),5)=0,OFFSET(装备属性!$D$1083,1+INT(COUNTA($Q$11:Q1282)/5),0),C1282)</f>
        <v>橙</v>
      </c>
      <c r="D1283" s="82">
        <f t="shared" si="59"/>
        <v>2000</v>
      </c>
      <c r="F1283" s="82">
        <f ca="1" t="shared" si="58"/>
        <v>50501</v>
      </c>
      <c r="G1283" s="78" t="str">
        <f ca="1">IF(AND(LEFT("[{"&amp;M1283&amp;","&amp;CEILING(N1283*10000+(O1283-N1283)/4*(COUNTIF($F$11:F1283,F1283)-1)*10000,10)&amp;"}]",7)="[{equip",MID("[{"&amp;M1283&amp;","&amp;CEILING(N1283*10000+(O1283-N1283)/4*(COUNTIF($F$11:F1283,F1283)-1)*10000,10)&amp;"}]",8,1)&lt;&gt;"_"),"[{"&amp;M1283&amp;","&amp;1&amp;"}]","[{"&amp;M1283&amp;","&amp;CEILING(N1283*10000+(O1283-N1283)/4*(COUNTIF($F$11:F1283,F1283)-1)*10000,10)&amp;"}]")</f>
        <v>[{all_class_dmg,510}]</v>
      </c>
      <c r="H1283" s="82" t="s">
        <v>563</v>
      </c>
      <c r="J1283" s="78">
        <f ca="1">IF(MOD(COUNTIF($Q$11:Q1282,Q1282),5)=0,OFFSET(装备属性!$P$1083,1+INT(COUNTA($Q$11:Q1282)/5),0),J1282)</f>
        <v>2</v>
      </c>
      <c r="K1283" s="83" t="str">
        <f ca="1">IF(RIGHT(G1283,13)="rune_slot,1}]",_xlfn.XLOOKUP(LEFT(SUBSTITUTE(G1283,"[{",""),FIND(",",SUBSTITUTE(G1283,"[{",""))-1),Sheet2!B:B,Sheet2!C:C)&amp;"+"&amp;1,_xlfn.XLOOKUP(LEFT(SUBSTITUTE(G1283,"[{",""),FIND(",",SUBSTITUTE(G1283,"[{",""))-1),Sheet2!B:B,Sheet2!C:C)&amp;"+"&amp;SUBSTITUTE(RIGHT(G1283,LEN(G1283)-FIND(",",G1283)),"}]","")/100&amp;"%")</f>
        <v>上阵五个不同职业增伤+5.1%</v>
      </c>
      <c r="L1283" s="83" t="str">
        <f ca="1">IF(MOD(COUNTIF($Q$11:Q1282,Q1282),5)=0,OFFSET(装备属性!$G$1083,1+INT(COUNTA($Q$11:Q1282)/5),0),L1282)</f>
        <v>全员出力Ⅱ</v>
      </c>
      <c r="M1283" s="89" t="str">
        <f ca="1">IF(MOD(COUNTIF($Q$11:Q1282,Q1282),5)=0,OFFSET(装备属性!$H$1083,1+INT(COUNTA($Q$11:Q1282)/5),0),M1282)</f>
        <v>all_class_dmg</v>
      </c>
      <c r="N1283" s="76">
        <f ca="1">IF(MOD(COUNTIF($Q$11:Q1282,Q1282),5)=0,OFFSET(装备属性!$K$1083,1+INT(COUNTA($Q$11:Q1282)/5),0),N1282)</f>
        <v>0.044</v>
      </c>
      <c r="O1283" s="76">
        <f ca="1">IF(MOD(COUNTIF($Q$11:Q1282,Q1282),5)=0,OFFSET(装备属性!$L$1083,1+INT(COUNTA($Q$11:Q1282)/5),0),O1282)</f>
        <v>0.058</v>
      </c>
      <c r="Q1283" s="89" t="str">
        <f ca="1">IF(MOD(COUNTIF($Q$11:Q1282,Q1282),5)=0,OFFSET(装备属性!$M$1083,1+INT(COUNTA($Q$11:Q1282)/5),0),Q1282)</f>
        <v>通用属性</v>
      </c>
      <c r="R1283" s="83">
        <f ca="1">IF(MOD(COUNTIF($Q$11:Q1282,Q1282),5)=0,10000*SUBSTITUTE(SUBSTITUTE(OFFSET(装备属性!$F$1083,1+INT(COUNTA($Q$11:Q1282)/5),0),"[",""),"]","")+_xlfn.XLOOKUP(C1283,$M$3:$M$7,$N$3:$N$7)*100,R1282)</f>
        <v>50500</v>
      </c>
    </row>
    <row r="1284" customHeight="1" spans="1:18">
      <c r="A1284" s="78">
        <f ca="1" t="shared" si="57"/>
        <v>50501</v>
      </c>
      <c r="B1284" s="82">
        <f ca="1">IFERROR(R1284+COUNTIFS($R$11:$R1284,R1284),"")</f>
        <v>50509</v>
      </c>
      <c r="C1284" s="83" t="str">
        <f ca="1">IF(MOD(COUNTIF($Q$11:Q1283,Q1283),5)=0,OFFSET(装备属性!$D$1083,1+INT(COUNTA($Q$11:Q1283)/5),0),C1283)</f>
        <v>橙</v>
      </c>
      <c r="D1284" s="82">
        <f t="shared" si="59"/>
        <v>1500</v>
      </c>
      <c r="F1284" s="82">
        <f ca="1" t="shared" si="58"/>
        <v>50501</v>
      </c>
      <c r="G1284" s="78" t="str">
        <f ca="1">IF(AND(LEFT("[{"&amp;M1284&amp;","&amp;CEILING(N1284*10000+(O1284-N1284)/4*(COUNTIF($F$11:F1284,F1284)-1)*10000,10)&amp;"}]",7)="[{equip",MID("[{"&amp;M1284&amp;","&amp;CEILING(N1284*10000+(O1284-N1284)/4*(COUNTIF($F$11:F1284,F1284)-1)*10000,10)&amp;"}]",8,1)&lt;&gt;"_"),"[{"&amp;M1284&amp;","&amp;1&amp;"}]","[{"&amp;M1284&amp;","&amp;CEILING(N1284*10000+(O1284-N1284)/4*(COUNTIF($F$11:F1284,F1284)-1)*10000,10)&amp;"}]")</f>
        <v>[{all_class_dmg,550}]</v>
      </c>
      <c r="H1284" s="82" t="s">
        <v>563</v>
      </c>
      <c r="J1284" s="78">
        <f ca="1">IF(MOD(COUNTIF($Q$11:Q1283,Q1283),5)=0,OFFSET(装备属性!$P$1083,1+INT(COUNTA($Q$11:Q1283)/5),0),J1283)</f>
        <v>2</v>
      </c>
      <c r="K1284" s="83" t="str">
        <f ca="1">IF(RIGHT(G1284,13)="rune_slot,1}]",_xlfn.XLOOKUP(LEFT(SUBSTITUTE(G1284,"[{",""),FIND(",",SUBSTITUTE(G1284,"[{",""))-1),Sheet2!B:B,Sheet2!C:C)&amp;"+"&amp;1,_xlfn.XLOOKUP(LEFT(SUBSTITUTE(G1284,"[{",""),FIND(",",SUBSTITUTE(G1284,"[{",""))-1),Sheet2!B:B,Sheet2!C:C)&amp;"+"&amp;SUBSTITUTE(RIGHT(G1284,LEN(G1284)-FIND(",",G1284)),"}]","")/100&amp;"%")</f>
        <v>上阵五个不同职业增伤+5.5%</v>
      </c>
      <c r="L1284" s="83" t="str">
        <f ca="1">IF(MOD(COUNTIF($Q$11:Q1283,Q1283),5)=0,OFFSET(装备属性!$G$1083,1+INT(COUNTA($Q$11:Q1283)/5),0),L1283)</f>
        <v>全员出力Ⅱ</v>
      </c>
      <c r="M1284" s="89" t="str">
        <f ca="1">IF(MOD(COUNTIF($Q$11:Q1283,Q1283),5)=0,OFFSET(装备属性!$H$1083,1+INT(COUNTA($Q$11:Q1283)/5),0),M1283)</f>
        <v>all_class_dmg</v>
      </c>
      <c r="N1284" s="76">
        <f ca="1">IF(MOD(COUNTIF($Q$11:Q1283,Q1283),5)=0,OFFSET(装备属性!$K$1083,1+INT(COUNTA($Q$11:Q1283)/5),0),N1283)</f>
        <v>0.044</v>
      </c>
      <c r="O1284" s="76">
        <f ca="1">IF(MOD(COUNTIF($Q$11:Q1283,Q1283),5)=0,OFFSET(装备属性!$L$1083,1+INT(COUNTA($Q$11:Q1283)/5),0),O1283)</f>
        <v>0.058</v>
      </c>
      <c r="Q1284" s="89" t="str">
        <f ca="1">IF(MOD(COUNTIF($Q$11:Q1283,Q1283),5)=0,OFFSET(装备属性!$M$1083,1+INT(COUNTA($Q$11:Q1283)/5),0),Q1283)</f>
        <v>通用属性</v>
      </c>
      <c r="R1284" s="83">
        <f ca="1">IF(MOD(COUNTIF($Q$11:Q1283,Q1283),5)=0,10000*SUBSTITUTE(SUBSTITUTE(OFFSET(装备属性!$F$1083,1+INT(COUNTA($Q$11:Q1283)/5),0),"[",""),"]","")+_xlfn.XLOOKUP(C1284,$M$3:$M$7,$N$3:$N$7)*100,R1283)</f>
        <v>50500</v>
      </c>
    </row>
    <row r="1285" customHeight="1" spans="1:18">
      <c r="A1285" s="78">
        <f ca="1" t="shared" si="57"/>
        <v>50501</v>
      </c>
      <c r="B1285" s="82">
        <f ca="1">IFERROR(R1285+COUNTIFS($R$11:$R1285,R1285),"")</f>
        <v>50510</v>
      </c>
      <c r="C1285" s="83" t="str">
        <f ca="1">IF(MOD(COUNTIF($Q$11:Q1284,Q1284),5)=0,OFFSET(装备属性!$D$1083,1+INT(COUNTA($Q$11:Q1284)/5),0),C1284)</f>
        <v>橙</v>
      </c>
      <c r="D1285" s="82">
        <f t="shared" si="59"/>
        <v>1000</v>
      </c>
      <c r="F1285" s="82">
        <f ca="1" t="shared" si="58"/>
        <v>50501</v>
      </c>
      <c r="G1285" s="78" t="str">
        <f ca="1">IF(AND(LEFT("[{"&amp;M1285&amp;","&amp;CEILING(N1285*10000+(O1285-N1285)/4*(COUNTIF($F$11:F1285,F1285)-1)*10000,10)&amp;"}]",7)="[{equip",MID("[{"&amp;M1285&amp;","&amp;CEILING(N1285*10000+(O1285-N1285)/4*(COUNTIF($F$11:F1285,F1285)-1)*10000,10)&amp;"}]",8,1)&lt;&gt;"_"),"[{"&amp;M1285&amp;","&amp;1&amp;"}]","[{"&amp;M1285&amp;","&amp;CEILING(N1285*10000+(O1285-N1285)/4*(COUNTIF($F$11:F1285,F1285)-1)*10000,10)&amp;"}]")</f>
        <v>[{all_class_dmg,580}]</v>
      </c>
      <c r="H1285" s="82" t="s">
        <v>563</v>
      </c>
      <c r="J1285" s="78">
        <f ca="1">IF(MOD(COUNTIF($Q$11:Q1284,Q1284),5)=0,OFFSET(装备属性!$P$1083,1+INT(COUNTA($Q$11:Q1284)/5),0),J1284)</f>
        <v>2</v>
      </c>
      <c r="K1285" s="83" t="str">
        <f ca="1">IF(RIGHT(G1285,13)="rune_slot,1}]",_xlfn.XLOOKUP(LEFT(SUBSTITUTE(G1285,"[{",""),FIND(",",SUBSTITUTE(G1285,"[{",""))-1),Sheet2!B:B,Sheet2!C:C)&amp;"+"&amp;1,_xlfn.XLOOKUP(LEFT(SUBSTITUTE(G1285,"[{",""),FIND(",",SUBSTITUTE(G1285,"[{",""))-1),Sheet2!B:B,Sheet2!C:C)&amp;"+"&amp;SUBSTITUTE(RIGHT(G1285,LEN(G1285)-FIND(",",G1285)),"}]","")/100&amp;"%")</f>
        <v>上阵五个不同职业增伤+5.8%</v>
      </c>
      <c r="L1285" s="83" t="str">
        <f ca="1">IF(MOD(COUNTIF($Q$11:Q1284,Q1284),5)=0,OFFSET(装备属性!$G$1083,1+INT(COUNTA($Q$11:Q1284)/5),0),L1284)</f>
        <v>全员出力Ⅱ</v>
      </c>
      <c r="M1285" s="89" t="str">
        <f ca="1">IF(MOD(COUNTIF($Q$11:Q1284,Q1284),5)=0,OFFSET(装备属性!$H$1083,1+INT(COUNTA($Q$11:Q1284)/5),0),M1284)</f>
        <v>all_class_dmg</v>
      </c>
      <c r="N1285" s="76">
        <f ca="1">IF(MOD(COUNTIF($Q$11:Q1284,Q1284),5)=0,OFFSET(装备属性!$K$1083,1+INT(COUNTA($Q$11:Q1284)/5),0),N1284)</f>
        <v>0.044</v>
      </c>
      <c r="O1285" s="76">
        <f ca="1">IF(MOD(COUNTIF($Q$11:Q1284,Q1284),5)=0,OFFSET(装备属性!$L$1083,1+INT(COUNTA($Q$11:Q1284)/5),0),O1284)</f>
        <v>0.058</v>
      </c>
      <c r="Q1285" s="89" t="str">
        <f ca="1">IF(MOD(COUNTIF($Q$11:Q1284,Q1284),5)=0,OFFSET(装备属性!$M$1083,1+INT(COUNTA($Q$11:Q1284)/5),0),Q1284)</f>
        <v>通用属性</v>
      </c>
      <c r="R1285" s="83">
        <f ca="1">IF(MOD(COUNTIF($Q$11:Q1284,Q1284),5)=0,10000*SUBSTITUTE(SUBSTITUTE(OFFSET(装备属性!$F$1083,1+INT(COUNTA($Q$11:Q1284)/5),0),"[",""),"]","")+_xlfn.XLOOKUP(C1285,$M$3:$M$7,$N$3:$N$7)*100,R1284)</f>
        <v>50500</v>
      </c>
    </row>
    <row r="1286" customHeight="1" spans="1:18">
      <c r="A1286" s="78" t="str">
        <f ca="1" t="shared" si="57"/>
        <v/>
      </c>
      <c r="B1286" s="82" t="str">
        <f ca="1">IFERROR(R1286+COUNTIFS($R$11:$R1286,R1286),"")</f>
        <v/>
      </c>
      <c r="C1286" s="83">
        <f ca="1">IF(MOD(COUNTIF($Q$11:Q1285,Q1285),5)=0,OFFSET(装备属性!$D$1083,1+INT(COUNTA($Q$11:Q1285)/5),0),C1285)</f>
        <v>0</v>
      </c>
      <c r="D1286" s="82">
        <f t="shared" si="59"/>
        <v>3000</v>
      </c>
      <c r="F1286" s="82" t="str">
        <f ca="1" t="shared" si="58"/>
        <v/>
      </c>
      <c r="G1286" s="78" t="str">
        <f ca="1">IF(AND(LEFT("[{"&amp;M1286&amp;","&amp;CEILING(N1286*10000+(O1286-N1286)/4*(COUNTIF($F$11:F1286,F1286)-1)*10000,10)&amp;"}]",7)="[{equip",MID("[{"&amp;M1286&amp;","&amp;CEILING(N1286*10000+(O1286-N1286)/4*(COUNTIF($F$11:F1286,F1286)-1)*10000,10)&amp;"}]",8,1)&lt;&gt;"_"),"[{"&amp;M1286&amp;","&amp;1&amp;"}]","[{"&amp;M1286&amp;","&amp;CEILING(N1286*10000+(O1286-N1286)/4*(COUNTIF($F$11:F1286,F1286)-1)*10000,10)&amp;"}]")</f>
        <v>[{exp_boost,2000}]</v>
      </c>
      <c r="H1286" s="82" t="s">
        <v>563</v>
      </c>
      <c r="J1286" s="78">
        <f ca="1">IF(MOD(COUNTIF($Q$11:Q1285,Q1285),5)=0,OFFSET(装备属性!$P$1083,1+INT(COUNTA($Q$11:Q1285)/5),0),J1285)</f>
        <v>9</v>
      </c>
      <c r="K1286" s="83" t="str">
        <f ca="1">IF(RIGHT(G1286,13)="rune_slot,1}]",_xlfn.XLOOKUP(LEFT(SUBSTITUTE(G1286,"[{",""),FIND(",",SUBSTITUTE(G1286,"[{",""))-1),Sheet2!B:B,Sheet2!C:C)&amp;"+"&amp;1,_xlfn.XLOOKUP(LEFT(SUBSTITUTE(G1286,"[{",""),FIND(",",SUBSTITUTE(G1286,"[{",""))-1),Sheet2!B:B,Sheet2!C:C)&amp;"+"&amp;SUBSTITUTE(RIGHT(G1286,LEN(G1286)-FIND(",",G1286)),"}]","")/100&amp;"%")</f>
        <v>经验加成+20%</v>
      </c>
      <c r="L1286" s="83" t="str">
        <f ca="1">IF(MOD(COUNTIF($Q$11:Q1285,Q1285),5)=0,OFFSET(装备属性!$G$1083,1+INT(COUNTA($Q$11:Q1285)/5),0),L1285)</f>
        <v>涨见识</v>
      </c>
      <c r="M1286" s="89" t="str">
        <f ca="1">IF(MOD(COUNTIF($Q$11:Q1285,Q1285),5)=0,OFFSET(装备属性!$H$1083,1+INT(COUNTA($Q$11:Q1285)/5),0),M1285)</f>
        <v>exp_boost</v>
      </c>
      <c r="N1286" s="76">
        <f ca="1">IF(MOD(COUNTIF($Q$11:Q1285,Q1285),5)=0,OFFSET(装备属性!$K$1083,1+INT(COUNTA($Q$11:Q1285)/5),0),N1285)</f>
        <v>0.2</v>
      </c>
      <c r="O1286" s="76">
        <f ca="1">IF(MOD(COUNTIF($Q$11:Q1285,Q1285),5)=0,OFFSET(装备属性!$L$1083,1+INT(COUNTA($Q$11:Q1285)/5),0),O1285)</f>
        <v>0.2</v>
      </c>
      <c r="Q1286" s="89" t="str">
        <f ca="1">IF(MOD(COUNTIF($Q$11:Q1285,Q1285),5)=0,OFFSET(装备属性!$M$1083,1+INT(COUNTA($Q$11:Q1285)/5),0),Q1285)</f>
        <v>稀有词条</v>
      </c>
      <c r="R1286" s="83" t="e">
        <f ca="1">IF(MOD(COUNTIF($Q$11:Q1285,Q1285),5)=0,10000*SUBSTITUTE(SUBSTITUTE(OFFSET(装备属性!$F$1083,1+INT(COUNTA($Q$11:Q1285)/5),0),"[",""),"]","")+_xlfn.XLOOKUP(C1286,$M$3:$M$7,$N$3:$N$7)*100,R1285)</f>
        <v>#N/A</v>
      </c>
    </row>
    <row r="1287" customHeight="1" spans="1:18">
      <c r="A1287" s="78" t="str">
        <f ca="1" t="shared" si="57"/>
        <v/>
      </c>
      <c r="B1287" s="82" t="str">
        <f ca="1">IFERROR(R1287+COUNTIFS($R$11:$R1287,R1287),"")</f>
        <v/>
      </c>
      <c r="C1287" s="83">
        <f ca="1">IF(MOD(COUNTIF($Q$11:Q1286,Q1286),5)=0,OFFSET(装备属性!$D$1083,1+INT(COUNTA($Q$11:Q1286)/5),0),C1286)</f>
        <v>0</v>
      </c>
      <c r="D1287" s="82">
        <f t="shared" si="59"/>
        <v>2500</v>
      </c>
      <c r="F1287" s="82" t="str">
        <f ca="1" t="shared" si="58"/>
        <v/>
      </c>
      <c r="G1287" s="78" t="str">
        <f ca="1">IF(AND(LEFT("[{"&amp;M1287&amp;","&amp;CEILING(N1287*10000+(O1287-N1287)/4*(COUNTIF($F$11:F1287,F1287)-1)*10000,10)&amp;"}]",7)="[{equip",MID("[{"&amp;M1287&amp;","&amp;CEILING(N1287*10000+(O1287-N1287)/4*(COUNTIF($F$11:F1287,F1287)-1)*10000,10)&amp;"}]",8,1)&lt;&gt;"_"),"[{"&amp;M1287&amp;","&amp;1&amp;"}]","[{"&amp;M1287&amp;","&amp;CEILING(N1287*10000+(O1287-N1287)/4*(COUNTIF($F$11:F1287,F1287)-1)*10000,10)&amp;"}]")</f>
        <v>[{exp_boost,2000}]</v>
      </c>
      <c r="H1287" s="82" t="s">
        <v>563</v>
      </c>
      <c r="J1287" s="78">
        <f ca="1">IF(MOD(COUNTIF($Q$11:Q1286,Q1286),5)=0,OFFSET(装备属性!$P$1083,1+INT(COUNTA($Q$11:Q1286)/5),0),J1286)</f>
        <v>9</v>
      </c>
      <c r="K1287" s="83" t="str">
        <f ca="1">IF(RIGHT(G1287,13)="rune_slot,1}]",_xlfn.XLOOKUP(LEFT(SUBSTITUTE(G1287,"[{",""),FIND(",",SUBSTITUTE(G1287,"[{",""))-1),Sheet2!B:B,Sheet2!C:C)&amp;"+"&amp;1,_xlfn.XLOOKUP(LEFT(SUBSTITUTE(G1287,"[{",""),FIND(",",SUBSTITUTE(G1287,"[{",""))-1),Sheet2!B:B,Sheet2!C:C)&amp;"+"&amp;SUBSTITUTE(RIGHT(G1287,LEN(G1287)-FIND(",",G1287)),"}]","")/100&amp;"%")</f>
        <v>经验加成+20%</v>
      </c>
      <c r="L1287" s="83" t="str">
        <f ca="1">IF(MOD(COUNTIF($Q$11:Q1286,Q1286),5)=0,OFFSET(装备属性!$G$1083,1+INT(COUNTA($Q$11:Q1286)/5),0),L1286)</f>
        <v>涨见识</v>
      </c>
      <c r="M1287" s="89" t="str">
        <f ca="1">IF(MOD(COUNTIF($Q$11:Q1286,Q1286),5)=0,OFFSET(装备属性!$H$1083,1+INT(COUNTA($Q$11:Q1286)/5),0),M1286)</f>
        <v>exp_boost</v>
      </c>
      <c r="N1287" s="76">
        <f ca="1">IF(MOD(COUNTIF($Q$11:Q1286,Q1286),5)=0,OFFSET(装备属性!$K$1083,1+INT(COUNTA($Q$11:Q1286)/5),0),N1286)</f>
        <v>0.2</v>
      </c>
      <c r="O1287" s="76">
        <f ca="1">IF(MOD(COUNTIF($Q$11:Q1286,Q1286),5)=0,OFFSET(装备属性!$L$1083,1+INT(COUNTA($Q$11:Q1286)/5),0),O1286)</f>
        <v>0.2</v>
      </c>
      <c r="Q1287" s="89" t="str">
        <f ca="1">IF(MOD(COUNTIF($Q$11:Q1286,Q1286),5)=0,OFFSET(装备属性!$M$1083,1+INT(COUNTA($Q$11:Q1286)/5),0),Q1286)</f>
        <v>稀有词条</v>
      </c>
      <c r="R1287" s="83" t="e">
        <f ca="1">IF(MOD(COUNTIF($Q$11:Q1286,Q1286),5)=0,10000*SUBSTITUTE(SUBSTITUTE(OFFSET(装备属性!$F$1083,1+INT(COUNTA($Q$11:Q1286)/5),0),"[",""),"]","")+_xlfn.XLOOKUP(C1287,$M$3:$M$7,$N$3:$N$7)*100,R1286)</f>
        <v>#N/A</v>
      </c>
    </row>
    <row r="1288" customHeight="1" spans="1:18">
      <c r="A1288" s="78" t="str">
        <f ca="1" t="shared" si="57"/>
        <v/>
      </c>
      <c r="B1288" s="82" t="str">
        <f ca="1">IFERROR(R1288+COUNTIFS($R$11:$R1288,R1288),"")</f>
        <v/>
      </c>
      <c r="C1288" s="83">
        <f ca="1">IF(MOD(COUNTIF($Q$11:Q1287,Q1287),5)=0,OFFSET(装备属性!$D$1083,1+INT(COUNTA($Q$11:Q1287)/5),0),C1287)</f>
        <v>0</v>
      </c>
      <c r="D1288" s="82">
        <f t="shared" si="59"/>
        <v>2000</v>
      </c>
      <c r="F1288" s="82" t="str">
        <f ca="1" t="shared" si="58"/>
        <v/>
      </c>
      <c r="G1288" s="78" t="str">
        <f ca="1">IF(AND(LEFT("[{"&amp;M1288&amp;","&amp;CEILING(N1288*10000+(O1288-N1288)/4*(COUNTIF($F$11:F1288,F1288)-1)*10000,10)&amp;"}]",7)="[{equip",MID("[{"&amp;M1288&amp;","&amp;CEILING(N1288*10000+(O1288-N1288)/4*(COUNTIF($F$11:F1288,F1288)-1)*10000,10)&amp;"}]",8,1)&lt;&gt;"_"),"[{"&amp;M1288&amp;","&amp;1&amp;"}]","[{"&amp;M1288&amp;","&amp;CEILING(N1288*10000+(O1288-N1288)/4*(COUNTIF($F$11:F1288,F1288)-1)*10000,10)&amp;"}]")</f>
        <v>[{exp_boost,2000}]</v>
      </c>
      <c r="H1288" s="82" t="s">
        <v>563</v>
      </c>
      <c r="J1288" s="78">
        <f ca="1">IF(MOD(COUNTIF($Q$11:Q1287,Q1287),5)=0,OFFSET(装备属性!$P$1083,1+INT(COUNTA($Q$11:Q1287)/5),0),J1287)</f>
        <v>9</v>
      </c>
      <c r="K1288" s="83" t="str">
        <f ca="1">IF(RIGHT(G1288,13)="rune_slot,1}]",_xlfn.XLOOKUP(LEFT(SUBSTITUTE(G1288,"[{",""),FIND(",",SUBSTITUTE(G1288,"[{",""))-1),Sheet2!B:B,Sheet2!C:C)&amp;"+"&amp;1,_xlfn.XLOOKUP(LEFT(SUBSTITUTE(G1288,"[{",""),FIND(",",SUBSTITUTE(G1288,"[{",""))-1),Sheet2!B:B,Sheet2!C:C)&amp;"+"&amp;SUBSTITUTE(RIGHT(G1288,LEN(G1288)-FIND(",",G1288)),"}]","")/100&amp;"%")</f>
        <v>经验加成+20%</v>
      </c>
      <c r="L1288" s="83" t="str">
        <f ca="1">IF(MOD(COUNTIF($Q$11:Q1287,Q1287),5)=0,OFFSET(装备属性!$G$1083,1+INT(COUNTA($Q$11:Q1287)/5),0),L1287)</f>
        <v>涨见识</v>
      </c>
      <c r="M1288" s="89" t="str">
        <f ca="1">IF(MOD(COUNTIF($Q$11:Q1287,Q1287),5)=0,OFFSET(装备属性!$H$1083,1+INT(COUNTA($Q$11:Q1287)/5),0),M1287)</f>
        <v>exp_boost</v>
      </c>
      <c r="N1288" s="76">
        <f ca="1">IF(MOD(COUNTIF($Q$11:Q1287,Q1287),5)=0,OFFSET(装备属性!$K$1083,1+INT(COUNTA($Q$11:Q1287)/5),0),N1287)</f>
        <v>0.2</v>
      </c>
      <c r="O1288" s="76">
        <f ca="1">IF(MOD(COUNTIF($Q$11:Q1287,Q1287),5)=0,OFFSET(装备属性!$L$1083,1+INT(COUNTA($Q$11:Q1287)/5),0),O1287)</f>
        <v>0.2</v>
      </c>
      <c r="Q1288" s="89" t="str">
        <f ca="1">IF(MOD(COUNTIF($Q$11:Q1287,Q1287),5)=0,OFFSET(装备属性!$M$1083,1+INT(COUNTA($Q$11:Q1287)/5),0),Q1287)</f>
        <v>稀有词条</v>
      </c>
      <c r="R1288" s="83" t="e">
        <f ca="1">IF(MOD(COUNTIF($Q$11:Q1287,Q1287),5)=0,10000*SUBSTITUTE(SUBSTITUTE(OFFSET(装备属性!$F$1083,1+INT(COUNTA($Q$11:Q1287)/5),0),"[",""),"]","")+_xlfn.XLOOKUP(C1288,$M$3:$M$7,$N$3:$N$7)*100,R1287)</f>
        <v>#N/A</v>
      </c>
    </row>
    <row r="1289" customHeight="1" spans="1:18">
      <c r="A1289" s="78" t="str">
        <f ca="1" t="shared" si="57"/>
        <v/>
      </c>
      <c r="B1289" s="82" t="str">
        <f ca="1">IFERROR(R1289+COUNTIFS($R$11:$R1289,R1289),"")</f>
        <v/>
      </c>
      <c r="C1289" s="83">
        <f ca="1">IF(MOD(COUNTIF($Q$11:Q1288,Q1288),5)=0,OFFSET(装备属性!$D$1083,1+INT(COUNTA($Q$11:Q1288)/5),0),C1288)</f>
        <v>0</v>
      </c>
      <c r="D1289" s="82">
        <f t="shared" si="59"/>
        <v>1500</v>
      </c>
      <c r="F1289" s="82" t="str">
        <f ca="1" t="shared" si="58"/>
        <v/>
      </c>
      <c r="G1289" s="78" t="str">
        <f ca="1">IF(AND(LEFT("[{"&amp;M1289&amp;","&amp;CEILING(N1289*10000+(O1289-N1289)/4*(COUNTIF($F$11:F1289,F1289)-1)*10000,10)&amp;"}]",7)="[{equip",MID("[{"&amp;M1289&amp;","&amp;CEILING(N1289*10000+(O1289-N1289)/4*(COUNTIF($F$11:F1289,F1289)-1)*10000,10)&amp;"}]",8,1)&lt;&gt;"_"),"[{"&amp;M1289&amp;","&amp;1&amp;"}]","[{"&amp;M1289&amp;","&amp;CEILING(N1289*10000+(O1289-N1289)/4*(COUNTIF($F$11:F1289,F1289)-1)*10000,10)&amp;"}]")</f>
        <v>[{exp_boost,2000}]</v>
      </c>
      <c r="H1289" s="82" t="s">
        <v>563</v>
      </c>
      <c r="J1289" s="78">
        <f ca="1">IF(MOD(COUNTIF($Q$11:Q1288,Q1288),5)=0,OFFSET(装备属性!$P$1083,1+INT(COUNTA($Q$11:Q1288)/5),0),J1288)</f>
        <v>9</v>
      </c>
      <c r="K1289" s="83" t="str">
        <f ca="1">IF(RIGHT(G1289,13)="rune_slot,1}]",_xlfn.XLOOKUP(LEFT(SUBSTITUTE(G1289,"[{",""),FIND(",",SUBSTITUTE(G1289,"[{",""))-1),Sheet2!B:B,Sheet2!C:C)&amp;"+"&amp;1,_xlfn.XLOOKUP(LEFT(SUBSTITUTE(G1289,"[{",""),FIND(",",SUBSTITUTE(G1289,"[{",""))-1),Sheet2!B:B,Sheet2!C:C)&amp;"+"&amp;SUBSTITUTE(RIGHT(G1289,LEN(G1289)-FIND(",",G1289)),"}]","")/100&amp;"%")</f>
        <v>经验加成+20%</v>
      </c>
      <c r="L1289" s="83" t="str">
        <f ca="1">IF(MOD(COUNTIF($Q$11:Q1288,Q1288),5)=0,OFFSET(装备属性!$G$1083,1+INT(COUNTA($Q$11:Q1288)/5),0),L1288)</f>
        <v>涨见识</v>
      </c>
      <c r="M1289" s="89" t="str">
        <f ca="1">IF(MOD(COUNTIF($Q$11:Q1288,Q1288),5)=0,OFFSET(装备属性!$H$1083,1+INT(COUNTA($Q$11:Q1288)/5),0),M1288)</f>
        <v>exp_boost</v>
      </c>
      <c r="N1289" s="76">
        <f ca="1">IF(MOD(COUNTIF($Q$11:Q1288,Q1288),5)=0,OFFSET(装备属性!$K$1083,1+INT(COUNTA($Q$11:Q1288)/5),0),N1288)</f>
        <v>0.2</v>
      </c>
      <c r="O1289" s="76">
        <f ca="1">IF(MOD(COUNTIF($Q$11:Q1288,Q1288),5)=0,OFFSET(装备属性!$L$1083,1+INT(COUNTA($Q$11:Q1288)/5),0),O1288)</f>
        <v>0.2</v>
      </c>
      <c r="Q1289" s="89" t="str">
        <f ca="1">IF(MOD(COUNTIF($Q$11:Q1288,Q1288),5)=0,OFFSET(装备属性!$M$1083,1+INT(COUNTA($Q$11:Q1288)/5),0),Q1288)</f>
        <v>稀有词条</v>
      </c>
      <c r="R1289" s="83" t="e">
        <f ca="1">IF(MOD(COUNTIF($Q$11:Q1288,Q1288),5)=0,10000*SUBSTITUTE(SUBSTITUTE(OFFSET(装备属性!$F$1083,1+INT(COUNTA($Q$11:Q1288)/5),0),"[",""),"]","")+_xlfn.XLOOKUP(C1289,$M$3:$M$7,$N$3:$N$7)*100,R1288)</f>
        <v>#N/A</v>
      </c>
    </row>
    <row r="1290" customHeight="1" spans="1:18">
      <c r="A1290" s="78" t="str">
        <f ca="1" t="shared" si="57"/>
        <v/>
      </c>
      <c r="B1290" s="82" t="str">
        <f ca="1">IFERROR(R1290+COUNTIFS($R$11:$R1290,R1290),"")</f>
        <v/>
      </c>
      <c r="C1290" s="83">
        <f ca="1">IF(MOD(COUNTIF($Q$11:Q1289,Q1289),5)=0,OFFSET(装备属性!$D$1083,1+INT(COUNTA($Q$11:Q1289)/5),0),C1289)</f>
        <v>0</v>
      </c>
      <c r="D1290" s="82">
        <f t="shared" si="59"/>
        <v>1000</v>
      </c>
      <c r="F1290" s="82" t="str">
        <f ca="1" t="shared" si="58"/>
        <v/>
      </c>
      <c r="G1290" s="78" t="str">
        <f ca="1">IF(AND(LEFT("[{"&amp;M1290&amp;","&amp;CEILING(N1290*10000+(O1290-N1290)/4*(COUNTIF($F$11:F1290,F1290)-1)*10000,10)&amp;"}]",7)="[{equip",MID("[{"&amp;M1290&amp;","&amp;CEILING(N1290*10000+(O1290-N1290)/4*(COUNTIF($F$11:F1290,F1290)-1)*10000,10)&amp;"}]",8,1)&lt;&gt;"_"),"[{"&amp;M1290&amp;","&amp;1&amp;"}]","[{"&amp;M1290&amp;","&amp;CEILING(N1290*10000+(O1290-N1290)/4*(COUNTIF($F$11:F1290,F1290)-1)*10000,10)&amp;"}]")</f>
        <v>[{exp_boost,2000}]</v>
      </c>
      <c r="H1290" s="82" t="s">
        <v>563</v>
      </c>
      <c r="J1290" s="78">
        <f ca="1">IF(MOD(COUNTIF($Q$11:Q1289,Q1289),5)=0,OFFSET(装备属性!$P$1083,1+INT(COUNTA($Q$11:Q1289)/5),0),J1289)</f>
        <v>9</v>
      </c>
      <c r="K1290" s="83" t="str">
        <f ca="1">IF(RIGHT(G1290,13)="rune_slot,1}]",_xlfn.XLOOKUP(LEFT(SUBSTITUTE(G1290,"[{",""),FIND(",",SUBSTITUTE(G1290,"[{",""))-1),Sheet2!B:B,Sheet2!C:C)&amp;"+"&amp;1,_xlfn.XLOOKUP(LEFT(SUBSTITUTE(G1290,"[{",""),FIND(",",SUBSTITUTE(G1290,"[{",""))-1),Sheet2!B:B,Sheet2!C:C)&amp;"+"&amp;SUBSTITUTE(RIGHT(G1290,LEN(G1290)-FIND(",",G1290)),"}]","")/100&amp;"%")</f>
        <v>经验加成+20%</v>
      </c>
      <c r="L1290" s="83" t="str">
        <f ca="1">IF(MOD(COUNTIF($Q$11:Q1289,Q1289),5)=0,OFFSET(装备属性!$G$1083,1+INT(COUNTA($Q$11:Q1289)/5),0),L1289)</f>
        <v>涨见识</v>
      </c>
      <c r="M1290" s="89" t="str">
        <f ca="1">IF(MOD(COUNTIF($Q$11:Q1289,Q1289),5)=0,OFFSET(装备属性!$H$1083,1+INT(COUNTA($Q$11:Q1289)/5),0),M1289)</f>
        <v>exp_boost</v>
      </c>
      <c r="N1290" s="76">
        <f ca="1">IF(MOD(COUNTIF($Q$11:Q1289,Q1289),5)=0,OFFSET(装备属性!$K$1083,1+INT(COUNTA($Q$11:Q1289)/5),0),N1289)</f>
        <v>0.2</v>
      </c>
      <c r="O1290" s="76">
        <f ca="1">IF(MOD(COUNTIF($Q$11:Q1289,Q1289),5)=0,OFFSET(装备属性!$L$1083,1+INT(COUNTA($Q$11:Q1289)/5),0),O1289)</f>
        <v>0.2</v>
      </c>
      <c r="Q1290" s="89" t="str">
        <f ca="1">IF(MOD(COUNTIF($Q$11:Q1289,Q1289),5)=0,OFFSET(装备属性!$M$1083,1+INT(COUNTA($Q$11:Q1289)/5),0),Q1289)</f>
        <v>稀有词条</v>
      </c>
      <c r="R1290" s="83" t="e">
        <f ca="1">IF(MOD(COUNTIF($Q$11:Q1289,Q1289),5)=0,10000*SUBSTITUTE(SUBSTITUTE(OFFSET(装备属性!$F$1083,1+INT(COUNTA($Q$11:Q1289)/5),0),"[",""),"]","")+_xlfn.XLOOKUP(C1290,$M$3:$M$7,$N$3:$N$7)*100,R1289)</f>
        <v>#N/A</v>
      </c>
    </row>
    <row r="1291" customHeight="1" spans="1:18">
      <c r="A1291" s="78" t="str">
        <f ca="1" t="shared" si="57"/>
        <v/>
      </c>
      <c r="B1291" s="82" t="str">
        <f ca="1">IFERROR(R1291+COUNTIFS($R$11:$R1291,R1291),"")</f>
        <v/>
      </c>
      <c r="C1291" s="83">
        <f ca="1">IF(MOD(COUNTIF($Q$11:Q1290,Q1290),5)=0,OFFSET(装备属性!$D$1083,1+INT(COUNTA($Q$11:Q1290)/5),0),C1290)</f>
        <v>0</v>
      </c>
      <c r="D1291" s="82">
        <f t="shared" si="59"/>
        <v>3000</v>
      </c>
      <c r="F1291" s="82" t="str">
        <f ca="1" t="shared" si="58"/>
        <v/>
      </c>
      <c r="G1291" s="78" t="str">
        <f ca="1">IF(AND(LEFT("[{"&amp;M1291&amp;","&amp;CEILING(N1291*10000+(O1291-N1291)/4*(COUNTIF($F$11:F1291,F1291)-1)*10000,10)&amp;"}]",7)="[{equip",MID("[{"&amp;M1291&amp;","&amp;CEILING(N1291*10000+(O1291-N1291)/4*(COUNTIF($F$11:F1291,F1291)-1)*10000,10)&amp;"}]",8,1)&lt;&gt;"_"),"[{"&amp;M1291&amp;","&amp;1&amp;"}]","[{"&amp;M1291&amp;","&amp;CEILING(N1291*10000+(O1291-N1291)/4*(COUNTIF($F$11:F1291,F1291)-1)*10000,10)&amp;"}]")</f>
        <v>[{equip_base_attr,2500}]</v>
      </c>
      <c r="H1291" s="82" t="s">
        <v>563</v>
      </c>
      <c r="J1291" s="78">
        <f ca="1">IF(MOD(COUNTIF($Q$11:Q1290,Q1290),5)=0,OFFSET(装备属性!$P$1083,1+INT(COUNTA($Q$11:Q1290)/5),0),J1290)</f>
        <v>7</v>
      </c>
      <c r="K1291" s="83" t="str">
        <f ca="1">IF(RIGHT(G1291,13)="rune_slot,1}]",_xlfn.XLOOKUP(LEFT(SUBSTITUTE(G1291,"[{",""),FIND(",",SUBSTITUTE(G1291,"[{",""))-1),Sheet2!B:B,Sheet2!C:C)&amp;"+"&amp;1,_xlfn.XLOOKUP(LEFT(SUBSTITUTE(G1291,"[{",""),FIND(",",SUBSTITUTE(G1291,"[{",""))-1),Sheet2!B:B,Sheet2!C:C)&amp;"+"&amp;SUBSTITUTE(RIGHT(G1291,LEN(G1291)-FIND(",",G1291)),"}]","")/100&amp;"%")</f>
        <v>装备基础属性加成+25%</v>
      </c>
      <c r="L1291" s="83" t="str">
        <f ca="1">IF(MOD(COUNTIF($Q$11:Q1290,Q1290),5)=0,OFFSET(装备属性!$G$1083,1+INT(COUNTA($Q$11:Q1290)/5),0),L1290)</f>
        <v>厚底子</v>
      </c>
      <c r="M1291" s="89" t="str">
        <f ca="1">IF(MOD(COUNTIF($Q$11:Q1290,Q1290),5)=0,OFFSET(装备属性!$H$1083,1+INT(COUNTA($Q$11:Q1290)/5),0),M1290)</f>
        <v>equip_base_attr</v>
      </c>
      <c r="N1291" s="76">
        <f ca="1">IF(MOD(COUNTIF($Q$11:Q1290,Q1290),5)=0,OFFSET(装备属性!$K$1083,1+INT(COUNTA($Q$11:Q1290)/5),0),N1290)</f>
        <v>0.25</v>
      </c>
      <c r="O1291" s="76">
        <f ca="1">IF(MOD(COUNTIF($Q$11:Q1290,Q1290),5)=0,OFFSET(装备属性!$L$1083,1+INT(COUNTA($Q$11:Q1290)/5),0),O1290)</f>
        <v>0.25</v>
      </c>
      <c r="Q1291" s="89" t="str">
        <f ca="1">IF(MOD(COUNTIF($Q$11:Q1290,Q1290),5)=0,OFFSET(装备属性!$M$1083,1+INT(COUNTA($Q$11:Q1290)/5),0),Q1290)</f>
        <v>稀有词条</v>
      </c>
      <c r="R1291" s="83" t="e">
        <f ca="1">IF(MOD(COUNTIF($Q$11:Q1290,Q1290),5)=0,10000*SUBSTITUTE(SUBSTITUTE(OFFSET(装备属性!$F$1083,1+INT(COUNTA($Q$11:Q1290)/5),0),"[",""),"]","")+_xlfn.XLOOKUP(C1291,$M$3:$M$7,$N$3:$N$7)*100,R1290)</f>
        <v>#N/A</v>
      </c>
    </row>
    <row r="1292" customHeight="1" spans="1:18">
      <c r="A1292" s="78" t="str">
        <f ca="1" t="shared" ref="A1292:A1355" si="60">IFERROR(R1292+IF(Q1292="通用属性",1,IF(Q1292="玩法类",2,IF(Q1292="稀有词条",3,0))),"")</f>
        <v/>
      </c>
      <c r="B1292" s="82" t="str">
        <f ca="1">IFERROR(R1292+COUNTIFS($R$11:$R1292,R1292),"")</f>
        <v/>
      </c>
      <c r="C1292" s="83">
        <f ca="1">IF(MOD(COUNTIF($Q$11:Q1291,Q1291),5)=0,OFFSET(装备属性!$D$1083,1+INT(COUNTA($Q$11:Q1291)/5),0),C1291)</f>
        <v>0</v>
      </c>
      <c r="D1292" s="82">
        <f t="shared" si="59"/>
        <v>2500</v>
      </c>
      <c r="F1292" s="82" t="str">
        <f ca="1" t="shared" ref="F1292:F1355" si="61">IFERROR(R1292+INT((B1292-R1292-1)/5),"")</f>
        <v/>
      </c>
      <c r="G1292" s="78" t="str">
        <f ca="1">IF(AND(LEFT("[{"&amp;M1292&amp;","&amp;CEILING(N1292*10000+(O1292-N1292)/4*(COUNTIF($F$11:F1292,F1292)-1)*10000,10)&amp;"}]",7)="[{equip",MID("[{"&amp;M1292&amp;","&amp;CEILING(N1292*10000+(O1292-N1292)/4*(COUNTIF($F$11:F1292,F1292)-1)*10000,10)&amp;"}]",8,1)&lt;&gt;"_"),"[{"&amp;M1292&amp;","&amp;1&amp;"}]","[{"&amp;M1292&amp;","&amp;CEILING(N1292*10000+(O1292-N1292)/4*(COUNTIF($F$11:F1292,F1292)-1)*10000,10)&amp;"}]")</f>
        <v>[{equip_base_attr,2500}]</v>
      </c>
      <c r="H1292" s="82" t="s">
        <v>563</v>
      </c>
      <c r="J1292" s="78">
        <f ca="1">IF(MOD(COUNTIF($Q$11:Q1291,Q1291),5)=0,OFFSET(装备属性!$P$1083,1+INT(COUNTA($Q$11:Q1291)/5),0),J1291)</f>
        <v>7</v>
      </c>
      <c r="K1292" s="83" t="str">
        <f ca="1">IF(RIGHT(G1292,13)="rune_slot,1}]",_xlfn.XLOOKUP(LEFT(SUBSTITUTE(G1292,"[{",""),FIND(",",SUBSTITUTE(G1292,"[{",""))-1),Sheet2!B:B,Sheet2!C:C)&amp;"+"&amp;1,_xlfn.XLOOKUP(LEFT(SUBSTITUTE(G1292,"[{",""),FIND(",",SUBSTITUTE(G1292,"[{",""))-1),Sheet2!B:B,Sheet2!C:C)&amp;"+"&amp;SUBSTITUTE(RIGHT(G1292,LEN(G1292)-FIND(",",G1292)),"}]","")/100&amp;"%")</f>
        <v>装备基础属性加成+25%</v>
      </c>
      <c r="L1292" s="83" t="str">
        <f ca="1">IF(MOD(COUNTIF($Q$11:Q1291,Q1291),5)=0,OFFSET(装备属性!$G$1083,1+INT(COUNTA($Q$11:Q1291)/5),0),L1291)</f>
        <v>厚底子</v>
      </c>
      <c r="M1292" s="89" t="str">
        <f ca="1">IF(MOD(COUNTIF($Q$11:Q1291,Q1291),5)=0,OFFSET(装备属性!$H$1083,1+INT(COUNTA($Q$11:Q1291)/5),0),M1291)</f>
        <v>equip_base_attr</v>
      </c>
      <c r="N1292" s="76">
        <f ca="1">IF(MOD(COUNTIF($Q$11:Q1291,Q1291),5)=0,OFFSET(装备属性!$K$1083,1+INT(COUNTA($Q$11:Q1291)/5),0),N1291)</f>
        <v>0.25</v>
      </c>
      <c r="O1292" s="76">
        <f ca="1">IF(MOD(COUNTIF($Q$11:Q1291,Q1291),5)=0,OFFSET(装备属性!$L$1083,1+INT(COUNTA($Q$11:Q1291)/5),0),O1291)</f>
        <v>0.25</v>
      </c>
      <c r="Q1292" s="89" t="str">
        <f ca="1">IF(MOD(COUNTIF($Q$11:Q1291,Q1291),5)=0,OFFSET(装备属性!$M$1083,1+INT(COUNTA($Q$11:Q1291)/5),0),Q1291)</f>
        <v>稀有词条</v>
      </c>
      <c r="R1292" s="83" t="e">
        <f ca="1">IF(MOD(COUNTIF($Q$11:Q1291,Q1291),5)=0,10000*SUBSTITUTE(SUBSTITUTE(OFFSET(装备属性!$F$1083,1+INT(COUNTA($Q$11:Q1291)/5),0),"[",""),"]","")+_xlfn.XLOOKUP(C1292,$M$3:$M$7,$N$3:$N$7)*100,R1291)</f>
        <v>#N/A</v>
      </c>
    </row>
    <row r="1293" customHeight="1" spans="1:18">
      <c r="A1293" s="78" t="str">
        <f ca="1" t="shared" si="60"/>
        <v/>
      </c>
      <c r="B1293" s="82" t="str">
        <f ca="1">IFERROR(R1293+COUNTIFS($R$11:$R1293,R1293),"")</f>
        <v/>
      </c>
      <c r="C1293" s="83">
        <f ca="1">IF(MOD(COUNTIF($Q$11:Q1292,Q1292),5)=0,OFFSET(装备属性!$D$1083,1+INT(COUNTA($Q$11:Q1292)/5),0),C1292)</f>
        <v>0</v>
      </c>
      <c r="D1293" s="82">
        <f t="shared" si="59"/>
        <v>2000</v>
      </c>
      <c r="F1293" s="82" t="str">
        <f ca="1" t="shared" si="61"/>
        <v/>
      </c>
      <c r="G1293" s="78" t="str">
        <f ca="1">IF(AND(LEFT("[{"&amp;M1293&amp;","&amp;CEILING(N1293*10000+(O1293-N1293)/4*(COUNTIF($F$11:F1293,F1293)-1)*10000,10)&amp;"}]",7)="[{equip",MID("[{"&amp;M1293&amp;","&amp;CEILING(N1293*10000+(O1293-N1293)/4*(COUNTIF($F$11:F1293,F1293)-1)*10000,10)&amp;"}]",8,1)&lt;&gt;"_"),"[{"&amp;M1293&amp;","&amp;1&amp;"}]","[{"&amp;M1293&amp;","&amp;CEILING(N1293*10000+(O1293-N1293)/4*(COUNTIF($F$11:F1293,F1293)-1)*10000,10)&amp;"}]")</f>
        <v>[{equip_base_attr,2500}]</v>
      </c>
      <c r="H1293" s="82" t="s">
        <v>563</v>
      </c>
      <c r="J1293" s="78">
        <f ca="1">IF(MOD(COUNTIF($Q$11:Q1292,Q1292),5)=0,OFFSET(装备属性!$P$1083,1+INT(COUNTA($Q$11:Q1292)/5),0),J1292)</f>
        <v>7</v>
      </c>
      <c r="K1293" s="83" t="str">
        <f ca="1">IF(RIGHT(G1293,13)="rune_slot,1}]",_xlfn.XLOOKUP(LEFT(SUBSTITUTE(G1293,"[{",""),FIND(",",SUBSTITUTE(G1293,"[{",""))-1),Sheet2!B:B,Sheet2!C:C)&amp;"+"&amp;1,_xlfn.XLOOKUP(LEFT(SUBSTITUTE(G1293,"[{",""),FIND(",",SUBSTITUTE(G1293,"[{",""))-1),Sheet2!B:B,Sheet2!C:C)&amp;"+"&amp;SUBSTITUTE(RIGHT(G1293,LEN(G1293)-FIND(",",G1293)),"}]","")/100&amp;"%")</f>
        <v>装备基础属性加成+25%</v>
      </c>
      <c r="L1293" s="83" t="str">
        <f ca="1">IF(MOD(COUNTIF($Q$11:Q1292,Q1292),5)=0,OFFSET(装备属性!$G$1083,1+INT(COUNTA($Q$11:Q1292)/5),0),L1292)</f>
        <v>厚底子</v>
      </c>
      <c r="M1293" s="89" t="str">
        <f ca="1">IF(MOD(COUNTIF($Q$11:Q1292,Q1292),5)=0,OFFSET(装备属性!$H$1083,1+INT(COUNTA($Q$11:Q1292)/5),0),M1292)</f>
        <v>equip_base_attr</v>
      </c>
      <c r="N1293" s="76">
        <f ca="1">IF(MOD(COUNTIF($Q$11:Q1292,Q1292),5)=0,OFFSET(装备属性!$K$1083,1+INT(COUNTA($Q$11:Q1292)/5),0),N1292)</f>
        <v>0.25</v>
      </c>
      <c r="O1293" s="76">
        <f ca="1">IF(MOD(COUNTIF($Q$11:Q1292,Q1292),5)=0,OFFSET(装备属性!$L$1083,1+INT(COUNTA($Q$11:Q1292)/5),0),O1292)</f>
        <v>0.25</v>
      </c>
      <c r="Q1293" s="89" t="str">
        <f ca="1">IF(MOD(COUNTIF($Q$11:Q1292,Q1292),5)=0,OFFSET(装备属性!$M$1083,1+INT(COUNTA($Q$11:Q1292)/5),0),Q1292)</f>
        <v>稀有词条</v>
      </c>
      <c r="R1293" s="83" t="e">
        <f ca="1">IF(MOD(COUNTIF($Q$11:Q1292,Q1292),5)=0,10000*SUBSTITUTE(SUBSTITUTE(OFFSET(装备属性!$F$1083,1+INT(COUNTA($Q$11:Q1292)/5),0),"[",""),"]","")+_xlfn.XLOOKUP(C1293,$M$3:$M$7,$N$3:$N$7)*100,R1292)</f>
        <v>#N/A</v>
      </c>
    </row>
    <row r="1294" customHeight="1" spans="1:18">
      <c r="A1294" s="78" t="str">
        <f ca="1" t="shared" si="60"/>
        <v/>
      </c>
      <c r="B1294" s="82" t="str">
        <f ca="1">IFERROR(R1294+COUNTIFS($R$11:$R1294,R1294),"")</f>
        <v/>
      </c>
      <c r="C1294" s="83">
        <f ca="1">IF(MOD(COUNTIF($Q$11:Q1293,Q1293),5)=0,OFFSET(装备属性!$D$1083,1+INT(COUNTA($Q$11:Q1293)/5),0),C1293)</f>
        <v>0</v>
      </c>
      <c r="D1294" s="82">
        <f t="shared" si="59"/>
        <v>1500</v>
      </c>
      <c r="F1294" s="82" t="str">
        <f ca="1" t="shared" si="61"/>
        <v/>
      </c>
      <c r="G1294" s="78" t="str">
        <f ca="1">IF(AND(LEFT("[{"&amp;M1294&amp;","&amp;CEILING(N1294*10000+(O1294-N1294)/4*(COUNTIF($F$11:F1294,F1294)-1)*10000,10)&amp;"}]",7)="[{equip",MID("[{"&amp;M1294&amp;","&amp;CEILING(N1294*10000+(O1294-N1294)/4*(COUNTIF($F$11:F1294,F1294)-1)*10000,10)&amp;"}]",8,1)&lt;&gt;"_"),"[{"&amp;M1294&amp;","&amp;1&amp;"}]","[{"&amp;M1294&amp;","&amp;CEILING(N1294*10000+(O1294-N1294)/4*(COUNTIF($F$11:F1294,F1294)-1)*10000,10)&amp;"}]")</f>
        <v>[{equip_base_attr,2500}]</v>
      </c>
      <c r="H1294" s="82" t="s">
        <v>563</v>
      </c>
      <c r="J1294" s="78">
        <f ca="1">IF(MOD(COUNTIF($Q$11:Q1293,Q1293),5)=0,OFFSET(装备属性!$P$1083,1+INT(COUNTA($Q$11:Q1293)/5),0),J1293)</f>
        <v>7</v>
      </c>
      <c r="K1294" s="83" t="str">
        <f ca="1">IF(RIGHT(G1294,13)="rune_slot,1}]",_xlfn.XLOOKUP(LEFT(SUBSTITUTE(G1294,"[{",""),FIND(",",SUBSTITUTE(G1294,"[{",""))-1),Sheet2!B:B,Sheet2!C:C)&amp;"+"&amp;1,_xlfn.XLOOKUP(LEFT(SUBSTITUTE(G1294,"[{",""),FIND(",",SUBSTITUTE(G1294,"[{",""))-1),Sheet2!B:B,Sheet2!C:C)&amp;"+"&amp;SUBSTITUTE(RIGHT(G1294,LEN(G1294)-FIND(",",G1294)),"}]","")/100&amp;"%")</f>
        <v>装备基础属性加成+25%</v>
      </c>
      <c r="L1294" s="83" t="str">
        <f ca="1">IF(MOD(COUNTIF($Q$11:Q1293,Q1293),5)=0,OFFSET(装备属性!$G$1083,1+INT(COUNTA($Q$11:Q1293)/5),0),L1293)</f>
        <v>厚底子</v>
      </c>
      <c r="M1294" s="89" t="str">
        <f ca="1">IF(MOD(COUNTIF($Q$11:Q1293,Q1293),5)=0,OFFSET(装备属性!$H$1083,1+INT(COUNTA($Q$11:Q1293)/5),0),M1293)</f>
        <v>equip_base_attr</v>
      </c>
      <c r="N1294" s="76">
        <f ca="1">IF(MOD(COUNTIF($Q$11:Q1293,Q1293),5)=0,OFFSET(装备属性!$K$1083,1+INT(COUNTA($Q$11:Q1293)/5),0),N1293)</f>
        <v>0.25</v>
      </c>
      <c r="O1294" s="76">
        <f ca="1">IF(MOD(COUNTIF($Q$11:Q1293,Q1293),5)=0,OFFSET(装备属性!$L$1083,1+INT(COUNTA($Q$11:Q1293)/5),0),O1293)</f>
        <v>0.25</v>
      </c>
      <c r="Q1294" s="89" t="str">
        <f ca="1">IF(MOD(COUNTIF($Q$11:Q1293,Q1293),5)=0,OFFSET(装备属性!$M$1083,1+INT(COUNTA($Q$11:Q1293)/5),0),Q1293)</f>
        <v>稀有词条</v>
      </c>
      <c r="R1294" s="83" t="e">
        <f ca="1">IF(MOD(COUNTIF($Q$11:Q1293,Q1293),5)=0,10000*SUBSTITUTE(SUBSTITUTE(OFFSET(装备属性!$F$1083,1+INT(COUNTA($Q$11:Q1293)/5),0),"[",""),"]","")+_xlfn.XLOOKUP(C1294,$M$3:$M$7,$N$3:$N$7)*100,R1293)</f>
        <v>#N/A</v>
      </c>
    </row>
    <row r="1295" customHeight="1" spans="1:18">
      <c r="A1295" s="78" t="str">
        <f ca="1" t="shared" si="60"/>
        <v/>
      </c>
      <c r="B1295" s="82" t="str">
        <f ca="1">IFERROR(R1295+COUNTIFS($R$11:$R1295,R1295),"")</f>
        <v/>
      </c>
      <c r="C1295" s="83">
        <f ca="1">IF(MOD(COUNTIF($Q$11:Q1294,Q1294),5)=0,OFFSET(装备属性!$D$1083,1+INT(COUNTA($Q$11:Q1294)/5),0),C1294)</f>
        <v>0</v>
      </c>
      <c r="D1295" s="82">
        <f t="shared" si="59"/>
        <v>1000</v>
      </c>
      <c r="F1295" s="82" t="str">
        <f ca="1" t="shared" si="61"/>
        <v/>
      </c>
      <c r="G1295" s="78" t="str">
        <f ca="1">IF(AND(LEFT("[{"&amp;M1295&amp;","&amp;CEILING(N1295*10000+(O1295-N1295)/4*(COUNTIF($F$11:F1295,F1295)-1)*10000,10)&amp;"}]",7)="[{equip",MID("[{"&amp;M1295&amp;","&amp;CEILING(N1295*10000+(O1295-N1295)/4*(COUNTIF($F$11:F1295,F1295)-1)*10000,10)&amp;"}]",8,1)&lt;&gt;"_"),"[{"&amp;M1295&amp;","&amp;1&amp;"}]","[{"&amp;M1295&amp;","&amp;CEILING(N1295*10000+(O1295-N1295)/4*(COUNTIF($F$11:F1295,F1295)-1)*10000,10)&amp;"}]")</f>
        <v>[{equip_base_attr,2500}]</v>
      </c>
      <c r="H1295" s="82" t="s">
        <v>563</v>
      </c>
      <c r="J1295" s="78">
        <f ca="1">IF(MOD(COUNTIF($Q$11:Q1294,Q1294),5)=0,OFFSET(装备属性!$P$1083,1+INT(COUNTA($Q$11:Q1294)/5),0),J1294)</f>
        <v>7</v>
      </c>
      <c r="K1295" s="83" t="str">
        <f ca="1">IF(RIGHT(G1295,13)="rune_slot,1}]",_xlfn.XLOOKUP(LEFT(SUBSTITUTE(G1295,"[{",""),FIND(",",SUBSTITUTE(G1295,"[{",""))-1),Sheet2!B:B,Sheet2!C:C)&amp;"+"&amp;1,_xlfn.XLOOKUP(LEFT(SUBSTITUTE(G1295,"[{",""),FIND(",",SUBSTITUTE(G1295,"[{",""))-1),Sheet2!B:B,Sheet2!C:C)&amp;"+"&amp;SUBSTITUTE(RIGHT(G1295,LEN(G1295)-FIND(",",G1295)),"}]","")/100&amp;"%")</f>
        <v>装备基础属性加成+25%</v>
      </c>
      <c r="L1295" s="83" t="str">
        <f ca="1">IF(MOD(COUNTIF($Q$11:Q1294,Q1294),5)=0,OFFSET(装备属性!$G$1083,1+INT(COUNTA($Q$11:Q1294)/5),0),L1294)</f>
        <v>厚底子</v>
      </c>
      <c r="M1295" s="89" t="str">
        <f ca="1">IF(MOD(COUNTIF($Q$11:Q1294,Q1294),5)=0,OFFSET(装备属性!$H$1083,1+INT(COUNTA($Q$11:Q1294)/5),0),M1294)</f>
        <v>equip_base_attr</v>
      </c>
      <c r="N1295" s="76">
        <f ca="1">IF(MOD(COUNTIF($Q$11:Q1294,Q1294),5)=0,OFFSET(装备属性!$K$1083,1+INT(COUNTA($Q$11:Q1294)/5),0),N1294)</f>
        <v>0.25</v>
      </c>
      <c r="O1295" s="76">
        <f ca="1">IF(MOD(COUNTIF($Q$11:Q1294,Q1294),5)=0,OFFSET(装备属性!$L$1083,1+INT(COUNTA($Q$11:Q1294)/5),0),O1294)</f>
        <v>0.25</v>
      </c>
      <c r="Q1295" s="89" t="str">
        <f ca="1">IF(MOD(COUNTIF($Q$11:Q1294,Q1294),5)=0,OFFSET(装备属性!$M$1083,1+INT(COUNTA($Q$11:Q1294)/5),0),Q1294)</f>
        <v>稀有词条</v>
      </c>
      <c r="R1295" s="83" t="e">
        <f ca="1">IF(MOD(COUNTIF($Q$11:Q1294,Q1294),5)=0,10000*SUBSTITUTE(SUBSTITUTE(OFFSET(装备属性!$F$1083,1+INT(COUNTA($Q$11:Q1294)/5),0),"[",""),"]","")+_xlfn.XLOOKUP(C1295,$M$3:$M$7,$N$3:$N$7)*100,R1294)</f>
        <v>#N/A</v>
      </c>
    </row>
    <row r="1296" customHeight="1" spans="1:18">
      <c r="A1296" s="78" t="str">
        <f ca="1" t="shared" si="60"/>
        <v/>
      </c>
      <c r="B1296" s="82" t="str">
        <f ca="1">IFERROR(R1296+COUNTIFS($R$11:$R1296,R1296),"")</f>
        <v/>
      </c>
      <c r="C1296" s="83">
        <f ca="1">IF(MOD(COUNTIF($Q$11:Q1295,Q1295),5)=0,OFFSET(装备属性!$D$1083,1+INT(COUNTA($Q$11:Q1295)/5),0),C1295)</f>
        <v>0</v>
      </c>
      <c r="D1296" s="82">
        <f t="shared" si="59"/>
        <v>3000</v>
      </c>
      <c r="F1296" s="82" t="str">
        <f ca="1" t="shared" si="61"/>
        <v/>
      </c>
      <c r="G1296" s="78" t="str">
        <f ca="1">IF(AND(LEFT("[{"&amp;M1296&amp;","&amp;CEILING(N1296*10000+(O1296-N1296)/4*(COUNTIF($F$11:F1296,F1296)-1)*10000,10)&amp;"}]",7)="[{equip",MID("[{"&amp;M1296&amp;","&amp;CEILING(N1296*10000+(O1296-N1296)/4*(COUNTIF($F$11:F1296,F1296)-1)*10000,10)&amp;"}]",8,1)&lt;&gt;"_"),"[{"&amp;M1296&amp;","&amp;1&amp;"}]","[{"&amp;M1296&amp;","&amp;CEILING(N1296*10000+(O1296-N1296)/4*(COUNTIF($F$11:F1296,F1296)-1)*10000,10)&amp;"}]")</f>
        <v>[{equip_extra_attr,5000}]</v>
      </c>
      <c r="H1296" s="82" t="s">
        <v>563</v>
      </c>
      <c r="J1296" s="78">
        <f ca="1">IF(MOD(COUNTIF($Q$11:Q1295,Q1295),5)=0,OFFSET(装备属性!$P$1083,1+INT(COUNTA($Q$11:Q1295)/5),0),J1295)</f>
        <v>8</v>
      </c>
      <c r="K1296" s="83" t="str">
        <f ca="1">IF(RIGHT(G1296,13)="rune_slot,1}]",_xlfn.XLOOKUP(LEFT(SUBSTITUTE(G1296,"[{",""),FIND(",",SUBSTITUTE(G1296,"[{",""))-1),Sheet2!B:B,Sheet2!C:C)&amp;"+"&amp;1,_xlfn.XLOOKUP(LEFT(SUBSTITUTE(G1296,"[{",""),FIND(",",SUBSTITUTE(G1296,"[{",""))-1),Sheet2!B:B,Sheet2!C:C)&amp;"+"&amp;SUBSTITUTE(RIGHT(G1296,LEN(G1296)-FIND(",",G1296)),"}]","")/100&amp;"%")</f>
        <v>装备附加属性加成+50%</v>
      </c>
      <c r="L1296" s="83" t="str">
        <f ca="1">IF(MOD(COUNTIF($Q$11:Q1295,Q1295),5)=0,OFFSET(装备属性!$G$1083,1+INT(COUNTA($Q$11:Q1295)/5),0),L1295)</f>
        <v>提成色</v>
      </c>
      <c r="M1296" s="89" t="str">
        <f ca="1">IF(MOD(COUNTIF($Q$11:Q1295,Q1295),5)=0,OFFSET(装备属性!$H$1083,1+INT(COUNTA($Q$11:Q1295)/5),0),M1295)</f>
        <v>equip_extra_attr</v>
      </c>
      <c r="N1296" s="76">
        <f ca="1">IF(MOD(COUNTIF($Q$11:Q1295,Q1295),5)=0,OFFSET(装备属性!$K$1083,1+INT(COUNTA($Q$11:Q1295)/5),0),N1295)</f>
        <v>0.5</v>
      </c>
      <c r="O1296" s="76">
        <f ca="1">IF(MOD(COUNTIF($Q$11:Q1295,Q1295),5)=0,OFFSET(装备属性!$L$1083,1+INT(COUNTA($Q$11:Q1295)/5),0),O1295)</f>
        <v>0.5</v>
      </c>
      <c r="Q1296" s="89" t="str">
        <f ca="1">IF(MOD(COUNTIF($Q$11:Q1295,Q1295),5)=0,OFFSET(装备属性!$M$1083,1+INT(COUNTA($Q$11:Q1295)/5),0),Q1295)</f>
        <v>稀有词条</v>
      </c>
      <c r="R1296" s="83" t="e">
        <f ca="1">IF(MOD(COUNTIF($Q$11:Q1295,Q1295),5)=0,10000*SUBSTITUTE(SUBSTITUTE(OFFSET(装备属性!$F$1083,1+INT(COUNTA($Q$11:Q1295)/5),0),"[",""),"]","")+_xlfn.XLOOKUP(C1296,$M$3:$M$7,$N$3:$N$7)*100,R1295)</f>
        <v>#N/A</v>
      </c>
    </row>
    <row r="1297" customHeight="1" spans="1:18">
      <c r="A1297" s="78" t="str">
        <f ca="1" t="shared" si="60"/>
        <v/>
      </c>
      <c r="B1297" s="82" t="str">
        <f ca="1">IFERROR(R1297+COUNTIFS($R$11:$R1297,R1297),"")</f>
        <v/>
      </c>
      <c r="C1297" s="83">
        <f ca="1">IF(MOD(COUNTIF($Q$11:Q1296,Q1296),5)=0,OFFSET(装备属性!$D$1083,1+INT(COUNTA($Q$11:Q1296)/5),0),C1296)</f>
        <v>0</v>
      </c>
      <c r="D1297" s="82">
        <f t="shared" ref="D1297:D1360" si="62">D1292</f>
        <v>2500</v>
      </c>
      <c r="F1297" s="82" t="str">
        <f ca="1" t="shared" si="61"/>
        <v/>
      </c>
      <c r="G1297" s="78" t="str">
        <f ca="1">IF(AND(LEFT("[{"&amp;M1297&amp;","&amp;CEILING(N1297*10000+(O1297-N1297)/4*(COUNTIF($F$11:F1297,F1297)-1)*10000,10)&amp;"}]",7)="[{equip",MID("[{"&amp;M1297&amp;","&amp;CEILING(N1297*10000+(O1297-N1297)/4*(COUNTIF($F$11:F1297,F1297)-1)*10000,10)&amp;"}]",8,1)&lt;&gt;"_"),"[{"&amp;M1297&amp;","&amp;1&amp;"}]","[{"&amp;M1297&amp;","&amp;CEILING(N1297*10000+(O1297-N1297)/4*(COUNTIF($F$11:F1297,F1297)-1)*10000,10)&amp;"}]")</f>
        <v>[{equip_extra_attr,5000}]</v>
      </c>
      <c r="H1297" s="82" t="s">
        <v>563</v>
      </c>
      <c r="J1297" s="78">
        <f ca="1">IF(MOD(COUNTIF($Q$11:Q1296,Q1296),5)=0,OFFSET(装备属性!$P$1083,1+INT(COUNTA($Q$11:Q1296)/5),0),J1296)</f>
        <v>8</v>
      </c>
      <c r="K1297" s="83" t="str">
        <f ca="1">IF(RIGHT(G1297,13)="rune_slot,1}]",_xlfn.XLOOKUP(LEFT(SUBSTITUTE(G1297,"[{",""),FIND(",",SUBSTITUTE(G1297,"[{",""))-1),Sheet2!B:B,Sheet2!C:C)&amp;"+"&amp;1,_xlfn.XLOOKUP(LEFT(SUBSTITUTE(G1297,"[{",""),FIND(",",SUBSTITUTE(G1297,"[{",""))-1),Sheet2!B:B,Sheet2!C:C)&amp;"+"&amp;SUBSTITUTE(RIGHT(G1297,LEN(G1297)-FIND(",",G1297)),"}]","")/100&amp;"%")</f>
        <v>装备附加属性加成+50%</v>
      </c>
      <c r="L1297" s="83" t="str">
        <f ca="1">IF(MOD(COUNTIF($Q$11:Q1296,Q1296),5)=0,OFFSET(装备属性!$G$1083,1+INT(COUNTA($Q$11:Q1296)/5),0),L1296)</f>
        <v>提成色</v>
      </c>
      <c r="M1297" s="89" t="str">
        <f ca="1">IF(MOD(COUNTIF($Q$11:Q1296,Q1296),5)=0,OFFSET(装备属性!$H$1083,1+INT(COUNTA($Q$11:Q1296)/5),0),M1296)</f>
        <v>equip_extra_attr</v>
      </c>
      <c r="N1297" s="76">
        <f ca="1">IF(MOD(COUNTIF($Q$11:Q1296,Q1296),5)=0,OFFSET(装备属性!$K$1083,1+INT(COUNTA($Q$11:Q1296)/5),0),N1296)</f>
        <v>0.5</v>
      </c>
      <c r="O1297" s="76">
        <f ca="1">IF(MOD(COUNTIF($Q$11:Q1296,Q1296),5)=0,OFFSET(装备属性!$L$1083,1+INT(COUNTA($Q$11:Q1296)/5),0),O1296)</f>
        <v>0.5</v>
      </c>
      <c r="Q1297" s="89" t="str">
        <f ca="1">IF(MOD(COUNTIF($Q$11:Q1296,Q1296),5)=0,OFFSET(装备属性!$M$1083,1+INT(COUNTA($Q$11:Q1296)/5),0),Q1296)</f>
        <v>稀有词条</v>
      </c>
      <c r="R1297" s="83" t="e">
        <f ca="1">IF(MOD(COUNTIF($Q$11:Q1296,Q1296),5)=0,10000*SUBSTITUTE(SUBSTITUTE(OFFSET(装备属性!$F$1083,1+INT(COUNTA($Q$11:Q1296)/5),0),"[",""),"]","")+_xlfn.XLOOKUP(C1297,$M$3:$M$7,$N$3:$N$7)*100,R1296)</f>
        <v>#N/A</v>
      </c>
    </row>
    <row r="1298" customHeight="1" spans="1:18">
      <c r="A1298" s="78" t="str">
        <f ca="1" t="shared" si="60"/>
        <v/>
      </c>
      <c r="B1298" s="82" t="str">
        <f ca="1">IFERROR(R1298+COUNTIFS($R$11:$R1298,R1298),"")</f>
        <v/>
      </c>
      <c r="C1298" s="83">
        <f ca="1">IF(MOD(COUNTIF($Q$11:Q1297,Q1297),5)=0,OFFSET(装备属性!$D$1083,1+INT(COUNTA($Q$11:Q1297)/5),0),C1297)</f>
        <v>0</v>
      </c>
      <c r="D1298" s="82">
        <f t="shared" si="62"/>
        <v>2000</v>
      </c>
      <c r="F1298" s="82" t="str">
        <f ca="1" t="shared" si="61"/>
        <v/>
      </c>
      <c r="G1298" s="78" t="str">
        <f ca="1">IF(AND(LEFT("[{"&amp;M1298&amp;","&amp;CEILING(N1298*10000+(O1298-N1298)/4*(COUNTIF($F$11:F1298,F1298)-1)*10000,10)&amp;"}]",7)="[{equip",MID("[{"&amp;M1298&amp;","&amp;CEILING(N1298*10000+(O1298-N1298)/4*(COUNTIF($F$11:F1298,F1298)-1)*10000,10)&amp;"}]",8,1)&lt;&gt;"_"),"[{"&amp;M1298&amp;","&amp;1&amp;"}]","[{"&amp;M1298&amp;","&amp;CEILING(N1298*10000+(O1298-N1298)/4*(COUNTIF($F$11:F1298,F1298)-1)*10000,10)&amp;"}]")</f>
        <v>[{equip_extra_attr,5000}]</v>
      </c>
      <c r="H1298" s="82" t="s">
        <v>563</v>
      </c>
      <c r="J1298" s="78">
        <f ca="1">IF(MOD(COUNTIF($Q$11:Q1297,Q1297),5)=0,OFFSET(装备属性!$P$1083,1+INT(COUNTA($Q$11:Q1297)/5),0),J1297)</f>
        <v>8</v>
      </c>
      <c r="K1298" s="83" t="str">
        <f ca="1">IF(RIGHT(G1298,13)="rune_slot,1}]",_xlfn.XLOOKUP(LEFT(SUBSTITUTE(G1298,"[{",""),FIND(",",SUBSTITUTE(G1298,"[{",""))-1),Sheet2!B:B,Sheet2!C:C)&amp;"+"&amp;1,_xlfn.XLOOKUP(LEFT(SUBSTITUTE(G1298,"[{",""),FIND(",",SUBSTITUTE(G1298,"[{",""))-1),Sheet2!B:B,Sheet2!C:C)&amp;"+"&amp;SUBSTITUTE(RIGHT(G1298,LEN(G1298)-FIND(",",G1298)),"}]","")/100&amp;"%")</f>
        <v>装备附加属性加成+50%</v>
      </c>
      <c r="L1298" s="83" t="str">
        <f ca="1">IF(MOD(COUNTIF($Q$11:Q1297,Q1297),5)=0,OFFSET(装备属性!$G$1083,1+INT(COUNTA($Q$11:Q1297)/5),0),L1297)</f>
        <v>提成色</v>
      </c>
      <c r="M1298" s="89" t="str">
        <f ca="1">IF(MOD(COUNTIF($Q$11:Q1297,Q1297),5)=0,OFFSET(装备属性!$H$1083,1+INT(COUNTA($Q$11:Q1297)/5),0),M1297)</f>
        <v>equip_extra_attr</v>
      </c>
      <c r="N1298" s="76">
        <f ca="1">IF(MOD(COUNTIF($Q$11:Q1297,Q1297),5)=0,OFFSET(装备属性!$K$1083,1+INT(COUNTA($Q$11:Q1297)/5),0),N1297)</f>
        <v>0.5</v>
      </c>
      <c r="O1298" s="76">
        <f ca="1">IF(MOD(COUNTIF($Q$11:Q1297,Q1297),5)=0,OFFSET(装备属性!$L$1083,1+INT(COUNTA($Q$11:Q1297)/5),0),O1297)</f>
        <v>0.5</v>
      </c>
      <c r="Q1298" s="89" t="str">
        <f ca="1">IF(MOD(COUNTIF($Q$11:Q1297,Q1297),5)=0,OFFSET(装备属性!$M$1083,1+INT(COUNTA($Q$11:Q1297)/5),0),Q1297)</f>
        <v>稀有词条</v>
      </c>
      <c r="R1298" s="83" t="e">
        <f ca="1">IF(MOD(COUNTIF($Q$11:Q1297,Q1297),5)=0,10000*SUBSTITUTE(SUBSTITUTE(OFFSET(装备属性!$F$1083,1+INT(COUNTA($Q$11:Q1297)/5),0),"[",""),"]","")+_xlfn.XLOOKUP(C1298,$M$3:$M$7,$N$3:$N$7)*100,R1297)</f>
        <v>#N/A</v>
      </c>
    </row>
    <row r="1299" customHeight="1" spans="1:18">
      <c r="A1299" s="78" t="str">
        <f ca="1" t="shared" si="60"/>
        <v/>
      </c>
      <c r="B1299" s="82" t="str">
        <f ca="1">IFERROR(R1299+COUNTIFS($R$11:$R1299,R1299),"")</f>
        <v/>
      </c>
      <c r="C1299" s="83">
        <f ca="1">IF(MOD(COUNTIF($Q$11:Q1298,Q1298),5)=0,OFFSET(装备属性!$D$1083,1+INT(COUNTA($Q$11:Q1298)/5),0),C1298)</f>
        <v>0</v>
      </c>
      <c r="D1299" s="82">
        <f t="shared" si="62"/>
        <v>1500</v>
      </c>
      <c r="F1299" s="82" t="str">
        <f ca="1" t="shared" si="61"/>
        <v/>
      </c>
      <c r="G1299" s="78" t="str">
        <f ca="1">IF(AND(LEFT("[{"&amp;M1299&amp;","&amp;CEILING(N1299*10000+(O1299-N1299)/4*(COUNTIF($F$11:F1299,F1299)-1)*10000,10)&amp;"}]",7)="[{equip",MID("[{"&amp;M1299&amp;","&amp;CEILING(N1299*10000+(O1299-N1299)/4*(COUNTIF($F$11:F1299,F1299)-1)*10000,10)&amp;"}]",8,1)&lt;&gt;"_"),"[{"&amp;M1299&amp;","&amp;1&amp;"}]","[{"&amp;M1299&amp;","&amp;CEILING(N1299*10000+(O1299-N1299)/4*(COUNTIF($F$11:F1299,F1299)-1)*10000,10)&amp;"}]")</f>
        <v>[{equip_extra_attr,5000}]</v>
      </c>
      <c r="H1299" s="82" t="s">
        <v>563</v>
      </c>
      <c r="J1299" s="78">
        <f ca="1">IF(MOD(COUNTIF($Q$11:Q1298,Q1298),5)=0,OFFSET(装备属性!$P$1083,1+INT(COUNTA($Q$11:Q1298)/5),0),J1298)</f>
        <v>8</v>
      </c>
      <c r="K1299" s="83" t="str">
        <f ca="1">IF(RIGHT(G1299,13)="rune_slot,1}]",_xlfn.XLOOKUP(LEFT(SUBSTITUTE(G1299,"[{",""),FIND(",",SUBSTITUTE(G1299,"[{",""))-1),Sheet2!B:B,Sheet2!C:C)&amp;"+"&amp;1,_xlfn.XLOOKUP(LEFT(SUBSTITUTE(G1299,"[{",""),FIND(",",SUBSTITUTE(G1299,"[{",""))-1),Sheet2!B:B,Sheet2!C:C)&amp;"+"&amp;SUBSTITUTE(RIGHT(G1299,LEN(G1299)-FIND(",",G1299)),"}]","")/100&amp;"%")</f>
        <v>装备附加属性加成+50%</v>
      </c>
      <c r="L1299" s="83" t="str">
        <f ca="1">IF(MOD(COUNTIF($Q$11:Q1298,Q1298),5)=0,OFFSET(装备属性!$G$1083,1+INT(COUNTA($Q$11:Q1298)/5),0),L1298)</f>
        <v>提成色</v>
      </c>
      <c r="M1299" s="89" t="str">
        <f ca="1">IF(MOD(COUNTIF($Q$11:Q1298,Q1298),5)=0,OFFSET(装备属性!$H$1083,1+INT(COUNTA($Q$11:Q1298)/5),0),M1298)</f>
        <v>equip_extra_attr</v>
      </c>
      <c r="N1299" s="76">
        <f ca="1">IF(MOD(COUNTIF($Q$11:Q1298,Q1298),5)=0,OFFSET(装备属性!$K$1083,1+INT(COUNTA($Q$11:Q1298)/5),0),N1298)</f>
        <v>0.5</v>
      </c>
      <c r="O1299" s="76">
        <f ca="1">IF(MOD(COUNTIF($Q$11:Q1298,Q1298),5)=0,OFFSET(装备属性!$L$1083,1+INT(COUNTA($Q$11:Q1298)/5),0),O1298)</f>
        <v>0.5</v>
      </c>
      <c r="Q1299" s="89" t="str">
        <f ca="1">IF(MOD(COUNTIF($Q$11:Q1298,Q1298),5)=0,OFFSET(装备属性!$M$1083,1+INT(COUNTA($Q$11:Q1298)/5),0),Q1298)</f>
        <v>稀有词条</v>
      </c>
      <c r="R1299" s="83" t="e">
        <f ca="1">IF(MOD(COUNTIF($Q$11:Q1298,Q1298),5)=0,10000*SUBSTITUTE(SUBSTITUTE(OFFSET(装备属性!$F$1083,1+INT(COUNTA($Q$11:Q1298)/5),0),"[",""),"]","")+_xlfn.XLOOKUP(C1299,$M$3:$M$7,$N$3:$N$7)*100,R1298)</f>
        <v>#N/A</v>
      </c>
    </row>
    <row r="1300" customHeight="1" spans="1:18">
      <c r="A1300" s="78" t="str">
        <f ca="1" t="shared" si="60"/>
        <v/>
      </c>
      <c r="B1300" s="82" t="str">
        <f ca="1">IFERROR(R1300+COUNTIFS($R$11:$R1300,R1300),"")</f>
        <v/>
      </c>
      <c r="C1300" s="83">
        <f ca="1">IF(MOD(COUNTIF($Q$11:Q1299,Q1299),5)=0,OFFSET(装备属性!$D$1083,1+INT(COUNTA($Q$11:Q1299)/5),0),C1299)</f>
        <v>0</v>
      </c>
      <c r="D1300" s="82">
        <f t="shared" si="62"/>
        <v>1000</v>
      </c>
      <c r="F1300" s="82" t="str">
        <f ca="1" t="shared" si="61"/>
        <v/>
      </c>
      <c r="G1300" s="78" t="str">
        <f ca="1">IF(AND(LEFT("[{"&amp;M1300&amp;","&amp;CEILING(N1300*10000+(O1300-N1300)/4*(COUNTIF($F$11:F1300,F1300)-1)*10000,10)&amp;"}]",7)="[{equip",MID("[{"&amp;M1300&amp;","&amp;CEILING(N1300*10000+(O1300-N1300)/4*(COUNTIF($F$11:F1300,F1300)-1)*10000,10)&amp;"}]",8,1)&lt;&gt;"_"),"[{"&amp;M1300&amp;","&amp;1&amp;"}]","[{"&amp;M1300&amp;","&amp;CEILING(N1300*10000+(O1300-N1300)/4*(COUNTIF($F$11:F1300,F1300)-1)*10000,10)&amp;"}]")</f>
        <v>[{equip_extra_attr,5000}]</v>
      </c>
      <c r="H1300" s="82" t="s">
        <v>563</v>
      </c>
      <c r="J1300" s="78">
        <f ca="1">IF(MOD(COUNTIF($Q$11:Q1299,Q1299),5)=0,OFFSET(装备属性!$P$1083,1+INT(COUNTA($Q$11:Q1299)/5),0),J1299)</f>
        <v>8</v>
      </c>
      <c r="K1300" s="83" t="str">
        <f ca="1">IF(RIGHT(G1300,13)="rune_slot,1}]",_xlfn.XLOOKUP(LEFT(SUBSTITUTE(G1300,"[{",""),FIND(",",SUBSTITUTE(G1300,"[{",""))-1),Sheet2!B:B,Sheet2!C:C)&amp;"+"&amp;1,_xlfn.XLOOKUP(LEFT(SUBSTITUTE(G1300,"[{",""),FIND(",",SUBSTITUTE(G1300,"[{",""))-1),Sheet2!B:B,Sheet2!C:C)&amp;"+"&amp;SUBSTITUTE(RIGHT(G1300,LEN(G1300)-FIND(",",G1300)),"}]","")/100&amp;"%")</f>
        <v>装备附加属性加成+50%</v>
      </c>
      <c r="L1300" s="83" t="str">
        <f ca="1">IF(MOD(COUNTIF($Q$11:Q1299,Q1299),5)=0,OFFSET(装备属性!$G$1083,1+INT(COUNTA($Q$11:Q1299)/5),0),L1299)</f>
        <v>提成色</v>
      </c>
      <c r="M1300" s="89" t="str">
        <f ca="1">IF(MOD(COUNTIF($Q$11:Q1299,Q1299),5)=0,OFFSET(装备属性!$H$1083,1+INT(COUNTA($Q$11:Q1299)/5),0),M1299)</f>
        <v>equip_extra_attr</v>
      </c>
      <c r="N1300" s="76">
        <f ca="1">IF(MOD(COUNTIF($Q$11:Q1299,Q1299),5)=0,OFFSET(装备属性!$K$1083,1+INT(COUNTA($Q$11:Q1299)/5),0),N1299)</f>
        <v>0.5</v>
      </c>
      <c r="O1300" s="76">
        <f ca="1">IF(MOD(COUNTIF($Q$11:Q1299,Q1299),5)=0,OFFSET(装备属性!$L$1083,1+INT(COUNTA($Q$11:Q1299)/5),0),O1299)</f>
        <v>0.5</v>
      </c>
      <c r="Q1300" s="89" t="str">
        <f ca="1">IF(MOD(COUNTIF($Q$11:Q1299,Q1299),5)=0,OFFSET(装备属性!$M$1083,1+INT(COUNTA($Q$11:Q1299)/5),0),Q1299)</f>
        <v>稀有词条</v>
      </c>
      <c r="R1300" s="83" t="e">
        <f ca="1">IF(MOD(COUNTIF($Q$11:Q1299,Q1299),5)=0,10000*SUBSTITUTE(SUBSTITUTE(OFFSET(装备属性!$F$1083,1+INT(COUNTA($Q$11:Q1299)/5),0),"[",""),"]","")+_xlfn.XLOOKUP(C1300,$M$3:$M$7,$N$3:$N$7)*100,R1299)</f>
        <v>#N/A</v>
      </c>
    </row>
    <row r="1301" customHeight="1" spans="1:18">
      <c r="A1301" s="78" t="str">
        <f ca="1" t="shared" si="60"/>
        <v/>
      </c>
      <c r="B1301" s="82" t="str">
        <f ca="1">IFERROR(R1301+COUNTIFS($R$11:$R1301,R1301),"")</f>
        <v/>
      </c>
      <c r="C1301" s="83">
        <f ca="1">IF(MOD(COUNTIF($Q$11:Q1300,Q1300),5)=0,OFFSET(装备属性!$D$1083,1+INT(COUNTA($Q$11:Q1300)/5),0),C1300)</f>
        <v>0</v>
      </c>
      <c r="D1301" s="82">
        <f t="shared" si="62"/>
        <v>3000</v>
      </c>
      <c r="F1301" s="82" t="str">
        <f ca="1" t="shared" si="61"/>
        <v/>
      </c>
      <c r="G1301" s="78" t="str">
        <f ca="1">IF(AND(LEFT("[{"&amp;M1301&amp;","&amp;CEILING(N1301*10000+(O1301-N1301)/4*(COUNTIF($F$11:F1301,F1301)-1)*10000,10)&amp;"}]",7)="[{equip",MID("[{"&amp;M1301&amp;","&amp;CEILING(N1301*10000+(O1301-N1301)/4*(COUNTIF($F$11:F1301,F1301)-1)*10000,10)&amp;"}]",8,1)&lt;&gt;"_"),"[{"&amp;M1301&amp;","&amp;1&amp;"}]","[{"&amp;M1301&amp;","&amp;CEILING(N1301*10000+(O1301-N1301)/4*(COUNTIF($F$11:F1301,F1301)-1)*10000,10)&amp;"}]")</f>
        <v>[{equip5_rune_slot,1}]</v>
      </c>
      <c r="H1301" s="82" t="s">
        <v>563</v>
      </c>
      <c r="J1301" s="78">
        <f ca="1">IF(MOD(COUNTIF($Q$11:Q1300,Q1300),5)=0,OFFSET(装备属性!$P$1083,1+INT(COUNTA($Q$11:Q1300)/5),0),J1300)</f>
        <v>1</v>
      </c>
      <c r="K1301" s="83" t="str">
        <f ca="1">IF(RIGHT(G1301,13)="rune_slot,1}]",_xlfn.XLOOKUP(LEFT(SUBSTITUTE(G1301,"[{",""),FIND(",",SUBSTITUTE(G1301,"[{",""))-1),Sheet2!B:B,Sheet2!C:C)&amp;"+"&amp;1,_xlfn.XLOOKUP(LEFT(SUBSTITUTE(G1301,"[{",""),FIND(",",SUBSTITUTE(G1301,"[{",""))-1),Sheet2!B:B,Sheet2!C:C)&amp;"+"&amp;SUBSTITUTE(RIGHT(G1301,LEN(G1301)-FIND(",",G1301)),"}]","")/100&amp;"%")</f>
        <v>鞋子符文孔位+1</v>
      </c>
      <c r="L1301" s="83" t="str">
        <f ca="1">IF(MOD(COUNTIF($Q$11:Q1300,Q1300),5)=0,OFFSET(装备属性!$G$1083,1+INT(COUNTA($Q$11:Q1300)/5),0),L1300)</f>
        <v>扩符槽</v>
      </c>
      <c r="M1301" s="89" t="str">
        <f ca="1">IF(MOD(COUNTIF($Q$11:Q1300,Q1300),5)=0,OFFSET(装备属性!$H$1083,1+INT(COUNTA($Q$11:Q1300)/5),0),M1300)</f>
        <v>equip5_rune_slot</v>
      </c>
      <c r="N1301" s="76">
        <f ca="1">IF(MOD(COUNTIF($Q$11:Q1300,Q1300),5)=0,OFFSET(装备属性!$K$1083,1+INT(COUNTA($Q$11:Q1300)/5),0),N1300)</f>
        <v>1</v>
      </c>
      <c r="O1301" s="76">
        <f ca="1">IF(MOD(COUNTIF($Q$11:Q1300,Q1300),5)=0,OFFSET(装备属性!$L$1083,1+INT(COUNTA($Q$11:Q1300)/5),0),O1300)</f>
        <v>1</v>
      </c>
      <c r="Q1301" s="89" t="str">
        <f ca="1">IF(MOD(COUNTIF($Q$11:Q1300,Q1300),5)=0,OFFSET(装备属性!$M$1083,1+INT(COUNTA($Q$11:Q1300)/5),0),Q1300)</f>
        <v>稀有词条</v>
      </c>
      <c r="R1301" s="83" t="e">
        <f ca="1">IF(MOD(COUNTIF($Q$11:Q1300,Q1300),5)=0,10000*SUBSTITUTE(SUBSTITUTE(OFFSET(装备属性!$F$1083,1+INT(COUNTA($Q$11:Q1300)/5),0),"[",""),"]","")+_xlfn.XLOOKUP(C1301,$M$3:$M$7,$N$3:$N$7)*100,R1300)</f>
        <v>#N/A</v>
      </c>
    </row>
    <row r="1302" customHeight="1" spans="1:18">
      <c r="A1302" s="78" t="str">
        <f ca="1" t="shared" si="60"/>
        <v/>
      </c>
      <c r="B1302" s="82" t="str">
        <f ca="1">IFERROR(R1302+COUNTIFS($R$11:$R1302,R1302),"")</f>
        <v/>
      </c>
      <c r="C1302" s="83">
        <f ca="1">IF(MOD(COUNTIF($Q$11:Q1301,Q1301),5)=0,OFFSET(装备属性!$D$1083,1+INT(COUNTA($Q$11:Q1301)/5),0),C1301)</f>
        <v>0</v>
      </c>
      <c r="D1302" s="82">
        <f t="shared" si="62"/>
        <v>2500</v>
      </c>
      <c r="F1302" s="82" t="str">
        <f ca="1" t="shared" si="61"/>
        <v/>
      </c>
      <c r="G1302" s="78" t="str">
        <f ca="1">IF(AND(LEFT("[{"&amp;M1302&amp;","&amp;CEILING(N1302*10000+(O1302-N1302)/4*(COUNTIF($F$11:F1302,F1302)-1)*10000,10)&amp;"}]",7)="[{equip",MID("[{"&amp;M1302&amp;","&amp;CEILING(N1302*10000+(O1302-N1302)/4*(COUNTIF($F$11:F1302,F1302)-1)*10000,10)&amp;"}]",8,1)&lt;&gt;"_"),"[{"&amp;M1302&amp;","&amp;1&amp;"}]","[{"&amp;M1302&amp;","&amp;CEILING(N1302*10000+(O1302-N1302)/4*(COUNTIF($F$11:F1302,F1302)-1)*10000,10)&amp;"}]")</f>
        <v>[{equip5_rune_slot,1}]</v>
      </c>
      <c r="H1302" s="82" t="s">
        <v>563</v>
      </c>
      <c r="J1302" s="78">
        <f ca="1">IF(MOD(COUNTIF($Q$11:Q1301,Q1301),5)=0,OFFSET(装备属性!$P$1083,1+INT(COUNTA($Q$11:Q1301)/5),0),J1301)</f>
        <v>1</v>
      </c>
      <c r="K1302" s="83" t="str">
        <f ca="1">IF(RIGHT(G1302,13)="rune_slot,1}]",_xlfn.XLOOKUP(LEFT(SUBSTITUTE(G1302,"[{",""),FIND(",",SUBSTITUTE(G1302,"[{",""))-1),Sheet2!B:B,Sheet2!C:C)&amp;"+"&amp;1,_xlfn.XLOOKUP(LEFT(SUBSTITUTE(G1302,"[{",""),FIND(",",SUBSTITUTE(G1302,"[{",""))-1),Sheet2!B:B,Sheet2!C:C)&amp;"+"&amp;SUBSTITUTE(RIGHT(G1302,LEN(G1302)-FIND(",",G1302)),"}]","")/100&amp;"%")</f>
        <v>鞋子符文孔位+1</v>
      </c>
      <c r="L1302" s="83" t="str">
        <f ca="1">IF(MOD(COUNTIF($Q$11:Q1301,Q1301),5)=0,OFFSET(装备属性!$G$1083,1+INT(COUNTA($Q$11:Q1301)/5),0),L1301)</f>
        <v>扩符槽</v>
      </c>
      <c r="M1302" s="89" t="str">
        <f ca="1">IF(MOD(COUNTIF($Q$11:Q1301,Q1301),5)=0,OFFSET(装备属性!$H$1083,1+INT(COUNTA($Q$11:Q1301)/5),0),M1301)</f>
        <v>equip5_rune_slot</v>
      </c>
      <c r="N1302" s="76">
        <f ca="1">IF(MOD(COUNTIF($Q$11:Q1301,Q1301),5)=0,OFFSET(装备属性!$K$1083,1+INT(COUNTA($Q$11:Q1301)/5),0),N1301)</f>
        <v>1</v>
      </c>
      <c r="O1302" s="76">
        <f ca="1">IF(MOD(COUNTIF($Q$11:Q1301,Q1301),5)=0,OFFSET(装备属性!$L$1083,1+INT(COUNTA($Q$11:Q1301)/5),0),O1301)</f>
        <v>1</v>
      </c>
      <c r="Q1302" s="89" t="str">
        <f ca="1">IF(MOD(COUNTIF($Q$11:Q1301,Q1301),5)=0,OFFSET(装备属性!$M$1083,1+INT(COUNTA($Q$11:Q1301)/5),0),Q1301)</f>
        <v>稀有词条</v>
      </c>
      <c r="R1302" s="83" t="e">
        <f ca="1">IF(MOD(COUNTIF($Q$11:Q1301,Q1301),5)=0,10000*SUBSTITUTE(SUBSTITUTE(OFFSET(装备属性!$F$1083,1+INT(COUNTA($Q$11:Q1301)/5),0),"[",""),"]","")+_xlfn.XLOOKUP(C1302,$M$3:$M$7,$N$3:$N$7)*100,R1301)</f>
        <v>#N/A</v>
      </c>
    </row>
    <row r="1303" customHeight="1" spans="1:18">
      <c r="A1303" s="78" t="str">
        <f ca="1" t="shared" si="60"/>
        <v/>
      </c>
      <c r="B1303" s="82" t="str">
        <f ca="1">IFERROR(R1303+COUNTIFS($R$11:$R1303,R1303),"")</f>
        <v/>
      </c>
      <c r="C1303" s="83">
        <f ca="1">IF(MOD(COUNTIF($Q$11:Q1302,Q1302),5)=0,OFFSET(装备属性!$D$1083,1+INT(COUNTA($Q$11:Q1302)/5),0),C1302)</f>
        <v>0</v>
      </c>
      <c r="D1303" s="82">
        <f t="shared" si="62"/>
        <v>2000</v>
      </c>
      <c r="F1303" s="82" t="str">
        <f ca="1" t="shared" si="61"/>
        <v/>
      </c>
      <c r="G1303" s="78" t="str">
        <f ca="1">IF(AND(LEFT("[{"&amp;M1303&amp;","&amp;CEILING(N1303*10000+(O1303-N1303)/4*(COUNTIF($F$11:F1303,F1303)-1)*10000,10)&amp;"}]",7)="[{equip",MID("[{"&amp;M1303&amp;","&amp;CEILING(N1303*10000+(O1303-N1303)/4*(COUNTIF($F$11:F1303,F1303)-1)*10000,10)&amp;"}]",8,1)&lt;&gt;"_"),"[{"&amp;M1303&amp;","&amp;1&amp;"}]","[{"&amp;M1303&amp;","&amp;CEILING(N1303*10000+(O1303-N1303)/4*(COUNTIF($F$11:F1303,F1303)-1)*10000,10)&amp;"}]")</f>
        <v>[{equip5_rune_slot,1}]</v>
      </c>
      <c r="H1303" s="82" t="s">
        <v>563</v>
      </c>
      <c r="J1303" s="78">
        <f ca="1">IF(MOD(COUNTIF($Q$11:Q1302,Q1302),5)=0,OFFSET(装备属性!$P$1083,1+INT(COUNTA($Q$11:Q1302)/5),0),J1302)</f>
        <v>1</v>
      </c>
      <c r="K1303" s="83" t="str">
        <f ca="1">IF(RIGHT(G1303,13)="rune_slot,1}]",_xlfn.XLOOKUP(LEFT(SUBSTITUTE(G1303,"[{",""),FIND(",",SUBSTITUTE(G1303,"[{",""))-1),Sheet2!B:B,Sheet2!C:C)&amp;"+"&amp;1,_xlfn.XLOOKUP(LEFT(SUBSTITUTE(G1303,"[{",""),FIND(",",SUBSTITUTE(G1303,"[{",""))-1),Sheet2!B:B,Sheet2!C:C)&amp;"+"&amp;SUBSTITUTE(RIGHT(G1303,LEN(G1303)-FIND(",",G1303)),"}]","")/100&amp;"%")</f>
        <v>鞋子符文孔位+1</v>
      </c>
      <c r="L1303" s="83" t="str">
        <f ca="1">IF(MOD(COUNTIF($Q$11:Q1302,Q1302),5)=0,OFFSET(装备属性!$G$1083,1+INT(COUNTA($Q$11:Q1302)/5),0),L1302)</f>
        <v>扩符槽</v>
      </c>
      <c r="M1303" s="89" t="str">
        <f ca="1">IF(MOD(COUNTIF($Q$11:Q1302,Q1302),5)=0,OFFSET(装备属性!$H$1083,1+INT(COUNTA($Q$11:Q1302)/5),0),M1302)</f>
        <v>equip5_rune_slot</v>
      </c>
      <c r="N1303" s="76">
        <f ca="1">IF(MOD(COUNTIF($Q$11:Q1302,Q1302),5)=0,OFFSET(装备属性!$K$1083,1+INT(COUNTA($Q$11:Q1302)/5),0),N1302)</f>
        <v>1</v>
      </c>
      <c r="O1303" s="76">
        <f ca="1">IF(MOD(COUNTIF($Q$11:Q1302,Q1302),5)=0,OFFSET(装备属性!$L$1083,1+INT(COUNTA($Q$11:Q1302)/5),0),O1302)</f>
        <v>1</v>
      </c>
      <c r="Q1303" s="89" t="str">
        <f ca="1">IF(MOD(COUNTIF($Q$11:Q1302,Q1302),5)=0,OFFSET(装备属性!$M$1083,1+INT(COUNTA($Q$11:Q1302)/5),0),Q1302)</f>
        <v>稀有词条</v>
      </c>
      <c r="R1303" s="83" t="e">
        <f ca="1">IF(MOD(COUNTIF($Q$11:Q1302,Q1302),5)=0,10000*SUBSTITUTE(SUBSTITUTE(OFFSET(装备属性!$F$1083,1+INT(COUNTA($Q$11:Q1302)/5),0),"[",""),"]","")+_xlfn.XLOOKUP(C1303,$M$3:$M$7,$N$3:$N$7)*100,R1302)</f>
        <v>#N/A</v>
      </c>
    </row>
    <row r="1304" customHeight="1" spans="1:18">
      <c r="A1304" s="78" t="str">
        <f ca="1" t="shared" si="60"/>
        <v/>
      </c>
      <c r="B1304" s="82" t="str">
        <f ca="1">IFERROR(R1304+COUNTIFS($R$11:$R1304,R1304),"")</f>
        <v/>
      </c>
      <c r="C1304" s="83">
        <f ca="1">IF(MOD(COUNTIF($Q$11:Q1303,Q1303),5)=0,OFFSET(装备属性!$D$1083,1+INT(COUNTA($Q$11:Q1303)/5),0),C1303)</f>
        <v>0</v>
      </c>
      <c r="D1304" s="82">
        <f t="shared" si="62"/>
        <v>1500</v>
      </c>
      <c r="F1304" s="82" t="str">
        <f ca="1" t="shared" si="61"/>
        <v/>
      </c>
      <c r="G1304" s="78" t="str">
        <f ca="1">IF(AND(LEFT("[{"&amp;M1304&amp;","&amp;CEILING(N1304*10000+(O1304-N1304)/4*(COUNTIF($F$11:F1304,F1304)-1)*10000,10)&amp;"}]",7)="[{equip",MID("[{"&amp;M1304&amp;","&amp;CEILING(N1304*10000+(O1304-N1304)/4*(COUNTIF($F$11:F1304,F1304)-1)*10000,10)&amp;"}]",8,1)&lt;&gt;"_"),"[{"&amp;M1304&amp;","&amp;1&amp;"}]","[{"&amp;M1304&amp;","&amp;CEILING(N1304*10000+(O1304-N1304)/4*(COUNTIF($F$11:F1304,F1304)-1)*10000,10)&amp;"}]")</f>
        <v>[{equip5_rune_slot,1}]</v>
      </c>
      <c r="H1304" s="82" t="s">
        <v>563</v>
      </c>
      <c r="J1304" s="78">
        <f ca="1">IF(MOD(COUNTIF($Q$11:Q1303,Q1303),5)=0,OFFSET(装备属性!$P$1083,1+INT(COUNTA($Q$11:Q1303)/5),0),J1303)</f>
        <v>1</v>
      </c>
      <c r="K1304" s="83" t="str">
        <f ca="1">IF(RIGHT(G1304,13)="rune_slot,1}]",_xlfn.XLOOKUP(LEFT(SUBSTITUTE(G1304,"[{",""),FIND(",",SUBSTITUTE(G1304,"[{",""))-1),Sheet2!B:B,Sheet2!C:C)&amp;"+"&amp;1,_xlfn.XLOOKUP(LEFT(SUBSTITUTE(G1304,"[{",""),FIND(",",SUBSTITUTE(G1304,"[{",""))-1),Sheet2!B:B,Sheet2!C:C)&amp;"+"&amp;SUBSTITUTE(RIGHT(G1304,LEN(G1304)-FIND(",",G1304)),"}]","")/100&amp;"%")</f>
        <v>鞋子符文孔位+1</v>
      </c>
      <c r="L1304" s="83" t="str">
        <f ca="1">IF(MOD(COUNTIF($Q$11:Q1303,Q1303),5)=0,OFFSET(装备属性!$G$1083,1+INT(COUNTA($Q$11:Q1303)/5),0),L1303)</f>
        <v>扩符槽</v>
      </c>
      <c r="M1304" s="89" t="str">
        <f ca="1">IF(MOD(COUNTIF($Q$11:Q1303,Q1303),5)=0,OFFSET(装备属性!$H$1083,1+INT(COUNTA($Q$11:Q1303)/5),0),M1303)</f>
        <v>equip5_rune_slot</v>
      </c>
      <c r="N1304" s="76">
        <f ca="1">IF(MOD(COUNTIF($Q$11:Q1303,Q1303),5)=0,OFFSET(装备属性!$K$1083,1+INT(COUNTA($Q$11:Q1303)/5),0),N1303)</f>
        <v>1</v>
      </c>
      <c r="O1304" s="76">
        <f ca="1">IF(MOD(COUNTIF($Q$11:Q1303,Q1303),5)=0,OFFSET(装备属性!$L$1083,1+INT(COUNTA($Q$11:Q1303)/5),0),O1303)</f>
        <v>1</v>
      </c>
      <c r="Q1304" s="89" t="str">
        <f ca="1">IF(MOD(COUNTIF($Q$11:Q1303,Q1303),5)=0,OFFSET(装备属性!$M$1083,1+INT(COUNTA($Q$11:Q1303)/5),0),Q1303)</f>
        <v>稀有词条</v>
      </c>
      <c r="R1304" s="83" t="e">
        <f ca="1">IF(MOD(COUNTIF($Q$11:Q1303,Q1303),5)=0,10000*SUBSTITUTE(SUBSTITUTE(OFFSET(装备属性!$F$1083,1+INT(COUNTA($Q$11:Q1303)/5),0),"[",""),"]","")+_xlfn.XLOOKUP(C1304,$M$3:$M$7,$N$3:$N$7)*100,R1303)</f>
        <v>#N/A</v>
      </c>
    </row>
    <row r="1305" customHeight="1" spans="1:18">
      <c r="A1305" s="78" t="str">
        <f ca="1" t="shared" si="60"/>
        <v/>
      </c>
      <c r="B1305" s="82" t="str">
        <f ca="1">IFERROR(R1305+COUNTIFS($R$11:$R1305,R1305),"")</f>
        <v/>
      </c>
      <c r="C1305" s="83">
        <f ca="1">IF(MOD(COUNTIF($Q$11:Q1304,Q1304),5)=0,OFFSET(装备属性!$D$1083,1+INT(COUNTA($Q$11:Q1304)/5),0),C1304)</f>
        <v>0</v>
      </c>
      <c r="D1305" s="82">
        <f t="shared" si="62"/>
        <v>1000</v>
      </c>
      <c r="F1305" s="82" t="str">
        <f ca="1" t="shared" si="61"/>
        <v/>
      </c>
      <c r="G1305" s="78" t="str">
        <f ca="1">IF(AND(LEFT("[{"&amp;M1305&amp;","&amp;CEILING(N1305*10000+(O1305-N1305)/4*(COUNTIF($F$11:F1305,F1305)-1)*10000,10)&amp;"}]",7)="[{equip",MID("[{"&amp;M1305&amp;","&amp;CEILING(N1305*10000+(O1305-N1305)/4*(COUNTIF($F$11:F1305,F1305)-1)*10000,10)&amp;"}]",8,1)&lt;&gt;"_"),"[{"&amp;M1305&amp;","&amp;1&amp;"}]","[{"&amp;M1305&amp;","&amp;CEILING(N1305*10000+(O1305-N1305)/4*(COUNTIF($F$11:F1305,F1305)-1)*10000,10)&amp;"}]")</f>
        <v>[{equip5_rune_slot,1}]</v>
      </c>
      <c r="H1305" s="82" t="s">
        <v>563</v>
      </c>
      <c r="J1305" s="78">
        <f ca="1">IF(MOD(COUNTIF($Q$11:Q1304,Q1304),5)=0,OFFSET(装备属性!$P$1083,1+INT(COUNTA($Q$11:Q1304)/5),0),J1304)</f>
        <v>1</v>
      </c>
      <c r="K1305" s="83" t="str">
        <f ca="1">IF(RIGHT(G1305,13)="rune_slot,1}]",_xlfn.XLOOKUP(LEFT(SUBSTITUTE(G1305,"[{",""),FIND(",",SUBSTITUTE(G1305,"[{",""))-1),Sheet2!B:B,Sheet2!C:C)&amp;"+"&amp;1,_xlfn.XLOOKUP(LEFT(SUBSTITUTE(G1305,"[{",""),FIND(",",SUBSTITUTE(G1305,"[{",""))-1),Sheet2!B:B,Sheet2!C:C)&amp;"+"&amp;SUBSTITUTE(RIGHT(G1305,LEN(G1305)-FIND(",",G1305)),"}]","")/100&amp;"%")</f>
        <v>鞋子符文孔位+1</v>
      </c>
      <c r="L1305" s="83" t="str">
        <f ca="1">IF(MOD(COUNTIF($Q$11:Q1304,Q1304),5)=0,OFFSET(装备属性!$G$1083,1+INT(COUNTA($Q$11:Q1304)/5),0),L1304)</f>
        <v>扩符槽</v>
      </c>
      <c r="M1305" s="89" t="str">
        <f ca="1">IF(MOD(COUNTIF($Q$11:Q1304,Q1304),5)=0,OFFSET(装备属性!$H$1083,1+INT(COUNTA($Q$11:Q1304)/5),0),M1304)</f>
        <v>equip5_rune_slot</v>
      </c>
      <c r="N1305" s="76">
        <f ca="1">IF(MOD(COUNTIF($Q$11:Q1304,Q1304),5)=0,OFFSET(装备属性!$K$1083,1+INT(COUNTA($Q$11:Q1304)/5),0),N1304)</f>
        <v>1</v>
      </c>
      <c r="O1305" s="76">
        <f ca="1">IF(MOD(COUNTIF($Q$11:Q1304,Q1304),5)=0,OFFSET(装备属性!$L$1083,1+INT(COUNTA($Q$11:Q1304)/5),0),O1304)</f>
        <v>1</v>
      </c>
      <c r="Q1305" s="89" t="str">
        <f ca="1">IF(MOD(COUNTIF($Q$11:Q1304,Q1304),5)=0,OFFSET(装备属性!$M$1083,1+INT(COUNTA($Q$11:Q1304)/5),0),Q1304)</f>
        <v>稀有词条</v>
      </c>
      <c r="R1305" s="83" t="e">
        <f ca="1">IF(MOD(COUNTIF($Q$11:Q1304,Q1304),5)=0,10000*SUBSTITUTE(SUBSTITUTE(OFFSET(装备属性!$F$1083,1+INT(COUNTA($Q$11:Q1304)/5),0),"[",""),"]","")+_xlfn.XLOOKUP(C1305,$M$3:$M$7,$N$3:$N$7)*100,R1304)</f>
        <v>#N/A</v>
      </c>
    </row>
    <row r="1306" customHeight="1" spans="1:18">
      <c r="A1306" s="78" t="str">
        <f ca="1" t="shared" si="60"/>
        <v/>
      </c>
      <c r="B1306" s="82" t="str">
        <f ca="1">IFERROR(R1306+COUNTIFS($R$11:$R1306,R1306),"")</f>
        <v/>
      </c>
      <c r="C1306" s="83">
        <f ca="1">IF(MOD(COUNTIF($Q$11:Q1305,Q1305),5)=0,OFFSET(装备属性!$D$1083,1+INT(COUNTA($Q$11:Q1305)/5),0),C1305)</f>
        <v>0</v>
      </c>
      <c r="D1306" s="82">
        <f t="shared" si="62"/>
        <v>3000</v>
      </c>
      <c r="F1306" s="82" t="str">
        <f ca="1" t="shared" si="61"/>
        <v/>
      </c>
      <c r="G1306" s="78" t="str">
        <f ca="1">IF(AND(LEFT("[{"&amp;M1306&amp;","&amp;CEILING(N1306*10000+(O1306-N1306)/4*(COUNTIF($F$11:F1306,F1306)-1)*10000,10)&amp;"}]",7)="[{equip",MID("[{"&amp;M1306&amp;","&amp;CEILING(N1306*10000+(O1306-N1306)/4*(COUNTIF($F$11:F1306,F1306)-1)*10000,10)&amp;"}]",8,1)&lt;&gt;"_"),"[{"&amp;M1306&amp;","&amp;1&amp;"}]","[{"&amp;M1306&amp;","&amp;CEILING(N1306*10000+(O1306-N1306)/4*(COUNTIF($F$11:F1306,F1306)-1)*10000,10)&amp;"}]")</f>
        <v>[{elitist_monster_hit_rate,16790}]</v>
      </c>
      <c r="H1306" s="82" t="s">
        <v>563</v>
      </c>
      <c r="J1306" s="78">
        <f ca="1">IF(MOD(COUNTIF($Q$11:Q1305,Q1305),5)=0,OFFSET(装备属性!$P$1083,1+INT(COUNTA($Q$11:Q1305)/5),0),J1305)</f>
        <v>6</v>
      </c>
      <c r="K1306" s="83" t="str">
        <f ca="1">IF(RIGHT(G1306,13)="rune_slot,1}]",_xlfn.XLOOKUP(LEFT(SUBSTITUTE(G1306,"[{",""),FIND(",",SUBSTITUTE(G1306,"[{",""))-1),Sheet2!B:B,Sheet2!C:C)&amp;"+"&amp;1,_xlfn.XLOOKUP(LEFT(SUBSTITUTE(G1306,"[{",""),FIND(",",SUBSTITUTE(G1306,"[{",""))-1),Sheet2!B:B,Sheet2!C:C)&amp;"+"&amp;SUBSTITUTE(RIGHT(G1306,LEN(G1306)-FIND(",",G1306)),"}]","")/100&amp;"%")</f>
        <v>对精英增伤+167.9%</v>
      </c>
      <c r="L1306" s="83" t="str">
        <f ca="1">IF(MOD(COUNTIF($Q$11:Q1305,Q1305),5)=0,OFFSET(装备属性!$G$1083,1+INT(COUNTA($Q$11:Q1305)/5),0),L1305)</f>
        <v>Boss加餐Ⅱ</v>
      </c>
      <c r="M1306" s="89" t="str">
        <f ca="1">IF(MOD(COUNTIF($Q$11:Q1305,Q1305),5)=0,OFFSET(装备属性!$H$1083,1+INT(COUNTA($Q$11:Q1305)/5),0),M1305)</f>
        <v>elitist_monster_hit_rate</v>
      </c>
      <c r="N1306" s="76">
        <f ca="1">IF(MOD(COUNTIF($Q$11:Q1305,Q1305),5)=0,OFFSET(装备属性!$K$1083,1+INT(COUNTA($Q$11:Q1305)/5),0),N1305)</f>
        <v>0.074</v>
      </c>
      <c r="O1306" s="76">
        <f ca="1">IF(MOD(COUNTIF($Q$11:Q1305,Q1305),5)=0,OFFSET(装备属性!$L$1083,1+INT(COUNTA($Q$11:Q1305)/5),0),O1305)</f>
        <v>0.086</v>
      </c>
      <c r="Q1306" s="89" t="str">
        <f ca="1">IF(MOD(COUNTIF($Q$11:Q1305,Q1305),5)=0,OFFSET(装备属性!$M$1083,1+INT(COUNTA($Q$11:Q1305)/5),0),Q1305)</f>
        <v>玩法类</v>
      </c>
      <c r="R1306" s="83" t="e">
        <f ca="1">IF(MOD(COUNTIF($Q$11:Q1305,Q1305),5)=0,10000*SUBSTITUTE(SUBSTITUTE(OFFSET(装备属性!$F$1083,1+INT(COUNTA($Q$11:Q1305)/5),0),"[",""),"]","")+_xlfn.XLOOKUP(C1306,$M$3:$M$7,$N$3:$N$7)*100,R1305)</f>
        <v>#N/A</v>
      </c>
    </row>
    <row r="1307" customHeight="1" spans="1:18">
      <c r="A1307" s="78" t="str">
        <f ca="1" t="shared" si="60"/>
        <v/>
      </c>
      <c r="B1307" s="82" t="str">
        <f ca="1">IFERROR(R1307+COUNTIFS($R$11:$R1307,R1307),"")</f>
        <v/>
      </c>
      <c r="C1307" s="83">
        <f ca="1">IF(MOD(COUNTIF($Q$11:Q1306,Q1306),5)=0,OFFSET(装备属性!$D$1083,1+INT(COUNTA($Q$11:Q1306)/5),0),C1306)</f>
        <v>0</v>
      </c>
      <c r="D1307" s="82">
        <f t="shared" si="62"/>
        <v>2500</v>
      </c>
      <c r="F1307" s="82" t="str">
        <f ca="1" t="shared" si="61"/>
        <v/>
      </c>
      <c r="G1307" s="78" t="str">
        <f ca="1">IF(AND(LEFT("[{"&amp;M1307&amp;","&amp;CEILING(N1307*10000+(O1307-N1307)/4*(COUNTIF($F$11:F1307,F1307)-1)*10000,10)&amp;"}]",7)="[{equip",MID("[{"&amp;M1307&amp;","&amp;CEILING(N1307*10000+(O1307-N1307)/4*(COUNTIF($F$11:F1307,F1307)-1)*10000,10)&amp;"}]",8,1)&lt;&gt;"_"),"[{"&amp;M1307&amp;","&amp;1&amp;"}]","[{"&amp;M1307&amp;","&amp;CEILING(N1307*10000+(O1307-N1307)/4*(COUNTIF($F$11:F1307,F1307)-1)*10000,10)&amp;"}]")</f>
        <v>[{elitist_monster_hit_rate,16820}]</v>
      </c>
      <c r="H1307" s="82" t="s">
        <v>563</v>
      </c>
      <c r="J1307" s="78">
        <f ca="1">IF(MOD(COUNTIF($Q$11:Q1306,Q1306),5)=0,OFFSET(装备属性!$P$1083,1+INT(COUNTA($Q$11:Q1306)/5),0),J1306)</f>
        <v>6</v>
      </c>
      <c r="K1307" s="83" t="str">
        <f ca="1">IF(RIGHT(G1307,13)="rune_slot,1}]",_xlfn.XLOOKUP(LEFT(SUBSTITUTE(G1307,"[{",""),FIND(",",SUBSTITUTE(G1307,"[{",""))-1),Sheet2!B:B,Sheet2!C:C)&amp;"+"&amp;1,_xlfn.XLOOKUP(LEFT(SUBSTITUTE(G1307,"[{",""),FIND(",",SUBSTITUTE(G1307,"[{",""))-1),Sheet2!B:B,Sheet2!C:C)&amp;"+"&amp;SUBSTITUTE(RIGHT(G1307,LEN(G1307)-FIND(",",G1307)),"}]","")/100&amp;"%")</f>
        <v>对精英增伤+168.2%</v>
      </c>
      <c r="L1307" s="83" t="str">
        <f ca="1">IF(MOD(COUNTIF($Q$11:Q1306,Q1306),5)=0,OFFSET(装备属性!$G$1083,1+INT(COUNTA($Q$11:Q1306)/5),0),L1306)</f>
        <v>Boss加餐Ⅱ</v>
      </c>
      <c r="M1307" s="89" t="str">
        <f ca="1">IF(MOD(COUNTIF($Q$11:Q1306,Q1306),5)=0,OFFSET(装备属性!$H$1083,1+INT(COUNTA($Q$11:Q1306)/5),0),M1306)</f>
        <v>elitist_monster_hit_rate</v>
      </c>
      <c r="N1307" s="76">
        <f ca="1">IF(MOD(COUNTIF($Q$11:Q1306,Q1306),5)=0,OFFSET(装备属性!$K$1083,1+INT(COUNTA($Q$11:Q1306)/5),0),N1306)</f>
        <v>0.074</v>
      </c>
      <c r="O1307" s="76">
        <f ca="1">IF(MOD(COUNTIF($Q$11:Q1306,Q1306),5)=0,OFFSET(装备属性!$L$1083,1+INT(COUNTA($Q$11:Q1306)/5),0),O1306)</f>
        <v>0.086</v>
      </c>
      <c r="Q1307" s="89" t="str">
        <f ca="1">IF(MOD(COUNTIF($Q$11:Q1306,Q1306),5)=0,OFFSET(装备属性!$M$1083,1+INT(COUNTA($Q$11:Q1306)/5),0),Q1306)</f>
        <v>玩法类</v>
      </c>
      <c r="R1307" s="83" t="e">
        <f ca="1">IF(MOD(COUNTIF($Q$11:Q1306,Q1306),5)=0,10000*SUBSTITUTE(SUBSTITUTE(OFFSET(装备属性!$F$1083,1+INT(COUNTA($Q$11:Q1306)/5),0),"[",""),"]","")+_xlfn.XLOOKUP(C1307,$M$3:$M$7,$N$3:$N$7)*100,R1306)</f>
        <v>#N/A</v>
      </c>
    </row>
    <row r="1308" customHeight="1" spans="1:18">
      <c r="A1308" s="78" t="str">
        <f ca="1" t="shared" si="60"/>
        <v/>
      </c>
      <c r="B1308" s="82" t="str">
        <f ca="1">IFERROR(R1308+COUNTIFS($R$11:$R1308,R1308),"")</f>
        <v/>
      </c>
      <c r="C1308" s="83">
        <f ca="1">IF(MOD(COUNTIF($Q$11:Q1307,Q1307),5)=0,OFFSET(装备属性!$D$1083,1+INT(COUNTA($Q$11:Q1307)/5),0),C1307)</f>
        <v>0</v>
      </c>
      <c r="D1308" s="82">
        <f t="shared" si="62"/>
        <v>2000</v>
      </c>
      <c r="F1308" s="82" t="str">
        <f ca="1" t="shared" si="61"/>
        <v/>
      </c>
      <c r="G1308" s="78" t="str">
        <f ca="1">IF(AND(LEFT("[{"&amp;M1308&amp;","&amp;CEILING(N1308*10000+(O1308-N1308)/4*(COUNTIF($F$11:F1308,F1308)-1)*10000,10)&amp;"}]",7)="[{equip",MID("[{"&amp;M1308&amp;","&amp;CEILING(N1308*10000+(O1308-N1308)/4*(COUNTIF($F$11:F1308,F1308)-1)*10000,10)&amp;"}]",8,1)&lt;&gt;"_"),"[{"&amp;M1308&amp;","&amp;1&amp;"}]","[{"&amp;M1308&amp;","&amp;CEILING(N1308*10000+(O1308-N1308)/4*(COUNTIF($F$11:F1308,F1308)-1)*10000,10)&amp;"}]")</f>
        <v>[{elitist_monster_hit_rate,16850}]</v>
      </c>
      <c r="H1308" s="82" t="s">
        <v>563</v>
      </c>
      <c r="J1308" s="78">
        <f ca="1">IF(MOD(COUNTIF($Q$11:Q1307,Q1307),5)=0,OFFSET(装备属性!$P$1083,1+INT(COUNTA($Q$11:Q1307)/5),0),J1307)</f>
        <v>6</v>
      </c>
      <c r="K1308" s="83" t="str">
        <f ca="1">IF(RIGHT(G1308,13)="rune_slot,1}]",_xlfn.XLOOKUP(LEFT(SUBSTITUTE(G1308,"[{",""),FIND(",",SUBSTITUTE(G1308,"[{",""))-1),Sheet2!B:B,Sheet2!C:C)&amp;"+"&amp;1,_xlfn.XLOOKUP(LEFT(SUBSTITUTE(G1308,"[{",""),FIND(",",SUBSTITUTE(G1308,"[{",""))-1),Sheet2!B:B,Sheet2!C:C)&amp;"+"&amp;SUBSTITUTE(RIGHT(G1308,LEN(G1308)-FIND(",",G1308)),"}]","")/100&amp;"%")</f>
        <v>对精英增伤+168.5%</v>
      </c>
      <c r="L1308" s="83" t="str">
        <f ca="1">IF(MOD(COUNTIF($Q$11:Q1307,Q1307),5)=0,OFFSET(装备属性!$G$1083,1+INT(COUNTA($Q$11:Q1307)/5),0),L1307)</f>
        <v>Boss加餐Ⅱ</v>
      </c>
      <c r="M1308" s="89" t="str">
        <f ca="1">IF(MOD(COUNTIF($Q$11:Q1307,Q1307),5)=0,OFFSET(装备属性!$H$1083,1+INT(COUNTA($Q$11:Q1307)/5),0),M1307)</f>
        <v>elitist_monster_hit_rate</v>
      </c>
      <c r="N1308" s="76">
        <f ca="1">IF(MOD(COUNTIF($Q$11:Q1307,Q1307),5)=0,OFFSET(装备属性!$K$1083,1+INT(COUNTA($Q$11:Q1307)/5),0),N1307)</f>
        <v>0.074</v>
      </c>
      <c r="O1308" s="76">
        <f ca="1">IF(MOD(COUNTIF($Q$11:Q1307,Q1307),5)=0,OFFSET(装备属性!$L$1083,1+INT(COUNTA($Q$11:Q1307)/5),0),O1307)</f>
        <v>0.086</v>
      </c>
      <c r="Q1308" s="89" t="str">
        <f ca="1">IF(MOD(COUNTIF($Q$11:Q1307,Q1307),5)=0,OFFSET(装备属性!$M$1083,1+INT(COUNTA($Q$11:Q1307)/5),0),Q1307)</f>
        <v>玩法类</v>
      </c>
      <c r="R1308" s="83" t="e">
        <f ca="1">IF(MOD(COUNTIF($Q$11:Q1307,Q1307),5)=0,10000*SUBSTITUTE(SUBSTITUTE(OFFSET(装备属性!$F$1083,1+INT(COUNTA($Q$11:Q1307)/5),0),"[",""),"]","")+_xlfn.XLOOKUP(C1308,$M$3:$M$7,$N$3:$N$7)*100,R1307)</f>
        <v>#N/A</v>
      </c>
    </row>
    <row r="1309" customHeight="1" spans="1:18">
      <c r="A1309" s="78" t="str">
        <f ca="1" t="shared" si="60"/>
        <v/>
      </c>
      <c r="B1309" s="82" t="str">
        <f ca="1">IFERROR(R1309+COUNTIFS($R$11:$R1309,R1309),"")</f>
        <v/>
      </c>
      <c r="C1309" s="83">
        <f ca="1">IF(MOD(COUNTIF($Q$11:Q1308,Q1308),5)=0,OFFSET(装备属性!$D$1083,1+INT(COUNTA($Q$11:Q1308)/5),0),C1308)</f>
        <v>0</v>
      </c>
      <c r="D1309" s="82">
        <f t="shared" si="62"/>
        <v>1500</v>
      </c>
      <c r="F1309" s="82" t="str">
        <f ca="1" t="shared" si="61"/>
        <v/>
      </c>
      <c r="G1309" s="78" t="str">
        <f ca="1">IF(AND(LEFT("[{"&amp;M1309&amp;","&amp;CEILING(N1309*10000+(O1309-N1309)/4*(COUNTIF($F$11:F1309,F1309)-1)*10000,10)&amp;"}]",7)="[{equip",MID("[{"&amp;M1309&amp;","&amp;CEILING(N1309*10000+(O1309-N1309)/4*(COUNTIF($F$11:F1309,F1309)-1)*10000,10)&amp;"}]",8,1)&lt;&gt;"_"),"[{"&amp;M1309&amp;","&amp;1&amp;"}]","[{"&amp;M1309&amp;","&amp;CEILING(N1309*10000+(O1309-N1309)/4*(COUNTIF($F$11:F1309,F1309)-1)*10000,10)&amp;"}]")</f>
        <v>[{elitist_monster_hit_rate,16880}]</v>
      </c>
      <c r="H1309" s="82" t="s">
        <v>563</v>
      </c>
      <c r="J1309" s="78">
        <f ca="1">IF(MOD(COUNTIF($Q$11:Q1308,Q1308),5)=0,OFFSET(装备属性!$P$1083,1+INT(COUNTA($Q$11:Q1308)/5),0),J1308)</f>
        <v>6</v>
      </c>
      <c r="K1309" s="83" t="str">
        <f ca="1">IF(RIGHT(G1309,13)="rune_slot,1}]",_xlfn.XLOOKUP(LEFT(SUBSTITUTE(G1309,"[{",""),FIND(",",SUBSTITUTE(G1309,"[{",""))-1),Sheet2!B:B,Sheet2!C:C)&amp;"+"&amp;1,_xlfn.XLOOKUP(LEFT(SUBSTITUTE(G1309,"[{",""),FIND(",",SUBSTITUTE(G1309,"[{",""))-1),Sheet2!B:B,Sheet2!C:C)&amp;"+"&amp;SUBSTITUTE(RIGHT(G1309,LEN(G1309)-FIND(",",G1309)),"}]","")/100&amp;"%")</f>
        <v>对精英增伤+168.8%</v>
      </c>
      <c r="L1309" s="83" t="str">
        <f ca="1">IF(MOD(COUNTIF($Q$11:Q1308,Q1308),5)=0,OFFSET(装备属性!$G$1083,1+INT(COUNTA($Q$11:Q1308)/5),0),L1308)</f>
        <v>Boss加餐Ⅱ</v>
      </c>
      <c r="M1309" s="89" t="str">
        <f ca="1">IF(MOD(COUNTIF($Q$11:Q1308,Q1308),5)=0,OFFSET(装备属性!$H$1083,1+INT(COUNTA($Q$11:Q1308)/5),0),M1308)</f>
        <v>elitist_monster_hit_rate</v>
      </c>
      <c r="N1309" s="76">
        <f ca="1">IF(MOD(COUNTIF($Q$11:Q1308,Q1308),5)=0,OFFSET(装备属性!$K$1083,1+INT(COUNTA($Q$11:Q1308)/5),0),N1308)</f>
        <v>0.074</v>
      </c>
      <c r="O1309" s="76">
        <f ca="1">IF(MOD(COUNTIF($Q$11:Q1308,Q1308),5)=0,OFFSET(装备属性!$L$1083,1+INT(COUNTA($Q$11:Q1308)/5),0),O1308)</f>
        <v>0.086</v>
      </c>
      <c r="Q1309" s="89" t="str">
        <f ca="1">IF(MOD(COUNTIF($Q$11:Q1308,Q1308),5)=0,OFFSET(装备属性!$M$1083,1+INT(COUNTA($Q$11:Q1308)/5),0),Q1308)</f>
        <v>玩法类</v>
      </c>
      <c r="R1309" s="83" t="e">
        <f ca="1">IF(MOD(COUNTIF($Q$11:Q1308,Q1308),5)=0,10000*SUBSTITUTE(SUBSTITUTE(OFFSET(装备属性!$F$1083,1+INT(COUNTA($Q$11:Q1308)/5),0),"[",""),"]","")+_xlfn.XLOOKUP(C1309,$M$3:$M$7,$N$3:$N$7)*100,R1308)</f>
        <v>#N/A</v>
      </c>
    </row>
    <row r="1310" customHeight="1" spans="1:18">
      <c r="A1310" s="78" t="str">
        <f ca="1" t="shared" si="60"/>
        <v/>
      </c>
      <c r="B1310" s="82" t="str">
        <f ca="1">IFERROR(R1310+COUNTIFS($R$11:$R1310,R1310),"")</f>
        <v/>
      </c>
      <c r="C1310" s="83">
        <f ca="1">IF(MOD(COUNTIF($Q$11:Q1309,Q1309),5)=0,OFFSET(装备属性!$D$1083,1+INT(COUNTA($Q$11:Q1309)/5),0),C1309)</f>
        <v>0</v>
      </c>
      <c r="D1310" s="82">
        <f t="shared" si="62"/>
        <v>1000</v>
      </c>
      <c r="F1310" s="82" t="str">
        <f ca="1" t="shared" si="61"/>
        <v/>
      </c>
      <c r="G1310" s="78" t="str">
        <f ca="1">IF(AND(LEFT("[{"&amp;M1310&amp;","&amp;CEILING(N1310*10000+(O1310-N1310)/4*(COUNTIF($F$11:F1310,F1310)-1)*10000,10)&amp;"}]",7)="[{equip",MID("[{"&amp;M1310&amp;","&amp;CEILING(N1310*10000+(O1310-N1310)/4*(COUNTIF($F$11:F1310,F1310)-1)*10000,10)&amp;"}]",8,1)&lt;&gt;"_"),"[{"&amp;M1310&amp;","&amp;1&amp;"}]","[{"&amp;M1310&amp;","&amp;CEILING(N1310*10000+(O1310-N1310)/4*(COUNTIF($F$11:F1310,F1310)-1)*10000,10)&amp;"}]")</f>
        <v>[{elitist_monster_hit_rate,16910}]</v>
      </c>
      <c r="H1310" s="82" t="s">
        <v>563</v>
      </c>
      <c r="J1310" s="78">
        <f ca="1">IF(MOD(COUNTIF($Q$11:Q1309,Q1309),5)=0,OFFSET(装备属性!$P$1083,1+INT(COUNTA($Q$11:Q1309)/5),0),J1309)</f>
        <v>6</v>
      </c>
      <c r="K1310" s="83" t="str">
        <f ca="1">IF(RIGHT(G1310,13)="rune_slot,1}]",_xlfn.XLOOKUP(LEFT(SUBSTITUTE(G1310,"[{",""),FIND(",",SUBSTITUTE(G1310,"[{",""))-1),Sheet2!B:B,Sheet2!C:C)&amp;"+"&amp;1,_xlfn.XLOOKUP(LEFT(SUBSTITUTE(G1310,"[{",""),FIND(",",SUBSTITUTE(G1310,"[{",""))-1),Sheet2!B:B,Sheet2!C:C)&amp;"+"&amp;SUBSTITUTE(RIGHT(G1310,LEN(G1310)-FIND(",",G1310)),"}]","")/100&amp;"%")</f>
        <v>对精英增伤+169.1%</v>
      </c>
      <c r="L1310" s="83" t="str">
        <f ca="1">IF(MOD(COUNTIF($Q$11:Q1309,Q1309),5)=0,OFFSET(装备属性!$G$1083,1+INT(COUNTA($Q$11:Q1309)/5),0),L1309)</f>
        <v>Boss加餐Ⅱ</v>
      </c>
      <c r="M1310" s="89" t="str">
        <f ca="1">IF(MOD(COUNTIF($Q$11:Q1309,Q1309),5)=0,OFFSET(装备属性!$H$1083,1+INT(COUNTA($Q$11:Q1309)/5),0),M1309)</f>
        <v>elitist_monster_hit_rate</v>
      </c>
      <c r="N1310" s="76">
        <f ca="1">IF(MOD(COUNTIF($Q$11:Q1309,Q1309),5)=0,OFFSET(装备属性!$K$1083,1+INT(COUNTA($Q$11:Q1309)/5),0),N1309)</f>
        <v>0.074</v>
      </c>
      <c r="O1310" s="76">
        <f ca="1">IF(MOD(COUNTIF($Q$11:Q1309,Q1309),5)=0,OFFSET(装备属性!$L$1083,1+INT(COUNTA($Q$11:Q1309)/5),0),O1309)</f>
        <v>0.086</v>
      </c>
      <c r="Q1310" s="89" t="str">
        <f ca="1">IF(MOD(COUNTIF($Q$11:Q1309,Q1309),5)=0,OFFSET(装备属性!$M$1083,1+INT(COUNTA($Q$11:Q1309)/5),0),Q1309)</f>
        <v>玩法类</v>
      </c>
      <c r="R1310" s="83" t="e">
        <f ca="1">IF(MOD(COUNTIF($Q$11:Q1309,Q1309),5)=0,10000*SUBSTITUTE(SUBSTITUTE(OFFSET(装备属性!$F$1083,1+INT(COUNTA($Q$11:Q1309)/5),0),"[",""),"]","")+_xlfn.XLOOKUP(C1310,$M$3:$M$7,$N$3:$N$7)*100,R1309)</f>
        <v>#N/A</v>
      </c>
    </row>
    <row r="1311" customHeight="1" spans="1:18">
      <c r="A1311" s="78">
        <f ca="1" t="shared" si="60"/>
        <v>50501</v>
      </c>
      <c r="B1311" s="82">
        <f ca="1">IFERROR(R1311+COUNTIFS($R$11:$R1311,R1311),"")</f>
        <v>50511</v>
      </c>
      <c r="C1311" s="83" t="str">
        <f ca="1">IF(MOD(COUNTIF($Q$11:Q1310,Q1310),5)=0,OFFSET(装备属性!$D$1083,1+INT(COUNTA($Q$11:Q1310)/5),0),C1310)</f>
        <v>橙</v>
      </c>
      <c r="D1311" s="82">
        <f t="shared" si="62"/>
        <v>3000</v>
      </c>
      <c r="F1311" s="82">
        <f ca="1" t="shared" si="61"/>
        <v>50502</v>
      </c>
      <c r="G1311" s="78" t="str">
        <f ca="1">IF(AND(LEFT("[{"&amp;M1311&amp;","&amp;CEILING(N1311*10000+(O1311-N1311)/4*(COUNTIF($F$11:F1311,F1311)-1)*10000,10)&amp;"}]",7)="[{equip",MID("[{"&amp;M1311&amp;","&amp;CEILING(N1311*10000+(O1311-N1311)/4*(COUNTIF($F$11:F1311,F1311)-1)*10000,10)&amp;"}]",8,1)&lt;&gt;"_"),"[{"&amp;M1311&amp;","&amp;1&amp;"}]","[{"&amp;M1311&amp;","&amp;CEILING(N1311*10000+(O1311-N1311)/4*(COUNTIF($F$11:F1311,F1311)-1)*10000,10)&amp;"}]")</f>
        <v>[{control_dmg_rate,580}]</v>
      </c>
      <c r="H1311" s="82" t="s">
        <v>563</v>
      </c>
      <c r="J1311" s="78">
        <f ca="1">IF(MOD(COUNTIF($Q$11:Q1310,Q1310),5)=0,OFFSET(装备属性!$P$1083,1+INT(COUNTA($Q$11:Q1310)/5),0),J1310)</f>
        <v>5</v>
      </c>
      <c r="K1311" s="83" t="str">
        <f ca="1">IF(RIGHT(G1311,13)="rune_slot,1}]",_xlfn.XLOOKUP(LEFT(SUBSTITUTE(G1311,"[{",""),FIND(",",SUBSTITUTE(G1311,"[{",""))-1),Sheet2!B:B,Sheet2!C:C)&amp;"+"&amp;1,_xlfn.XLOOKUP(LEFT(SUBSTITUTE(G1311,"[{",""),FIND(",",SUBSTITUTE(G1311,"[{",""))-1),Sheet2!B:B,Sheet2!C:C)&amp;"+"&amp;SUBSTITUTE(RIGHT(G1311,LEN(G1311)-FIND(",",G1311)),"}]","")/100&amp;"%")</f>
        <v>控制伤害+5.8%</v>
      </c>
      <c r="L1311" s="83" t="str">
        <f ca="1">IF(MOD(COUNTIF($Q$11:Q1310,Q1310),5)=0,OFFSET(装备属性!$G$1083,1+INT(COUNTA($Q$11:Q1310)/5),0),L1310)</f>
        <v>控场添力Ⅱ</v>
      </c>
      <c r="M1311" s="89" t="str">
        <f ca="1">IF(MOD(COUNTIF($Q$11:Q1310,Q1310),5)=0,OFFSET(装备属性!$H$1083,1+INT(COUNTA($Q$11:Q1310)/5),0),M1310)</f>
        <v>control_dmg_rate</v>
      </c>
      <c r="N1311" s="76">
        <f ca="1">IF(MOD(COUNTIF($Q$11:Q1310,Q1310),5)=0,OFFSET(装备属性!$K$1083,1+INT(COUNTA($Q$11:Q1310)/5),0),N1310)</f>
        <v>0.058</v>
      </c>
      <c r="O1311" s="76">
        <f ca="1">IF(MOD(COUNTIF($Q$11:Q1310,Q1310),5)=0,OFFSET(装备属性!$L$1083,1+INT(COUNTA($Q$11:Q1310)/5),0),O1310)</f>
        <v>0.072</v>
      </c>
      <c r="Q1311" s="89" t="str">
        <f ca="1">IF(MOD(COUNTIF($Q$11:Q1310,Q1310),5)=0,OFFSET(装备属性!$M$1083,1+INT(COUNTA($Q$11:Q1310)/5),0),Q1310)</f>
        <v>通用属性</v>
      </c>
      <c r="R1311" s="83">
        <f ca="1">IF(MOD(COUNTIF($Q$11:Q1310,Q1310),5)=0,10000*SUBSTITUTE(SUBSTITUTE(OFFSET(装备属性!$F$1083,1+INT(COUNTA($Q$11:Q1310)/5),0),"[",""),"]","")+_xlfn.XLOOKUP(C1311,$M$3:$M$7,$N$3:$N$7)*100,R1310)</f>
        <v>50500</v>
      </c>
    </row>
    <row r="1312" customHeight="1" spans="1:18">
      <c r="A1312" s="78">
        <f ca="1" t="shared" si="60"/>
        <v>50501</v>
      </c>
      <c r="B1312" s="82">
        <f ca="1">IFERROR(R1312+COUNTIFS($R$11:$R1312,R1312),"")</f>
        <v>50512</v>
      </c>
      <c r="C1312" s="83" t="str">
        <f ca="1">IF(MOD(COUNTIF($Q$11:Q1311,Q1311),5)=0,OFFSET(装备属性!$D$1083,1+INT(COUNTA($Q$11:Q1311)/5),0),C1311)</f>
        <v>橙</v>
      </c>
      <c r="D1312" s="82">
        <f t="shared" si="62"/>
        <v>2500</v>
      </c>
      <c r="F1312" s="82">
        <f ca="1" t="shared" si="61"/>
        <v>50502</v>
      </c>
      <c r="G1312" s="78" t="str">
        <f ca="1">IF(AND(LEFT("[{"&amp;M1312&amp;","&amp;CEILING(N1312*10000+(O1312-N1312)/4*(COUNTIF($F$11:F1312,F1312)-1)*10000,10)&amp;"}]",7)="[{equip",MID("[{"&amp;M1312&amp;","&amp;CEILING(N1312*10000+(O1312-N1312)/4*(COUNTIF($F$11:F1312,F1312)-1)*10000,10)&amp;"}]",8,1)&lt;&gt;"_"),"[{"&amp;M1312&amp;","&amp;1&amp;"}]","[{"&amp;M1312&amp;","&amp;CEILING(N1312*10000+(O1312-N1312)/4*(COUNTIF($F$11:F1312,F1312)-1)*10000,10)&amp;"}]")</f>
        <v>[{control_dmg_rate,620}]</v>
      </c>
      <c r="H1312" s="82" t="s">
        <v>563</v>
      </c>
      <c r="J1312" s="78">
        <f ca="1">IF(MOD(COUNTIF($Q$11:Q1311,Q1311),5)=0,OFFSET(装备属性!$P$1083,1+INT(COUNTA($Q$11:Q1311)/5),0),J1311)</f>
        <v>5</v>
      </c>
      <c r="K1312" s="83" t="str">
        <f ca="1">IF(RIGHT(G1312,13)="rune_slot,1}]",_xlfn.XLOOKUP(LEFT(SUBSTITUTE(G1312,"[{",""),FIND(",",SUBSTITUTE(G1312,"[{",""))-1),Sheet2!B:B,Sheet2!C:C)&amp;"+"&amp;1,_xlfn.XLOOKUP(LEFT(SUBSTITUTE(G1312,"[{",""),FIND(",",SUBSTITUTE(G1312,"[{",""))-1),Sheet2!B:B,Sheet2!C:C)&amp;"+"&amp;SUBSTITUTE(RIGHT(G1312,LEN(G1312)-FIND(",",G1312)),"}]","")/100&amp;"%")</f>
        <v>控制伤害+6.2%</v>
      </c>
      <c r="L1312" s="83" t="str">
        <f ca="1">IF(MOD(COUNTIF($Q$11:Q1311,Q1311),5)=0,OFFSET(装备属性!$G$1083,1+INT(COUNTA($Q$11:Q1311)/5),0),L1311)</f>
        <v>控场添力Ⅱ</v>
      </c>
      <c r="M1312" s="89" t="str">
        <f ca="1">IF(MOD(COUNTIF($Q$11:Q1311,Q1311),5)=0,OFFSET(装备属性!$H$1083,1+INT(COUNTA($Q$11:Q1311)/5),0),M1311)</f>
        <v>control_dmg_rate</v>
      </c>
      <c r="N1312" s="76">
        <f ca="1">IF(MOD(COUNTIF($Q$11:Q1311,Q1311),5)=0,OFFSET(装备属性!$K$1083,1+INT(COUNTA($Q$11:Q1311)/5),0),N1311)</f>
        <v>0.058</v>
      </c>
      <c r="O1312" s="76">
        <f ca="1">IF(MOD(COUNTIF($Q$11:Q1311,Q1311),5)=0,OFFSET(装备属性!$L$1083,1+INT(COUNTA($Q$11:Q1311)/5),0),O1311)</f>
        <v>0.072</v>
      </c>
      <c r="Q1312" s="89" t="str">
        <f ca="1">IF(MOD(COUNTIF($Q$11:Q1311,Q1311),5)=0,OFFSET(装备属性!$M$1083,1+INT(COUNTA($Q$11:Q1311)/5),0),Q1311)</f>
        <v>通用属性</v>
      </c>
      <c r="R1312" s="83">
        <f ca="1">IF(MOD(COUNTIF($Q$11:Q1311,Q1311),5)=0,10000*SUBSTITUTE(SUBSTITUTE(OFFSET(装备属性!$F$1083,1+INT(COUNTA($Q$11:Q1311)/5),0),"[",""),"]","")+_xlfn.XLOOKUP(C1312,$M$3:$M$7,$N$3:$N$7)*100,R1311)</f>
        <v>50500</v>
      </c>
    </row>
    <row r="1313" customHeight="1" spans="1:18">
      <c r="A1313" s="78">
        <f ca="1" t="shared" si="60"/>
        <v>50501</v>
      </c>
      <c r="B1313" s="82">
        <f ca="1">IFERROR(R1313+COUNTIFS($R$11:$R1313,R1313),"")</f>
        <v>50513</v>
      </c>
      <c r="C1313" s="83" t="str">
        <f ca="1">IF(MOD(COUNTIF($Q$11:Q1312,Q1312),5)=0,OFFSET(装备属性!$D$1083,1+INT(COUNTA($Q$11:Q1312)/5),0),C1312)</f>
        <v>橙</v>
      </c>
      <c r="D1313" s="82">
        <f t="shared" si="62"/>
        <v>2000</v>
      </c>
      <c r="F1313" s="82">
        <f ca="1" t="shared" si="61"/>
        <v>50502</v>
      </c>
      <c r="G1313" s="78" t="str">
        <f ca="1">IF(AND(LEFT("[{"&amp;M1313&amp;","&amp;CEILING(N1313*10000+(O1313-N1313)/4*(COUNTIF($F$11:F1313,F1313)-1)*10000,10)&amp;"}]",7)="[{equip",MID("[{"&amp;M1313&amp;","&amp;CEILING(N1313*10000+(O1313-N1313)/4*(COUNTIF($F$11:F1313,F1313)-1)*10000,10)&amp;"}]",8,1)&lt;&gt;"_"),"[{"&amp;M1313&amp;","&amp;1&amp;"}]","[{"&amp;M1313&amp;","&amp;CEILING(N1313*10000+(O1313-N1313)/4*(COUNTIF($F$11:F1313,F1313)-1)*10000,10)&amp;"}]")</f>
        <v>[{control_dmg_rate,650}]</v>
      </c>
      <c r="H1313" s="82" t="s">
        <v>563</v>
      </c>
      <c r="J1313" s="78">
        <f ca="1">IF(MOD(COUNTIF($Q$11:Q1312,Q1312),5)=0,OFFSET(装备属性!$P$1083,1+INT(COUNTA($Q$11:Q1312)/5),0),J1312)</f>
        <v>5</v>
      </c>
      <c r="K1313" s="83" t="str">
        <f ca="1">IF(RIGHT(G1313,13)="rune_slot,1}]",_xlfn.XLOOKUP(LEFT(SUBSTITUTE(G1313,"[{",""),FIND(",",SUBSTITUTE(G1313,"[{",""))-1),Sheet2!B:B,Sheet2!C:C)&amp;"+"&amp;1,_xlfn.XLOOKUP(LEFT(SUBSTITUTE(G1313,"[{",""),FIND(",",SUBSTITUTE(G1313,"[{",""))-1),Sheet2!B:B,Sheet2!C:C)&amp;"+"&amp;SUBSTITUTE(RIGHT(G1313,LEN(G1313)-FIND(",",G1313)),"}]","")/100&amp;"%")</f>
        <v>控制伤害+6.5%</v>
      </c>
      <c r="L1313" s="83" t="str">
        <f ca="1">IF(MOD(COUNTIF($Q$11:Q1312,Q1312),5)=0,OFFSET(装备属性!$G$1083,1+INT(COUNTA($Q$11:Q1312)/5),0),L1312)</f>
        <v>控场添力Ⅱ</v>
      </c>
      <c r="M1313" s="89" t="str">
        <f ca="1">IF(MOD(COUNTIF($Q$11:Q1312,Q1312),5)=0,OFFSET(装备属性!$H$1083,1+INT(COUNTA($Q$11:Q1312)/5),0),M1312)</f>
        <v>control_dmg_rate</v>
      </c>
      <c r="N1313" s="76">
        <f ca="1">IF(MOD(COUNTIF($Q$11:Q1312,Q1312),5)=0,OFFSET(装备属性!$K$1083,1+INT(COUNTA($Q$11:Q1312)/5),0),N1312)</f>
        <v>0.058</v>
      </c>
      <c r="O1313" s="76">
        <f ca="1">IF(MOD(COUNTIF($Q$11:Q1312,Q1312),5)=0,OFFSET(装备属性!$L$1083,1+INT(COUNTA($Q$11:Q1312)/5),0),O1312)</f>
        <v>0.072</v>
      </c>
      <c r="Q1313" s="89" t="str">
        <f ca="1">IF(MOD(COUNTIF($Q$11:Q1312,Q1312),5)=0,OFFSET(装备属性!$M$1083,1+INT(COUNTA($Q$11:Q1312)/5),0),Q1312)</f>
        <v>通用属性</v>
      </c>
      <c r="R1313" s="83">
        <f ca="1">IF(MOD(COUNTIF($Q$11:Q1312,Q1312),5)=0,10000*SUBSTITUTE(SUBSTITUTE(OFFSET(装备属性!$F$1083,1+INT(COUNTA($Q$11:Q1312)/5),0),"[",""),"]","")+_xlfn.XLOOKUP(C1313,$M$3:$M$7,$N$3:$N$7)*100,R1312)</f>
        <v>50500</v>
      </c>
    </row>
    <row r="1314" customHeight="1" spans="1:18">
      <c r="A1314" s="78">
        <f ca="1" t="shared" si="60"/>
        <v>50501</v>
      </c>
      <c r="B1314" s="82">
        <f ca="1">IFERROR(R1314+COUNTIFS($R$11:$R1314,R1314),"")</f>
        <v>50514</v>
      </c>
      <c r="C1314" s="83" t="str">
        <f ca="1">IF(MOD(COUNTIF($Q$11:Q1313,Q1313),5)=0,OFFSET(装备属性!$D$1083,1+INT(COUNTA($Q$11:Q1313)/5),0),C1313)</f>
        <v>橙</v>
      </c>
      <c r="D1314" s="82">
        <f t="shared" si="62"/>
        <v>1500</v>
      </c>
      <c r="F1314" s="82">
        <f ca="1" t="shared" si="61"/>
        <v>50502</v>
      </c>
      <c r="G1314" s="78" t="str">
        <f ca="1">IF(AND(LEFT("[{"&amp;M1314&amp;","&amp;CEILING(N1314*10000+(O1314-N1314)/4*(COUNTIF($F$11:F1314,F1314)-1)*10000,10)&amp;"}]",7)="[{equip",MID("[{"&amp;M1314&amp;","&amp;CEILING(N1314*10000+(O1314-N1314)/4*(COUNTIF($F$11:F1314,F1314)-1)*10000,10)&amp;"}]",8,1)&lt;&gt;"_"),"[{"&amp;M1314&amp;","&amp;1&amp;"}]","[{"&amp;M1314&amp;","&amp;CEILING(N1314*10000+(O1314-N1314)/4*(COUNTIF($F$11:F1314,F1314)-1)*10000,10)&amp;"}]")</f>
        <v>[{control_dmg_rate,690}]</v>
      </c>
      <c r="H1314" s="82" t="s">
        <v>563</v>
      </c>
      <c r="J1314" s="78">
        <f ca="1">IF(MOD(COUNTIF($Q$11:Q1313,Q1313),5)=0,OFFSET(装备属性!$P$1083,1+INT(COUNTA($Q$11:Q1313)/5),0),J1313)</f>
        <v>5</v>
      </c>
      <c r="K1314" s="83" t="str">
        <f ca="1">IF(RIGHT(G1314,13)="rune_slot,1}]",_xlfn.XLOOKUP(LEFT(SUBSTITUTE(G1314,"[{",""),FIND(",",SUBSTITUTE(G1314,"[{",""))-1),Sheet2!B:B,Sheet2!C:C)&amp;"+"&amp;1,_xlfn.XLOOKUP(LEFT(SUBSTITUTE(G1314,"[{",""),FIND(",",SUBSTITUTE(G1314,"[{",""))-1),Sheet2!B:B,Sheet2!C:C)&amp;"+"&amp;SUBSTITUTE(RIGHT(G1314,LEN(G1314)-FIND(",",G1314)),"}]","")/100&amp;"%")</f>
        <v>控制伤害+6.9%</v>
      </c>
      <c r="L1314" s="83" t="str">
        <f ca="1">IF(MOD(COUNTIF($Q$11:Q1313,Q1313),5)=0,OFFSET(装备属性!$G$1083,1+INT(COUNTA($Q$11:Q1313)/5),0),L1313)</f>
        <v>控场添力Ⅱ</v>
      </c>
      <c r="M1314" s="89" t="str">
        <f ca="1">IF(MOD(COUNTIF($Q$11:Q1313,Q1313),5)=0,OFFSET(装备属性!$H$1083,1+INT(COUNTA($Q$11:Q1313)/5),0),M1313)</f>
        <v>control_dmg_rate</v>
      </c>
      <c r="N1314" s="76">
        <f ca="1">IF(MOD(COUNTIF($Q$11:Q1313,Q1313),5)=0,OFFSET(装备属性!$K$1083,1+INT(COUNTA($Q$11:Q1313)/5),0),N1313)</f>
        <v>0.058</v>
      </c>
      <c r="O1314" s="76">
        <f ca="1">IF(MOD(COUNTIF($Q$11:Q1313,Q1313),5)=0,OFFSET(装备属性!$L$1083,1+INT(COUNTA($Q$11:Q1313)/5),0),O1313)</f>
        <v>0.072</v>
      </c>
      <c r="Q1314" s="89" t="str">
        <f ca="1">IF(MOD(COUNTIF($Q$11:Q1313,Q1313),5)=0,OFFSET(装备属性!$M$1083,1+INT(COUNTA($Q$11:Q1313)/5),0),Q1313)</f>
        <v>通用属性</v>
      </c>
      <c r="R1314" s="83">
        <f ca="1">IF(MOD(COUNTIF($Q$11:Q1313,Q1313),5)=0,10000*SUBSTITUTE(SUBSTITUTE(OFFSET(装备属性!$F$1083,1+INT(COUNTA($Q$11:Q1313)/5),0),"[",""),"]","")+_xlfn.XLOOKUP(C1314,$M$3:$M$7,$N$3:$N$7)*100,R1313)</f>
        <v>50500</v>
      </c>
    </row>
    <row r="1315" customHeight="1" spans="1:18">
      <c r="A1315" s="78">
        <f ca="1" t="shared" si="60"/>
        <v>50501</v>
      </c>
      <c r="B1315" s="82">
        <f ca="1">IFERROR(R1315+COUNTIFS($R$11:$R1315,R1315),"")</f>
        <v>50515</v>
      </c>
      <c r="C1315" s="83" t="str">
        <f ca="1">IF(MOD(COUNTIF($Q$11:Q1314,Q1314),5)=0,OFFSET(装备属性!$D$1083,1+INT(COUNTA($Q$11:Q1314)/5),0),C1314)</f>
        <v>橙</v>
      </c>
      <c r="D1315" s="82">
        <f t="shared" si="62"/>
        <v>1000</v>
      </c>
      <c r="F1315" s="82">
        <f ca="1" t="shared" si="61"/>
        <v>50502</v>
      </c>
      <c r="G1315" s="78" t="str">
        <f ca="1">IF(AND(LEFT("[{"&amp;M1315&amp;","&amp;CEILING(N1315*10000+(O1315-N1315)/4*(COUNTIF($F$11:F1315,F1315)-1)*10000,10)&amp;"}]",7)="[{equip",MID("[{"&amp;M1315&amp;","&amp;CEILING(N1315*10000+(O1315-N1315)/4*(COUNTIF($F$11:F1315,F1315)-1)*10000,10)&amp;"}]",8,1)&lt;&gt;"_"),"[{"&amp;M1315&amp;","&amp;1&amp;"}]","[{"&amp;M1315&amp;","&amp;CEILING(N1315*10000+(O1315-N1315)/4*(COUNTIF($F$11:F1315,F1315)-1)*10000,10)&amp;"}]")</f>
        <v>[{control_dmg_rate,720}]</v>
      </c>
      <c r="H1315" s="82" t="s">
        <v>563</v>
      </c>
      <c r="J1315" s="78">
        <f ca="1">IF(MOD(COUNTIF($Q$11:Q1314,Q1314),5)=0,OFFSET(装备属性!$P$1083,1+INT(COUNTA($Q$11:Q1314)/5),0),J1314)</f>
        <v>5</v>
      </c>
      <c r="K1315" s="83" t="str">
        <f ca="1">IF(RIGHT(G1315,13)="rune_slot,1}]",_xlfn.XLOOKUP(LEFT(SUBSTITUTE(G1315,"[{",""),FIND(",",SUBSTITUTE(G1315,"[{",""))-1),Sheet2!B:B,Sheet2!C:C)&amp;"+"&amp;1,_xlfn.XLOOKUP(LEFT(SUBSTITUTE(G1315,"[{",""),FIND(",",SUBSTITUTE(G1315,"[{",""))-1),Sheet2!B:B,Sheet2!C:C)&amp;"+"&amp;SUBSTITUTE(RIGHT(G1315,LEN(G1315)-FIND(",",G1315)),"}]","")/100&amp;"%")</f>
        <v>控制伤害+7.2%</v>
      </c>
      <c r="L1315" s="83" t="str">
        <f ca="1">IF(MOD(COUNTIF($Q$11:Q1314,Q1314),5)=0,OFFSET(装备属性!$G$1083,1+INT(COUNTA($Q$11:Q1314)/5),0),L1314)</f>
        <v>控场添力Ⅱ</v>
      </c>
      <c r="M1315" s="89" t="str">
        <f ca="1">IF(MOD(COUNTIF($Q$11:Q1314,Q1314),5)=0,OFFSET(装备属性!$H$1083,1+INT(COUNTA($Q$11:Q1314)/5),0),M1314)</f>
        <v>control_dmg_rate</v>
      </c>
      <c r="N1315" s="76">
        <f ca="1">IF(MOD(COUNTIF($Q$11:Q1314,Q1314),5)=0,OFFSET(装备属性!$K$1083,1+INT(COUNTA($Q$11:Q1314)/5),0),N1314)</f>
        <v>0.058</v>
      </c>
      <c r="O1315" s="76">
        <f ca="1">IF(MOD(COUNTIF($Q$11:Q1314,Q1314),5)=0,OFFSET(装备属性!$L$1083,1+INT(COUNTA($Q$11:Q1314)/5),0),O1314)</f>
        <v>0.072</v>
      </c>
      <c r="Q1315" s="89" t="str">
        <f ca="1">IF(MOD(COUNTIF($Q$11:Q1314,Q1314),5)=0,OFFSET(装备属性!$M$1083,1+INT(COUNTA($Q$11:Q1314)/5),0),Q1314)</f>
        <v>通用属性</v>
      </c>
      <c r="R1315" s="83">
        <f ca="1">IF(MOD(COUNTIF($Q$11:Q1314,Q1314),5)=0,10000*SUBSTITUTE(SUBSTITUTE(OFFSET(装备属性!$F$1083,1+INT(COUNTA($Q$11:Q1314)/5),0),"[",""),"]","")+_xlfn.XLOOKUP(C1315,$M$3:$M$7,$N$3:$N$7)*100,R1314)</f>
        <v>50500</v>
      </c>
    </row>
    <row r="1316" customHeight="1" spans="1:18">
      <c r="A1316" s="78">
        <f ca="1" t="shared" si="60"/>
        <v>50501</v>
      </c>
      <c r="B1316" s="82">
        <f ca="1">IFERROR(R1316+COUNTIFS($R$11:$R1316,R1316),"")</f>
        <v>50516</v>
      </c>
      <c r="C1316" s="83" t="str">
        <f ca="1">IF(MOD(COUNTIF($Q$11:Q1315,Q1315),5)=0,OFFSET(装备属性!$D$1083,1+INT(COUNTA($Q$11:Q1315)/5),0),C1315)</f>
        <v>橙</v>
      </c>
      <c r="D1316" s="82">
        <f t="shared" si="62"/>
        <v>3000</v>
      </c>
      <c r="F1316" s="82">
        <f ca="1" t="shared" si="61"/>
        <v>50503</v>
      </c>
      <c r="G1316" s="78" t="str">
        <f ca="1">IF(AND(LEFT("[{"&amp;M1316&amp;","&amp;CEILING(N1316*10000+(O1316-N1316)/4*(COUNTIF($F$11:F1316,F1316)-1)*10000,10)&amp;"}]",7)="[{equip",MID("[{"&amp;M1316&amp;","&amp;CEILING(N1316*10000+(O1316-N1316)/4*(COUNTIF($F$11:F1316,F1316)-1)*10000,10)&amp;"}]",8,1)&lt;&gt;"_"),"[{"&amp;M1316&amp;","&amp;1&amp;"}]","[{"&amp;M1316&amp;","&amp;CEILING(N1316*10000+(O1316-N1316)/4*(COUNTIF($F$11:F1316,F1316)-1)*10000,10)&amp;"}]")</f>
        <v>[{control_dmg_red_rate,200}]</v>
      </c>
      <c r="H1316" s="82" t="s">
        <v>563</v>
      </c>
      <c r="J1316" s="78">
        <f ca="1">IF(MOD(COUNTIF($Q$11:Q1315,Q1315),5)=0,OFFSET(装备属性!$P$1083,1+INT(COUNTA($Q$11:Q1315)/5),0),J1315)</f>
        <v>3</v>
      </c>
      <c r="K1316" s="83" t="str">
        <f ca="1">IF(RIGHT(G1316,13)="rune_slot,1}]",_xlfn.XLOOKUP(LEFT(SUBSTITUTE(G1316,"[{",""),FIND(",",SUBSTITUTE(G1316,"[{",""))-1),Sheet2!B:B,Sheet2!C:C)&amp;"+"&amp;1,_xlfn.XLOOKUP(LEFT(SUBSTITUTE(G1316,"[{",""),FIND(",",SUBSTITUTE(G1316,"[{",""))-1),Sheet2!B:B,Sheet2!C:C)&amp;"+"&amp;SUBSTITUTE(RIGHT(G1316,LEN(G1316)-FIND(",",G1316)),"}]","")/100&amp;"%")</f>
        <v>控制伤害减免+2%</v>
      </c>
      <c r="L1316" s="83" t="str">
        <f ca="1">IF(MOD(COUNTIF($Q$11:Q1315,Q1315),5)=0,OFFSET(装备属性!$G$1083,1+INT(COUNTA($Q$11:Q1315)/5),0),L1315)</f>
        <v>控场能苟Ⅱ</v>
      </c>
      <c r="M1316" s="89" t="str">
        <f ca="1">IF(MOD(COUNTIF($Q$11:Q1315,Q1315),5)=0,OFFSET(装备属性!$H$1083,1+INT(COUNTA($Q$11:Q1315)/5),0),M1315)</f>
        <v>control_dmg_red_rate</v>
      </c>
      <c r="N1316" s="76">
        <f ca="1">IF(MOD(COUNTIF($Q$11:Q1315,Q1315),5)=0,OFFSET(装备属性!$K$1083,1+INT(COUNTA($Q$11:Q1315)/5),0),N1315)</f>
        <v>0.02</v>
      </c>
      <c r="O1316" s="76">
        <f ca="1">IF(MOD(COUNTIF($Q$11:Q1315,Q1315),5)=0,OFFSET(装备属性!$L$1083,1+INT(COUNTA($Q$11:Q1315)/5),0),O1315)</f>
        <v>0.024</v>
      </c>
      <c r="Q1316" s="89" t="str">
        <f ca="1">IF(MOD(COUNTIF($Q$11:Q1315,Q1315),5)=0,OFFSET(装备属性!$M$1083,1+INT(COUNTA($Q$11:Q1315)/5),0),Q1315)</f>
        <v>通用属性</v>
      </c>
      <c r="R1316" s="83">
        <f ca="1">IF(MOD(COUNTIF($Q$11:Q1315,Q1315),5)=0,10000*SUBSTITUTE(SUBSTITUTE(OFFSET(装备属性!$F$1083,1+INT(COUNTA($Q$11:Q1315)/5),0),"[",""),"]","")+_xlfn.XLOOKUP(C1316,$M$3:$M$7,$N$3:$N$7)*100,R1315)</f>
        <v>50500</v>
      </c>
    </row>
    <row r="1317" customHeight="1" spans="1:18">
      <c r="A1317" s="78">
        <f ca="1" t="shared" si="60"/>
        <v>50501</v>
      </c>
      <c r="B1317" s="82">
        <f ca="1">IFERROR(R1317+COUNTIFS($R$11:$R1317,R1317),"")</f>
        <v>50517</v>
      </c>
      <c r="C1317" s="83" t="str">
        <f ca="1">IF(MOD(COUNTIF($Q$11:Q1316,Q1316),5)=0,OFFSET(装备属性!$D$1083,1+INT(COUNTA($Q$11:Q1316)/5),0),C1316)</f>
        <v>橙</v>
      </c>
      <c r="D1317" s="82">
        <f t="shared" si="62"/>
        <v>2500</v>
      </c>
      <c r="F1317" s="82">
        <f ca="1" t="shared" si="61"/>
        <v>50503</v>
      </c>
      <c r="G1317" s="78" t="str">
        <f ca="1">IF(AND(LEFT("[{"&amp;M1317&amp;","&amp;CEILING(N1317*10000+(O1317-N1317)/4*(COUNTIF($F$11:F1317,F1317)-1)*10000,10)&amp;"}]",7)="[{equip",MID("[{"&amp;M1317&amp;","&amp;CEILING(N1317*10000+(O1317-N1317)/4*(COUNTIF($F$11:F1317,F1317)-1)*10000,10)&amp;"}]",8,1)&lt;&gt;"_"),"[{"&amp;M1317&amp;","&amp;1&amp;"}]","[{"&amp;M1317&amp;","&amp;CEILING(N1317*10000+(O1317-N1317)/4*(COUNTIF($F$11:F1317,F1317)-1)*10000,10)&amp;"}]")</f>
        <v>[{control_dmg_red_rate,210}]</v>
      </c>
      <c r="H1317" s="82" t="s">
        <v>563</v>
      </c>
      <c r="J1317" s="78">
        <f ca="1">IF(MOD(COUNTIF($Q$11:Q1316,Q1316),5)=0,OFFSET(装备属性!$P$1083,1+INT(COUNTA($Q$11:Q1316)/5),0),J1316)</f>
        <v>3</v>
      </c>
      <c r="K1317" s="83" t="str">
        <f ca="1">IF(RIGHT(G1317,13)="rune_slot,1}]",_xlfn.XLOOKUP(LEFT(SUBSTITUTE(G1317,"[{",""),FIND(",",SUBSTITUTE(G1317,"[{",""))-1),Sheet2!B:B,Sheet2!C:C)&amp;"+"&amp;1,_xlfn.XLOOKUP(LEFT(SUBSTITUTE(G1317,"[{",""),FIND(",",SUBSTITUTE(G1317,"[{",""))-1),Sheet2!B:B,Sheet2!C:C)&amp;"+"&amp;SUBSTITUTE(RIGHT(G1317,LEN(G1317)-FIND(",",G1317)),"}]","")/100&amp;"%")</f>
        <v>控制伤害减免+2.1%</v>
      </c>
      <c r="L1317" s="83" t="str">
        <f ca="1">IF(MOD(COUNTIF($Q$11:Q1316,Q1316),5)=0,OFFSET(装备属性!$G$1083,1+INT(COUNTA($Q$11:Q1316)/5),0),L1316)</f>
        <v>控场能苟Ⅱ</v>
      </c>
      <c r="M1317" s="89" t="str">
        <f ca="1">IF(MOD(COUNTIF($Q$11:Q1316,Q1316),5)=0,OFFSET(装备属性!$H$1083,1+INT(COUNTA($Q$11:Q1316)/5),0),M1316)</f>
        <v>control_dmg_red_rate</v>
      </c>
      <c r="N1317" s="76">
        <f ca="1">IF(MOD(COUNTIF($Q$11:Q1316,Q1316),5)=0,OFFSET(装备属性!$K$1083,1+INT(COUNTA($Q$11:Q1316)/5),0),N1316)</f>
        <v>0.02</v>
      </c>
      <c r="O1317" s="76">
        <f ca="1">IF(MOD(COUNTIF($Q$11:Q1316,Q1316),5)=0,OFFSET(装备属性!$L$1083,1+INT(COUNTA($Q$11:Q1316)/5),0),O1316)</f>
        <v>0.024</v>
      </c>
      <c r="Q1317" s="89" t="str">
        <f ca="1">IF(MOD(COUNTIF($Q$11:Q1316,Q1316),5)=0,OFFSET(装备属性!$M$1083,1+INT(COUNTA($Q$11:Q1316)/5),0),Q1316)</f>
        <v>通用属性</v>
      </c>
      <c r="R1317" s="83">
        <f ca="1">IF(MOD(COUNTIF($Q$11:Q1316,Q1316),5)=0,10000*SUBSTITUTE(SUBSTITUTE(OFFSET(装备属性!$F$1083,1+INT(COUNTA($Q$11:Q1316)/5),0),"[",""),"]","")+_xlfn.XLOOKUP(C1317,$M$3:$M$7,$N$3:$N$7)*100,R1316)</f>
        <v>50500</v>
      </c>
    </row>
    <row r="1318" customHeight="1" spans="1:18">
      <c r="A1318" s="78">
        <f ca="1" t="shared" si="60"/>
        <v>50501</v>
      </c>
      <c r="B1318" s="82">
        <f ca="1">IFERROR(R1318+COUNTIFS($R$11:$R1318,R1318),"")</f>
        <v>50518</v>
      </c>
      <c r="C1318" s="83" t="str">
        <f ca="1">IF(MOD(COUNTIF($Q$11:Q1317,Q1317),5)=0,OFFSET(装备属性!$D$1083,1+INT(COUNTA($Q$11:Q1317)/5),0),C1317)</f>
        <v>橙</v>
      </c>
      <c r="D1318" s="82">
        <f t="shared" si="62"/>
        <v>2000</v>
      </c>
      <c r="F1318" s="82">
        <f ca="1" t="shared" si="61"/>
        <v>50503</v>
      </c>
      <c r="G1318" s="78" t="str">
        <f ca="1">IF(AND(LEFT("[{"&amp;M1318&amp;","&amp;CEILING(N1318*10000+(O1318-N1318)/4*(COUNTIF($F$11:F1318,F1318)-1)*10000,10)&amp;"}]",7)="[{equip",MID("[{"&amp;M1318&amp;","&amp;CEILING(N1318*10000+(O1318-N1318)/4*(COUNTIF($F$11:F1318,F1318)-1)*10000,10)&amp;"}]",8,1)&lt;&gt;"_"),"[{"&amp;M1318&amp;","&amp;1&amp;"}]","[{"&amp;M1318&amp;","&amp;CEILING(N1318*10000+(O1318-N1318)/4*(COUNTIF($F$11:F1318,F1318)-1)*10000,10)&amp;"}]")</f>
        <v>[{control_dmg_red_rate,220}]</v>
      </c>
      <c r="H1318" s="82" t="s">
        <v>563</v>
      </c>
      <c r="J1318" s="78">
        <f ca="1">IF(MOD(COUNTIF($Q$11:Q1317,Q1317),5)=0,OFFSET(装备属性!$P$1083,1+INT(COUNTA($Q$11:Q1317)/5),0),J1317)</f>
        <v>3</v>
      </c>
      <c r="K1318" s="83" t="str">
        <f ca="1">IF(RIGHT(G1318,13)="rune_slot,1}]",_xlfn.XLOOKUP(LEFT(SUBSTITUTE(G1318,"[{",""),FIND(",",SUBSTITUTE(G1318,"[{",""))-1),Sheet2!B:B,Sheet2!C:C)&amp;"+"&amp;1,_xlfn.XLOOKUP(LEFT(SUBSTITUTE(G1318,"[{",""),FIND(",",SUBSTITUTE(G1318,"[{",""))-1),Sheet2!B:B,Sheet2!C:C)&amp;"+"&amp;SUBSTITUTE(RIGHT(G1318,LEN(G1318)-FIND(",",G1318)),"}]","")/100&amp;"%")</f>
        <v>控制伤害减免+2.2%</v>
      </c>
      <c r="L1318" s="83" t="str">
        <f ca="1">IF(MOD(COUNTIF($Q$11:Q1317,Q1317),5)=0,OFFSET(装备属性!$G$1083,1+INT(COUNTA($Q$11:Q1317)/5),0),L1317)</f>
        <v>控场能苟Ⅱ</v>
      </c>
      <c r="M1318" s="89" t="str">
        <f ca="1">IF(MOD(COUNTIF($Q$11:Q1317,Q1317),5)=0,OFFSET(装备属性!$H$1083,1+INT(COUNTA($Q$11:Q1317)/5),0),M1317)</f>
        <v>control_dmg_red_rate</v>
      </c>
      <c r="N1318" s="76">
        <f ca="1">IF(MOD(COUNTIF($Q$11:Q1317,Q1317),5)=0,OFFSET(装备属性!$K$1083,1+INT(COUNTA($Q$11:Q1317)/5),0),N1317)</f>
        <v>0.02</v>
      </c>
      <c r="O1318" s="76">
        <f ca="1">IF(MOD(COUNTIF($Q$11:Q1317,Q1317),5)=0,OFFSET(装备属性!$L$1083,1+INT(COUNTA($Q$11:Q1317)/5),0),O1317)</f>
        <v>0.024</v>
      </c>
      <c r="Q1318" s="89" t="str">
        <f ca="1">IF(MOD(COUNTIF($Q$11:Q1317,Q1317),5)=0,OFFSET(装备属性!$M$1083,1+INT(COUNTA($Q$11:Q1317)/5),0),Q1317)</f>
        <v>通用属性</v>
      </c>
      <c r="R1318" s="83">
        <f ca="1">IF(MOD(COUNTIF($Q$11:Q1317,Q1317),5)=0,10000*SUBSTITUTE(SUBSTITUTE(OFFSET(装备属性!$F$1083,1+INT(COUNTA($Q$11:Q1317)/5),0),"[",""),"]","")+_xlfn.XLOOKUP(C1318,$M$3:$M$7,$N$3:$N$7)*100,R1317)</f>
        <v>50500</v>
      </c>
    </row>
    <row r="1319" customHeight="1" spans="1:18">
      <c r="A1319" s="78">
        <f ca="1" t="shared" si="60"/>
        <v>50501</v>
      </c>
      <c r="B1319" s="82">
        <f ca="1">IFERROR(R1319+COUNTIFS($R$11:$R1319,R1319),"")</f>
        <v>50519</v>
      </c>
      <c r="C1319" s="83" t="str">
        <f ca="1">IF(MOD(COUNTIF($Q$11:Q1318,Q1318),5)=0,OFFSET(装备属性!$D$1083,1+INT(COUNTA($Q$11:Q1318)/5),0),C1318)</f>
        <v>橙</v>
      </c>
      <c r="D1319" s="82">
        <f t="shared" si="62"/>
        <v>1500</v>
      </c>
      <c r="F1319" s="82">
        <f ca="1" t="shared" si="61"/>
        <v>50503</v>
      </c>
      <c r="G1319" s="78" t="str">
        <f ca="1">IF(AND(LEFT("[{"&amp;M1319&amp;","&amp;CEILING(N1319*10000+(O1319-N1319)/4*(COUNTIF($F$11:F1319,F1319)-1)*10000,10)&amp;"}]",7)="[{equip",MID("[{"&amp;M1319&amp;","&amp;CEILING(N1319*10000+(O1319-N1319)/4*(COUNTIF($F$11:F1319,F1319)-1)*10000,10)&amp;"}]",8,1)&lt;&gt;"_"),"[{"&amp;M1319&amp;","&amp;1&amp;"}]","[{"&amp;M1319&amp;","&amp;CEILING(N1319*10000+(O1319-N1319)/4*(COUNTIF($F$11:F1319,F1319)-1)*10000,10)&amp;"}]")</f>
        <v>[{control_dmg_red_rate,230}]</v>
      </c>
      <c r="H1319" s="82" t="s">
        <v>563</v>
      </c>
      <c r="J1319" s="78">
        <f ca="1">IF(MOD(COUNTIF($Q$11:Q1318,Q1318),5)=0,OFFSET(装备属性!$P$1083,1+INT(COUNTA($Q$11:Q1318)/5),0),J1318)</f>
        <v>3</v>
      </c>
      <c r="K1319" s="83" t="str">
        <f ca="1">IF(RIGHT(G1319,13)="rune_slot,1}]",_xlfn.XLOOKUP(LEFT(SUBSTITUTE(G1319,"[{",""),FIND(",",SUBSTITUTE(G1319,"[{",""))-1),Sheet2!B:B,Sheet2!C:C)&amp;"+"&amp;1,_xlfn.XLOOKUP(LEFT(SUBSTITUTE(G1319,"[{",""),FIND(",",SUBSTITUTE(G1319,"[{",""))-1),Sheet2!B:B,Sheet2!C:C)&amp;"+"&amp;SUBSTITUTE(RIGHT(G1319,LEN(G1319)-FIND(",",G1319)),"}]","")/100&amp;"%")</f>
        <v>控制伤害减免+2.3%</v>
      </c>
      <c r="L1319" s="83" t="str">
        <f ca="1">IF(MOD(COUNTIF($Q$11:Q1318,Q1318),5)=0,OFFSET(装备属性!$G$1083,1+INT(COUNTA($Q$11:Q1318)/5),0),L1318)</f>
        <v>控场能苟Ⅱ</v>
      </c>
      <c r="M1319" s="89" t="str">
        <f ca="1">IF(MOD(COUNTIF($Q$11:Q1318,Q1318),5)=0,OFFSET(装备属性!$H$1083,1+INT(COUNTA($Q$11:Q1318)/5),0),M1318)</f>
        <v>control_dmg_red_rate</v>
      </c>
      <c r="N1319" s="76">
        <f ca="1">IF(MOD(COUNTIF($Q$11:Q1318,Q1318),5)=0,OFFSET(装备属性!$K$1083,1+INT(COUNTA($Q$11:Q1318)/5),0),N1318)</f>
        <v>0.02</v>
      </c>
      <c r="O1319" s="76">
        <f ca="1">IF(MOD(COUNTIF($Q$11:Q1318,Q1318),5)=0,OFFSET(装备属性!$L$1083,1+INT(COUNTA($Q$11:Q1318)/5),0),O1318)</f>
        <v>0.024</v>
      </c>
      <c r="Q1319" s="89" t="str">
        <f ca="1">IF(MOD(COUNTIF($Q$11:Q1318,Q1318),5)=0,OFFSET(装备属性!$M$1083,1+INT(COUNTA($Q$11:Q1318)/5),0),Q1318)</f>
        <v>通用属性</v>
      </c>
      <c r="R1319" s="83">
        <f ca="1">IF(MOD(COUNTIF($Q$11:Q1318,Q1318),5)=0,10000*SUBSTITUTE(SUBSTITUTE(OFFSET(装备属性!$F$1083,1+INT(COUNTA($Q$11:Q1318)/5),0),"[",""),"]","")+_xlfn.XLOOKUP(C1319,$M$3:$M$7,$N$3:$N$7)*100,R1318)</f>
        <v>50500</v>
      </c>
    </row>
    <row r="1320" customHeight="1" spans="1:18">
      <c r="A1320" s="78">
        <f ca="1" t="shared" si="60"/>
        <v>50501</v>
      </c>
      <c r="B1320" s="82">
        <f ca="1">IFERROR(R1320+COUNTIFS($R$11:$R1320,R1320),"")</f>
        <v>50520</v>
      </c>
      <c r="C1320" s="83" t="str">
        <f ca="1">IF(MOD(COUNTIF($Q$11:Q1319,Q1319),5)=0,OFFSET(装备属性!$D$1083,1+INT(COUNTA($Q$11:Q1319)/5),0),C1319)</f>
        <v>橙</v>
      </c>
      <c r="D1320" s="82">
        <f t="shared" si="62"/>
        <v>1000</v>
      </c>
      <c r="F1320" s="82">
        <f ca="1" t="shared" si="61"/>
        <v>50503</v>
      </c>
      <c r="G1320" s="78" t="str">
        <f ca="1">IF(AND(LEFT("[{"&amp;M1320&amp;","&amp;CEILING(N1320*10000+(O1320-N1320)/4*(COUNTIF($F$11:F1320,F1320)-1)*10000,10)&amp;"}]",7)="[{equip",MID("[{"&amp;M1320&amp;","&amp;CEILING(N1320*10000+(O1320-N1320)/4*(COUNTIF($F$11:F1320,F1320)-1)*10000,10)&amp;"}]",8,1)&lt;&gt;"_"),"[{"&amp;M1320&amp;","&amp;1&amp;"}]","[{"&amp;M1320&amp;","&amp;CEILING(N1320*10000+(O1320-N1320)/4*(COUNTIF($F$11:F1320,F1320)-1)*10000,10)&amp;"}]")</f>
        <v>[{control_dmg_red_rate,240}]</v>
      </c>
      <c r="H1320" s="82" t="s">
        <v>563</v>
      </c>
      <c r="J1320" s="78">
        <f ca="1">IF(MOD(COUNTIF($Q$11:Q1319,Q1319),5)=0,OFFSET(装备属性!$P$1083,1+INT(COUNTA($Q$11:Q1319)/5),0),J1319)</f>
        <v>3</v>
      </c>
      <c r="K1320" s="83" t="str">
        <f ca="1">IF(RIGHT(G1320,13)="rune_slot,1}]",_xlfn.XLOOKUP(LEFT(SUBSTITUTE(G1320,"[{",""),FIND(",",SUBSTITUTE(G1320,"[{",""))-1),Sheet2!B:B,Sheet2!C:C)&amp;"+"&amp;1,_xlfn.XLOOKUP(LEFT(SUBSTITUTE(G1320,"[{",""),FIND(",",SUBSTITUTE(G1320,"[{",""))-1),Sheet2!B:B,Sheet2!C:C)&amp;"+"&amp;SUBSTITUTE(RIGHT(G1320,LEN(G1320)-FIND(",",G1320)),"}]","")/100&amp;"%")</f>
        <v>控制伤害减免+2.4%</v>
      </c>
      <c r="L1320" s="83" t="str">
        <f ca="1">IF(MOD(COUNTIF($Q$11:Q1319,Q1319),5)=0,OFFSET(装备属性!$G$1083,1+INT(COUNTA($Q$11:Q1319)/5),0),L1319)</f>
        <v>控场能苟Ⅱ</v>
      </c>
      <c r="M1320" s="89" t="str">
        <f ca="1">IF(MOD(COUNTIF($Q$11:Q1319,Q1319),5)=0,OFFSET(装备属性!$H$1083,1+INT(COUNTA($Q$11:Q1319)/5),0),M1319)</f>
        <v>control_dmg_red_rate</v>
      </c>
      <c r="N1320" s="76">
        <f ca="1">IF(MOD(COUNTIF($Q$11:Q1319,Q1319),5)=0,OFFSET(装备属性!$K$1083,1+INT(COUNTA($Q$11:Q1319)/5),0),N1319)</f>
        <v>0.02</v>
      </c>
      <c r="O1320" s="76">
        <f ca="1">IF(MOD(COUNTIF($Q$11:Q1319,Q1319),5)=0,OFFSET(装备属性!$L$1083,1+INT(COUNTA($Q$11:Q1319)/5),0),O1319)</f>
        <v>0.024</v>
      </c>
      <c r="Q1320" s="89" t="str">
        <f ca="1">IF(MOD(COUNTIF($Q$11:Q1319,Q1319),5)=0,OFFSET(装备属性!$M$1083,1+INT(COUNTA($Q$11:Q1319)/5),0),Q1319)</f>
        <v>通用属性</v>
      </c>
      <c r="R1320" s="83">
        <f ca="1">IF(MOD(COUNTIF($Q$11:Q1319,Q1319),5)=0,10000*SUBSTITUTE(SUBSTITUTE(OFFSET(装备属性!$F$1083,1+INT(COUNTA($Q$11:Q1319)/5),0),"[",""),"]","")+_xlfn.XLOOKUP(C1320,$M$3:$M$7,$N$3:$N$7)*100,R1319)</f>
        <v>50500</v>
      </c>
    </row>
    <row r="1321" customHeight="1" spans="1:18">
      <c r="A1321" s="78" t="str">
        <f ca="1" t="shared" si="60"/>
        <v/>
      </c>
      <c r="B1321" s="82" t="str">
        <f ca="1">IFERROR(R1321+COUNTIFS($R$11:$R1321,R1321),"")</f>
        <v/>
      </c>
      <c r="C1321" s="83">
        <f ca="1">IF(MOD(COUNTIF($Q$11:Q1320,Q1320),5)=0,OFFSET(装备属性!$D$1083,1+INT(COUNTA($Q$11:Q1320)/5),0),C1320)</f>
        <v>0</v>
      </c>
      <c r="D1321" s="82">
        <f t="shared" si="62"/>
        <v>3000</v>
      </c>
      <c r="F1321" s="82" t="str">
        <f ca="1" t="shared" si="61"/>
        <v/>
      </c>
      <c r="G1321" s="78" t="str">
        <f ca="1">IF(AND(LEFT("[{"&amp;M1321&amp;","&amp;CEILING(N1321*10000+(O1321-N1321)/4*(COUNTIF($F$11:F1321,F1321)-1)*10000,10)&amp;"}]",7)="[{equip",MID("[{"&amp;M1321&amp;","&amp;CEILING(N1321*10000+(O1321-N1321)/4*(COUNTIF($F$11:F1321,F1321)-1)*10000,10)&amp;"}]",8,1)&lt;&gt;"_"),"[{"&amp;M1321&amp;","&amp;1&amp;"}]","[{"&amp;M1321&amp;","&amp;CEILING(N1321*10000+(O1321-N1321)/4*(COUNTIF($F$11:F1321,F1321)-1)*10000,10)&amp;"}]")</f>
        <v>[{control_class_dmg_rate,21000}]</v>
      </c>
      <c r="H1321" s="82" t="s">
        <v>563</v>
      </c>
      <c r="J1321" s="78">
        <f ca="1">IF(MOD(COUNTIF($Q$11:Q1320,Q1320),5)=0,OFFSET(装备属性!$P$1083,1+INT(COUNTA($Q$11:Q1320)/5),0),J1320)</f>
        <v>4</v>
      </c>
      <c r="K1321" s="83" t="str">
        <f ca="1">IF(RIGHT(G1321,13)="rune_slot,1}]",_xlfn.XLOOKUP(LEFT(SUBSTITUTE(G1321,"[{",""),FIND(",",SUBSTITUTE(G1321,"[{",""))-1),Sheet2!B:B,Sheet2!C:C)&amp;"+"&amp;1,_xlfn.XLOOKUP(LEFT(SUBSTITUTE(G1321,"[{",""),FIND(",",SUBSTITUTE(G1321,"[{",""))-1),Sheet2!B:B,Sheet2!C:C)&amp;"+"&amp;SUBSTITUTE(RIGHT(G1321,LEN(G1321)-FIND(",",G1321)),"}]","")/100&amp;"%")</f>
        <v>上阵两个控制职业增伤+210%</v>
      </c>
      <c r="L1321" s="83" t="str">
        <f ca="1">IF(MOD(COUNTIF($Q$11:Q1320,Q1320),5)=0,OFFSET(装备属性!$G$1083,1+INT(COUNTA($Q$11:Q1320)/5),0),L1320)</f>
        <v>控场小队Ⅱ</v>
      </c>
      <c r="M1321" s="89" t="str">
        <f ca="1">IF(MOD(COUNTIF($Q$11:Q1320,Q1320),5)=0,OFFSET(装备属性!$H$1083,1+INT(COUNTA($Q$11:Q1320)/5),0),M1320)</f>
        <v>control_class_dmg_rate</v>
      </c>
      <c r="N1321" s="76">
        <f ca="1">IF(MOD(COUNTIF($Q$11:Q1320,Q1320),5)=0,OFFSET(装备属性!$K$1083,1+INT(COUNTA($Q$11:Q1320)/5),0),N1320)</f>
        <v>0.075</v>
      </c>
      <c r="O1321" s="76">
        <f ca="1">IF(MOD(COUNTIF($Q$11:Q1320,Q1320),5)=0,OFFSET(装备属性!$L$1083,1+INT(COUNTA($Q$11:Q1320)/5),0),O1320)</f>
        <v>0.09</v>
      </c>
      <c r="Q1321" s="89" t="str">
        <f ca="1">IF(MOD(COUNTIF($Q$11:Q1320,Q1320),5)=0,OFFSET(装备属性!$M$1083,1+INT(COUNTA($Q$11:Q1320)/5),0),Q1320)</f>
        <v>通用属性</v>
      </c>
      <c r="R1321" s="83" t="e">
        <f ca="1">IF(MOD(COUNTIF($Q$11:Q1320,Q1320),5)=0,10000*SUBSTITUTE(SUBSTITUTE(OFFSET(装备属性!$F$1083,1+INT(COUNTA($Q$11:Q1320)/5),0),"[",""),"]","")+_xlfn.XLOOKUP(C1321,$M$3:$M$7,$N$3:$N$7)*100,R1320)</f>
        <v>#N/A</v>
      </c>
    </row>
    <row r="1322" customHeight="1" spans="1:18">
      <c r="A1322" s="78" t="str">
        <f ca="1" t="shared" si="60"/>
        <v/>
      </c>
      <c r="B1322" s="82" t="str">
        <f ca="1">IFERROR(R1322+COUNTIFS($R$11:$R1322,R1322),"")</f>
        <v/>
      </c>
      <c r="C1322" s="83">
        <f ca="1">IF(MOD(COUNTIF($Q$11:Q1321,Q1321),5)=0,OFFSET(装备属性!$D$1083,1+INT(COUNTA($Q$11:Q1321)/5),0),C1321)</f>
        <v>0</v>
      </c>
      <c r="D1322" s="82">
        <f t="shared" si="62"/>
        <v>2500</v>
      </c>
      <c r="F1322" s="82" t="str">
        <f ca="1" t="shared" si="61"/>
        <v/>
      </c>
      <c r="G1322" s="78" t="str">
        <f ca="1">IF(AND(LEFT("[{"&amp;M1322&amp;","&amp;CEILING(N1322*10000+(O1322-N1322)/4*(COUNTIF($F$11:F1322,F1322)-1)*10000,10)&amp;"}]",7)="[{equip",MID("[{"&amp;M1322&amp;","&amp;CEILING(N1322*10000+(O1322-N1322)/4*(COUNTIF($F$11:F1322,F1322)-1)*10000,10)&amp;"}]",8,1)&lt;&gt;"_"),"[{"&amp;M1322&amp;","&amp;1&amp;"}]","[{"&amp;M1322&amp;","&amp;CEILING(N1322*10000+(O1322-N1322)/4*(COUNTIF($F$11:F1322,F1322)-1)*10000,10)&amp;"}]")</f>
        <v>[{control_class_dmg_rate,21040}]</v>
      </c>
      <c r="H1322" s="82" t="s">
        <v>563</v>
      </c>
      <c r="J1322" s="78">
        <f ca="1">IF(MOD(COUNTIF($Q$11:Q1321,Q1321),5)=0,OFFSET(装备属性!$P$1083,1+INT(COUNTA($Q$11:Q1321)/5),0),J1321)</f>
        <v>4</v>
      </c>
      <c r="K1322" s="83" t="str">
        <f ca="1">IF(RIGHT(G1322,13)="rune_slot,1}]",_xlfn.XLOOKUP(LEFT(SUBSTITUTE(G1322,"[{",""),FIND(",",SUBSTITUTE(G1322,"[{",""))-1),Sheet2!B:B,Sheet2!C:C)&amp;"+"&amp;1,_xlfn.XLOOKUP(LEFT(SUBSTITUTE(G1322,"[{",""),FIND(",",SUBSTITUTE(G1322,"[{",""))-1),Sheet2!B:B,Sheet2!C:C)&amp;"+"&amp;SUBSTITUTE(RIGHT(G1322,LEN(G1322)-FIND(",",G1322)),"}]","")/100&amp;"%")</f>
        <v>上阵两个控制职业增伤+210.4%</v>
      </c>
      <c r="L1322" s="83" t="str">
        <f ca="1">IF(MOD(COUNTIF($Q$11:Q1321,Q1321),5)=0,OFFSET(装备属性!$G$1083,1+INT(COUNTA($Q$11:Q1321)/5),0),L1321)</f>
        <v>控场小队Ⅱ</v>
      </c>
      <c r="M1322" s="89" t="str">
        <f ca="1">IF(MOD(COUNTIF($Q$11:Q1321,Q1321),5)=0,OFFSET(装备属性!$H$1083,1+INT(COUNTA($Q$11:Q1321)/5),0),M1321)</f>
        <v>control_class_dmg_rate</v>
      </c>
      <c r="N1322" s="76">
        <f ca="1">IF(MOD(COUNTIF($Q$11:Q1321,Q1321),5)=0,OFFSET(装备属性!$K$1083,1+INT(COUNTA($Q$11:Q1321)/5),0),N1321)</f>
        <v>0.075</v>
      </c>
      <c r="O1322" s="76">
        <f ca="1">IF(MOD(COUNTIF($Q$11:Q1321,Q1321),5)=0,OFFSET(装备属性!$L$1083,1+INT(COUNTA($Q$11:Q1321)/5),0),O1321)</f>
        <v>0.09</v>
      </c>
      <c r="Q1322" s="89" t="str">
        <f ca="1">IF(MOD(COUNTIF($Q$11:Q1321,Q1321),5)=0,OFFSET(装备属性!$M$1083,1+INT(COUNTA($Q$11:Q1321)/5),0),Q1321)</f>
        <v>通用属性</v>
      </c>
      <c r="R1322" s="83" t="e">
        <f ca="1">IF(MOD(COUNTIF($Q$11:Q1321,Q1321),5)=0,10000*SUBSTITUTE(SUBSTITUTE(OFFSET(装备属性!$F$1083,1+INT(COUNTA($Q$11:Q1321)/5),0),"[",""),"]","")+_xlfn.XLOOKUP(C1322,$M$3:$M$7,$N$3:$N$7)*100,R1321)</f>
        <v>#N/A</v>
      </c>
    </row>
    <row r="1323" customHeight="1" spans="1:18">
      <c r="A1323" s="78" t="str">
        <f ca="1" t="shared" si="60"/>
        <v/>
      </c>
      <c r="B1323" s="82" t="str">
        <f ca="1">IFERROR(R1323+COUNTIFS($R$11:$R1323,R1323),"")</f>
        <v/>
      </c>
      <c r="C1323" s="83">
        <f ca="1">IF(MOD(COUNTIF($Q$11:Q1322,Q1322),5)=0,OFFSET(装备属性!$D$1083,1+INT(COUNTA($Q$11:Q1322)/5),0),C1322)</f>
        <v>0</v>
      </c>
      <c r="D1323" s="82">
        <f t="shared" si="62"/>
        <v>2000</v>
      </c>
      <c r="F1323" s="82" t="str">
        <f ca="1" t="shared" si="61"/>
        <v/>
      </c>
      <c r="G1323" s="78" t="str">
        <f ca="1">IF(AND(LEFT("[{"&amp;M1323&amp;","&amp;CEILING(N1323*10000+(O1323-N1323)/4*(COUNTIF($F$11:F1323,F1323)-1)*10000,10)&amp;"}]",7)="[{equip",MID("[{"&amp;M1323&amp;","&amp;CEILING(N1323*10000+(O1323-N1323)/4*(COUNTIF($F$11:F1323,F1323)-1)*10000,10)&amp;"}]",8,1)&lt;&gt;"_"),"[{"&amp;M1323&amp;","&amp;1&amp;"}]","[{"&amp;M1323&amp;","&amp;CEILING(N1323*10000+(O1323-N1323)/4*(COUNTIF($F$11:F1323,F1323)-1)*10000,10)&amp;"}]")</f>
        <v>[{control_class_dmg_rate,21080}]</v>
      </c>
      <c r="H1323" s="82" t="s">
        <v>563</v>
      </c>
      <c r="J1323" s="78">
        <f ca="1">IF(MOD(COUNTIF($Q$11:Q1322,Q1322),5)=0,OFFSET(装备属性!$P$1083,1+INT(COUNTA($Q$11:Q1322)/5),0),J1322)</f>
        <v>4</v>
      </c>
      <c r="K1323" s="83" t="str">
        <f ca="1">IF(RIGHT(G1323,13)="rune_slot,1}]",_xlfn.XLOOKUP(LEFT(SUBSTITUTE(G1323,"[{",""),FIND(",",SUBSTITUTE(G1323,"[{",""))-1),Sheet2!B:B,Sheet2!C:C)&amp;"+"&amp;1,_xlfn.XLOOKUP(LEFT(SUBSTITUTE(G1323,"[{",""),FIND(",",SUBSTITUTE(G1323,"[{",""))-1),Sheet2!B:B,Sheet2!C:C)&amp;"+"&amp;SUBSTITUTE(RIGHT(G1323,LEN(G1323)-FIND(",",G1323)),"}]","")/100&amp;"%")</f>
        <v>上阵两个控制职业增伤+210.8%</v>
      </c>
      <c r="L1323" s="83" t="str">
        <f ca="1">IF(MOD(COUNTIF($Q$11:Q1322,Q1322),5)=0,OFFSET(装备属性!$G$1083,1+INT(COUNTA($Q$11:Q1322)/5),0),L1322)</f>
        <v>控场小队Ⅱ</v>
      </c>
      <c r="M1323" s="89" t="str">
        <f ca="1">IF(MOD(COUNTIF($Q$11:Q1322,Q1322),5)=0,OFFSET(装备属性!$H$1083,1+INT(COUNTA($Q$11:Q1322)/5),0),M1322)</f>
        <v>control_class_dmg_rate</v>
      </c>
      <c r="N1323" s="76">
        <f ca="1">IF(MOD(COUNTIF($Q$11:Q1322,Q1322),5)=0,OFFSET(装备属性!$K$1083,1+INT(COUNTA($Q$11:Q1322)/5),0),N1322)</f>
        <v>0.075</v>
      </c>
      <c r="O1323" s="76">
        <f ca="1">IF(MOD(COUNTIF($Q$11:Q1322,Q1322),5)=0,OFFSET(装备属性!$L$1083,1+INT(COUNTA($Q$11:Q1322)/5),0),O1322)</f>
        <v>0.09</v>
      </c>
      <c r="Q1323" s="89" t="str">
        <f ca="1">IF(MOD(COUNTIF($Q$11:Q1322,Q1322),5)=0,OFFSET(装备属性!$M$1083,1+INT(COUNTA($Q$11:Q1322)/5),0),Q1322)</f>
        <v>通用属性</v>
      </c>
      <c r="R1323" s="83" t="e">
        <f ca="1">IF(MOD(COUNTIF($Q$11:Q1322,Q1322),5)=0,10000*SUBSTITUTE(SUBSTITUTE(OFFSET(装备属性!$F$1083,1+INT(COUNTA($Q$11:Q1322)/5),0),"[",""),"]","")+_xlfn.XLOOKUP(C1323,$M$3:$M$7,$N$3:$N$7)*100,R1322)</f>
        <v>#N/A</v>
      </c>
    </row>
    <row r="1324" customHeight="1" spans="1:18">
      <c r="A1324" s="78" t="str">
        <f ca="1" t="shared" si="60"/>
        <v/>
      </c>
      <c r="B1324" s="82" t="str">
        <f ca="1">IFERROR(R1324+COUNTIFS($R$11:$R1324,R1324),"")</f>
        <v/>
      </c>
      <c r="C1324" s="83">
        <f ca="1">IF(MOD(COUNTIF($Q$11:Q1323,Q1323),5)=0,OFFSET(装备属性!$D$1083,1+INT(COUNTA($Q$11:Q1323)/5),0),C1323)</f>
        <v>0</v>
      </c>
      <c r="D1324" s="82">
        <f t="shared" si="62"/>
        <v>1500</v>
      </c>
      <c r="F1324" s="82" t="str">
        <f ca="1" t="shared" si="61"/>
        <v/>
      </c>
      <c r="G1324" s="78" t="str">
        <f ca="1">IF(AND(LEFT("[{"&amp;M1324&amp;","&amp;CEILING(N1324*10000+(O1324-N1324)/4*(COUNTIF($F$11:F1324,F1324)-1)*10000,10)&amp;"}]",7)="[{equip",MID("[{"&amp;M1324&amp;","&amp;CEILING(N1324*10000+(O1324-N1324)/4*(COUNTIF($F$11:F1324,F1324)-1)*10000,10)&amp;"}]",8,1)&lt;&gt;"_"),"[{"&amp;M1324&amp;","&amp;1&amp;"}]","[{"&amp;M1324&amp;","&amp;CEILING(N1324*10000+(O1324-N1324)/4*(COUNTIF($F$11:F1324,F1324)-1)*10000,10)&amp;"}]")</f>
        <v>[{control_class_dmg_rate,21120}]</v>
      </c>
      <c r="H1324" s="82" t="s">
        <v>563</v>
      </c>
      <c r="J1324" s="78">
        <f ca="1">IF(MOD(COUNTIF($Q$11:Q1323,Q1323),5)=0,OFFSET(装备属性!$P$1083,1+INT(COUNTA($Q$11:Q1323)/5),0),J1323)</f>
        <v>4</v>
      </c>
      <c r="K1324" s="83" t="str">
        <f ca="1">IF(RIGHT(G1324,13)="rune_slot,1}]",_xlfn.XLOOKUP(LEFT(SUBSTITUTE(G1324,"[{",""),FIND(",",SUBSTITUTE(G1324,"[{",""))-1),Sheet2!B:B,Sheet2!C:C)&amp;"+"&amp;1,_xlfn.XLOOKUP(LEFT(SUBSTITUTE(G1324,"[{",""),FIND(",",SUBSTITUTE(G1324,"[{",""))-1),Sheet2!B:B,Sheet2!C:C)&amp;"+"&amp;SUBSTITUTE(RIGHT(G1324,LEN(G1324)-FIND(",",G1324)),"}]","")/100&amp;"%")</f>
        <v>上阵两个控制职业增伤+211.2%</v>
      </c>
      <c r="L1324" s="83" t="str">
        <f ca="1">IF(MOD(COUNTIF($Q$11:Q1323,Q1323),5)=0,OFFSET(装备属性!$G$1083,1+INT(COUNTA($Q$11:Q1323)/5),0),L1323)</f>
        <v>控场小队Ⅱ</v>
      </c>
      <c r="M1324" s="89" t="str">
        <f ca="1">IF(MOD(COUNTIF($Q$11:Q1323,Q1323),5)=0,OFFSET(装备属性!$H$1083,1+INT(COUNTA($Q$11:Q1323)/5),0),M1323)</f>
        <v>control_class_dmg_rate</v>
      </c>
      <c r="N1324" s="76">
        <f ca="1">IF(MOD(COUNTIF($Q$11:Q1323,Q1323),5)=0,OFFSET(装备属性!$K$1083,1+INT(COUNTA($Q$11:Q1323)/5),0),N1323)</f>
        <v>0.075</v>
      </c>
      <c r="O1324" s="76">
        <f ca="1">IF(MOD(COUNTIF($Q$11:Q1323,Q1323),5)=0,OFFSET(装备属性!$L$1083,1+INT(COUNTA($Q$11:Q1323)/5),0),O1323)</f>
        <v>0.09</v>
      </c>
      <c r="Q1324" s="89" t="str">
        <f ca="1">IF(MOD(COUNTIF($Q$11:Q1323,Q1323),5)=0,OFFSET(装备属性!$M$1083,1+INT(COUNTA($Q$11:Q1323)/5),0),Q1323)</f>
        <v>通用属性</v>
      </c>
      <c r="R1324" s="83" t="e">
        <f ca="1">IF(MOD(COUNTIF($Q$11:Q1323,Q1323),5)=0,10000*SUBSTITUTE(SUBSTITUTE(OFFSET(装备属性!$F$1083,1+INT(COUNTA($Q$11:Q1323)/5),0),"[",""),"]","")+_xlfn.XLOOKUP(C1324,$M$3:$M$7,$N$3:$N$7)*100,R1323)</f>
        <v>#N/A</v>
      </c>
    </row>
    <row r="1325" customHeight="1" spans="1:18">
      <c r="A1325" s="78" t="str">
        <f ca="1" t="shared" si="60"/>
        <v/>
      </c>
      <c r="B1325" s="82" t="str">
        <f ca="1">IFERROR(R1325+COUNTIFS($R$11:$R1325,R1325),"")</f>
        <v/>
      </c>
      <c r="C1325" s="83">
        <f ca="1">IF(MOD(COUNTIF($Q$11:Q1324,Q1324),5)=0,OFFSET(装备属性!$D$1083,1+INT(COUNTA($Q$11:Q1324)/5),0),C1324)</f>
        <v>0</v>
      </c>
      <c r="D1325" s="82">
        <f t="shared" si="62"/>
        <v>1000</v>
      </c>
      <c r="F1325" s="82" t="str">
        <f ca="1" t="shared" si="61"/>
        <v/>
      </c>
      <c r="G1325" s="78" t="str">
        <f ca="1">IF(AND(LEFT("[{"&amp;M1325&amp;","&amp;CEILING(N1325*10000+(O1325-N1325)/4*(COUNTIF($F$11:F1325,F1325)-1)*10000,10)&amp;"}]",7)="[{equip",MID("[{"&amp;M1325&amp;","&amp;CEILING(N1325*10000+(O1325-N1325)/4*(COUNTIF($F$11:F1325,F1325)-1)*10000,10)&amp;"}]",8,1)&lt;&gt;"_"),"[{"&amp;M1325&amp;","&amp;1&amp;"}]","[{"&amp;M1325&amp;","&amp;CEILING(N1325*10000+(O1325-N1325)/4*(COUNTIF($F$11:F1325,F1325)-1)*10000,10)&amp;"}]")</f>
        <v>[{control_class_dmg_rate,21150}]</v>
      </c>
      <c r="H1325" s="82" t="s">
        <v>563</v>
      </c>
      <c r="J1325" s="78">
        <f ca="1">IF(MOD(COUNTIF($Q$11:Q1324,Q1324),5)=0,OFFSET(装备属性!$P$1083,1+INT(COUNTA($Q$11:Q1324)/5),0),J1324)</f>
        <v>4</v>
      </c>
      <c r="K1325" s="83" t="str">
        <f ca="1">IF(RIGHT(G1325,13)="rune_slot,1}]",_xlfn.XLOOKUP(LEFT(SUBSTITUTE(G1325,"[{",""),FIND(",",SUBSTITUTE(G1325,"[{",""))-1),Sheet2!B:B,Sheet2!C:C)&amp;"+"&amp;1,_xlfn.XLOOKUP(LEFT(SUBSTITUTE(G1325,"[{",""),FIND(",",SUBSTITUTE(G1325,"[{",""))-1),Sheet2!B:B,Sheet2!C:C)&amp;"+"&amp;SUBSTITUTE(RIGHT(G1325,LEN(G1325)-FIND(",",G1325)),"}]","")/100&amp;"%")</f>
        <v>上阵两个控制职业增伤+211.5%</v>
      </c>
      <c r="L1325" s="83" t="str">
        <f ca="1">IF(MOD(COUNTIF($Q$11:Q1324,Q1324),5)=0,OFFSET(装备属性!$G$1083,1+INT(COUNTA($Q$11:Q1324)/5),0),L1324)</f>
        <v>控场小队Ⅱ</v>
      </c>
      <c r="M1325" s="89" t="str">
        <f ca="1">IF(MOD(COUNTIF($Q$11:Q1324,Q1324),5)=0,OFFSET(装备属性!$H$1083,1+INT(COUNTA($Q$11:Q1324)/5),0),M1324)</f>
        <v>control_class_dmg_rate</v>
      </c>
      <c r="N1325" s="76">
        <f ca="1">IF(MOD(COUNTIF($Q$11:Q1324,Q1324),5)=0,OFFSET(装备属性!$K$1083,1+INT(COUNTA($Q$11:Q1324)/5),0),N1324)</f>
        <v>0.075</v>
      </c>
      <c r="O1325" s="76">
        <f ca="1">IF(MOD(COUNTIF($Q$11:Q1324,Q1324),5)=0,OFFSET(装备属性!$L$1083,1+INT(COUNTA($Q$11:Q1324)/5),0),O1324)</f>
        <v>0.09</v>
      </c>
      <c r="Q1325" s="89" t="str">
        <f ca="1">IF(MOD(COUNTIF($Q$11:Q1324,Q1324),5)=0,OFFSET(装备属性!$M$1083,1+INT(COUNTA($Q$11:Q1324)/5),0),Q1324)</f>
        <v>通用属性</v>
      </c>
      <c r="R1325" s="83" t="e">
        <f ca="1">IF(MOD(COUNTIF($Q$11:Q1324,Q1324),5)=0,10000*SUBSTITUTE(SUBSTITUTE(OFFSET(装备属性!$F$1083,1+INT(COUNTA($Q$11:Q1324)/5),0),"[",""),"]","")+_xlfn.XLOOKUP(C1325,$M$3:$M$7,$N$3:$N$7)*100,R1324)</f>
        <v>#N/A</v>
      </c>
    </row>
    <row r="1326" customHeight="1" spans="1:18">
      <c r="A1326" s="78">
        <f ca="1" t="shared" si="60"/>
        <v>50501</v>
      </c>
      <c r="B1326" s="82">
        <f ca="1">IFERROR(R1326+COUNTIFS($R$11:$R1326,R1326),"")</f>
        <v>50521</v>
      </c>
      <c r="C1326" s="83" t="str">
        <f ca="1">IF(MOD(COUNTIF($Q$11:Q1325,Q1325),5)=0,OFFSET(装备属性!$D$1083,1+INT(COUNTA($Q$11:Q1325)/5),0),C1325)</f>
        <v>橙</v>
      </c>
      <c r="D1326" s="82">
        <f t="shared" si="62"/>
        <v>3000</v>
      </c>
      <c r="F1326" s="82">
        <f ca="1" t="shared" si="61"/>
        <v>50504</v>
      </c>
      <c r="G1326" s="78" t="str">
        <f ca="1">IF(AND(LEFT("[{"&amp;M1326&amp;","&amp;CEILING(N1326*10000+(O1326-N1326)/4*(COUNTIF($F$11:F1326,F1326)-1)*10000,10)&amp;"}]",7)="[{equip",MID("[{"&amp;M1326&amp;","&amp;CEILING(N1326*10000+(O1326-N1326)/4*(COUNTIF($F$11:F1326,F1326)-1)*10000,10)&amp;"}]",8,1)&lt;&gt;"_"),"[{"&amp;M1326&amp;","&amp;1&amp;"}]","[{"&amp;M1326&amp;","&amp;CEILING(N1326*10000+(O1326-N1326)/4*(COUNTIF($F$11:F1326,F1326)-1)*10000,10)&amp;"}]")</f>
        <v>[{control_crit_dmg,2400}]</v>
      </c>
      <c r="H1326" s="82" t="s">
        <v>563</v>
      </c>
      <c r="J1326" s="78">
        <f ca="1">IF(MOD(COUNTIF($Q$11:Q1325,Q1325),5)=0,OFFSET(装备属性!$P$1083,1+INT(COUNTA($Q$11:Q1325)/5),0),J1325)</f>
        <v>10</v>
      </c>
      <c r="K1326" s="83" t="str">
        <f ca="1">IF(RIGHT(G1326,13)="rune_slot,1}]",_xlfn.XLOOKUP(LEFT(SUBSTITUTE(G1326,"[{",""),FIND(",",SUBSTITUTE(G1326,"[{",""))-1),Sheet2!B:B,Sheet2!C:C)&amp;"+"&amp;1,_xlfn.XLOOKUP(LEFT(SUBSTITUTE(G1326,"[{",""),FIND(",",SUBSTITUTE(G1326,"[{",""))-1),Sheet2!B:B,Sheet2!C:C)&amp;"+"&amp;SUBSTITUTE(RIGHT(G1326,LEN(G1326)-FIND(",",G1326)),"}]","")/100&amp;"%")</f>
        <v>控制暴击伤害+24%</v>
      </c>
      <c r="L1326" s="83" t="str">
        <f ca="1">IF(MOD(COUNTIF($Q$11:Q1325,Q1325),5)=0,OFFSET(装备属性!$G$1083,1+INT(COUNTA($Q$11:Q1325)/5),0),L1325)</f>
        <v>暴走控场Ⅱ</v>
      </c>
      <c r="M1326" s="89" t="str">
        <f ca="1">IF(MOD(COUNTIF($Q$11:Q1325,Q1325),5)=0,OFFSET(装备属性!$H$1083,1+INT(COUNTA($Q$11:Q1325)/5),0),M1325)</f>
        <v>control_crit_dmg</v>
      </c>
      <c r="N1326" s="76">
        <f ca="1">IF(MOD(COUNTIF($Q$11:Q1325,Q1325),5)=0,OFFSET(装备属性!$K$1083,1+INT(COUNTA($Q$11:Q1325)/5),0),N1325)</f>
        <v>0.24</v>
      </c>
      <c r="O1326" s="76">
        <f ca="1">IF(MOD(COUNTIF($Q$11:Q1325,Q1325),5)=0,OFFSET(装备属性!$L$1083,1+INT(COUNTA($Q$11:Q1325)/5),0),O1325)</f>
        <v>0.27</v>
      </c>
      <c r="Q1326" s="89" t="str">
        <f ca="1">IF(MOD(COUNTIF($Q$11:Q1325,Q1325),5)=0,OFFSET(装备属性!$M$1083,1+INT(COUNTA($Q$11:Q1325)/5),0),Q1325)</f>
        <v>通用属性</v>
      </c>
      <c r="R1326" s="83">
        <f ca="1">IF(MOD(COUNTIF($Q$11:Q1325,Q1325),5)=0,10000*SUBSTITUTE(SUBSTITUTE(OFFSET(装备属性!$F$1083,1+INT(COUNTA($Q$11:Q1325)/5),0),"[",""),"]","")+_xlfn.XLOOKUP(C1326,$M$3:$M$7,$N$3:$N$7)*100,R1325)</f>
        <v>50500</v>
      </c>
    </row>
    <row r="1327" customHeight="1" spans="1:18">
      <c r="A1327" s="78">
        <f ca="1" t="shared" si="60"/>
        <v>50501</v>
      </c>
      <c r="B1327" s="82">
        <f ca="1">IFERROR(R1327+COUNTIFS($R$11:$R1327,R1327),"")</f>
        <v>50522</v>
      </c>
      <c r="C1327" s="83" t="str">
        <f ca="1">IF(MOD(COUNTIF($Q$11:Q1326,Q1326),5)=0,OFFSET(装备属性!$D$1083,1+INT(COUNTA($Q$11:Q1326)/5),0),C1326)</f>
        <v>橙</v>
      </c>
      <c r="D1327" s="82">
        <f t="shared" si="62"/>
        <v>2500</v>
      </c>
      <c r="F1327" s="82">
        <f ca="1" t="shared" si="61"/>
        <v>50504</v>
      </c>
      <c r="G1327" s="78" t="str">
        <f ca="1">IF(AND(LEFT("[{"&amp;M1327&amp;","&amp;CEILING(N1327*10000+(O1327-N1327)/4*(COUNTIF($F$11:F1327,F1327)-1)*10000,10)&amp;"}]",7)="[{equip",MID("[{"&amp;M1327&amp;","&amp;CEILING(N1327*10000+(O1327-N1327)/4*(COUNTIF($F$11:F1327,F1327)-1)*10000,10)&amp;"}]",8,1)&lt;&gt;"_"),"[{"&amp;M1327&amp;","&amp;1&amp;"}]","[{"&amp;M1327&amp;","&amp;CEILING(N1327*10000+(O1327-N1327)/4*(COUNTIF($F$11:F1327,F1327)-1)*10000,10)&amp;"}]")</f>
        <v>[{control_crit_dmg,2480}]</v>
      </c>
      <c r="H1327" s="82" t="s">
        <v>563</v>
      </c>
      <c r="J1327" s="78">
        <f ca="1">IF(MOD(COUNTIF($Q$11:Q1326,Q1326),5)=0,OFFSET(装备属性!$P$1083,1+INT(COUNTA($Q$11:Q1326)/5),0),J1326)</f>
        <v>10</v>
      </c>
      <c r="K1327" s="83" t="str">
        <f ca="1">IF(RIGHT(G1327,13)="rune_slot,1}]",_xlfn.XLOOKUP(LEFT(SUBSTITUTE(G1327,"[{",""),FIND(",",SUBSTITUTE(G1327,"[{",""))-1),Sheet2!B:B,Sheet2!C:C)&amp;"+"&amp;1,_xlfn.XLOOKUP(LEFT(SUBSTITUTE(G1327,"[{",""),FIND(",",SUBSTITUTE(G1327,"[{",""))-1),Sheet2!B:B,Sheet2!C:C)&amp;"+"&amp;SUBSTITUTE(RIGHT(G1327,LEN(G1327)-FIND(",",G1327)),"}]","")/100&amp;"%")</f>
        <v>控制暴击伤害+24.8%</v>
      </c>
      <c r="L1327" s="83" t="str">
        <f ca="1">IF(MOD(COUNTIF($Q$11:Q1326,Q1326),5)=0,OFFSET(装备属性!$G$1083,1+INT(COUNTA($Q$11:Q1326)/5),0),L1326)</f>
        <v>暴走控场Ⅱ</v>
      </c>
      <c r="M1327" s="89" t="str">
        <f ca="1">IF(MOD(COUNTIF($Q$11:Q1326,Q1326),5)=0,OFFSET(装备属性!$H$1083,1+INT(COUNTA($Q$11:Q1326)/5),0),M1326)</f>
        <v>control_crit_dmg</v>
      </c>
      <c r="N1327" s="76">
        <f ca="1">IF(MOD(COUNTIF($Q$11:Q1326,Q1326),5)=0,OFFSET(装备属性!$K$1083,1+INT(COUNTA($Q$11:Q1326)/5),0),N1326)</f>
        <v>0.24</v>
      </c>
      <c r="O1327" s="76">
        <f ca="1">IF(MOD(COUNTIF($Q$11:Q1326,Q1326),5)=0,OFFSET(装备属性!$L$1083,1+INT(COUNTA($Q$11:Q1326)/5),0),O1326)</f>
        <v>0.27</v>
      </c>
      <c r="Q1327" s="89" t="str">
        <f ca="1">IF(MOD(COUNTIF($Q$11:Q1326,Q1326),5)=0,OFFSET(装备属性!$M$1083,1+INT(COUNTA($Q$11:Q1326)/5),0),Q1326)</f>
        <v>通用属性</v>
      </c>
      <c r="R1327" s="83">
        <f ca="1">IF(MOD(COUNTIF($Q$11:Q1326,Q1326),5)=0,10000*SUBSTITUTE(SUBSTITUTE(OFFSET(装备属性!$F$1083,1+INT(COUNTA($Q$11:Q1326)/5),0),"[",""),"]","")+_xlfn.XLOOKUP(C1327,$M$3:$M$7,$N$3:$N$7)*100,R1326)</f>
        <v>50500</v>
      </c>
    </row>
    <row r="1328" customHeight="1" spans="1:18">
      <c r="A1328" s="78">
        <f ca="1" t="shared" si="60"/>
        <v>50501</v>
      </c>
      <c r="B1328" s="82">
        <f ca="1">IFERROR(R1328+COUNTIFS($R$11:$R1328,R1328),"")</f>
        <v>50523</v>
      </c>
      <c r="C1328" s="83" t="str">
        <f ca="1">IF(MOD(COUNTIF($Q$11:Q1327,Q1327),5)=0,OFFSET(装备属性!$D$1083,1+INT(COUNTA($Q$11:Q1327)/5),0),C1327)</f>
        <v>橙</v>
      </c>
      <c r="D1328" s="82">
        <f t="shared" si="62"/>
        <v>2000</v>
      </c>
      <c r="F1328" s="82">
        <f ca="1" t="shared" si="61"/>
        <v>50504</v>
      </c>
      <c r="G1328" s="78" t="str">
        <f ca="1">IF(AND(LEFT("[{"&amp;M1328&amp;","&amp;CEILING(N1328*10000+(O1328-N1328)/4*(COUNTIF($F$11:F1328,F1328)-1)*10000,10)&amp;"}]",7)="[{equip",MID("[{"&amp;M1328&amp;","&amp;CEILING(N1328*10000+(O1328-N1328)/4*(COUNTIF($F$11:F1328,F1328)-1)*10000,10)&amp;"}]",8,1)&lt;&gt;"_"),"[{"&amp;M1328&amp;","&amp;1&amp;"}]","[{"&amp;M1328&amp;","&amp;CEILING(N1328*10000+(O1328-N1328)/4*(COUNTIF($F$11:F1328,F1328)-1)*10000,10)&amp;"}]")</f>
        <v>[{control_crit_dmg,2550}]</v>
      </c>
      <c r="H1328" s="82" t="s">
        <v>563</v>
      </c>
      <c r="J1328" s="78">
        <f ca="1">IF(MOD(COUNTIF($Q$11:Q1327,Q1327),5)=0,OFFSET(装备属性!$P$1083,1+INT(COUNTA($Q$11:Q1327)/5),0),J1327)</f>
        <v>10</v>
      </c>
      <c r="K1328" s="83" t="str">
        <f ca="1">IF(RIGHT(G1328,13)="rune_slot,1}]",_xlfn.XLOOKUP(LEFT(SUBSTITUTE(G1328,"[{",""),FIND(",",SUBSTITUTE(G1328,"[{",""))-1),Sheet2!B:B,Sheet2!C:C)&amp;"+"&amp;1,_xlfn.XLOOKUP(LEFT(SUBSTITUTE(G1328,"[{",""),FIND(",",SUBSTITUTE(G1328,"[{",""))-1),Sheet2!B:B,Sheet2!C:C)&amp;"+"&amp;SUBSTITUTE(RIGHT(G1328,LEN(G1328)-FIND(",",G1328)),"}]","")/100&amp;"%")</f>
        <v>控制暴击伤害+25.5%</v>
      </c>
      <c r="L1328" s="83" t="str">
        <f ca="1">IF(MOD(COUNTIF($Q$11:Q1327,Q1327),5)=0,OFFSET(装备属性!$G$1083,1+INT(COUNTA($Q$11:Q1327)/5),0),L1327)</f>
        <v>暴走控场Ⅱ</v>
      </c>
      <c r="M1328" s="89" t="str">
        <f ca="1">IF(MOD(COUNTIF($Q$11:Q1327,Q1327),5)=0,OFFSET(装备属性!$H$1083,1+INT(COUNTA($Q$11:Q1327)/5),0),M1327)</f>
        <v>control_crit_dmg</v>
      </c>
      <c r="N1328" s="76">
        <f ca="1">IF(MOD(COUNTIF($Q$11:Q1327,Q1327),5)=0,OFFSET(装备属性!$K$1083,1+INT(COUNTA($Q$11:Q1327)/5),0),N1327)</f>
        <v>0.24</v>
      </c>
      <c r="O1328" s="76">
        <f ca="1">IF(MOD(COUNTIF($Q$11:Q1327,Q1327),5)=0,OFFSET(装备属性!$L$1083,1+INT(COUNTA($Q$11:Q1327)/5),0),O1327)</f>
        <v>0.27</v>
      </c>
      <c r="Q1328" s="89" t="str">
        <f ca="1">IF(MOD(COUNTIF($Q$11:Q1327,Q1327),5)=0,OFFSET(装备属性!$M$1083,1+INT(COUNTA($Q$11:Q1327)/5),0),Q1327)</f>
        <v>通用属性</v>
      </c>
      <c r="R1328" s="83">
        <f ca="1">IF(MOD(COUNTIF($Q$11:Q1327,Q1327),5)=0,10000*SUBSTITUTE(SUBSTITUTE(OFFSET(装备属性!$F$1083,1+INT(COUNTA($Q$11:Q1327)/5),0),"[",""),"]","")+_xlfn.XLOOKUP(C1328,$M$3:$M$7,$N$3:$N$7)*100,R1327)</f>
        <v>50500</v>
      </c>
    </row>
    <row r="1329" customHeight="1" spans="1:18">
      <c r="A1329" s="78">
        <f ca="1" t="shared" si="60"/>
        <v>50501</v>
      </c>
      <c r="B1329" s="82">
        <f ca="1">IFERROR(R1329+COUNTIFS($R$11:$R1329,R1329),"")</f>
        <v>50524</v>
      </c>
      <c r="C1329" s="83" t="str">
        <f ca="1">IF(MOD(COUNTIF($Q$11:Q1328,Q1328),5)=0,OFFSET(装备属性!$D$1083,1+INT(COUNTA($Q$11:Q1328)/5),0),C1328)</f>
        <v>橙</v>
      </c>
      <c r="D1329" s="82">
        <f t="shared" si="62"/>
        <v>1500</v>
      </c>
      <c r="F1329" s="82">
        <f ca="1" t="shared" si="61"/>
        <v>50504</v>
      </c>
      <c r="G1329" s="78" t="str">
        <f ca="1">IF(AND(LEFT("[{"&amp;M1329&amp;","&amp;CEILING(N1329*10000+(O1329-N1329)/4*(COUNTIF($F$11:F1329,F1329)-1)*10000,10)&amp;"}]",7)="[{equip",MID("[{"&amp;M1329&amp;","&amp;CEILING(N1329*10000+(O1329-N1329)/4*(COUNTIF($F$11:F1329,F1329)-1)*10000,10)&amp;"}]",8,1)&lt;&gt;"_"),"[{"&amp;M1329&amp;","&amp;1&amp;"}]","[{"&amp;M1329&amp;","&amp;CEILING(N1329*10000+(O1329-N1329)/4*(COUNTIF($F$11:F1329,F1329)-1)*10000,10)&amp;"}]")</f>
        <v>[{control_crit_dmg,2630}]</v>
      </c>
      <c r="H1329" s="82" t="s">
        <v>563</v>
      </c>
      <c r="J1329" s="78">
        <f ca="1">IF(MOD(COUNTIF($Q$11:Q1328,Q1328),5)=0,OFFSET(装备属性!$P$1083,1+INT(COUNTA($Q$11:Q1328)/5),0),J1328)</f>
        <v>10</v>
      </c>
      <c r="K1329" s="83" t="str">
        <f ca="1">IF(RIGHT(G1329,13)="rune_slot,1}]",_xlfn.XLOOKUP(LEFT(SUBSTITUTE(G1329,"[{",""),FIND(",",SUBSTITUTE(G1329,"[{",""))-1),Sheet2!B:B,Sheet2!C:C)&amp;"+"&amp;1,_xlfn.XLOOKUP(LEFT(SUBSTITUTE(G1329,"[{",""),FIND(",",SUBSTITUTE(G1329,"[{",""))-1),Sheet2!B:B,Sheet2!C:C)&amp;"+"&amp;SUBSTITUTE(RIGHT(G1329,LEN(G1329)-FIND(",",G1329)),"}]","")/100&amp;"%")</f>
        <v>控制暴击伤害+26.3%</v>
      </c>
      <c r="L1329" s="83" t="str">
        <f ca="1">IF(MOD(COUNTIF($Q$11:Q1328,Q1328),5)=0,OFFSET(装备属性!$G$1083,1+INT(COUNTA($Q$11:Q1328)/5),0),L1328)</f>
        <v>暴走控场Ⅱ</v>
      </c>
      <c r="M1329" s="89" t="str">
        <f ca="1">IF(MOD(COUNTIF($Q$11:Q1328,Q1328),5)=0,OFFSET(装备属性!$H$1083,1+INT(COUNTA($Q$11:Q1328)/5),0),M1328)</f>
        <v>control_crit_dmg</v>
      </c>
      <c r="N1329" s="76">
        <f ca="1">IF(MOD(COUNTIF($Q$11:Q1328,Q1328),5)=0,OFFSET(装备属性!$K$1083,1+INT(COUNTA($Q$11:Q1328)/5),0),N1328)</f>
        <v>0.24</v>
      </c>
      <c r="O1329" s="76">
        <f ca="1">IF(MOD(COUNTIF($Q$11:Q1328,Q1328),5)=0,OFFSET(装备属性!$L$1083,1+INT(COUNTA($Q$11:Q1328)/5),0),O1328)</f>
        <v>0.27</v>
      </c>
      <c r="Q1329" s="89" t="str">
        <f ca="1">IF(MOD(COUNTIF($Q$11:Q1328,Q1328),5)=0,OFFSET(装备属性!$M$1083,1+INT(COUNTA($Q$11:Q1328)/5),0),Q1328)</f>
        <v>通用属性</v>
      </c>
      <c r="R1329" s="83">
        <f ca="1">IF(MOD(COUNTIF($Q$11:Q1328,Q1328),5)=0,10000*SUBSTITUTE(SUBSTITUTE(OFFSET(装备属性!$F$1083,1+INT(COUNTA($Q$11:Q1328)/5),0),"[",""),"]","")+_xlfn.XLOOKUP(C1329,$M$3:$M$7,$N$3:$N$7)*100,R1328)</f>
        <v>50500</v>
      </c>
    </row>
    <row r="1330" customHeight="1" spans="1:18">
      <c r="A1330" s="78">
        <f ca="1" t="shared" si="60"/>
        <v>50501</v>
      </c>
      <c r="B1330" s="82">
        <f ca="1">IFERROR(R1330+COUNTIFS($R$11:$R1330,R1330),"")</f>
        <v>50525</v>
      </c>
      <c r="C1330" s="83" t="str">
        <f ca="1">IF(MOD(COUNTIF($Q$11:Q1329,Q1329),5)=0,OFFSET(装备属性!$D$1083,1+INT(COUNTA($Q$11:Q1329)/5),0),C1329)</f>
        <v>橙</v>
      </c>
      <c r="D1330" s="82">
        <f t="shared" si="62"/>
        <v>1000</v>
      </c>
      <c r="F1330" s="82">
        <f ca="1" t="shared" si="61"/>
        <v>50504</v>
      </c>
      <c r="G1330" s="78" t="str">
        <f ca="1">IF(AND(LEFT("[{"&amp;M1330&amp;","&amp;CEILING(N1330*10000+(O1330-N1330)/4*(COUNTIF($F$11:F1330,F1330)-1)*10000,10)&amp;"}]",7)="[{equip",MID("[{"&amp;M1330&amp;","&amp;CEILING(N1330*10000+(O1330-N1330)/4*(COUNTIF($F$11:F1330,F1330)-1)*10000,10)&amp;"}]",8,1)&lt;&gt;"_"),"[{"&amp;M1330&amp;","&amp;1&amp;"}]","[{"&amp;M1330&amp;","&amp;CEILING(N1330*10000+(O1330-N1330)/4*(COUNTIF($F$11:F1330,F1330)-1)*10000,10)&amp;"}]")</f>
        <v>[{control_crit_dmg,2700}]</v>
      </c>
      <c r="H1330" s="82" t="s">
        <v>563</v>
      </c>
      <c r="J1330" s="78">
        <f ca="1">IF(MOD(COUNTIF($Q$11:Q1329,Q1329),5)=0,OFFSET(装备属性!$P$1083,1+INT(COUNTA($Q$11:Q1329)/5),0),J1329)</f>
        <v>10</v>
      </c>
      <c r="K1330" s="83" t="str">
        <f ca="1">IF(RIGHT(G1330,13)="rune_slot,1}]",_xlfn.XLOOKUP(LEFT(SUBSTITUTE(G1330,"[{",""),FIND(",",SUBSTITUTE(G1330,"[{",""))-1),Sheet2!B:B,Sheet2!C:C)&amp;"+"&amp;1,_xlfn.XLOOKUP(LEFT(SUBSTITUTE(G1330,"[{",""),FIND(",",SUBSTITUTE(G1330,"[{",""))-1),Sheet2!B:B,Sheet2!C:C)&amp;"+"&amp;SUBSTITUTE(RIGHT(G1330,LEN(G1330)-FIND(",",G1330)),"}]","")/100&amp;"%")</f>
        <v>控制暴击伤害+27%</v>
      </c>
      <c r="L1330" s="83" t="str">
        <f ca="1">IF(MOD(COUNTIF($Q$11:Q1329,Q1329),5)=0,OFFSET(装备属性!$G$1083,1+INT(COUNTA($Q$11:Q1329)/5),0),L1329)</f>
        <v>暴走控场Ⅱ</v>
      </c>
      <c r="M1330" s="89" t="str">
        <f ca="1">IF(MOD(COUNTIF($Q$11:Q1329,Q1329),5)=0,OFFSET(装备属性!$H$1083,1+INT(COUNTA($Q$11:Q1329)/5),0),M1329)</f>
        <v>control_crit_dmg</v>
      </c>
      <c r="N1330" s="76">
        <f ca="1">IF(MOD(COUNTIF($Q$11:Q1329,Q1329),5)=0,OFFSET(装备属性!$K$1083,1+INT(COUNTA($Q$11:Q1329)/5),0),N1329)</f>
        <v>0.24</v>
      </c>
      <c r="O1330" s="76">
        <f ca="1">IF(MOD(COUNTIF($Q$11:Q1329,Q1329),5)=0,OFFSET(装备属性!$L$1083,1+INT(COUNTA($Q$11:Q1329)/5),0),O1329)</f>
        <v>0.27</v>
      </c>
      <c r="Q1330" s="89" t="str">
        <f ca="1">IF(MOD(COUNTIF($Q$11:Q1329,Q1329),5)=0,OFFSET(装备属性!$M$1083,1+INT(COUNTA($Q$11:Q1329)/5),0),Q1329)</f>
        <v>通用属性</v>
      </c>
      <c r="R1330" s="83">
        <f ca="1">IF(MOD(COUNTIF($Q$11:Q1329,Q1329),5)=0,10000*SUBSTITUTE(SUBSTITUTE(OFFSET(装备属性!$F$1083,1+INT(COUNTA($Q$11:Q1329)/5),0),"[",""),"]","")+_xlfn.XLOOKUP(C1330,$M$3:$M$7,$N$3:$N$7)*100,R1329)</f>
        <v>50500</v>
      </c>
    </row>
    <row r="1331" customHeight="1" spans="1:18">
      <c r="A1331" s="78" t="str">
        <f ca="1" t="shared" si="60"/>
        <v/>
      </c>
      <c r="B1331" s="82" t="str">
        <f ca="1">IFERROR(R1331+COUNTIFS($R$11:$R1331,R1331),"")</f>
        <v/>
      </c>
      <c r="C1331" s="83">
        <f ca="1">IF(MOD(COUNTIF($Q$11:Q1330,Q1330),5)=0,OFFSET(装备属性!$D$1083,1+INT(COUNTA($Q$11:Q1330)/5),0),C1330)</f>
        <v>0</v>
      </c>
      <c r="D1331" s="82">
        <f t="shared" si="62"/>
        <v>3000</v>
      </c>
      <c r="F1331" s="82" t="str">
        <f ca="1" t="shared" si="61"/>
        <v/>
      </c>
      <c r="G1331" s="78" t="str">
        <f ca="1">IF(AND(LEFT("[{"&amp;M1331&amp;","&amp;CEILING(N1331*10000+(O1331-N1331)/4*(COUNTIF($F$11:F1331,F1331)-1)*10000,10)&amp;"}]",7)="[{equip",MID("[{"&amp;M1331&amp;","&amp;CEILING(N1331*10000+(O1331-N1331)/4*(COUNTIF($F$11:F1331,F1331)-1)*10000,10)&amp;"}]",8,1)&lt;&gt;"_"),"[{"&amp;M1331&amp;","&amp;1&amp;"}]","[{"&amp;M1331&amp;","&amp;CEILING(N1331*10000+(O1331-N1331)/4*(COUNTIF($F$11:F1331,F1331)-1)*10000,10)&amp;"}]")</f>
        <v>[{global_dmg_rate,8700}]</v>
      </c>
      <c r="H1331" s="82" t="s">
        <v>563</v>
      </c>
      <c r="J1331" s="78">
        <f ca="1">IF(MOD(COUNTIF($Q$11:Q1330,Q1330),5)=0,OFFSET(装备属性!$P$1083,1+INT(COUNTA($Q$11:Q1330)/5),0),J1330)</f>
        <v>2</v>
      </c>
      <c r="K1331" s="83" t="str">
        <f ca="1">IF(RIGHT(G1331,13)="rune_slot,1}]",_xlfn.XLOOKUP(LEFT(SUBSTITUTE(G1331,"[{",""),FIND(",",SUBSTITUTE(G1331,"[{",""))-1),Sheet2!B:B,Sheet2!C:C)&amp;"+"&amp;1,_xlfn.XLOOKUP(LEFT(SUBSTITUTE(G1331,"[{",""),FIND(",",SUBSTITUTE(G1331,"[{",""))-1),Sheet2!B:B,Sheet2!C:C)&amp;"+"&amp;SUBSTITUTE(RIGHT(G1331,LEN(G1331)-FIND(",",G1331)),"}]","")/100&amp;"%")</f>
        <v>伤害加成+87%</v>
      </c>
      <c r="L1331" s="83" t="str">
        <f ca="1">IF(MOD(COUNTIF($Q$11:Q1330,Q1330),5)=0,OFFSET(装备属性!$G$1083,1+INT(COUNTA($Q$11:Q1330)/5),0),L1330)</f>
        <v>全职小队Ⅲ</v>
      </c>
      <c r="M1331" s="89" t="str">
        <f ca="1">IF(MOD(COUNTIF($Q$11:Q1330,Q1330),5)=0,OFFSET(装备属性!$H$1083,1+INT(COUNTA($Q$11:Q1330)/5),0),M1330)</f>
        <v>global_dmg_rate</v>
      </c>
      <c r="N1331" s="76">
        <f ca="1">IF(MOD(COUNTIF($Q$11:Q1330,Q1330),5)=0,OFFSET(装备属性!$K$1083,1+INT(COUNTA($Q$11:Q1330)/5),0),N1330)</f>
        <v>0.052</v>
      </c>
      <c r="O1331" s="76">
        <f ca="1">IF(MOD(COUNTIF($Q$11:Q1330,Q1330),5)=0,OFFSET(装备属性!$L$1083,1+INT(COUNTA($Q$11:Q1330)/5),0),O1330)</f>
        <v>0.058</v>
      </c>
      <c r="Q1331" s="89" t="str">
        <f ca="1">IF(MOD(COUNTIF($Q$11:Q1330,Q1330),5)=0,OFFSET(装备属性!$M$1083,1+INT(COUNTA($Q$11:Q1330)/5),0),Q1330)</f>
        <v>通用属性</v>
      </c>
      <c r="R1331" s="83" t="e">
        <f ca="1">IF(MOD(COUNTIF($Q$11:Q1330,Q1330),5)=0,10000*SUBSTITUTE(SUBSTITUTE(OFFSET(装备属性!$F$1083,1+INT(COUNTA($Q$11:Q1330)/5),0),"[",""),"]","")+_xlfn.XLOOKUP(C1331,$M$3:$M$7,$N$3:$N$7)*100,R1330)</f>
        <v>#N/A</v>
      </c>
    </row>
    <row r="1332" customHeight="1" spans="1:18">
      <c r="A1332" s="78" t="str">
        <f ca="1" t="shared" si="60"/>
        <v/>
      </c>
      <c r="B1332" s="82" t="str">
        <f ca="1">IFERROR(R1332+COUNTIFS($R$11:$R1332,R1332),"")</f>
        <v/>
      </c>
      <c r="C1332" s="83">
        <f ca="1">IF(MOD(COUNTIF($Q$11:Q1331,Q1331),5)=0,OFFSET(装备属性!$D$1083,1+INT(COUNTA($Q$11:Q1331)/5),0),C1331)</f>
        <v>0</v>
      </c>
      <c r="D1332" s="82">
        <f t="shared" si="62"/>
        <v>2500</v>
      </c>
      <c r="F1332" s="82" t="str">
        <f ca="1" t="shared" si="61"/>
        <v/>
      </c>
      <c r="G1332" s="78" t="str">
        <f ca="1">IF(AND(LEFT("[{"&amp;M1332&amp;","&amp;CEILING(N1332*10000+(O1332-N1332)/4*(COUNTIF($F$11:F1332,F1332)-1)*10000,10)&amp;"}]",7)="[{equip",MID("[{"&amp;M1332&amp;","&amp;CEILING(N1332*10000+(O1332-N1332)/4*(COUNTIF($F$11:F1332,F1332)-1)*10000,10)&amp;"}]",8,1)&lt;&gt;"_"),"[{"&amp;M1332&amp;","&amp;1&amp;"}]","[{"&amp;M1332&amp;","&amp;CEILING(N1332*10000+(O1332-N1332)/4*(COUNTIF($F$11:F1332,F1332)-1)*10000,10)&amp;"}]")</f>
        <v>[{global_dmg_rate,8710.00000000001}]</v>
      </c>
      <c r="H1332" s="82" t="s">
        <v>563</v>
      </c>
      <c r="J1332" s="78">
        <f ca="1">IF(MOD(COUNTIF($Q$11:Q1331,Q1331),5)=0,OFFSET(装备属性!$P$1083,1+INT(COUNTA($Q$11:Q1331)/5),0),J1331)</f>
        <v>2</v>
      </c>
      <c r="K1332" s="83" t="str">
        <f ca="1">IF(RIGHT(G1332,13)="rune_slot,1}]",_xlfn.XLOOKUP(LEFT(SUBSTITUTE(G1332,"[{",""),FIND(",",SUBSTITUTE(G1332,"[{",""))-1),Sheet2!B:B,Sheet2!C:C)&amp;"+"&amp;1,_xlfn.XLOOKUP(LEFT(SUBSTITUTE(G1332,"[{",""),FIND(",",SUBSTITUTE(G1332,"[{",""))-1),Sheet2!B:B,Sheet2!C:C)&amp;"+"&amp;SUBSTITUTE(RIGHT(G1332,LEN(G1332)-FIND(",",G1332)),"}]","")/100&amp;"%")</f>
        <v>伤害加成+87.1000000000001%</v>
      </c>
      <c r="L1332" s="83" t="str">
        <f ca="1">IF(MOD(COUNTIF($Q$11:Q1331,Q1331),5)=0,OFFSET(装备属性!$G$1083,1+INT(COUNTA($Q$11:Q1331)/5),0),L1331)</f>
        <v>全职小队Ⅲ</v>
      </c>
      <c r="M1332" s="89" t="str">
        <f ca="1">IF(MOD(COUNTIF($Q$11:Q1331,Q1331),5)=0,OFFSET(装备属性!$H$1083,1+INT(COUNTA($Q$11:Q1331)/5),0),M1331)</f>
        <v>global_dmg_rate</v>
      </c>
      <c r="N1332" s="76">
        <f ca="1">IF(MOD(COUNTIF($Q$11:Q1331,Q1331),5)=0,OFFSET(装备属性!$K$1083,1+INT(COUNTA($Q$11:Q1331)/5),0),N1331)</f>
        <v>0.052</v>
      </c>
      <c r="O1332" s="76">
        <f ca="1">IF(MOD(COUNTIF($Q$11:Q1331,Q1331),5)=0,OFFSET(装备属性!$L$1083,1+INT(COUNTA($Q$11:Q1331)/5),0),O1331)</f>
        <v>0.058</v>
      </c>
      <c r="Q1332" s="89" t="str">
        <f ca="1">IF(MOD(COUNTIF($Q$11:Q1331,Q1331),5)=0,OFFSET(装备属性!$M$1083,1+INT(COUNTA($Q$11:Q1331)/5),0),Q1331)</f>
        <v>通用属性</v>
      </c>
      <c r="R1332" s="83" t="e">
        <f ca="1">IF(MOD(COUNTIF($Q$11:Q1331,Q1331),5)=0,10000*SUBSTITUTE(SUBSTITUTE(OFFSET(装备属性!$F$1083,1+INT(COUNTA($Q$11:Q1331)/5),0),"[",""),"]","")+_xlfn.XLOOKUP(C1332,$M$3:$M$7,$N$3:$N$7)*100,R1331)</f>
        <v>#N/A</v>
      </c>
    </row>
    <row r="1333" customHeight="1" spans="1:18">
      <c r="A1333" s="78" t="str">
        <f ca="1" t="shared" si="60"/>
        <v/>
      </c>
      <c r="B1333" s="82" t="str">
        <f ca="1">IFERROR(R1333+COUNTIFS($R$11:$R1333,R1333),"")</f>
        <v/>
      </c>
      <c r="C1333" s="83">
        <f ca="1">IF(MOD(COUNTIF($Q$11:Q1332,Q1332),5)=0,OFFSET(装备属性!$D$1083,1+INT(COUNTA($Q$11:Q1332)/5),0),C1332)</f>
        <v>0</v>
      </c>
      <c r="D1333" s="82">
        <f t="shared" si="62"/>
        <v>2000</v>
      </c>
      <c r="F1333" s="82" t="str">
        <f ca="1" t="shared" si="61"/>
        <v/>
      </c>
      <c r="G1333" s="78" t="str">
        <f ca="1">IF(AND(LEFT("[{"&amp;M1333&amp;","&amp;CEILING(N1333*10000+(O1333-N1333)/4*(COUNTIF($F$11:F1333,F1333)-1)*10000,10)&amp;"}]",7)="[{equip",MID("[{"&amp;M1333&amp;","&amp;CEILING(N1333*10000+(O1333-N1333)/4*(COUNTIF($F$11:F1333,F1333)-1)*10000,10)&amp;"}]",8,1)&lt;&gt;"_"),"[{"&amp;M1333&amp;","&amp;1&amp;"}]","[{"&amp;M1333&amp;","&amp;CEILING(N1333*10000+(O1333-N1333)/4*(COUNTIF($F$11:F1333,F1333)-1)*10000,10)&amp;"}]")</f>
        <v>[{global_dmg_rate,8730}]</v>
      </c>
      <c r="H1333" s="82" t="s">
        <v>563</v>
      </c>
      <c r="J1333" s="78">
        <f ca="1">IF(MOD(COUNTIF($Q$11:Q1332,Q1332),5)=0,OFFSET(装备属性!$P$1083,1+INT(COUNTA($Q$11:Q1332)/5),0),J1332)</f>
        <v>2</v>
      </c>
      <c r="K1333" s="83" t="str">
        <f ca="1">IF(RIGHT(G1333,13)="rune_slot,1}]",_xlfn.XLOOKUP(LEFT(SUBSTITUTE(G1333,"[{",""),FIND(",",SUBSTITUTE(G1333,"[{",""))-1),Sheet2!B:B,Sheet2!C:C)&amp;"+"&amp;1,_xlfn.XLOOKUP(LEFT(SUBSTITUTE(G1333,"[{",""),FIND(",",SUBSTITUTE(G1333,"[{",""))-1),Sheet2!B:B,Sheet2!C:C)&amp;"+"&amp;SUBSTITUTE(RIGHT(G1333,LEN(G1333)-FIND(",",G1333)),"}]","")/100&amp;"%")</f>
        <v>伤害加成+87.3%</v>
      </c>
      <c r="L1333" s="83" t="str">
        <f ca="1">IF(MOD(COUNTIF($Q$11:Q1332,Q1332),5)=0,OFFSET(装备属性!$G$1083,1+INT(COUNTA($Q$11:Q1332)/5),0),L1332)</f>
        <v>全职小队Ⅲ</v>
      </c>
      <c r="M1333" s="89" t="str">
        <f ca="1">IF(MOD(COUNTIF($Q$11:Q1332,Q1332),5)=0,OFFSET(装备属性!$H$1083,1+INT(COUNTA($Q$11:Q1332)/5),0),M1332)</f>
        <v>global_dmg_rate</v>
      </c>
      <c r="N1333" s="76">
        <f ca="1">IF(MOD(COUNTIF($Q$11:Q1332,Q1332),5)=0,OFFSET(装备属性!$K$1083,1+INT(COUNTA($Q$11:Q1332)/5),0),N1332)</f>
        <v>0.052</v>
      </c>
      <c r="O1333" s="76">
        <f ca="1">IF(MOD(COUNTIF($Q$11:Q1332,Q1332),5)=0,OFFSET(装备属性!$L$1083,1+INT(COUNTA($Q$11:Q1332)/5),0),O1332)</f>
        <v>0.058</v>
      </c>
      <c r="Q1333" s="89" t="str">
        <f ca="1">IF(MOD(COUNTIF($Q$11:Q1332,Q1332),5)=0,OFFSET(装备属性!$M$1083,1+INT(COUNTA($Q$11:Q1332)/5),0),Q1332)</f>
        <v>通用属性</v>
      </c>
      <c r="R1333" s="83" t="e">
        <f ca="1">IF(MOD(COUNTIF($Q$11:Q1332,Q1332),5)=0,10000*SUBSTITUTE(SUBSTITUTE(OFFSET(装备属性!$F$1083,1+INT(COUNTA($Q$11:Q1332)/5),0),"[",""),"]","")+_xlfn.XLOOKUP(C1333,$M$3:$M$7,$N$3:$N$7)*100,R1332)</f>
        <v>#N/A</v>
      </c>
    </row>
    <row r="1334" customHeight="1" spans="1:18">
      <c r="A1334" s="78" t="str">
        <f ca="1" t="shared" si="60"/>
        <v/>
      </c>
      <c r="B1334" s="82" t="str">
        <f ca="1">IFERROR(R1334+COUNTIFS($R$11:$R1334,R1334),"")</f>
        <v/>
      </c>
      <c r="C1334" s="83">
        <f ca="1">IF(MOD(COUNTIF($Q$11:Q1333,Q1333),5)=0,OFFSET(装备属性!$D$1083,1+INT(COUNTA($Q$11:Q1333)/5),0),C1333)</f>
        <v>0</v>
      </c>
      <c r="D1334" s="82">
        <f t="shared" si="62"/>
        <v>1500</v>
      </c>
      <c r="F1334" s="82" t="str">
        <f ca="1" t="shared" si="61"/>
        <v/>
      </c>
      <c r="G1334" s="78" t="str">
        <f ca="1">IF(AND(LEFT("[{"&amp;M1334&amp;","&amp;CEILING(N1334*10000+(O1334-N1334)/4*(COUNTIF($F$11:F1334,F1334)-1)*10000,10)&amp;"}]",7)="[{equip",MID("[{"&amp;M1334&amp;","&amp;CEILING(N1334*10000+(O1334-N1334)/4*(COUNTIF($F$11:F1334,F1334)-1)*10000,10)&amp;"}]",8,1)&lt;&gt;"_"),"[{"&amp;M1334&amp;","&amp;1&amp;"}]","[{"&amp;M1334&amp;","&amp;CEILING(N1334*10000+(O1334-N1334)/4*(COUNTIF($F$11:F1334,F1334)-1)*10000,10)&amp;"}]")</f>
        <v>[{global_dmg_rate,8740.00000000001}]</v>
      </c>
      <c r="H1334" s="82" t="s">
        <v>563</v>
      </c>
      <c r="J1334" s="78">
        <f ca="1">IF(MOD(COUNTIF($Q$11:Q1333,Q1333),5)=0,OFFSET(装备属性!$P$1083,1+INT(COUNTA($Q$11:Q1333)/5),0),J1333)</f>
        <v>2</v>
      </c>
      <c r="K1334" s="83" t="str">
        <f ca="1">IF(RIGHT(G1334,13)="rune_slot,1}]",_xlfn.XLOOKUP(LEFT(SUBSTITUTE(G1334,"[{",""),FIND(",",SUBSTITUTE(G1334,"[{",""))-1),Sheet2!B:B,Sheet2!C:C)&amp;"+"&amp;1,_xlfn.XLOOKUP(LEFT(SUBSTITUTE(G1334,"[{",""),FIND(",",SUBSTITUTE(G1334,"[{",""))-1),Sheet2!B:B,Sheet2!C:C)&amp;"+"&amp;SUBSTITUTE(RIGHT(G1334,LEN(G1334)-FIND(",",G1334)),"}]","")/100&amp;"%")</f>
        <v>伤害加成+87.4000000000001%</v>
      </c>
      <c r="L1334" s="83" t="str">
        <f ca="1">IF(MOD(COUNTIF($Q$11:Q1333,Q1333),5)=0,OFFSET(装备属性!$G$1083,1+INT(COUNTA($Q$11:Q1333)/5),0),L1333)</f>
        <v>全职小队Ⅲ</v>
      </c>
      <c r="M1334" s="89" t="str">
        <f ca="1">IF(MOD(COUNTIF($Q$11:Q1333,Q1333),5)=0,OFFSET(装备属性!$H$1083,1+INT(COUNTA($Q$11:Q1333)/5),0),M1333)</f>
        <v>global_dmg_rate</v>
      </c>
      <c r="N1334" s="76">
        <f ca="1">IF(MOD(COUNTIF($Q$11:Q1333,Q1333),5)=0,OFFSET(装备属性!$K$1083,1+INT(COUNTA($Q$11:Q1333)/5),0),N1333)</f>
        <v>0.052</v>
      </c>
      <c r="O1334" s="76">
        <f ca="1">IF(MOD(COUNTIF($Q$11:Q1333,Q1333),5)=0,OFFSET(装备属性!$L$1083,1+INT(COUNTA($Q$11:Q1333)/5),0),O1333)</f>
        <v>0.058</v>
      </c>
      <c r="Q1334" s="89" t="str">
        <f ca="1">IF(MOD(COUNTIF($Q$11:Q1333,Q1333),5)=0,OFFSET(装备属性!$M$1083,1+INT(COUNTA($Q$11:Q1333)/5),0),Q1333)</f>
        <v>通用属性</v>
      </c>
      <c r="R1334" s="83" t="e">
        <f ca="1">IF(MOD(COUNTIF($Q$11:Q1333,Q1333),5)=0,10000*SUBSTITUTE(SUBSTITUTE(OFFSET(装备属性!$F$1083,1+INT(COUNTA($Q$11:Q1333)/5),0),"[",""),"]","")+_xlfn.XLOOKUP(C1334,$M$3:$M$7,$N$3:$N$7)*100,R1333)</f>
        <v>#N/A</v>
      </c>
    </row>
    <row r="1335" customHeight="1" spans="1:18">
      <c r="A1335" s="78" t="str">
        <f ca="1" t="shared" si="60"/>
        <v/>
      </c>
      <c r="B1335" s="82" t="str">
        <f ca="1">IFERROR(R1335+COUNTIFS($R$11:$R1335,R1335),"")</f>
        <v/>
      </c>
      <c r="C1335" s="83">
        <f ca="1">IF(MOD(COUNTIF($Q$11:Q1334,Q1334),5)=0,OFFSET(装备属性!$D$1083,1+INT(COUNTA($Q$11:Q1334)/5),0),C1334)</f>
        <v>0</v>
      </c>
      <c r="D1335" s="82">
        <f t="shared" si="62"/>
        <v>1000</v>
      </c>
      <c r="F1335" s="82" t="str">
        <f ca="1" t="shared" si="61"/>
        <v/>
      </c>
      <c r="G1335" s="78" t="str">
        <f ca="1">IF(AND(LEFT("[{"&amp;M1335&amp;","&amp;CEILING(N1335*10000+(O1335-N1335)/4*(COUNTIF($F$11:F1335,F1335)-1)*10000,10)&amp;"}]",7)="[{equip",MID("[{"&amp;M1335&amp;","&amp;CEILING(N1335*10000+(O1335-N1335)/4*(COUNTIF($F$11:F1335,F1335)-1)*10000,10)&amp;"}]",8,1)&lt;&gt;"_"),"[{"&amp;M1335&amp;","&amp;1&amp;"}]","[{"&amp;M1335&amp;","&amp;CEILING(N1335*10000+(O1335-N1335)/4*(COUNTIF($F$11:F1335,F1335)-1)*10000,10)&amp;"}]")</f>
        <v>[{global_dmg_rate,8760}]</v>
      </c>
      <c r="H1335" s="82" t="s">
        <v>563</v>
      </c>
      <c r="J1335" s="78">
        <f ca="1">IF(MOD(COUNTIF($Q$11:Q1334,Q1334),5)=0,OFFSET(装备属性!$P$1083,1+INT(COUNTA($Q$11:Q1334)/5),0),J1334)</f>
        <v>2</v>
      </c>
      <c r="K1335" s="83" t="str">
        <f ca="1">IF(RIGHT(G1335,13)="rune_slot,1}]",_xlfn.XLOOKUP(LEFT(SUBSTITUTE(G1335,"[{",""),FIND(",",SUBSTITUTE(G1335,"[{",""))-1),Sheet2!B:B,Sheet2!C:C)&amp;"+"&amp;1,_xlfn.XLOOKUP(LEFT(SUBSTITUTE(G1335,"[{",""),FIND(",",SUBSTITUTE(G1335,"[{",""))-1),Sheet2!B:B,Sheet2!C:C)&amp;"+"&amp;SUBSTITUTE(RIGHT(G1335,LEN(G1335)-FIND(",",G1335)),"}]","")/100&amp;"%")</f>
        <v>伤害加成+87.6%</v>
      </c>
      <c r="L1335" s="83" t="str">
        <f ca="1">IF(MOD(COUNTIF($Q$11:Q1334,Q1334),5)=0,OFFSET(装备属性!$G$1083,1+INT(COUNTA($Q$11:Q1334)/5),0),L1334)</f>
        <v>全职小队Ⅲ</v>
      </c>
      <c r="M1335" s="89" t="str">
        <f ca="1">IF(MOD(COUNTIF($Q$11:Q1334,Q1334),5)=0,OFFSET(装备属性!$H$1083,1+INT(COUNTA($Q$11:Q1334)/5),0),M1334)</f>
        <v>global_dmg_rate</v>
      </c>
      <c r="N1335" s="76">
        <f ca="1">IF(MOD(COUNTIF($Q$11:Q1334,Q1334),5)=0,OFFSET(装备属性!$K$1083,1+INT(COUNTA($Q$11:Q1334)/5),0),N1334)</f>
        <v>0.052</v>
      </c>
      <c r="O1335" s="76">
        <f ca="1">IF(MOD(COUNTIF($Q$11:Q1334,Q1334),5)=0,OFFSET(装备属性!$L$1083,1+INT(COUNTA($Q$11:Q1334)/5),0),O1334)</f>
        <v>0.058</v>
      </c>
      <c r="Q1335" s="89" t="str">
        <f ca="1">IF(MOD(COUNTIF($Q$11:Q1334,Q1334),5)=0,OFFSET(装备属性!$M$1083,1+INT(COUNTA($Q$11:Q1334)/5),0),Q1334)</f>
        <v>通用属性</v>
      </c>
      <c r="R1335" s="83" t="e">
        <f ca="1">IF(MOD(COUNTIF($Q$11:Q1334,Q1334),5)=0,10000*SUBSTITUTE(SUBSTITUTE(OFFSET(装备属性!$F$1083,1+INT(COUNTA($Q$11:Q1334)/5),0),"[",""),"]","")+_xlfn.XLOOKUP(C1335,$M$3:$M$7,$N$3:$N$7)*100,R1334)</f>
        <v>#N/A</v>
      </c>
    </row>
    <row r="1336" customHeight="1" spans="1:18">
      <c r="A1336" s="78">
        <f ca="1" t="shared" si="60"/>
        <v>50601</v>
      </c>
      <c r="B1336" s="82">
        <f ca="1">IFERROR(R1336+COUNTIFS($R$11:$R1336,R1336),"")</f>
        <v>50601</v>
      </c>
      <c r="C1336" s="83" t="str">
        <f ca="1">IF(MOD(COUNTIF($Q$11:Q1335,Q1335),5)=0,OFFSET(装备属性!$D$1083,1+INT(COUNTA($Q$11:Q1335)/5),0),C1335)</f>
        <v>红</v>
      </c>
      <c r="D1336" s="82">
        <f t="shared" si="62"/>
        <v>3000</v>
      </c>
      <c r="F1336" s="82">
        <f ca="1" t="shared" si="61"/>
        <v>50600</v>
      </c>
      <c r="G1336" s="78" t="str">
        <f ca="1">IF(AND(LEFT("[{"&amp;M1336&amp;","&amp;CEILING(N1336*10000+(O1336-N1336)/4*(COUNTIF($F$11:F1336,F1336)-1)*10000,10)&amp;"}]",7)="[{equip",MID("[{"&amp;M1336&amp;","&amp;CEILING(N1336*10000+(O1336-N1336)/4*(COUNTIF($F$11:F1336,F1336)-1)*10000,10)&amp;"}]",8,1)&lt;&gt;"_"),"[{"&amp;M1336&amp;","&amp;1&amp;"}]","[{"&amp;M1336&amp;","&amp;CEILING(N1336*10000+(O1336-N1336)/4*(COUNTIF($F$11:F1336,F1336)-1)*10000,10)&amp;"}]")</f>
        <v>[{dmg_red_rate,200}]</v>
      </c>
      <c r="H1336" s="82" t="s">
        <v>563</v>
      </c>
      <c r="J1336" s="78">
        <f ca="1">IF(MOD(COUNTIF($Q$11:Q1335,Q1335),5)=0,OFFSET(装备属性!$P$1083,1+INT(COUNTA($Q$11:Q1335)/5),0),J1335)</f>
        <v>6</v>
      </c>
      <c r="K1336" s="83" t="str">
        <f ca="1">IF(RIGHT(G1336,13)="rune_slot,1}]",_xlfn.XLOOKUP(LEFT(SUBSTITUTE(G1336,"[{",""),FIND(",",SUBSTITUTE(G1336,"[{",""))-1),Sheet2!B:B,Sheet2!C:C)&amp;"+"&amp;1,_xlfn.XLOOKUP(LEFT(SUBSTITUTE(G1336,"[{",""),FIND(",",SUBSTITUTE(G1336,"[{",""))-1),Sheet2!B:B,Sheet2!C:C)&amp;"+"&amp;SUBSTITUTE(RIGHT(G1336,LEN(G1336)-FIND(",",G1336)),"}]","")/100&amp;"%")</f>
        <v>伤害减免+2%</v>
      </c>
      <c r="L1336" s="83" t="str">
        <f ca="1">IF(MOD(COUNTIF($Q$11:Q1335,Q1335),5)=0,OFFSET(装备属性!$G$1083,1+INT(COUNTA($Q$11:Q1335)/5),0),L1335)</f>
        <v>全员抗揍Ⅲ</v>
      </c>
      <c r="M1336" s="89" t="str">
        <f ca="1">IF(MOD(COUNTIF($Q$11:Q1335,Q1335),5)=0,OFFSET(装备属性!$H$1083,1+INT(COUNTA($Q$11:Q1335)/5),0),M1335)</f>
        <v>dmg_red_rate</v>
      </c>
      <c r="N1336" s="76">
        <f ca="1">IF(MOD(COUNTIF($Q$11:Q1335,Q1335),5)=0,OFFSET(装备属性!$K$1083,1+INT(COUNTA($Q$11:Q1335)/5),0),N1335)</f>
        <v>0.02</v>
      </c>
      <c r="O1336" s="76">
        <f ca="1">IF(MOD(COUNTIF($Q$11:Q1335,Q1335),5)=0,OFFSET(装备属性!$L$1083,1+INT(COUNTA($Q$11:Q1335)/5),0),O1335)</f>
        <v>0.024</v>
      </c>
      <c r="Q1336" s="89" t="str">
        <f ca="1">IF(MOD(COUNTIF($Q$11:Q1335,Q1335),5)=0,OFFSET(装备属性!$M$1083,1+INT(COUNTA($Q$11:Q1335)/5),0),Q1335)</f>
        <v>通用属性</v>
      </c>
      <c r="R1336" s="83">
        <f ca="1">IF(MOD(COUNTIF($Q$11:Q1335,Q1335),5)=0,10000*SUBSTITUTE(SUBSTITUTE(OFFSET(装备属性!$F$1083,1+INT(COUNTA($Q$11:Q1335)/5),0),"[",""),"]","")+_xlfn.XLOOKUP(C1336,$M$3:$M$7,$N$3:$N$7)*100,R1335)</f>
        <v>50600</v>
      </c>
    </row>
    <row r="1337" customHeight="1" spans="1:18">
      <c r="A1337" s="78">
        <f ca="1" t="shared" si="60"/>
        <v>50601</v>
      </c>
      <c r="B1337" s="82">
        <f ca="1">IFERROR(R1337+COUNTIFS($R$11:$R1337,R1337),"")</f>
        <v>50602</v>
      </c>
      <c r="C1337" s="83" t="str">
        <f ca="1">IF(MOD(COUNTIF($Q$11:Q1336,Q1336),5)=0,OFFSET(装备属性!$D$1083,1+INT(COUNTA($Q$11:Q1336)/5),0),C1336)</f>
        <v>红</v>
      </c>
      <c r="D1337" s="82">
        <f t="shared" si="62"/>
        <v>2500</v>
      </c>
      <c r="F1337" s="82">
        <f ca="1" t="shared" si="61"/>
        <v>50600</v>
      </c>
      <c r="G1337" s="78" t="str">
        <f ca="1">IF(AND(LEFT("[{"&amp;M1337&amp;","&amp;CEILING(N1337*10000+(O1337-N1337)/4*(COUNTIF($F$11:F1337,F1337)-1)*10000,10)&amp;"}]",7)="[{equip",MID("[{"&amp;M1337&amp;","&amp;CEILING(N1337*10000+(O1337-N1337)/4*(COUNTIF($F$11:F1337,F1337)-1)*10000,10)&amp;"}]",8,1)&lt;&gt;"_"),"[{"&amp;M1337&amp;","&amp;1&amp;"}]","[{"&amp;M1337&amp;","&amp;CEILING(N1337*10000+(O1337-N1337)/4*(COUNTIF($F$11:F1337,F1337)-1)*10000,10)&amp;"}]")</f>
        <v>[{dmg_red_rate,210}]</v>
      </c>
      <c r="H1337" s="82" t="s">
        <v>563</v>
      </c>
      <c r="J1337" s="78">
        <f ca="1">IF(MOD(COUNTIF($Q$11:Q1336,Q1336),5)=0,OFFSET(装备属性!$P$1083,1+INT(COUNTA($Q$11:Q1336)/5),0),J1336)</f>
        <v>6</v>
      </c>
      <c r="K1337" s="83" t="str">
        <f ca="1">IF(RIGHT(G1337,13)="rune_slot,1}]",_xlfn.XLOOKUP(LEFT(SUBSTITUTE(G1337,"[{",""),FIND(",",SUBSTITUTE(G1337,"[{",""))-1),Sheet2!B:B,Sheet2!C:C)&amp;"+"&amp;1,_xlfn.XLOOKUP(LEFT(SUBSTITUTE(G1337,"[{",""),FIND(",",SUBSTITUTE(G1337,"[{",""))-1),Sheet2!B:B,Sheet2!C:C)&amp;"+"&amp;SUBSTITUTE(RIGHT(G1337,LEN(G1337)-FIND(",",G1337)),"}]","")/100&amp;"%")</f>
        <v>伤害减免+2.1%</v>
      </c>
      <c r="L1337" s="83" t="str">
        <f ca="1">IF(MOD(COUNTIF($Q$11:Q1336,Q1336),5)=0,OFFSET(装备属性!$G$1083,1+INT(COUNTA($Q$11:Q1336)/5),0),L1336)</f>
        <v>全员抗揍Ⅲ</v>
      </c>
      <c r="M1337" s="89" t="str">
        <f ca="1">IF(MOD(COUNTIF($Q$11:Q1336,Q1336),5)=0,OFFSET(装备属性!$H$1083,1+INT(COUNTA($Q$11:Q1336)/5),0),M1336)</f>
        <v>dmg_red_rate</v>
      </c>
      <c r="N1337" s="76">
        <f ca="1">IF(MOD(COUNTIF($Q$11:Q1336,Q1336),5)=0,OFFSET(装备属性!$K$1083,1+INT(COUNTA($Q$11:Q1336)/5),0),N1336)</f>
        <v>0.02</v>
      </c>
      <c r="O1337" s="76">
        <f ca="1">IF(MOD(COUNTIF($Q$11:Q1336,Q1336),5)=0,OFFSET(装备属性!$L$1083,1+INT(COUNTA($Q$11:Q1336)/5),0),O1336)</f>
        <v>0.024</v>
      </c>
      <c r="Q1337" s="89" t="str">
        <f ca="1">IF(MOD(COUNTIF($Q$11:Q1336,Q1336),5)=0,OFFSET(装备属性!$M$1083,1+INT(COUNTA($Q$11:Q1336)/5),0),Q1336)</f>
        <v>通用属性</v>
      </c>
      <c r="R1337" s="83">
        <f ca="1">IF(MOD(COUNTIF($Q$11:Q1336,Q1336),5)=0,10000*SUBSTITUTE(SUBSTITUTE(OFFSET(装备属性!$F$1083,1+INT(COUNTA($Q$11:Q1336)/5),0),"[",""),"]","")+_xlfn.XLOOKUP(C1337,$M$3:$M$7,$N$3:$N$7)*100,R1336)</f>
        <v>50600</v>
      </c>
    </row>
    <row r="1338" customHeight="1" spans="1:18">
      <c r="A1338" s="78">
        <f ca="1" t="shared" si="60"/>
        <v>50601</v>
      </c>
      <c r="B1338" s="82">
        <f ca="1">IFERROR(R1338+COUNTIFS($R$11:$R1338,R1338),"")</f>
        <v>50603</v>
      </c>
      <c r="C1338" s="83" t="str">
        <f ca="1">IF(MOD(COUNTIF($Q$11:Q1337,Q1337),5)=0,OFFSET(装备属性!$D$1083,1+INT(COUNTA($Q$11:Q1337)/5),0),C1337)</f>
        <v>红</v>
      </c>
      <c r="D1338" s="82">
        <f t="shared" si="62"/>
        <v>2000</v>
      </c>
      <c r="F1338" s="82">
        <f ca="1" t="shared" si="61"/>
        <v>50600</v>
      </c>
      <c r="G1338" s="78" t="str">
        <f ca="1">IF(AND(LEFT("[{"&amp;M1338&amp;","&amp;CEILING(N1338*10000+(O1338-N1338)/4*(COUNTIF($F$11:F1338,F1338)-1)*10000,10)&amp;"}]",7)="[{equip",MID("[{"&amp;M1338&amp;","&amp;CEILING(N1338*10000+(O1338-N1338)/4*(COUNTIF($F$11:F1338,F1338)-1)*10000,10)&amp;"}]",8,1)&lt;&gt;"_"),"[{"&amp;M1338&amp;","&amp;1&amp;"}]","[{"&amp;M1338&amp;","&amp;CEILING(N1338*10000+(O1338-N1338)/4*(COUNTIF($F$11:F1338,F1338)-1)*10000,10)&amp;"}]")</f>
        <v>[{dmg_red_rate,220}]</v>
      </c>
      <c r="H1338" s="82" t="s">
        <v>563</v>
      </c>
      <c r="J1338" s="78">
        <f ca="1">IF(MOD(COUNTIF($Q$11:Q1337,Q1337),5)=0,OFFSET(装备属性!$P$1083,1+INT(COUNTA($Q$11:Q1337)/5),0),J1337)</f>
        <v>6</v>
      </c>
      <c r="K1338" s="83" t="str">
        <f ca="1">IF(RIGHT(G1338,13)="rune_slot,1}]",_xlfn.XLOOKUP(LEFT(SUBSTITUTE(G1338,"[{",""),FIND(",",SUBSTITUTE(G1338,"[{",""))-1),Sheet2!B:B,Sheet2!C:C)&amp;"+"&amp;1,_xlfn.XLOOKUP(LEFT(SUBSTITUTE(G1338,"[{",""),FIND(",",SUBSTITUTE(G1338,"[{",""))-1),Sheet2!B:B,Sheet2!C:C)&amp;"+"&amp;SUBSTITUTE(RIGHT(G1338,LEN(G1338)-FIND(",",G1338)),"}]","")/100&amp;"%")</f>
        <v>伤害减免+2.2%</v>
      </c>
      <c r="L1338" s="83" t="str">
        <f ca="1">IF(MOD(COUNTIF($Q$11:Q1337,Q1337),5)=0,OFFSET(装备属性!$G$1083,1+INT(COUNTA($Q$11:Q1337)/5),0),L1337)</f>
        <v>全员抗揍Ⅲ</v>
      </c>
      <c r="M1338" s="89" t="str">
        <f ca="1">IF(MOD(COUNTIF($Q$11:Q1337,Q1337),5)=0,OFFSET(装备属性!$H$1083,1+INT(COUNTA($Q$11:Q1337)/5),0),M1337)</f>
        <v>dmg_red_rate</v>
      </c>
      <c r="N1338" s="76">
        <f ca="1">IF(MOD(COUNTIF($Q$11:Q1337,Q1337),5)=0,OFFSET(装备属性!$K$1083,1+INT(COUNTA($Q$11:Q1337)/5),0),N1337)</f>
        <v>0.02</v>
      </c>
      <c r="O1338" s="76">
        <f ca="1">IF(MOD(COUNTIF($Q$11:Q1337,Q1337),5)=0,OFFSET(装备属性!$L$1083,1+INT(COUNTA($Q$11:Q1337)/5),0),O1337)</f>
        <v>0.024</v>
      </c>
      <c r="Q1338" s="89" t="str">
        <f ca="1">IF(MOD(COUNTIF($Q$11:Q1337,Q1337),5)=0,OFFSET(装备属性!$M$1083,1+INT(COUNTA($Q$11:Q1337)/5),0),Q1337)</f>
        <v>通用属性</v>
      </c>
      <c r="R1338" s="83">
        <f ca="1">IF(MOD(COUNTIF($Q$11:Q1337,Q1337),5)=0,10000*SUBSTITUTE(SUBSTITUTE(OFFSET(装备属性!$F$1083,1+INT(COUNTA($Q$11:Q1337)/5),0),"[",""),"]","")+_xlfn.XLOOKUP(C1338,$M$3:$M$7,$N$3:$N$7)*100,R1337)</f>
        <v>50600</v>
      </c>
    </row>
    <row r="1339" customHeight="1" spans="1:18">
      <c r="A1339" s="78">
        <f ca="1" t="shared" si="60"/>
        <v>50601</v>
      </c>
      <c r="B1339" s="82">
        <f ca="1">IFERROR(R1339+COUNTIFS($R$11:$R1339,R1339),"")</f>
        <v>50604</v>
      </c>
      <c r="C1339" s="83" t="str">
        <f ca="1">IF(MOD(COUNTIF($Q$11:Q1338,Q1338),5)=0,OFFSET(装备属性!$D$1083,1+INT(COUNTA($Q$11:Q1338)/5),0),C1338)</f>
        <v>红</v>
      </c>
      <c r="D1339" s="82">
        <f t="shared" si="62"/>
        <v>1500</v>
      </c>
      <c r="F1339" s="82">
        <f ca="1" t="shared" si="61"/>
        <v>50600</v>
      </c>
      <c r="G1339" s="78" t="str">
        <f ca="1">IF(AND(LEFT("[{"&amp;M1339&amp;","&amp;CEILING(N1339*10000+(O1339-N1339)/4*(COUNTIF($F$11:F1339,F1339)-1)*10000,10)&amp;"}]",7)="[{equip",MID("[{"&amp;M1339&amp;","&amp;CEILING(N1339*10000+(O1339-N1339)/4*(COUNTIF($F$11:F1339,F1339)-1)*10000,10)&amp;"}]",8,1)&lt;&gt;"_"),"[{"&amp;M1339&amp;","&amp;1&amp;"}]","[{"&amp;M1339&amp;","&amp;CEILING(N1339*10000+(O1339-N1339)/4*(COUNTIF($F$11:F1339,F1339)-1)*10000,10)&amp;"}]")</f>
        <v>[{dmg_red_rate,230}]</v>
      </c>
      <c r="H1339" s="82" t="s">
        <v>563</v>
      </c>
      <c r="J1339" s="78">
        <f ca="1">IF(MOD(COUNTIF($Q$11:Q1338,Q1338),5)=0,OFFSET(装备属性!$P$1083,1+INT(COUNTA($Q$11:Q1338)/5),0),J1338)</f>
        <v>6</v>
      </c>
      <c r="K1339" s="83" t="str">
        <f ca="1">IF(RIGHT(G1339,13)="rune_slot,1}]",_xlfn.XLOOKUP(LEFT(SUBSTITUTE(G1339,"[{",""),FIND(",",SUBSTITUTE(G1339,"[{",""))-1),Sheet2!B:B,Sheet2!C:C)&amp;"+"&amp;1,_xlfn.XLOOKUP(LEFT(SUBSTITUTE(G1339,"[{",""),FIND(",",SUBSTITUTE(G1339,"[{",""))-1),Sheet2!B:B,Sheet2!C:C)&amp;"+"&amp;SUBSTITUTE(RIGHT(G1339,LEN(G1339)-FIND(",",G1339)),"}]","")/100&amp;"%")</f>
        <v>伤害减免+2.3%</v>
      </c>
      <c r="L1339" s="83" t="str">
        <f ca="1">IF(MOD(COUNTIF($Q$11:Q1338,Q1338),5)=0,OFFSET(装备属性!$G$1083,1+INT(COUNTA($Q$11:Q1338)/5),0),L1338)</f>
        <v>全员抗揍Ⅲ</v>
      </c>
      <c r="M1339" s="89" t="str">
        <f ca="1">IF(MOD(COUNTIF($Q$11:Q1338,Q1338),5)=0,OFFSET(装备属性!$H$1083,1+INT(COUNTA($Q$11:Q1338)/5),0),M1338)</f>
        <v>dmg_red_rate</v>
      </c>
      <c r="N1339" s="76">
        <f ca="1">IF(MOD(COUNTIF($Q$11:Q1338,Q1338),5)=0,OFFSET(装备属性!$K$1083,1+INT(COUNTA($Q$11:Q1338)/5),0),N1338)</f>
        <v>0.02</v>
      </c>
      <c r="O1339" s="76">
        <f ca="1">IF(MOD(COUNTIF($Q$11:Q1338,Q1338),5)=0,OFFSET(装备属性!$L$1083,1+INT(COUNTA($Q$11:Q1338)/5),0),O1338)</f>
        <v>0.024</v>
      </c>
      <c r="Q1339" s="89" t="str">
        <f ca="1">IF(MOD(COUNTIF($Q$11:Q1338,Q1338),5)=0,OFFSET(装备属性!$M$1083,1+INT(COUNTA($Q$11:Q1338)/5),0),Q1338)</f>
        <v>通用属性</v>
      </c>
      <c r="R1339" s="83">
        <f ca="1">IF(MOD(COUNTIF($Q$11:Q1338,Q1338),5)=0,10000*SUBSTITUTE(SUBSTITUTE(OFFSET(装备属性!$F$1083,1+INT(COUNTA($Q$11:Q1338)/5),0),"[",""),"]","")+_xlfn.XLOOKUP(C1339,$M$3:$M$7,$N$3:$N$7)*100,R1338)</f>
        <v>50600</v>
      </c>
    </row>
    <row r="1340" customHeight="1" spans="1:18">
      <c r="A1340" s="78">
        <f ca="1" t="shared" si="60"/>
        <v>50601</v>
      </c>
      <c r="B1340" s="82">
        <f ca="1">IFERROR(R1340+COUNTIFS($R$11:$R1340,R1340),"")</f>
        <v>50605</v>
      </c>
      <c r="C1340" s="83" t="str">
        <f ca="1">IF(MOD(COUNTIF($Q$11:Q1339,Q1339),5)=0,OFFSET(装备属性!$D$1083,1+INT(COUNTA($Q$11:Q1339)/5),0),C1339)</f>
        <v>红</v>
      </c>
      <c r="D1340" s="82">
        <f t="shared" si="62"/>
        <v>1000</v>
      </c>
      <c r="F1340" s="82">
        <f ca="1" t="shared" si="61"/>
        <v>50600</v>
      </c>
      <c r="G1340" s="78" t="str">
        <f ca="1">IF(AND(LEFT("[{"&amp;M1340&amp;","&amp;CEILING(N1340*10000+(O1340-N1340)/4*(COUNTIF($F$11:F1340,F1340)-1)*10000,10)&amp;"}]",7)="[{equip",MID("[{"&amp;M1340&amp;","&amp;CEILING(N1340*10000+(O1340-N1340)/4*(COUNTIF($F$11:F1340,F1340)-1)*10000,10)&amp;"}]",8,1)&lt;&gt;"_"),"[{"&amp;M1340&amp;","&amp;1&amp;"}]","[{"&amp;M1340&amp;","&amp;CEILING(N1340*10000+(O1340-N1340)/4*(COUNTIF($F$11:F1340,F1340)-1)*10000,10)&amp;"}]")</f>
        <v>[{dmg_red_rate,240}]</v>
      </c>
      <c r="H1340" s="82" t="s">
        <v>563</v>
      </c>
      <c r="J1340" s="78">
        <f ca="1">IF(MOD(COUNTIF($Q$11:Q1339,Q1339),5)=0,OFFSET(装备属性!$P$1083,1+INT(COUNTA($Q$11:Q1339)/5),0),J1339)</f>
        <v>6</v>
      </c>
      <c r="K1340" s="83" t="str">
        <f ca="1">IF(RIGHT(G1340,13)="rune_slot,1}]",_xlfn.XLOOKUP(LEFT(SUBSTITUTE(G1340,"[{",""),FIND(",",SUBSTITUTE(G1340,"[{",""))-1),Sheet2!B:B,Sheet2!C:C)&amp;"+"&amp;1,_xlfn.XLOOKUP(LEFT(SUBSTITUTE(G1340,"[{",""),FIND(",",SUBSTITUTE(G1340,"[{",""))-1),Sheet2!B:B,Sheet2!C:C)&amp;"+"&amp;SUBSTITUTE(RIGHT(G1340,LEN(G1340)-FIND(",",G1340)),"}]","")/100&amp;"%")</f>
        <v>伤害减免+2.4%</v>
      </c>
      <c r="L1340" s="83" t="str">
        <f ca="1">IF(MOD(COUNTIF($Q$11:Q1339,Q1339),5)=0,OFFSET(装备属性!$G$1083,1+INT(COUNTA($Q$11:Q1339)/5),0),L1339)</f>
        <v>全员抗揍Ⅲ</v>
      </c>
      <c r="M1340" s="89" t="str">
        <f ca="1">IF(MOD(COUNTIF($Q$11:Q1339,Q1339),5)=0,OFFSET(装备属性!$H$1083,1+INT(COUNTA($Q$11:Q1339)/5),0),M1339)</f>
        <v>dmg_red_rate</v>
      </c>
      <c r="N1340" s="76">
        <f ca="1">IF(MOD(COUNTIF($Q$11:Q1339,Q1339),5)=0,OFFSET(装备属性!$K$1083,1+INT(COUNTA($Q$11:Q1339)/5),0),N1339)</f>
        <v>0.02</v>
      </c>
      <c r="O1340" s="76">
        <f ca="1">IF(MOD(COUNTIF($Q$11:Q1339,Q1339),5)=0,OFFSET(装备属性!$L$1083,1+INT(COUNTA($Q$11:Q1339)/5),0),O1339)</f>
        <v>0.024</v>
      </c>
      <c r="Q1340" s="89" t="str">
        <f ca="1">IF(MOD(COUNTIF($Q$11:Q1339,Q1339),5)=0,OFFSET(装备属性!$M$1083,1+INT(COUNTA($Q$11:Q1339)/5),0),Q1339)</f>
        <v>通用属性</v>
      </c>
      <c r="R1340" s="83">
        <f ca="1">IF(MOD(COUNTIF($Q$11:Q1339,Q1339),5)=0,10000*SUBSTITUTE(SUBSTITUTE(OFFSET(装备属性!$F$1083,1+INT(COUNTA($Q$11:Q1339)/5),0),"[",""),"]","")+_xlfn.XLOOKUP(C1340,$M$3:$M$7,$N$3:$N$7)*100,R1339)</f>
        <v>50600</v>
      </c>
    </row>
    <row r="1341" customHeight="1" spans="1:18">
      <c r="A1341" s="78">
        <f ca="1" t="shared" si="60"/>
        <v>50601</v>
      </c>
      <c r="B1341" s="82">
        <f ca="1">IFERROR(R1341+COUNTIFS($R$11:$R1341,R1341),"")</f>
        <v>50606</v>
      </c>
      <c r="C1341" s="83" t="str">
        <f ca="1">IF(MOD(COUNTIF($Q$11:Q1340,Q1340),5)=0,OFFSET(装备属性!$D$1083,1+INT(COUNTA($Q$11:Q1340)/5),0),C1340)</f>
        <v>红</v>
      </c>
      <c r="D1341" s="82">
        <f t="shared" si="62"/>
        <v>3000</v>
      </c>
      <c r="F1341" s="82">
        <f ca="1" t="shared" si="61"/>
        <v>50601</v>
      </c>
      <c r="G1341" s="78" t="str">
        <f ca="1">IF(AND(LEFT("[{"&amp;M1341&amp;","&amp;CEILING(N1341*10000+(O1341-N1341)/4*(COUNTIF($F$11:F1341,F1341)-1)*10000,10)&amp;"}]",7)="[{equip",MID("[{"&amp;M1341&amp;","&amp;CEILING(N1341*10000+(O1341-N1341)/4*(COUNTIF($F$11:F1341,F1341)-1)*10000,10)&amp;"}]",8,1)&lt;&gt;"_"),"[{"&amp;M1341&amp;","&amp;1&amp;"}]","[{"&amp;M1341&amp;","&amp;CEILING(N1341*10000+(O1341-N1341)/4*(COUNTIF($F$11:F1341,F1341)-1)*10000,10)&amp;"}]")</f>
        <v>[{all_class_dmg,520}]</v>
      </c>
      <c r="H1341" s="82" t="s">
        <v>563</v>
      </c>
      <c r="J1341" s="78">
        <f ca="1">IF(MOD(COUNTIF($Q$11:Q1340,Q1340),5)=0,OFFSET(装备属性!$P$1083,1+INT(COUNTA($Q$11:Q1340)/5),0),J1340)</f>
        <v>2</v>
      </c>
      <c r="K1341" s="83" t="str">
        <f ca="1">IF(RIGHT(G1341,13)="rune_slot,1}]",_xlfn.XLOOKUP(LEFT(SUBSTITUTE(G1341,"[{",""),FIND(",",SUBSTITUTE(G1341,"[{",""))-1),Sheet2!B:B,Sheet2!C:C)&amp;"+"&amp;1,_xlfn.XLOOKUP(LEFT(SUBSTITUTE(G1341,"[{",""),FIND(",",SUBSTITUTE(G1341,"[{",""))-1),Sheet2!B:B,Sheet2!C:C)&amp;"+"&amp;SUBSTITUTE(RIGHT(G1341,LEN(G1341)-FIND(",",G1341)),"}]","")/100&amp;"%")</f>
        <v>上阵五个不同职业增伤+5.2%</v>
      </c>
      <c r="L1341" s="83" t="str">
        <f ca="1">IF(MOD(COUNTIF($Q$11:Q1340,Q1340),5)=0,OFFSET(装备属性!$G$1083,1+INT(COUNTA($Q$11:Q1340)/5),0),L1340)</f>
        <v>全员出力Ⅲ</v>
      </c>
      <c r="M1341" s="89" t="str">
        <f ca="1">IF(MOD(COUNTIF($Q$11:Q1340,Q1340),5)=0,OFFSET(装备属性!$H$1083,1+INT(COUNTA($Q$11:Q1340)/5),0),M1340)</f>
        <v>all_class_dmg</v>
      </c>
      <c r="N1341" s="76">
        <f ca="1">IF(MOD(COUNTIF($Q$11:Q1340,Q1340),5)=0,OFFSET(装备属性!$K$1083,1+INT(COUNTA($Q$11:Q1340)/5),0),N1340)</f>
        <v>0.052</v>
      </c>
      <c r="O1341" s="76">
        <f ca="1">IF(MOD(COUNTIF($Q$11:Q1340,Q1340),5)=0,OFFSET(装备属性!$L$1083,1+INT(COUNTA($Q$11:Q1340)/5),0),O1340)</f>
        <v>0.058</v>
      </c>
      <c r="Q1341" s="89" t="str">
        <f ca="1">IF(MOD(COUNTIF($Q$11:Q1340,Q1340),5)=0,OFFSET(装备属性!$M$1083,1+INT(COUNTA($Q$11:Q1340)/5),0),Q1340)</f>
        <v>通用属性</v>
      </c>
      <c r="R1341" s="83">
        <f ca="1">IF(MOD(COUNTIF($Q$11:Q1340,Q1340),5)=0,10000*SUBSTITUTE(SUBSTITUTE(OFFSET(装备属性!$F$1083,1+INT(COUNTA($Q$11:Q1340)/5),0),"[",""),"]","")+_xlfn.XLOOKUP(C1341,$M$3:$M$7,$N$3:$N$7)*100,R1340)</f>
        <v>50600</v>
      </c>
    </row>
    <row r="1342" customHeight="1" spans="1:18">
      <c r="A1342" s="78">
        <f ca="1" t="shared" si="60"/>
        <v>50601</v>
      </c>
      <c r="B1342" s="82">
        <f ca="1">IFERROR(R1342+COUNTIFS($R$11:$R1342,R1342),"")</f>
        <v>50607</v>
      </c>
      <c r="C1342" s="83" t="str">
        <f ca="1">IF(MOD(COUNTIF($Q$11:Q1341,Q1341),5)=0,OFFSET(装备属性!$D$1083,1+INT(COUNTA($Q$11:Q1341)/5),0),C1341)</f>
        <v>红</v>
      </c>
      <c r="D1342" s="82">
        <f t="shared" si="62"/>
        <v>2500</v>
      </c>
      <c r="F1342" s="82">
        <f ca="1" t="shared" si="61"/>
        <v>50601</v>
      </c>
      <c r="G1342" s="78" t="str">
        <f ca="1">IF(AND(LEFT("[{"&amp;M1342&amp;","&amp;CEILING(N1342*10000+(O1342-N1342)/4*(COUNTIF($F$11:F1342,F1342)-1)*10000,10)&amp;"}]",7)="[{equip",MID("[{"&amp;M1342&amp;","&amp;CEILING(N1342*10000+(O1342-N1342)/4*(COUNTIF($F$11:F1342,F1342)-1)*10000,10)&amp;"}]",8,1)&lt;&gt;"_"),"[{"&amp;M1342&amp;","&amp;1&amp;"}]","[{"&amp;M1342&amp;","&amp;CEILING(N1342*10000+(O1342-N1342)/4*(COUNTIF($F$11:F1342,F1342)-1)*10000,10)&amp;"}]")</f>
        <v>[{all_class_dmg,540}]</v>
      </c>
      <c r="H1342" s="82" t="s">
        <v>563</v>
      </c>
      <c r="J1342" s="78">
        <f ca="1">IF(MOD(COUNTIF($Q$11:Q1341,Q1341),5)=0,OFFSET(装备属性!$P$1083,1+INT(COUNTA($Q$11:Q1341)/5),0),J1341)</f>
        <v>2</v>
      </c>
      <c r="K1342" s="83" t="str">
        <f ca="1">IF(RIGHT(G1342,13)="rune_slot,1}]",_xlfn.XLOOKUP(LEFT(SUBSTITUTE(G1342,"[{",""),FIND(",",SUBSTITUTE(G1342,"[{",""))-1),Sheet2!B:B,Sheet2!C:C)&amp;"+"&amp;1,_xlfn.XLOOKUP(LEFT(SUBSTITUTE(G1342,"[{",""),FIND(",",SUBSTITUTE(G1342,"[{",""))-1),Sheet2!B:B,Sheet2!C:C)&amp;"+"&amp;SUBSTITUTE(RIGHT(G1342,LEN(G1342)-FIND(",",G1342)),"}]","")/100&amp;"%")</f>
        <v>上阵五个不同职业增伤+5.4%</v>
      </c>
      <c r="L1342" s="83" t="str">
        <f ca="1">IF(MOD(COUNTIF($Q$11:Q1341,Q1341),5)=0,OFFSET(装备属性!$G$1083,1+INT(COUNTA($Q$11:Q1341)/5),0),L1341)</f>
        <v>全员出力Ⅲ</v>
      </c>
      <c r="M1342" s="89" t="str">
        <f ca="1">IF(MOD(COUNTIF($Q$11:Q1341,Q1341),5)=0,OFFSET(装备属性!$H$1083,1+INT(COUNTA($Q$11:Q1341)/5),0),M1341)</f>
        <v>all_class_dmg</v>
      </c>
      <c r="N1342" s="76">
        <f ca="1">IF(MOD(COUNTIF($Q$11:Q1341,Q1341),5)=0,OFFSET(装备属性!$K$1083,1+INT(COUNTA($Q$11:Q1341)/5),0),N1341)</f>
        <v>0.052</v>
      </c>
      <c r="O1342" s="76">
        <f ca="1">IF(MOD(COUNTIF($Q$11:Q1341,Q1341),5)=0,OFFSET(装备属性!$L$1083,1+INT(COUNTA($Q$11:Q1341)/5),0),O1341)</f>
        <v>0.058</v>
      </c>
      <c r="Q1342" s="89" t="str">
        <f ca="1">IF(MOD(COUNTIF($Q$11:Q1341,Q1341),5)=0,OFFSET(装备属性!$M$1083,1+INT(COUNTA($Q$11:Q1341)/5),0),Q1341)</f>
        <v>通用属性</v>
      </c>
      <c r="R1342" s="83">
        <f ca="1">IF(MOD(COUNTIF($Q$11:Q1341,Q1341),5)=0,10000*SUBSTITUTE(SUBSTITUTE(OFFSET(装备属性!$F$1083,1+INT(COUNTA($Q$11:Q1341)/5),0),"[",""),"]","")+_xlfn.XLOOKUP(C1342,$M$3:$M$7,$N$3:$N$7)*100,R1341)</f>
        <v>50600</v>
      </c>
    </row>
    <row r="1343" customHeight="1" spans="1:18">
      <c r="A1343" s="78">
        <f ca="1" t="shared" si="60"/>
        <v>50601</v>
      </c>
      <c r="B1343" s="82">
        <f ca="1">IFERROR(R1343+COUNTIFS($R$11:$R1343,R1343),"")</f>
        <v>50608</v>
      </c>
      <c r="C1343" s="83" t="str">
        <f ca="1">IF(MOD(COUNTIF($Q$11:Q1342,Q1342),5)=0,OFFSET(装备属性!$D$1083,1+INT(COUNTA($Q$11:Q1342)/5),0),C1342)</f>
        <v>红</v>
      </c>
      <c r="D1343" s="82">
        <f t="shared" si="62"/>
        <v>2000</v>
      </c>
      <c r="F1343" s="82">
        <f ca="1" t="shared" si="61"/>
        <v>50601</v>
      </c>
      <c r="G1343" s="78" t="str">
        <f ca="1">IF(AND(LEFT("[{"&amp;M1343&amp;","&amp;CEILING(N1343*10000+(O1343-N1343)/4*(COUNTIF($F$11:F1343,F1343)-1)*10000,10)&amp;"}]",7)="[{equip",MID("[{"&amp;M1343&amp;","&amp;CEILING(N1343*10000+(O1343-N1343)/4*(COUNTIF($F$11:F1343,F1343)-1)*10000,10)&amp;"}]",8,1)&lt;&gt;"_"),"[{"&amp;M1343&amp;","&amp;1&amp;"}]","[{"&amp;M1343&amp;","&amp;CEILING(N1343*10000+(O1343-N1343)/4*(COUNTIF($F$11:F1343,F1343)-1)*10000,10)&amp;"}]")</f>
        <v>[{all_class_dmg,550}]</v>
      </c>
      <c r="H1343" s="82" t="s">
        <v>563</v>
      </c>
      <c r="J1343" s="78">
        <f ca="1">IF(MOD(COUNTIF($Q$11:Q1342,Q1342),5)=0,OFFSET(装备属性!$P$1083,1+INT(COUNTA($Q$11:Q1342)/5),0),J1342)</f>
        <v>2</v>
      </c>
      <c r="K1343" s="83" t="str">
        <f ca="1">IF(RIGHT(G1343,13)="rune_slot,1}]",_xlfn.XLOOKUP(LEFT(SUBSTITUTE(G1343,"[{",""),FIND(",",SUBSTITUTE(G1343,"[{",""))-1),Sheet2!B:B,Sheet2!C:C)&amp;"+"&amp;1,_xlfn.XLOOKUP(LEFT(SUBSTITUTE(G1343,"[{",""),FIND(",",SUBSTITUTE(G1343,"[{",""))-1),Sheet2!B:B,Sheet2!C:C)&amp;"+"&amp;SUBSTITUTE(RIGHT(G1343,LEN(G1343)-FIND(",",G1343)),"}]","")/100&amp;"%")</f>
        <v>上阵五个不同职业增伤+5.5%</v>
      </c>
      <c r="L1343" s="83" t="str">
        <f ca="1">IF(MOD(COUNTIF($Q$11:Q1342,Q1342),5)=0,OFFSET(装备属性!$G$1083,1+INT(COUNTA($Q$11:Q1342)/5),0),L1342)</f>
        <v>全员出力Ⅲ</v>
      </c>
      <c r="M1343" s="89" t="str">
        <f ca="1">IF(MOD(COUNTIF($Q$11:Q1342,Q1342),5)=0,OFFSET(装备属性!$H$1083,1+INT(COUNTA($Q$11:Q1342)/5),0),M1342)</f>
        <v>all_class_dmg</v>
      </c>
      <c r="N1343" s="76">
        <f ca="1">IF(MOD(COUNTIF($Q$11:Q1342,Q1342),5)=0,OFFSET(装备属性!$K$1083,1+INT(COUNTA($Q$11:Q1342)/5),0),N1342)</f>
        <v>0.052</v>
      </c>
      <c r="O1343" s="76">
        <f ca="1">IF(MOD(COUNTIF($Q$11:Q1342,Q1342),5)=0,OFFSET(装备属性!$L$1083,1+INT(COUNTA($Q$11:Q1342)/5),0),O1342)</f>
        <v>0.058</v>
      </c>
      <c r="Q1343" s="89" t="str">
        <f ca="1">IF(MOD(COUNTIF($Q$11:Q1342,Q1342),5)=0,OFFSET(装备属性!$M$1083,1+INT(COUNTA($Q$11:Q1342)/5),0),Q1342)</f>
        <v>通用属性</v>
      </c>
      <c r="R1343" s="83">
        <f ca="1">IF(MOD(COUNTIF($Q$11:Q1342,Q1342),5)=0,10000*SUBSTITUTE(SUBSTITUTE(OFFSET(装备属性!$F$1083,1+INT(COUNTA($Q$11:Q1342)/5),0),"[",""),"]","")+_xlfn.XLOOKUP(C1343,$M$3:$M$7,$N$3:$N$7)*100,R1342)</f>
        <v>50600</v>
      </c>
    </row>
    <row r="1344" customHeight="1" spans="1:18">
      <c r="A1344" s="78">
        <f ca="1" t="shared" si="60"/>
        <v>50601</v>
      </c>
      <c r="B1344" s="82">
        <f ca="1">IFERROR(R1344+COUNTIFS($R$11:$R1344,R1344),"")</f>
        <v>50609</v>
      </c>
      <c r="C1344" s="83" t="str">
        <f ca="1">IF(MOD(COUNTIF($Q$11:Q1343,Q1343),5)=0,OFFSET(装备属性!$D$1083,1+INT(COUNTA($Q$11:Q1343)/5),0),C1343)</f>
        <v>红</v>
      </c>
      <c r="D1344" s="82">
        <f t="shared" si="62"/>
        <v>1500</v>
      </c>
      <c r="F1344" s="82">
        <f ca="1" t="shared" si="61"/>
        <v>50601</v>
      </c>
      <c r="G1344" s="78" t="str">
        <f ca="1">IF(AND(LEFT("[{"&amp;M1344&amp;","&amp;CEILING(N1344*10000+(O1344-N1344)/4*(COUNTIF($F$11:F1344,F1344)-1)*10000,10)&amp;"}]",7)="[{equip",MID("[{"&amp;M1344&amp;","&amp;CEILING(N1344*10000+(O1344-N1344)/4*(COUNTIF($F$11:F1344,F1344)-1)*10000,10)&amp;"}]",8,1)&lt;&gt;"_"),"[{"&amp;M1344&amp;","&amp;1&amp;"}]","[{"&amp;M1344&amp;","&amp;CEILING(N1344*10000+(O1344-N1344)/4*(COUNTIF($F$11:F1344,F1344)-1)*10000,10)&amp;"}]")</f>
        <v>[{all_class_dmg,570}]</v>
      </c>
      <c r="H1344" s="82" t="s">
        <v>563</v>
      </c>
      <c r="J1344" s="78">
        <f ca="1">IF(MOD(COUNTIF($Q$11:Q1343,Q1343),5)=0,OFFSET(装备属性!$P$1083,1+INT(COUNTA($Q$11:Q1343)/5),0),J1343)</f>
        <v>2</v>
      </c>
      <c r="K1344" s="83" t="str">
        <f ca="1">IF(RIGHT(G1344,13)="rune_slot,1}]",_xlfn.XLOOKUP(LEFT(SUBSTITUTE(G1344,"[{",""),FIND(",",SUBSTITUTE(G1344,"[{",""))-1),Sheet2!B:B,Sheet2!C:C)&amp;"+"&amp;1,_xlfn.XLOOKUP(LEFT(SUBSTITUTE(G1344,"[{",""),FIND(",",SUBSTITUTE(G1344,"[{",""))-1),Sheet2!B:B,Sheet2!C:C)&amp;"+"&amp;SUBSTITUTE(RIGHT(G1344,LEN(G1344)-FIND(",",G1344)),"}]","")/100&amp;"%")</f>
        <v>上阵五个不同职业增伤+5.7%</v>
      </c>
      <c r="L1344" s="83" t="str">
        <f ca="1">IF(MOD(COUNTIF($Q$11:Q1343,Q1343),5)=0,OFFSET(装备属性!$G$1083,1+INT(COUNTA($Q$11:Q1343)/5),0),L1343)</f>
        <v>全员出力Ⅲ</v>
      </c>
      <c r="M1344" s="89" t="str">
        <f ca="1">IF(MOD(COUNTIF($Q$11:Q1343,Q1343),5)=0,OFFSET(装备属性!$H$1083,1+INT(COUNTA($Q$11:Q1343)/5),0),M1343)</f>
        <v>all_class_dmg</v>
      </c>
      <c r="N1344" s="76">
        <f ca="1">IF(MOD(COUNTIF($Q$11:Q1343,Q1343),5)=0,OFFSET(装备属性!$K$1083,1+INT(COUNTA($Q$11:Q1343)/5),0),N1343)</f>
        <v>0.052</v>
      </c>
      <c r="O1344" s="76">
        <f ca="1">IF(MOD(COUNTIF($Q$11:Q1343,Q1343),5)=0,OFFSET(装备属性!$L$1083,1+INT(COUNTA($Q$11:Q1343)/5),0),O1343)</f>
        <v>0.058</v>
      </c>
      <c r="Q1344" s="89" t="str">
        <f ca="1">IF(MOD(COUNTIF($Q$11:Q1343,Q1343),5)=0,OFFSET(装备属性!$M$1083,1+INT(COUNTA($Q$11:Q1343)/5),0),Q1343)</f>
        <v>通用属性</v>
      </c>
      <c r="R1344" s="83">
        <f ca="1">IF(MOD(COUNTIF($Q$11:Q1343,Q1343),5)=0,10000*SUBSTITUTE(SUBSTITUTE(OFFSET(装备属性!$F$1083,1+INT(COUNTA($Q$11:Q1343)/5),0),"[",""),"]","")+_xlfn.XLOOKUP(C1344,$M$3:$M$7,$N$3:$N$7)*100,R1343)</f>
        <v>50600</v>
      </c>
    </row>
    <row r="1345" customHeight="1" spans="1:18">
      <c r="A1345" s="78">
        <f ca="1" t="shared" si="60"/>
        <v>50601</v>
      </c>
      <c r="B1345" s="82">
        <f ca="1">IFERROR(R1345+COUNTIFS($R$11:$R1345,R1345),"")</f>
        <v>50610</v>
      </c>
      <c r="C1345" s="83" t="str">
        <f ca="1">IF(MOD(COUNTIF($Q$11:Q1344,Q1344),5)=0,OFFSET(装备属性!$D$1083,1+INT(COUNTA($Q$11:Q1344)/5),0),C1344)</f>
        <v>红</v>
      </c>
      <c r="D1345" s="82">
        <f t="shared" si="62"/>
        <v>1000</v>
      </c>
      <c r="F1345" s="82">
        <f ca="1" t="shared" si="61"/>
        <v>50601</v>
      </c>
      <c r="G1345" s="78" t="str">
        <f ca="1">IF(AND(LEFT("[{"&amp;M1345&amp;","&amp;CEILING(N1345*10000+(O1345-N1345)/4*(COUNTIF($F$11:F1345,F1345)-1)*10000,10)&amp;"}]",7)="[{equip",MID("[{"&amp;M1345&amp;","&amp;CEILING(N1345*10000+(O1345-N1345)/4*(COUNTIF($F$11:F1345,F1345)-1)*10000,10)&amp;"}]",8,1)&lt;&gt;"_"),"[{"&amp;M1345&amp;","&amp;1&amp;"}]","[{"&amp;M1345&amp;","&amp;CEILING(N1345*10000+(O1345-N1345)/4*(COUNTIF($F$11:F1345,F1345)-1)*10000,10)&amp;"}]")</f>
        <v>[{all_class_dmg,580}]</v>
      </c>
      <c r="H1345" s="82" t="s">
        <v>563</v>
      </c>
      <c r="J1345" s="78">
        <f ca="1">IF(MOD(COUNTIF($Q$11:Q1344,Q1344),5)=0,OFFSET(装备属性!$P$1083,1+INT(COUNTA($Q$11:Q1344)/5),0),J1344)</f>
        <v>2</v>
      </c>
      <c r="K1345" s="83" t="str">
        <f ca="1">IF(RIGHT(G1345,13)="rune_slot,1}]",_xlfn.XLOOKUP(LEFT(SUBSTITUTE(G1345,"[{",""),FIND(",",SUBSTITUTE(G1345,"[{",""))-1),Sheet2!B:B,Sheet2!C:C)&amp;"+"&amp;1,_xlfn.XLOOKUP(LEFT(SUBSTITUTE(G1345,"[{",""),FIND(",",SUBSTITUTE(G1345,"[{",""))-1),Sheet2!B:B,Sheet2!C:C)&amp;"+"&amp;SUBSTITUTE(RIGHT(G1345,LEN(G1345)-FIND(",",G1345)),"}]","")/100&amp;"%")</f>
        <v>上阵五个不同职业增伤+5.8%</v>
      </c>
      <c r="L1345" s="83" t="str">
        <f ca="1">IF(MOD(COUNTIF($Q$11:Q1344,Q1344),5)=0,OFFSET(装备属性!$G$1083,1+INT(COUNTA($Q$11:Q1344)/5),0),L1344)</f>
        <v>全员出力Ⅲ</v>
      </c>
      <c r="M1345" s="89" t="str">
        <f ca="1">IF(MOD(COUNTIF($Q$11:Q1344,Q1344),5)=0,OFFSET(装备属性!$H$1083,1+INT(COUNTA($Q$11:Q1344)/5),0),M1344)</f>
        <v>all_class_dmg</v>
      </c>
      <c r="N1345" s="76">
        <f ca="1">IF(MOD(COUNTIF($Q$11:Q1344,Q1344),5)=0,OFFSET(装备属性!$K$1083,1+INT(COUNTA($Q$11:Q1344)/5),0),N1344)</f>
        <v>0.052</v>
      </c>
      <c r="O1345" s="76">
        <f ca="1">IF(MOD(COUNTIF($Q$11:Q1344,Q1344),5)=0,OFFSET(装备属性!$L$1083,1+INT(COUNTA($Q$11:Q1344)/5),0),O1344)</f>
        <v>0.058</v>
      </c>
      <c r="Q1345" s="89" t="str">
        <f ca="1">IF(MOD(COUNTIF($Q$11:Q1344,Q1344),5)=0,OFFSET(装备属性!$M$1083,1+INT(COUNTA($Q$11:Q1344)/5),0),Q1344)</f>
        <v>通用属性</v>
      </c>
      <c r="R1345" s="83">
        <f ca="1">IF(MOD(COUNTIF($Q$11:Q1344,Q1344),5)=0,10000*SUBSTITUTE(SUBSTITUTE(OFFSET(装备属性!$F$1083,1+INT(COUNTA($Q$11:Q1344)/5),0),"[",""),"]","")+_xlfn.XLOOKUP(C1345,$M$3:$M$7,$N$3:$N$7)*100,R1344)</f>
        <v>50600</v>
      </c>
    </row>
    <row r="1346" customHeight="1" spans="1:18">
      <c r="A1346" s="78" t="str">
        <f ca="1" t="shared" si="60"/>
        <v/>
      </c>
      <c r="B1346" s="82" t="str">
        <f ca="1">IFERROR(R1346+COUNTIFS($R$11:$R1346,R1346),"")</f>
        <v/>
      </c>
      <c r="C1346" s="83">
        <f ca="1">IF(MOD(COUNTIF($Q$11:Q1345,Q1345),5)=0,OFFSET(装备属性!$D$1083,1+INT(COUNTA($Q$11:Q1345)/5),0),C1345)</f>
        <v>0</v>
      </c>
      <c r="D1346" s="82">
        <f t="shared" si="62"/>
        <v>3000</v>
      </c>
      <c r="F1346" s="82" t="str">
        <f ca="1" t="shared" si="61"/>
        <v/>
      </c>
      <c r="G1346" s="78" t="str">
        <f ca="1">IF(AND(LEFT("[{"&amp;M1346&amp;","&amp;CEILING(N1346*10000+(O1346-N1346)/4*(COUNTIF($F$11:F1346,F1346)-1)*10000,10)&amp;"}]",7)="[{equip",MID("[{"&amp;M1346&amp;","&amp;CEILING(N1346*10000+(O1346-N1346)/4*(COUNTIF($F$11:F1346,F1346)-1)*10000,10)&amp;"}]",8,1)&lt;&gt;"_"),"[{"&amp;M1346&amp;","&amp;1&amp;"}]","[{"&amp;M1346&amp;","&amp;CEILING(N1346*10000+(O1346-N1346)/4*(COUNTIF($F$11:F1346,F1346)-1)*10000,10)&amp;"}]")</f>
        <v>[{exp_boost,2000}]</v>
      </c>
      <c r="H1346" s="82" t="s">
        <v>563</v>
      </c>
      <c r="J1346" s="78">
        <f ca="1">IF(MOD(COUNTIF($Q$11:Q1345,Q1345),5)=0,OFFSET(装备属性!$P$1083,1+INT(COUNTA($Q$11:Q1345)/5),0),J1345)</f>
        <v>9</v>
      </c>
      <c r="K1346" s="83" t="str">
        <f ca="1">IF(RIGHT(G1346,13)="rune_slot,1}]",_xlfn.XLOOKUP(LEFT(SUBSTITUTE(G1346,"[{",""),FIND(",",SUBSTITUTE(G1346,"[{",""))-1),Sheet2!B:B,Sheet2!C:C)&amp;"+"&amp;1,_xlfn.XLOOKUP(LEFT(SUBSTITUTE(G1346,"[{",""),FIND(",",SUBSTITUTE(G1346,"[{",""))-1),Sheet2!B:B,Sheet2!C:C)&amp;"+"&amp;SUBSTITUTE(RIGHT(G1346,LEN(G1346)-FIND(",",G1346)),"}]","")/100&amp;"%")</f>
        <v>经验加成+20%</v>
      </c>
      <c r="L1346" s="83" t="str">
        <f ca="1">IF(MOD(COUNTIF($Q$11:Q1345,Q1345),5)=0,OFFSET(装备属性!$G$1083,1+INT(COUNTA($Q$11:Q1345)/5),0),L1345)</f>
        <v>涨见识</v>
      </c>
      <c r="M1346" s="89" t="str">
        <f ca="1">IF(MOD(COUNTIF($Q$11:Q1345,Q1345),5)=0,OFFSET(装备属性!$H$1083,1+INT(COUNTA($Q$11:Q1345)/5),0),M1345)</f>
        <v>exp_boost</v>
      </c>
      <c r="N1346" s="76">
        <f ca="1">IF(MOD(COUNTIF($Q$11:Q1345,Q1345),5)=0,OFFSET(装备属性!$K$1083,1+INT(COUNTA($Q$11:Q1345)/5),0),N1345)</f>
        <v>0.2</v>
      </c>
      <c r="O1346" s="76">
        <f ca="1">IF(MOD(COUNTIF($Q$11:Q1345,Q1345),5)=0,OFFSET(装备属性!$L$1083,1+INT(COUNTA($Q$11:Q1345)/5),0),O1345)</f>
        <v>0.2</v>
      </c>
      <c r="Q1346" s="89" t="str">
        <f ca="1">IF(MOD(COUNTIF($Q$11:Q1345,Q1345),5)=0,OFFSET(装备属性!$M$1083,1+INT(COUNTA($Q$11:Q1345)/5),0),Q1345)</f>
        <v>稀有词条</v>
      </c>
      <c r="R1346" s="83" t="e">
        <f ca="1">IF(MOD(COUNTIF($Q$11:Q1345,Q1345),5)=0,10000*SUBSTITUTE(SUBSTITUTE(OFFSET(装备属性!$F$1083,1+INT(COUNTA($Q$11:Q1345)/5),0),"[",""),"]","")+_xlfn.XLOOKUP(C1346,$M$3:$M$7,$N$3:$N$7)*100,R1345)</f>
        <v>#N/A</v>
      </c>
    </row>
    <row r="1347" customHeight="1" spans="1:18">
      <c r="A1347" s="78" t="str">
        <f ca="1" t="shared" si="60"/>
        <v/>
      </c>
      <c r="B1347" s="82" t="str">
        <f ca="1">IFERROR(R1347+COUNTIFS($R$11:$R1347,R1347),"")</f>
        <v/>
      </c>
      <c r="C1347" s="83">
        <f ca="1">IF(MOD(COUNTIF($Q$11:Q1346,Q1346),5)=0,OFFSET(装备属性!$D$1083,1+INT(COUNTA($Q$11:Q1346)/5),0),C1346)</f>
        <v>0</v>
      </c>
      <c r="D1347" s="82">
        <f t="shared" si="62"/>
        <v>2500</v>
      </c>
      <c r="F1347" s="82" t="str">
        <f ca="1" t="shared" si="61"/>
        <v/>
      </c>
      <c r="G1347" s="78" t="str">
        <f ca="1">IF(AND(LEFT("[{"&amp;M1347&amp;","&amp;CEILING(N1347*10000+(O1347-N1347)/4*(COUNTIF($F$11:F1347,F1347)-1)*10000,10)&amp;"}]",7)="[{equip",MID("[{"&amp;M1347&amp;","&amp;CEILING(N1347*10000+(O1347-N1347)/4*(COUNTIF($F$11:F1347,F1347)-1)*10000,10)&amp;"}]",8,1)&lt;&gt;"_"),"[{"&amp;M1347&amp;","&amp;1&amp;"}]","[{"&amp;M1347&amp;","&amp;CEILING(N1347*10000+(O1347-N1347)/4*(COUNTIF($F$11:F1347,F1347)-1)*10000,10)&amp;"}]")</f>
        <v>[{exp_boost,2000}]</v>
      </c>
      <c r="H1347" s="82" t="s">
        <v>563</v>
      </c>
      <c r="J1347" s="78">
        <f ca="1">IF(MOD(COUNTIF($Q$11:Q1346,Q1346),5)=0,OFFSET(装备属性!$P$1083,1+INT(COUNTA($Q$11:Q1346)/5),0),J1346)</f>
        <v>9</v>
      </c>
      <c r="K1347" s="83" t="str">
        <f ca="1">IF(RIGHT(G1347,13)="rune_slot,1}]",_xlfn.XLOOKUP(LEFT(SUBSTITUTE(G1347,"[{",""),FIND(",",SUBSTITUTE(G1347,"[{",""))-1),Sheet2!B:B,Sheet2!C:C)&amp;"+"&amp;1,_xlfn.XLOOKUP(LEFT(SUBSTITUTE(G1347,"[{",""),FIND(",",SUBSTITUTE(G1347,"[{",""))-1),Sheet2!B:B,Sheet2!C:C)&amp;"+"&amp;SUBSTITUTE(RIGHT(G1347,LEN(G1347)-FIND(",",G1347)),"}]","")/100&amp;"%")</f>
        <v>经验加成+20%</v>
      </c>
      <c r="L1347" s="83" t="str">
        <f ca="1">IF(MOD(COUNTIF($Q$11:Q1346,Q1346),5)=0,OFFSET(装备属性!$G$1083,1+INT(COUNTA($Q$11:Q1346)/5),0),L1346)</f>
        <v>涨见识</v>
      </c>
      <c r="M1347" s="89" t="str">
        <f ca="1">IF(MOD(COUNTIF($Q$11:Q1346,Q1346),5)=0,OFFSET(装备属性!$H$1083,1+INT(COUNTA($Q$11:Q1346)/5),0),M1346)</f>
        <v>exp_boost</v>
      </c>
      <c r="N1347" s="76">
        <f ca="1">IF(MOD(COUNTIF($Q$11:Q1346,Q1346),5)=0,OFFSET(装备属性!$K$1083,1+INT(COUNTA($Q$11:Q1346)/5),0),N1346)</f>
        <v>0.2</v>
      </c>
      <c r="O1347" s="76">
        <f ca="1">IF(MOD(COUNTIF($Q$11:Q1346,Q1346),5)=0,OFFSET(装备属性!$L$1083,1+INT(COUNTA($Q$11:Q1346)/5),0),O1346)</f>
        <v>0.2</v>
      </c>
      <c r="Q1347" s="89" t="str">
        <f ca="1">IF(MOD(COUNTIF($Q$11:Q1346,Q1346),5)=0,OFFSET(装备属性!$M$1083,1+INT(COUNTA($Q$11:Q1346)/5),0),Q1346)</f>
        <v>稀有词条</v>
      </c>
      <c r="R1347" s="83" t="e">
        <f ca="1">IF(MOD(COUNTIF($Q$11:Q1346,Q1346),5)=0,10000*SUBSTITUTE(SUBSTITUTE(OFFSET(装备属性!$F$1083,1+INT(COUNTA($Q$11:Q1346)/5),0),"[",""),"]","")+_xlfn.XLOOKUP(C1347,$M$3:$M$7,$N$3:$N$7)*100,R1346)</f>
        <v>#N/A</v>
      </c>
    </row>
    <row r="1348" customHeight="1" spans="1:18">
      <c r="A1348" s="78" t="str">
        <f ca="1" t="shared" si="60"/>
        <v/>
      </c>
      <c r="B1348" s="82" t="str">
        <f ca="1">IFERROR(R1348+COUNTIFS($R$11:$R1348,R1348),"")</f>
        <v/>
      </c>
      <c r="C1348" s="83">
        <f ca="1">IF(MOD(COUNTIF($Q$11:Q1347,Q1347),5)=0,OFFSET(装备属性!$D$1083,1+INT(COUNTA($Q$11:Q1347)/5),0),C1347)</f>
        <v>0</v>
      </c>
      <c r="D1348" s="82">
        <f t="shared" si="62"/>
        <v>2000</v>
      </c>
      <c r="F1348" s="82" t="str">
        <f ca="1" t="shared" si="61"/>
        <v/>
      </c>
      <c r="G1348" s="78" t="str">
        <f ca="1">IF(AND(LEFT("[{"&amp;M1348&amp;","&amp;CEILING(N1348*10000+(O1348-N1348)/4*(COUNTIF($F$11:F1348,F1348)-1)*10000,10)&amp;"}]",7)="[{equip",MID("[{"&amp;M1348&amp;","&amp;CEILING(N1348*10000+(O1348-N1348)/4*(COUNTIF($F$11:F1348,F1348)-1)*10000,10)&amp;"}]",8,1)&lt;&gt;"_"),"[{"&amp;M1348&amp;","&amp;1&amp;"}]","[{"&amp;M1348&amp;","&amp;CEILING(N1348*10000+(O1348-N1348)/4*(COUNTIF($F$11:F1348,F1348)-1)*10000,10)&amp;"}]")</f>
        <v>[{exp_boost,2000}]</v>
      </c>
      <c r="H1348" s="82" t="s">
        <v>563</v>
      </c>
      <c r="J1348" s="78">
        <f ca="1">IF(MOD(COUNTIF($Q$11:Q1347,Q1347),5)=0,OFFSET(装备属性!$P$1083,1+INT(COUNTA($Q$11:Q1347)/5),0),J1347)</f>
        <v>9</v>
      </c>
      <c r="K1348" s="83" t="str">
        <f ca="1">IF(RIGHT(G1348,13)="rune_slot,1}]",_xlfn.XLOOKUP(LEFT(SUBSTITUTE(G1348,"[{",""),FIND(",",SUBSTITUTE(G1348,"[{",""))-1),Sheet2!B:B,Sheet2!C:C)&amp;"+"&amp;1,_xlfn.XLOOKUP(LEFT(SUBSTITUTE(G1348,"[{",""),FIND(",",SUBSTITUTE(G1348,"[{",""))-1),Sheet2!B:B,Sheet2!C:C)&amp;"+"&amp;SUBSTITUTE(RIGHT(G1348,LEN(G1348)-FIND(",",G1348)),"}]","")/100&amp;"%")</f>
        <v>经验加成+20%</v>
      </c>
      <c r="L1348" s="83" t="str">
        <f ca="1">IF(MOD(COUNTIF($Q$11:Q1347,Q1347),5)=0,OFFSET(装备属性!$G$1083,1+INT(COUNTA($Q$11:Q1347)/5),0),L1347)</f>
        <v>涨见识</v>
      </c>
      <c r="M1348" s="89" t="str">
        <f ca="1">IF(MOD(COUNTIF($Q$11:Q1347,Q1347),5)=0,OFFSET(装备属性!$H$1083,1+INT(COUNTA($Q$11:Q1347)/5),0),M1347)</f>
        <v>exp_boost</v>
      </c>
      <c r="N1348" s="76">
        <f ca="1">IF(MOD(COUNTIF($Q$11:Q1347,Q1347),5)=0,OFFSET(装备属性!$K$1083,1+INT(COUNTA($Q$11:Q1347)/5),0),N1347)</f>
        <v>0.2</v>
      </c>
      <c r="O1348" s="76">
        <f ca="1">IF(MOD(COUNTIF($Q$11:Q1347,Q1347),5)=0,OFFSET(装备属性!$L$1083,1+INT(COUNTA($Q$11:Q1347)/5),0),O1347)</f>
        <v>0.2</v>
      </c>
      <c r="Q1348" s="89" t="str">
        <f ca="1">IF(MOD(COUNTIF($Q$11:Q1347,Q1347),5)=0,OFFSET(装备属性!$M$1083,1+INT(COUNTA($Q$11:Q1347)/5),0),Q1347)</f>
        <v>稀有词条</v>
      </c>
      <c r="R1348" s="83" t="e">
        <f ca="1">IF(MOD(COUNTIF($Q$11:Q1347,Q1347),5)=0,10000*SUBSTITUTE(SUBSTITUTE(OFFSET(装备属性!$F$1083,1+INT(COUNTA($Q$11:Q1347)/5),0),"[",""),"]","")+_xlfn.XLOOKUP(C1348,$M$3:$M$7,$N$3:$N$7)*100,R1347)</f>
        <v>#N/A</v>
      </c>
    </row>
    <row r="1349" customHeight="1" spans="1:18">
      <c r="A1349" s="78" t="str">
        <f ca="1" t="shared" si="60"/>
        <v/>
      </c>
      <c r="B1349" s="82" t="str">
        <f ca="1">IFERROR(R1349+COUNTIFS($R$11:$R1349,R1349),"")</f>
        <v/>
      </c>
      <c r="C1349" s="83">
        <f ca="1">IF(MOD(COUNTIF($Q$11:Q1348,Q1348),5)=0,OFFSET(装备属性!$D$1083,1+INT(COUNTA($Q$11:Q1348)/5),0),C1348)</f>
        <v>0</v>
      </c>
      <c r="D1349" s="82">
        <f t="shared" si="62"/>
        <v>1500</v>
      </c>
      <c r="F1349" s="82" t="str">
        <f ca="1" t="shared" si="61"/>
        <v/>
      </c>
      <c r="G1349" s="78" t="str">
        <f ca="1">IF(AND(LEFT("[{"&amp;M1349&amp;","&amp;CEILING(N1349*10000+(O1349-N1349)/4*(COUNTIF($F$11:F1349,F1349)-1)*10000,10)&amp;"}]",7)="[{equip",MID("[{"&amp;M1349&amp;","&amp;CEILING(N1349*10000+(O1349-N1349)/4*(COUNTIF($F$11:F1349,F1349)-1)*10000,10)&amp;"}]",8,1)&lt;&gt;"_"),"[{"&amp;M1349&amp;","&amp;1&amp;"}]","[{"&amp;M1349&amp;","&amp;CEILING(N1349*10000+(O1349-N1349)/4*(COUNTIF($F$11:F1349,F1349)-1)*10000,10)&amp;"}]")</f>
        <v>[{exp_boost,2000}]</v>
      </c>
      <c r="H1349" s="82" t="s">
        <v>563</v>
      </c>
      <c r="J1349" s="78">
        <f ca="1">IF(MOD(COUNTIF($Q$11:Q1348,Q1348),5)=0,OFFSET(装备属性!$P$1083,1+INT(COUNTA($Q$11:Q1348)/5),0),J1348)</f>
        <v>9</v>
      </c>
      <c r="K1349" s="83" t="str">
        <f ca="1">IF(RIGHT(G1349,13)="rune_slot,1}]",_xlfn.XLOOKUP(LEFT(SUBSTITUTE(G1349,"[{",""),FIND(",",SUBSTITUTE(G1349,"[{",""))-1),Sheet2!B:B,Sheet2!C:C)&amp;"+"&amp;1,_xlfn.XLOOKUP(LEFT(SUBSTITUTE(G1349,"[{",""),FIND(",",SUBSTITUTE(G1349,"[{",""))-1),Sheet2!B:B,Sheet2!C:C)&amp;"+"&amp;SUBSTITUTE(RIGHT(G1349,LEN(G1349)-FIND(",",G1349)),"}]","")/100&amp;"%")</f>
        <v>经验加成+20%</v>
      </c>
      <c r="L1349" s="83" t="str">
        <f ca="1">IF(MOD(COUNTIF($Q$11:Q1348,Q1348),5)=0,OFFSET(装备属性!$G$1083,1+INT(COUNTA($Q$11:Q1348)/5),0),L1348)</f>
        <v>涨见识</v>
      </c>
      <c r="M1349" s="89" t="str">
        <f ca="1">IF(MOD(COUNTIF($Q$11:Q1348,Q1348),5)=0,OFFSET(装备属性!$H$1083,1+INT(COUNTA($Q$11:Q1348)/5),0),M1348)</f>
        <v>exp_boost</v>
      </c>
      <c r="N1349" s="76">
        <f ca="1">IF(MOD(COUNTIF($Q$11:Q1348,Q1348),5)=0,OFFSET(装备属性!$K$1083,1+INT(COUNTA($Q$11:Q1348)/5),0),N1348)</f>
        <v>0.2</v>
      </c>
      <c r="O1349" s="76">
        <f ca="1">IF(MOD(COUNTIF($Q$11:Q1348,Q1348),5)=0,OFFSET(装备属性!$L$1083,1+INT(COUNTA($Q$11:Q1348)/5),0),O1348)</f>
        <v>0.2</v>
      </c>
      <c r="Q1349" s="89" t="str">
        <f ca="1">IF(MOD(COUNTIF($Q$11:Q1348,Q1348),5)=0,OFFSET(装备属性!$M$1083,1+INT(COUNTA($Q$11:Q1348)/5),0),Q1348)</f>
        <v>稀有词条</v>
      </c>
      <c r="R1349" s="83" t="e">
        <f ca="1">IF(MOD(COUNTIF($Q$11:Q1348,Q1348),5)=0,10000*SUBSTITUTE(SUBSTITUTE(OFFSET(装备属性!$F$1083,1+INT(COUNTA($Q$11:Q1348)/5),0),"[",""),"]","")+_xlfn.XLOOKUP(C1349,$M$3:$M$7,$N$3:$N$7)*100,R1348)</f>
        <v>#N/A</v>
      </c>
    </row>
    <row r="1350" customHeight="1" spans="1:18">
      <c r="A1350" s="78" t="str">
        <f ca="1" t="shared" si="60"/>
        <v/>
      </c>
      <c r="B1350" s="82" t="str">
        <f ca="1">IFERROR(R1350+COUNTIFS($R$11:$R1350,R1350),"")</f>
        <v/>
      </c>
      <c r="C1350" s="83">
        <f ca="1">IF(MOD(COUNTIF($Q$11:Q1349,Q1349),5)=0,OFFSET(装备属性!$D$1083,1+INT(COUNTA($Q$11:Q1349)/5),0),C1349)</f>
        <v>0</v>
      </c>
      <c r="D1350" s="82">
        <f t="shared" si="62"/>
        <v>1000</v>
      </c>
      <c r="F1350" s="82" t="str">
        <f ca="1" t="shared" si="61"/>
        <v/>
      </c>
      <c r="G1350" s="78" t="str">
        <f ca="1">IF(AND(LEFT("[{"&amp;M1350&amp;","&amp;CEILING(N1350*10000+(O1350-N1350)/4*(COUNTIF($F$11:F1350,F1350)-1)*10000,10)&amp;"}]",7)="[{equip",MID("[{"&amp;M1350&amp;","&amp;CEILING(N1350*10000+(O1350-N1350)/4*(COUNTIF($F$11:F1350,F1350)-1)*10000,10)&amp;"}]",8,1)&lt;&gt;"_"),"[{"&amp;M1350&amp;","&amp;1&amp;"}]","[{"&amp;M1350&amp;","&amp;CEILING(N1350*10000+(O1350-N1350)/4*(COUNTIF($F$11:F1350,F1350)-1)*10000,10)&amp;"}]")</f>
        <v>[{exp_boost,2000}]</v>
      </c>
      <c r="H1350" s="82" t="s">
        <v>563</v>
      </c>
      <c r="J1350" s="78">
        <f ca="1">IF(MOD(COUNTIF($Q$11:Q1349,Q1349),5)=0,OFFSET(装备属性!$P$1083,1+INT(COUNTA($Q$11:Q1349)/5),0),J1349)</f>
        <v>9</v>
      </c>
      <c r="K1350" s="83" t="str">
        <f ca="1">IF(RIGHT(G1350,13)="rune_slot,1}]",_xlfn.XLOOKUP(LEFT(SUBSTITUTE(G1350,"[{",""),FIND(",",SUBSTITUTE(G1350,"[{",""))-1),Sheet2!B:B,Sheet2!C:C)&amp;"+"&amp;1,_xlfn.XLOOKUP(LEFT(SUBSTITUTE(G1350,"[{",""),FIND(",",SUBSTITUTE(G1350,"[{",""))-1),Sheet2!B:B,Sheet2!C:C)&amp;"+"&amp;SUBSTITUTE(RIGHT(G1350,LEN(G1350)-FIND(",",G1350)),"}]","")/100&amp;"%")</f>
        <v>经验加成+20%</v>
      </c>
      <c r="L1350" s="83" t="str">
        <f ca="1">IF(MOD(COUNTIF($Q$11:Q1349,Q1349),5)=0,OFFSET(装备属性!$G$1083,1+INT(COUNTA($Q$11:Q1349)/5),0),L1349)</f>
        <v>涨见识</v>
      </c>
      <c r="M1350" s="89" t="str">
        <f ca="1">IF(MOD(COUNTIF($Q$11:Q1349,Q1349),5)=0,OFFSET(装备属性!$H$1083,1+INT(COUNTA($Q$11:Q1349)/5),0),M1349)</f>
        <v>exp_boost</v>
      </c>
      <c r="N1350" s="76">
        <f ca="1">IF(MOD(COUNTIF($Q$11:Q1349,Q1349),5)=0,OFFSET(装备属性!$K$1083,1+INT(COUNTA($Q$11:Q1349)/5),0),N1349)</f>
        <v>0.2</v>
      </c>
      <c r="O1350" s="76">
        <f ca="1">IF(MOD(COUNTIF($Q$11:Q1349,Q1349),5)=0,OFFSET(装备属性!$L$1083,1+INT(COUNTA($Q$11:Q1349)/5),0),O1349)</f>
        <v>0.2</v>
      </c>
      <c r="Q1350" s="89" t="str">
        <f ca="1">IF(MOD(COUNTIF($Q$11:Q1349,Q1349),5)=0,OFFSET(装备属性!$M$1083,1+INT(COUNTA($Q$11:Q1349)/5),0),Q1349)</f>
        <v>稀有词条</v>
      </c>
      <c r="R1350" s="83" t="e">
        <f ca="1">IF(MOD(COUNTIF($Q$11:Q1349,Q1349),5)=0,10000*SUBSTITUTE(SUBSTITUTE(OFFSET(装备属性!$F$1083,1+INT(COUNTA($Q$11:Q1349)/5),0),"[",""),"]","")+_xlfn.XLOOKUP(C1350,$M$3:$M$7,$N$3:$N$7)*100,R1349)</f>
        <v>#N/A</v>
      </c>
    </row>
    <row r="1351" customHeight="1" spans="1:18">
      <c r="A1351" s="78" t="str">
        <f ca="1" t="shared" si="60"/>
        <v/>
      </c>
      <c r="B1351" s="82" t="str">
        <f ca="1">IFERROR(R1351+COUNTIFS($R$11:$R1351,R1351),"")</f>
        <v/>
      </c>
      <c r="C1351" s="83">
        <f ca="1">IF(MOD(COUNTIF($Q$11:Q1350,Q1350),5)=0,OFFSET(装备属性!$D$1083,1+INT(COUNTA($Q$11:Q1350)/5),0),C1350)</f>
        <v>0</v>
      </c>
      <c r="D1351" s="82">
        <f t="shared" si="62"/>
        <v>3000</v>
      </c>
      <c r="F1351" s="82" t="str">
        <f ca="1" t="shared" si="61"/>
        <v/>
      </c>
      <c r="G1351" s="78" t="str">
        <f ca="1">IF(AND(LEFT("[{"&amp;M1351&amp;","&amp;CEILING(N1351*10000+(O1351-N1351)/4*(COUNTIF($F$11:F1351,F1351)-1)*10000,10)&amp;"}]",7)="[{equip",MID("[{"&amp;M1351&amp;","&amp;CEILING(N1351*10000+(O1351-N1351)/4*(COUNTIF($F$11:F1351,F1351)-1)*10000,10)&amp;"}]",8,1)&lt;&gt;"_"),"[{"&amp;M1351&amp;","&amp;1&amp;"}]","[{"&amp;M1351&amp;","&amp;CEILING(N1351*10000+(O1351-N1351)/4*(COUNTIF($F$11:F1351,F1351)-1)*10000,10)&amp;"}]")</f>
        <v>[{equip_base_attr,2500}]</v>
      </c>
      <c r="H1351" s="82" t="s">
        <v>563</v>
      </c>
      <c r="J1351" s="78">
        <f ca="1">IF(MOD(COUNTIF($Q$11:Q1350,Q1350),5)=0,OFFSET(装备属性!$P$1083,1+INT(COUNTA($Q$11:Q1350)/5),0),J1350)</f>
        <v>7</v>
      </c>
      <c r="K1351" s="83" t="str">
        <f ca="1">IF(RIGHT(G1351,13)="rune_slot,1}]",_xlfn.XLOOKUP(LEFT(SUBSTITUTE(G1351,"[{",""),FIND(",",SUBSTITUTE(G1351,"[{",""))-1),Sheet2!B:B,Sheet2!C:C)&amp;"+"&amp;1,_xlfn.XLOOKUP(LEFT(SUBSTITUTE(G1351,"[{",""),FIND(",",SUBSTITUTE(G1351,"[{",""))-1),Sheet2!B:B,Sheet2!C:C)&amp;"+"&amp;SUBSTITUTE(RIGHT(G1351,LEN(G1351)-FIND(",",G1351)),"}]","")/100&amp;"%")</f>
        <v>装备基础属性加成+25%</v>
      </c>
      <c r="L1351" s="83" t="str">
        <f ca="1">IF(MOD(COUNTIF($Q$11:Q1350,Q1350),5)=0,OFFSET(装备属性!$G$1083,1+INT(COUNTA($Q$11:Q1350)/5),0),L1350)</f>
        <v>厚底子</v>
      </c>
      <c r="M1351" s="89" t="str">
        <f ca="1">IF(MOD(COUNTIF($Q$11:Q1350,Q1350),5)=0,OFFSET(装备属性!$H$1083,1+INT(COUNTA($Q$11:Q1350)/5),0),M1350)</f>
        <v>equip_base_attr</v>
      </c>
      <c r="N1351" s="76">
        <f ca="1">IF(MOD(COUNTIF($Q$11:Q1350,Q1350),5)=0,OFFSET(装备属性!$K$1083,1+INT(COUNTA($Q$11:Q1350)/5),0),N1350)</f>
        <v>0.25</v>
      </c>
      <c r="O1351" s="76">
        <f ca="1">IF(MOD(COUNTIF($Q$11:Q1350,Q1350),5)=0,OFFSET(装备属性!$L$1083,1+INT(COUNTA($Q$11:Q1350)/5),0),O1350)</f>
        <v>0.25</v>
      </c>
      <c r="Q1351" s="89" t="str">
        <f ca="1">IF(MOD(COUNTIF($Q$11:Q1350,Q1350),5)=0,OFFSET(装备属性!$M$1083,1+INT(COUNTA($Q$11:Q1350)/5),0),Q1350)</f>
        <v>稀有词条</v>
      </c>
      <c r="R1351" s="83" t="e">
        <f ca="1">IF(MOD(COUNTIF($Q$11:Q1350,Q1350),5)=0,10000*SUBSTITUTE(SUBSTITUTE(OFFSET(装备属性!$F$1083,1+INT(COUNTA($Q$11:Q1350)/5),0),"[",""),"]","")+_xlfn.XLOOKUP(C1351,$M$3:$M$7,$N$3:$N$7)*100,R1350)</f>
        <v>#N/A</v>
      </c>
    </row>
    <row r="1352" customHeight="1" spans="1:18">
      <c r="A1352" s="78" t="str">
        <f ca="1" t="shared" si="60"/>
        <v/>
      </c>
      <c r="B1352" s="82" t="str">
        <f ca="1">IFERROR(R1352+COUNTIFS($R$11:$R1352,R1352),"")</f>
        <v/>
      </c>
      <c r="C1352" s="83">
        <f ca="1">IF(MOD(COUNTIF($Q$11:Q1351,Q1351),5)=0,OFFSET(装备属性!$D$1083,1+INT(COUNTA($Q$11:Q1351)/5),0),C1351)</f>
        <v>0</v>
      </c>
      <c r="D1352" s="82">
        <f t="shared" si="62"/>
        <v>2500</v>
      </c>
      <c r="F1352" s="82" t="str">
        <f ca="1" t="shared" si="61"/>
        <v/>
      </c>
      <c r="G1352" s="78" t="str">
        <f ca="1">IF(AND(LEFT("[{"&amp;M1352&amp;","&amp;CEILING(N1352*10000+(O1352-N1352)/4*(COUNTIF($F$11:F1352,F1352)-1)*10000,10)&amp;"}]",7)="[{equip",MID("[{"&amp;M1352&amp;","&amp;CEILING(N1352*10000+(O1352-N1352)/4*(COUNTIF($F$11:F1352,F1352)-1)*10000,10)&amp;"}]",8,1)&lt;&gt;"_"),"[{"&amp;M1352&amp;","&amp;1&amp;"}]","[{"&amp;M1352&amp;","&amp;CEILING(N1352*10000+(O1352-N1352)/4*(COUNTIF($F$11:F1352,F1352)-1)*10000,10)&amp;"}]")</f>
        <v>[{equip_base_attr,2500}]</v>
      </c>
      <c r="H1352" s="82" t="s">
        <v>563</v>
      </c>
      <c r="J1352" s="78">
        <f ca="1">IF(MOD(COUNTIF($Q$11:Q1351,Q1351),5)=0,OFFSET(装备属性!$P$1083,1+INT(COUNTA($Q$11:Q1351)/5),0),J1351)</f>
        <v>7</v>
      </c>
      <c r="K1352" s="83" t="str">
        <f ca="1">IF(RIGHT(G1352,13)="rune_slot,1}]",_xlfn.XLOOKUP(LEFT(SUBSTITUTE(G1352,"[{",""),FIND(",",SUBSTITUTE(G1352,"[{",""))-1),Sheet2!B:B,Sheet2!C:C)&amp;"+"&amp;1,_xlfn.XLOOKUP(LEFT(SUBSTITUTE(G1352,"[{",""),FIND(",",SUBSTITUTE(G1352,"[{",""))-1),Sheet2!B:B,Sheet2!C:C)&amp;"+"&amp;SUBSTITUTE(RIGHT(G1352,LEN(G1352)-FIND(",",G1352)),"}]","")/100&amp;"%")</f>
        <v>装备基础属性加成+25%</v>
      </c>
      <c r="L1352" s="83" t="str">
        <f ca="1">IF(MOD(COUNTIF($Q$11:Q1351,Q1351),5)=0,OFFSET(装备属性!$G$1083,1+INT(COUNTA($Q$11:Q1351)/5),0),L1351)</f>
        <v>厚底子</v>
      </c>
      <c r="M1352" s="89" t="str">
        <f ca="1">IF(MOD(COUNTIF($Q$11:Q1351,Q1351),5)=0,OFFSET(装备属性!$H$1083,1+INT(COUNTA($Q$11:Q1351)/5),0),M1351)</f>
        <v>equip_base_attr</v>
      </c>
      <c r="N1352" s="76">
        <f ca="1">IF(MOD(COUNTIF($Q$11:Q1351,Q1351),5)=0,OFFSET(装备属性!$K$1083,1+INT(COUNTA($Q$11:Q1351)/5),0),N1351)</f>
        <v>0.25</v>
      </c>
      <c r="O1352" s="76">
        <f ca="1">IF(MOD(COUNTIF($Q$11:Q1351,Q1351),5)=0,OFFSET(装备属性!$L$1083,1+INT(COUNTA($Q$11:Q1351)/5),0),O1351)</f>
        <v>0.25</v>
      </c>
      <c r="Q1352" s="89" t="str">
        <f ca="1">IF(MOD(COUNTIF($Q$11:Q1351,Q1351),5)=0,OFFSET(装备属性!$M$1083,1+INT(COUNTA($Q$11:Q1351)/5),0),Q1351)</f>
        <v>稀有词条</v>
      </c>
      <c r="R1352" s="83" t="e">
        <f ca="1">IF(MOD(COUNTIF($Q$11:Q1351,Q1351),5)=0,10000*SUBSTITUTE(SUBSTITUTE(OFFSET(装备属性!$F$1083,1+INT(COUNTA($Q$11:Q1351)/5),0),"[",""),"]","")+_xlfn.XLOOKUP(C1352,$M$3:$M$7,$N$3:$N$7)*100,R1351)</f>
        <v>#N/A</v>
      </c>
    </row>
    <row r="1353" customHeight="1" spans="1:18">
      <c r="A1353" s="78" t="str">
        <f ca="1" t="shared" si="60"/>
        <v/>
      </c>
      <c r="B1353" s="82" t="str">
        <f ca="1">IFERROR(R1353+COUNTIFS($R$11:$R1353,R1353),"")</f>
        <v/>
      </c>
      <c r="C1353" s="83">
        <f ca="1">IF(MOD(COUNTIF($Q$11:Q1352,Q1352),5)=0,OFFSET(装备属性!$D$1083,1+INT(COUNTA($Q$11:Q1352)/5),0),C1352)</f>
        <v>0</v>
      </c>
      <c r="D1353" s="82">
        <f t="shared" si="62"/>
        <v>2000</v>
      </c>
      <c r="F1353" s="82" t="str">
        <f ca="1" t="shared" si="61"/>
        <v/>
      </c>
      <c r="G1353" s="78" t="str">
        <f ca="1">IF(AND(LEFT("[{"&amp;M1353&amp;","&amp;CEILING(N1353*10000+(O1353-N1353)/4*(COUNTIF($F$11:F1353,F1353)-1)*10000,10)&amp;"}]",7)="[{equip",MID("[{"&amp;M1353&amp;","&amp;CEILING(N1353*10000+(O1353-N1353)/4*(COUNTIF($F$11:F1353,F1353)-1)*10000,10)&amp;"}]",8,1)&lt;&gt;"_"),"[{"&amp;M1353&amp;","&amp;1&amp;"}]","[{"&amp;M1353&amp;","&amp;CEILING(N1353*10000+(O1353-N1353)/4*(COUNTIF($F$11:F1353,F1353)-1)*10000,10)&amp;"}]")</f>
        <v>[{equip_base_attr,2500}]</v>
      </c>
      <c r="H1353" s="82" t="s">
        <v>563</v>
      </c>
      <c r="J1353" s="78">
        <f ca="1">IF(MOD(COUNTIF($Q$11:Q1352,Q1352),5)=0,OFFSET(装备属性!$P$1083,1+INT(COUNTA($Q$11:Q1352)/5),0),J1352)</f>
        <v>7</v>
      </c>
      <c r="K1353" s="83" t="str">
        <f ca="1">IF(RIGHT(G1353,13)="rune_slot,1}]",_xlfn.XLOOKUP(LEFT(SUBSTITUTE(G1353,"[{",""),FIND(",",SUBSTITUTE(G1353,"[{",""))-1),Sheet2!B:B,Sheet2!C:C)&amp;"+"&amp;1,_xlfn.XLOOKUP(LEFT(SUBSTITUTE(G1353,"[{",""),FIND(",",SUBSTITUTE(G1353,"[{",""))-1),Sheet2!B:B,Sheet2!C:C)&amp;"+"&amp;SUBSTITUTE(RIGHT(G1353,LEN(G1353)-FIND(",",G1353)),"}]","")/100&amp;"%")</f>
        <v>装备基础属性加成+25%</v>
      </c>
      <c r="L1353" s="83" t="str">
        <f ca="1">IF(MOD(COUNTIF($Q$11:Q1352,Q1352),5)=0,OFFSET(装备属性!$G$1083,1+INT(COUNTA($Q$11:Q1352)/5),0),L1352)</f>
        <v>厚底子</v>
      </c>
      <c r="M1353" s="89" t="str">
        <f ca="1">IF(MOD(COUNTIF($Q$11:Q1352,Q1352),5)=0,OFFSET(装备属性!$H$1083,1+INT(COUNTA($Q$11:Q1352)/5),0),M1352)</f>
        <v>equip_base_attr</v>
      </c>
      <c r="N1353" s="76">
        <f ca="1">IF(MOD(COUNTIF($Q$11:Q1352,Q1352),5)=0,OFFSET(装备属性!$K$1083,1+INT(COUNTA($Q$11:Q1352)/5),0),N1352)</f>
        <v>0.25</v>
      </c>
      <c r="O1353" s="76">
        <f ca="1">IF(MOD(COUNTIF($Q$11:Q1352,Q1352),5)=0,OFFSET(装备属性!$L$1083,1+INT(COUNTA($Q$11:Q1352)/5),0),O1352)</f>
        <v>0.25</v>
      </c>
      <c r="Q1353" s="89" t="str">
        <f ca="1">IF(MOD(COUNTIF($Q$11:Q1352,Q1352),5)=0,OFFSET(装备属性!$M$1083,1+INT(COUNTA($Q$11:Q1352)/5),0),Q1352)</f>
        <v>稀有词条</v>
      </c>
      <c r="R1353" s="83" t="e">
        <f ca="1">IF(MOD(COUNTIF($Q$11:Q1352,Q1352),5)=0,10000*SUBSTITUTE(SUBSTITUTE(OFFSET(装备属性!$F$1083,1+INT(COUNTA($Q$11:Q1352)/5),0),"[",""),"]","")+_xlfn.XLOOKUP(C1353,$M$3:$M$7,$N$3:$N$7)*100,R1352)</f>
        <v>#N/A</v>
      </c>
    </row>
    <row r="1354" customHeight="1" spans="1:18">
      <c r="A1354" s="78" t="str">
        <f ca="1" t="shared" si="60"/>
        <v/>
      </c>
      <c r="B1354" s="82" t="str">
        <f ca="1">IFERROR(R1354+COUNTIFS($R$11:$R1354,R1354),"")</f>
        <v/>
      </c>
      <c r="C1354" s="83">
        <f ca="1">IF(MOD(COUNTIF($Q$11:Q1353,Q1353),5)=0,OFFSET(装备属性!$D$1083,1+INT(COUNTA($Q$11:Q1353)/5),0),C1353)</f>
        <v>0</v>
      </c>
      <c r="D1354" s="82">
        <f t="shared" si="62"/>
        <v>1500</v>
      </c>
      <c r="F1354" s="82" t="str">
        <f ca="1" t="shared" si="61"/>
        <v/>
      </c>
      <c r="G1354" s="78" t="str">
        <f ca="1">IF(AND(LEFT("[{"&amp;M1354&amp;","&amp;CEILING(N1354*10000+(O1354-N1354)/4*(COUNTIF($F$11:F1354,F1354)-1)*10000,10)&amp;"}]",7)="[{equip",MID("[{"&amp;M1354&amp;","&amp;CEILING(N1354*10000+(O1354-N1354)/4*(COUNTIF($F$11:F1354,F1354)-1)*10000,10)&amp;"}]",8,1)&lt;&gt;"_"),"[{"&amp;M1354&amp;","&amp;1&amp;"}]","[{"&amp;M1354&amp;","&amp;CEILING(N1354*10000+(O1354-N1354)/4*(COUNTIF($F$11:F1354,F1354)-1)*10000,10)&amp;"}]")</f>
        <v>[{equip_base_attr,2500}]</v>
      </c>
      <c r="H1354" s="82" t="s">
        <v>563</v>
      </c>
      <c r="J1354" s="78">
        <f ca="1">IF(MOD(COUNTIF($Q$11:Q1353,Q1353),5)=0,OFFSET(装备属性!$P$1083,1+INT(COUNTA($Q$11:Q1353)/5),0),J1353)</f>
        <v>7</v>
      </c>
      <c r="K1354" s="83" t="str">
        <f ca="1">IF(RIGHT(G1354,13)="rune_slot,1}]",_xlfn.XLOOKUP(LEFT(SUBSTITUTE(G1354,"[{",""),FIND(",",SUBSTITUTE(G1354,"[{",""))-1),Sheet2!B:B,Sheet2!C:C)&amp;"+"&amp;1,_xlfn.XLOOKUP(LEFT(SUBSTITUTE(G1354,"[{",""),FIND(",",SUBSTITUTE(G1354,"[{",""))-1),Sheet2!B:B,Sheet2!C:C)&amp;"+"&amp;SUBSTITUTE(RIGHT(G1354,LEN(G1354)-FIND(",",G1354)),"}]","")/100&amp;"%")</f>
        <v>装备基础属性加成+25%</v>
      </c>
      <c r="L1354" s="83" t="str">
        <f ca="1">IF(MOD(COUNTIF($Q$11:Q1353,Q1353),5)=0,OFFSET(装备属性!$G$1083,1+INT(COUNTA($Q$11:Q1353)/5),0),L1353)</f>
        <v>厚底子</v>
      </c>
      <c r="M1354" s="89" t="str">
        <f ca="1">IF(MOD(COUNTIF($Q$11:Q1353,Q1353),5)=0,OFFSET(装备属性!$H$1083,1+INT(COUNTA($Q$11:Q1353)/5),0),M1353)</f>
        <v>equip_base_attr</v>
      </c>
      <c r="N1354" s="76">
        <f ca="1">IF(MOD(COUNTIF($Q$11:Q1353,Q1353),5)=0,OFFSET(装备属性!$K$1083,1+INT(COUNTA($Q$11:Q1353)/5),0),N1353)</f>
        <v>0.25</v>
      </c>
      <c r="O1354" s="76">
        <f ca="1">IF(MOD(COUNTIF($Q$11:Q1353,Q1353),5)=0,OFFSET(装备属性!$L$1083,1+INT(COUNTA($Q$11:Q1353)/5),0),O1353)</f>
        <v>0.25</v>
      </c>
      <c r="Q1354" s="89" t="str">
        <f ca="1">IF(MOD(COUNTIF($Q$11:Q1353,Q1353),5)=0,OFFSET(装备属性!$M$1083,1+INT(COUNTA($Q$11:Q1353)/5),0),Q1353)</f>
        <v>稀有词条</v>
      </c>
      <c r="R1354" s="83" t="e">
        <f ca="1">IF(MOD(COUNTIF($Q$11:Q1353,Q1353),5)=0,10000*SUBSTITUTE(SUBSTITUTE(OFFSET(装备属性!$F$1083,1+INT(COUNTA($Q$11:Q1353)/5),0),"[",""),"]","")+_xlfn.XLOOKUP(C1354,$M$3:$M$7,$N$3:$N$7)*100,R1353)</f>
        <v>#N/A</v>
      </c>
    </row>
    <row r="1355" customHeight="1" spans="1:18">
      <c r="A1355" s="78" t="str">
        <f ca="1" t="shared" si="60"/>
        <v/>
      </c>
      <c r="B1355" s="82" t="str">
        <f ca="1">IFERROR(R1355+COUNTIFS($R$11:$R1355,R1355),"")</f>
        <v/>
      </c>
      <c r="C1355" s="83">
        <f ca="1">IF(MOD(COUNTIF($Q$11:Q1354,Q1354),5)=0,OFFSET(装备属性!$D$1083,1+INT(COUNTA($Q$11:Q1354)/5),0),C1354)</f>
        <v>0</v>
      </c>
      <c r="D1355" s="82">
        <f t="shared" si="62"/>
        <v>1000</v>
      </c>
      <c r="F1355" s="82" t="str">
        <f ca="1" t="shared" si="61"/>
        <v/>
      </c>
      <c r="G1355" s="78" t="str">
        <f ca="1">IF(AND(LEFT("[{"&amp;M1355&amp;","&amp;CEILING(N1355*10000+(O1355-N1355)/4*(COUNTIF($F$11:F1355,F1355)-1)*10000,10)&amp;"}]",7)="[{equip",MID("[{"&amp;M1355&amp;","&amp;CEILING(N1355*10000+(O1355-N1355)/4*(COUNTIF($F$11:F1355,F1355)-1)*10000,10)&amp;"}]",8,1)&lt;&gt;"_"),"[{"&amp;M1355&amp;","&amp;1&amp;"}]","[{"&amp;M1355&amp;","&amp;CEILING(N1355*10000+(O1355-N1355)/4*(COUNTIF($F$11:F1355,F1355)-1)*10000,10)&amp;"}]")</f>
        <v>[{equip_base_attr,2500}]</v>
      </c>
      <c r="H1355" s="82" t="s">
        <v>563</v>
      </c>
      <c r="J1355" s="78">
        <f ca="1">IF(MOD(COUNTIF($Q$11:Q1354,Q1354),5)=0,OFFSET(装备属性!$P$1083,1+INT(COUNTA($Q$11:Q1354)/5),0),J1354)</f>
        <v>7</v>
      </c>
      <c r="K1355" s="83" t="str">
        <f ca="1">IF(RIGHT(G1355,13)="rune_slot,1}]",_xlfn.XLOOKUP(LEFT(SUBSTITUTE(G1355,"[{",""),FIND(",",SUBSTITUTE(G1355,"[{",""))-1),Sheet2!B:B,Sheet2!C:C)&amp;"+"&amp;1,_xlfn.XLOOKUP(LEFT(SUBSTITUTE(G1355,"[{",""),FIND(",",SUBSTITUTE(G1355,"[{",""))-1),Sheet2!B:B,Sheet2!C:C)&amp;"+"&amp;SUBSTITUTE(RIGHT(G1355,LEN(G1355)-FIND(",",G1355)),"}]","")/100&amp;"%")</f>
        <v>装备基础属性加成+25%</v>
      </c>
      <c r="L1355" s="83" t="str">
        <f ca="1">IF(MOD(COUNTIF($Q$11:Q1354,Q1354),5)=0,OFFSET(装备属性!$G$1083,1+INT(COUNTA($Q$11:Q1354)/5),0),L1354)</f>
        <v>厚底子</v>
      </c>
      <c r="M1355" s="89" t="str">
        <f ca="1">IF(MOD(COUNTIF($Q$11:Q1354,Q1354),5)=0,OFFSET(装备属性!$H$1083,1+INT(COUNTA($Q$11:Q1354)/5),0),M1354)</f>
        <v>equip_base_attr</v>
      </c>
      <c r="N1355" s="76">
        <f ca="1">IF(MOD(COUNTIF($Q$11:Q1354,Q1354),5)=0,OFFSET(装备属性!$K$1083,1+INT(COUNTA($Q$11:Q1354)/5),0),N1354)</f>
        <v>0.25</v>
      </c>
      <c r="O1355" s="76">
        <f ca="1">IF(MOD(COUNTIF($Q$11:Q1354,Q1354),5)=0,OFFSET(装备属性!$L$1083,1+INT(COUNTA($Q$11:Q1354)/5),0),O1354)</f>
        <v>0.25</v>
      </c>
      <c r="Q1355" s="89" t="str">
        <f ca="1">IF(MOD(COUNTIF($Q$11:Q1354,Q1354),5)=0,OFFSET(装备属性!$M$1083,1+INT(COUNTA($Q$11:Q1354)/5),0),Q1354)</f>
        <v>稀有词条</v>
      </c>
      <c r="R1355" s="83" t="e">
        <f ca="1">IF(MOD(COUNTIF($Q$11:Q1354,Q1354),5)=0,10000*SUBSTITUTE(SUBSTITUTE(OFFSET(装备属性!$F$1083,1+INT(COUNTA($Q$11:Q1354)/5),0),"[",""),"]","")+_xlfn.XLOOKUP(C1355,$M$3:$M$7,$N$3:$N$7)*100,R1354)</f>
        <v>#N/A</v>
      </c>
    </row>
    <row r="1356" customHeight="1" spans="1:18">
      <c r="A1356" s="78" t="str">
        <f ca="1" t="shared" ref="A1356:A1419" si="63">IFERROR(R1356+IF(Q1356="通用属性",1,IF(Q1356="玩法类",2,IF(Q1356="稀有词条",3,0))),"")</f>
        <v/>
      </c>
      <c r="B1356" s="82" t="str">
        <f ca="1">IFERROR(R1356+COUNTIFS($R$11:$R1356,R1356),"")</f>
        <v/>
      </c>
      <c r="C1356" s="83">
        <f ca="1">IF(MOD(COUNTIF($Q$11:Q1355,Q1355),5)=0,OFFSET(装备属性!$D$1083,1+INT(COUNTA($Q$11:Q1355)/5),0),C1355)</f>
        <v>0</v>
      </c>
      <c r="D1356" s="82">
        <f t="shared" si="62"/>
        <v>3000</v>
      </c>
      <c r="F1356" s="82" t="str">
        <f ca="1" t="shared" ref="F1356:F1419" si="64">IFERROR(R1356+INT((B1356-R1356-1)/5),"")</f>
        <v/>
      </c>
      <c r="G1356" s="78" t="str">
        <f ca="1">IF(AND(LEFT("[{"&amp;M1356&amp;","&amp;CEILING(N1356*10000+(O1356-N1356)/4*(COUNTIF($F$11:F1356,F1356)-1)*10000,10)&amp;"}]",7)="[{equip",MID("[{"&amp;M1356&amp;","&amp;CEILING(N1356*10000+(O1356-N1356)/4*(COUNTIF($F$11:F1356,F1356)-1)*10000,10)&amp;"}]",8,1)&lt;&gt;"_"),"[{"&amp;M1356&amp;","&amp;1&amp;"}]","[{"&amp;M1356&amp;","&amp;CEILING(N1356*10000+(O1356-N1356)/4*(COUNTIF($F$11:F1356,F1356)-1)*10000,10)&amp;"}]")</f>
        <v>[{equip_extra_attr,5000}]</v>
      </c>
      <c r="H1356" s="82" t="s">
        <v>563</v>
      </c>
      <c r="J1356" s="78">
        <f ca="1">IF(MOD(COUNTIF($Q$11:Q1355,Q1355),5)=0,OFFSET(装备属性!$P$1083,1+INT(COUNTA($Q$11:Q1355)/5),0),J1355)</f>
        <v>8</v>
      </c>
      <c r="K1356" s="83" t="str">
        <f ca="1">IF(RIGHT(G1356,13)="rune_slot,1}]",_xlfn.XLOOKUP(LEFT(SUBSTITUTE(G1356,"[{",""),FIND(",",SUBSTITUTE(G1356,"[{",""))-1),Sheet2!B:B,Sheet2!C:C)&amp;"+"&amp;1,_xlfn.XLOOKUP(LEFT(SUBSTITUTE(G1356,"[{",""),FIND(",",SUBSTITUTE(G1356,"[{",""))-1),Sheet2!B:B,Sheet2!C:C)&amp;"+"&amp;SUBSTITUTE(RIGHT(G1356,LEN(G1356)-FIND(",",G1356)),"}]","")/100&amp;"%")</f>
        <v>装备附加属性加成+50%</v>
      </c>
      <c r="L1356" s="83" t="str">
        <f ca="1">IF(MOD(COUNTIF($Q$11:Q1355,Q1355),5)=0,OFFSET(装备属性!$G$1083,1+INT(COUNTA($Q$11:Q1355)/5),0),L1355)</f>
        <v>提成色</v>
      </c>
      <c r="M1356" s="89" t="str">
        <f ca="1">IF(MOD(COUNTIF($Q$11:Q1355,Q1355),5)=0,OFFSET(装备属性!$H$1083,1+INT(COUNTA($Q$11:Q1355)/5),0),M1355)</f>
        <v>equip_extra_attr</v>
      </c>
      <c r="N1356" s="76">
        <f ca="1">IF(MOD(COUNTIF($Q$11:Q1355,Q1355),5)=0,OFFSET(装备属性!$K$1083,1+INT(COUNTA($Q$11:Q1355)/5),0),N1355)</f>
        <v>0.5</v>
      </c>
      <c r="O1356" s="76">
        <f ca="1">IF(MOD(COUNTIF($Q$11:Q1355,Q1355),5)=0,OFFSET(装备属性!$L$1083,1+INT(COUNTA($Q$11:Q1355)/5),0),O1355)</f>
        <v>0.5</v>
      </c>
      <c r="Q1356" s="89" t="str">
        <f ca="1">IF(MOD(COUNTIF($Q$11:Q1355,Q1355),5)=0,OFFSET(装备属性!$M$1083,1+INT(COUNTA($Q$11:Q1355)/5),0),Q1355)</f>
        <v>稀有词条</v>
      </c>
      <c r="R1356" s="83" t="e">
        <f ca="1">IF(MOD(COUNTIF($Q$11:Q1355,Q1355),5)=0,10000*SUBSTITUTE(SUBSTITUTE(OFFSET(装备属性!$F$1083,1+INT(COUNTA($Q$11:Q1355)/5),0),"[",""),"]","")+_xlfn.XLOOKUP(C1356,$M$3:$M$7,$N$3:$N$7)*100,R1355)</f>
        <v>#N/A</v>
      </c>
    </row>
    <row r="1357" customHeight="1" spans="1:18">
      <c r="A1357" s="78" t="str">
        <f ca="1" t="shared" si="63"/>
        <v/>
      </c>
      <c r="B1357" s="82" t="str">
        <f ca="1">IFERROR(R1357+COUNTIFS($R$11:$R1357,R1357),"")</f>
        <v/>
      </c>
      <c r="C1357" s="83">
        <f ca="1">IF(MOD(COUNTIF($Q$11:Q1356,Q1356),5)=0,OFFSET(装备属性!$D$1083,1+INT(COUNTA($Q$11:Q1356)/5),0),C1356)</f>
        <v>0</v>
      </c>
      <c r="D1357" s="82">
        <f t="shared" si="62"/>
        <v>2500</v>
      </c>
      <c r="F1357" s="82" t="str">
        <f ca="1" t="shared" si="64"/>
        <v/>
      </c>
      <c r="G1357" s="78" t="str">
        <f ca="1">IF(AND(LEFT("[{"&amp;M1357&amp;","&amp;CEILING(N1357*10000+(O1357-N1357)/4*(COUNTIF($F$11:F1357,F1357)-1)*10000,10)&amp;"}]",7)="[{equip",MID("[{"&amp;M1357&amp;","&amp;CEILING(N1357*10000+(O1357-N1357)/4*(COUNTIF($F$11:F1357,F1357)-1)*10000,10)&amp;"}]",8,1)&lt;&gt;"_"),"[{"&amp;M1357&amp;","&amp;1&amp;"}]","[{"&amp;M1357&amp;","&amp;CEILING(N1357*10000+(O1357-N1357)/4*(COUNTIF($F$11:F1357,F1357)-1)*10000,10)&amp;"}]")</f>
        <v>[{equip_extra_attr,5000}]</v>
      </c>
      <c r="H1357" s="82" t="s">
        <v>563</v>
      </c>
      <c r="J1357" s="78">
        <f ca="1">IF(MOD(COUNTIF($Q$11:Q1356,Q1356),5)=0,OFFSET(装备属性!$P$1083,1+INT(COUNTA($Q$11:Q1356)/5),0),J1356)</f>
        <v>8</v>
      </c>
      <c r="K1357" s="83" t="str">
        <f ca="1">IF(RIGHT(G1357,13)="rune_slot,1}]",_xlfn.XLOOKUP(LEFT(SUBSTITUTE(G1357,"[{",""),FIND(",",SUBSTITUTE(G1357,"[{",""))-1),Sheet2!B:B,Sheet2!C:C)&amp;"+"&amp;1,_xlfn.XLOOKUP(LEFT(SUBSTITUTE(G1357,"[{",""),FIND(",",SUBSTITUTE(G1357,"[{",""))-1),Sheet2!B:B,Sheet2!C:C)&amp;"+"&amp;SUBSTITUTE(RIGHT(G1357,LEN(G1357)-FIND(",",G1357)),"}]","")/100&amp;"%")</f>
        <v>装备附加属性加成+50%</v>
      </c>
      <c r="L1357" s="83" t="str">
        <f ca="1">IF(MOD(COUNTIF($Q$11:Q1356,Q1356),5)=0,OFFSET(装备属性!$G$1083,1+INT(COUNTA($Q$11:Q1356)/5),0),L1356)</f>
        <v>提成色</v>
      </c>
      <c r="M1357" s="89" t="str">
        <f ca="1">IF(MOD(COUNTIF($Q$11:Q1356,Q1356),5)=0,OFFSET(装备属性!$H$1083,1+INT(COUNTA($Q$11:Q1356)/5),0),M1356)</f>
        <v>equip_extra_attr</v>
      </c>
      <c r="N1357" s="76">
        <f ca="1">IF(MOD(COUNTIF($Q$11:Q1356,Q1356),5)=0,OFFSET(装备属性!$K$1083,1+INT(COUNTA($Q$11:Q1356)/5),0),N1356)</f>
        <v>0.5</v>
      </c>
      <c r="O1357" s="76">
        <f ca="1">IF(MOD(COUNTIF($Q$11:Q1356,Q1356),5)=0,OFFSET(装备属性!$L$1083,1+INT(COUNTA($Q$11:Q1356)/5),0),O1356)</f>
        <v>0.5</v>
      </c>
      <c r="Q1357" s="89" t="str">
        <f ca="1">IF(MOD(COUNTIF($Q$11:Q1356,Q1356),5)=0,OFFSET(装备属性!$M$1083,1+INT(COUNTA($Q$11:Q1356)/5),0),Q1356)</f>
        <v>稀有词条</v>
      </c>
      <c r="R1357" s="83" t="e">
        <f ca="1">IF(MOD(COUNTIF($Q$11:Q1356,Q1356),5)=0,10000*SUBSTITUTE(SUBSTITUTE(OFFSET(装备属性!$F$1083,1+INT(COUNTA($Q$11:Q1356)/5),0),"[",""),"]","")+_xlfn.XLOOKUP(C1357,$M$3:$M$7,$N$3:$N$7)*100,R1356)</f>
        <v>#N/A</v>
      </c>
    </row>
    <row r="1358" customHeight="1" spans="1:18">
      <c r="A1358" s="78" t="str">
        <f ca="1" t="shared" si="63"/>
        <v/>
      </c>
      <c r="B1358" s="82" t="str">
        <f ca="1">IFERROR(R1358+COUNTIFS($R$11:$R1358,R1358),"")</f>
        <v/>
      </c>
      <c r="C1358" s="83">
        <f ca="1">IF(MOD(COUNTIF($Q$11:Q1357,Q1357),5)=0,OFFSET(装备属性!$D$1083,1+INT(COUNTA($Q$11:Q1357)/5),0),C1357)</f>
        <v>0</v>
      </c>
      <c r="D1358" s="82">
        <f t="shared" si="62"/>
        <v>2000</v>
      </c>
      <c r="F1358" s="82" t="str">
        <f ca="1" t="shared" si="64"/>
        <v/>
      </c>
      <c r="G1358" s="78" t="str">
        <f ca="1">IF(AND(LEFT("[{"&amp;M1358&amp;","&amp;CEILING(N1358*10000+(O1358-N1358)/4*(COUNTIF($F$11:F1358,F1358)-1)*10000,10)&amp;"}]",7)="[{equip",MID("[{"&amp;M1358&amp;","&amp;CEILING(N1358*10000+(O1358-N1358)/4*(COUNTIF($F$11:F1358,F1358)-1)*10000,10)&amp;"}]",8,1)&lt;&gt;"_"),"[{"&amp;M1358&amp;","&amp;1&amp;"}]","[{"&amp;M1358&amp;","&amp;CEILING(N1358*10000+(O1358-N1358)/4*(COUNTIF($F$11:F1358,F1358)-1)*10000,10)&amp;"}]")</f>
        <v>[{equip_extra_attr,5000}]</v>
      </c>
      <c r="H1358" s="82" t="s">
        <v>563</v>
      </c>
      <c r="J1358" s="78">
        <f ca="1">IF(MOD(COUNTIF($Q$11:Q1357,Q1357),5)=0,OFFSET(装备属性!$P$1083,1+INT(COUNTA($Q$11:Q1357)/5),0),J1357)</f>
        <v>8</v>
      </c>
      <c r="K1358" s="83" t="str">
        <f ca="1">IF(RIGHT(G1358,13)="rune_slot,1}]",_xlfn.XLOOKUP(LEFT(SUBSTITUTE(G1358,"[{",""),FIND(",",SUBSTITUTE(G1358,"[{",""))-1),Sheet2!B:B,Sheet2!C:C)&amp;"+"&amp;1,_xlfn.XLOOKUP(LEFT(SUBSTITUTE(G1358,"[{",""),FIND(",",SUBSTITUTE(G1358,"[{",""))-1),Sheet2!B:B,Sheet2!C:C)&amp;"+"&amp;SUBSTITUTE(RIGHT(G1358,LEN(G1358)-FIND(",",G1358)),"}]","")/100&amp;"%")</f>
        <v>装备附加属性加成+50%</v>
      </c>
      <c r="L1358" s="83" t="str">
        <f ca="1">IF(MOD(COUNTIF($Q$11:Q1357,Q1357),5)=0,OFFSET(装备属性!$G$1083,1+INT(COUNTA($Q$11:Q1357)/5),0),L1357)</f>
        <v>提成色</v>
      </c>
      <c r="M1358" s="89" t="str">
        <f ca="1">IF(MOD(COUNTIF($Q$11:Q1357,Q1357),5)=0,OFFSET(装备属性!$H$1083,1+INT(COUNTA($Q$11:Q1357)/5),0),M1357)</f>
        <v>equip_extra_attr</v>
      </c>
      <c r="N1358" s="76">
        <f ca="1">IF(MOD(COUNTIF($Q$11:Q1357,Q1357),5)=0,OFFSET(装备属性!$K$1083,1+INT(COUNTA($Q$11:Q1357)/5),0),N1357)</f>
        <v>0.5</v>
      </c>
      <c r="O1358" s="76">
        <f ca="1">IF(MOD(COUNTIF($Q$11:Q1357,Q1357),5)=0,OFFSET(装备属性!$L$1083,1+INT(COUNTA($Q$11:Q1357)/5),0),O1357)</f>
        <v>0.5</v>
      </c>
      <c r="Q1358" s="89" t="str">
        <f ca="1">IF(MOD(COUNTIF($Q$11:Q1357,Q1357),5)=0,OFFSET(装备属性!$M$1083,1+INT(COUNTA($Q$11:Q1357)/5),0),Q1357)</f>
        <v>稀有词条</v>
      </c>
      <c r="R1358" s="83" t="e">
        <f ca="1">IF(MOD(COUNTIF($Q$11:Q1357,Q1357),5)=0,10000*SUBSTITUTE(SUBSTITUTE(OFFSET(装备属性!$F$1083,1+INT(COUNTA($Q$11:Q1357)/5),0),"[",""),"]","")+_xlfn.XLOOKUP(C1358,$M$3:$M$7,$N$3:$N$7)*100,R1357)</f>
        <v>#N/A</v>
      </c>
    </row>
    <row r="1359" customHeight="1" spans="1:18">
      <c r="A1359" s="78" t="str">
        <f ca="1" t="shared" si="63"/>
        <v/>
      </c>
      <c r="B1359" s="82" t="str">
        <f ca="1">IFERROR(R1359+COUNTIFS($R$11:$R1359,R1359),"")</f>
        <v/>
      </c>
      <c r="C1359" s="83">
        <f ca="1">IF(MOD(COUNTIF($Q$11:Q1358,Q1358),5)=0,OFFSET(装备属性!$D$1083,1+INT(COUNTA($Q$11:Q1358)/5),0),C1358)</f>
        <v>0</v>
      </c>
      <c r="D1359" s="82">
        <f t="shared" si="62"/>
        <v>1500</v>
      </c>
      <c r="F1359" s="82" t="str">
        <f ca="1" t="shared" si="64"/>
        <v/>
      </c>
      <c r="G1359" s="78" t="str">
        <f ca="1">IF(AND(LEFT("[{"&amp;M1359&amp;","&amp;CEILING(N1359*10000+(O1359-N1359)/4*(COUNTIF($F$11:F1359,F1359)-1)*10000,10)&amp;"}]",7)="[{equip",MID("[{"&amp;M1359&amp;","&amp;CEILING(N1359*10000+(O1359-N1359)/4*(COUNTIF($F$11:F1359,F1359)-1)*10000,10)&amp;"}]",8,1)&lt;&gt;"_"),"[{"&amp;M1359&amp;","&amp;1&amp;"}]","[{"&amp;M1359&amp;","&amp;CEILING(N1359*10000+(O1359-N1359)/4*(COUNTIF($F$11:F1359,F1359)-1)*10000,10)&amp;"}]")</f>
        <v>[{equip_extra_attr,5000}]</v>
      </c>
      <c r="H1359" s="82" t="s">
        <v>563</v>
      </c>
      <c r="J1359" s="78">
        <f ca="1">IF(MOD(COUNTIF($Q$11:Q1358,Q1358),5)=0,OFFSET(装备属性!$P$1083,1+INT(COUNTA($Q$11:Q1358)/5),0),J1358)</f>
        <v>8</v>
      </c>
      <c r="K1359" s="83" t="str">
        <f ca="1">IF(RIGHT(G1359,13)="rune_slot,1}]",_xlfn.XLOOKUP(LEFT(SUBSTITUTE(G1359,"[{",""),FIND(",",SUBSTITUTE(G1359,"[{",""))-1),Sheet2!B:B,Sheet2!C:C)&amp;"+"&amp;1,_xlfn.XLOOKUP(LEFT(SUBSTITUTE(G1359,"[{",""),FIND(",",SUBSTITUTE(G1359,"[{",""))-1),Sheet2!B:B,Sheet2!C:C)&amp;"+"&amp;SUBSTITUTE(RIGHT(G1359,LEN(G1359)-FIND(",",G1359)),"}]","")/100&amp;"%")</f>
        <v>装备附加属性加成+50%</v>
      </c>
      <c r="L1359" s="83" t="str">
        <f ca="1">IF(MOD(COUNTIF($Q$11:Q1358,Q1358),5)=0,OFFSET(装备属性!$G$1083,1+INT(COUNTA($Q$11:Q1358)/5),0),L1358)</f>
        <v>提成色</v>
      </c>
      <c r="M1359" s="89" t="str">
        <f ca="1">IF(MOD(COUNTIF($Q$11:Q1358,Q1358),5)=0,OFFSET(装备属性!$H$1083,1+INT(COUNTA($Q$11:Q1358)/5),0),M1358)</f>
        <v>equip_extra_attr</v>
      </c>
      <c r="N1359" s="76">
        <f ca="1">IF(MOD(COUNTIF($Q$11:Q1358,Q1358),5)=0,OFFSET(装备属性!$K$1083,1+INT(COUNTA($Q$11:Q1358)/5),0),N1358)</f>
        <v>0.5</v>
      </c>
      <c r="O1359" s="76">
        <f ca="1">IF(MOD(COUNTIF($Q$11:Q1358,Q1358),5)=0,OFFSET(装备属性!$L$1083,1+INT(COUNTA($Q$11:Q1358)/5),0),O1358)</f>
        <v>0.5</v>
      </c>
      <c r="Q1359" s="89" t="str">
        <f ca="1">IF(MOD(COUNTIF($Q$11:Q1358,Q1358),5)=0,OFFSET(装备属性!$M$1083,1+INT(COUNTA($Q$11:Q1358)/5),0),Q1358)</f>
        <v>稀有词条</v>
      </c>
      <c r="R1359" s="83" t="e">
        <f ca="1">IF(MOD(COUNTIF($Q$11:Q1358,Q1358),5)=0,10000*SUBSTITUTE(SUBSTITUTE(OFFSET(装备属性!$F$1083,1+INT(COUNTA($Q$11:Q1358)/5),0),"[",""),"]","")+_xlfn.XLOOKUP(C1359,$M$3:$M$7,$N$3:$N$7)*100,R1358)</f>
        <v>#N/A</v>
      </c>
    </row>
    <row r="1360" customHeight="1" spans="1:18">
      <c r="A1360" s="78" t="str">
        <f ca="1" t="shared" si="63"/>
        <v/>
      </c>
      <c r="B1360" s="82" t="str">
        <f ca="1">IFERROR(R1360+COUNTIFS($R$11:$R1360,R1360),"")</f>
        <v/>
      </c>
      <c r="C1360" s="83">
        <f ca="1">IF(MOD(COUNTIF($Q$11:Q1359,Q1359),5)=0,OFFSET(装备属性!$D$1083,1+INT(COUNTA($Q$11:Q1359)/5),0),C1359)</f>
        <v>0</v>
      </c>
      <c r="D1360" s="82">
        <f t="shared" si="62"/>
        <v>1000</v>
      </c>
      <c r="F1360" s="82" t="str">
        <f ca="1" t="shared" si="64"/>
        <v/>
      </c>
      <c r="G1360" s="78" t="str">
        <f ca="1">IF(AND(LEFT("[{"&amp;M1360&amp;","&amp;CEILING(N1360*10000+(O1360-N1360)/4*(COUNTIF($F$11:F1360,F1360)-1)*10000,10)&amp;"}]",7)="[{equip",MID("[{"&amp;M1360&amp;","&amp;CEILING(N1360*10000+(O1360-N1360)/4*(COUNTIF($F$11:F1360,F1360)-1)*10000,10)&amp;"}]",8,1)&lt;&gt;"_"),"[{"&amp;M1360&amp;","&amp;1&amp;"}]","[{"&amp;M1360&amp;","&amp;CEILING(N1360*10000+(O1360-N1360)/4*(COUNTIF($F$11:F1360,F1360)-1)*10000,10)&amp;"}]")</f>
        <v>[{equip_extra_attr,5000}]</v>
      </c>
      <c r="H1360" s="82" t="s">
        <v>563</v>
      </c>
      <c r="J1360" s="78">
        <f ca="1">IF(MOD(COUNTIF($Q$11:Q1359,Q1359),5)=0,OFFSET(装备属性!$P$1083,1+INT(COUNTA($Q$11:Q1359)/5),0),J1359)</f>
        <v>8</v>
      </c>
      <c r="K1360" s="83" t="str">
        <f ca="1">IF(RIGHT(G1360,13)="rune_slot,1}]",_xlfn.XLOOKUP(LEFT(SUBSTITUTE(G1360,"[{",""),FIND(",",SUBSTITUTE(G1360,"[{",""))-1),Sheet2!B:B,Sheet2!C:C)&amp;"+"&amp;1,_xlfn.XLOOKUP(LEFT(SUBSTITUTE(G1360,"[{",""),FIND(",",SUBSTITUTE(G1360,"[{",""))-1),Sheet2!B:B,Sheet2!C:C)&amp;"+"&amp;SUBSTITUTE(RIGHT(G1360,LEN(G1360)-FIND(",",G1360)),"}]","")/100&amp;"%")</f>
        <v>装备附加属性加成+50%</v>
      </c>
      <c r="L1360" s="83" t="str">
        <f ca="1">IF(MOD(COUNTIF($Q$11:Q1359,Q1359),5)=0,OFFSET(装备属性!$G$1083,1+INT(COUNTA($Q$11:Q1359)/5),0),L1359)</f>
        <v>提成色</v>
      </c>
      <c r="M1360" s="89" t="str">
        <f ca="1">IF(MOD(COUNTIF($Q$11:Q1359,Q1359),5)=0,OFFSET(装备属性!$H$1083,1+INT(COUNTA($Q$11:Q1359)/5),0),M1359)</f>
        <v>equip_extra_attr</v>
      </c>
      <c r="N1360" s="76">
        <f ca="1">IF(MOD(COUNTIF($Q$11:Q1359,Q1359),5)=0,OFFSET(装备属性!$K$1083,1+INT(COUNTA($Q$11:Q1359)/5),0),N1359)</f>
        <v>0.5</v>
      </c>
      <c r="O1360" s="76">
        <f ca="1">IF(MOD(COUNTIF($Q$11:Q1359,Q1359),5)=0,OFFSET(装备属性!$L$1083,1+INT(COUNTA($Q$11:Q1359)/5),0),O1359)</f>
        <v>0.5</v>
      </c>
      <c r="Q1360" s="89" t="str">
        <f ca="1">IF(MOD(COUNTIF($Q$11:Q1359,Q1359),5)=0,OFFSET(装备属性!$M$1083,1+INT(COUNTA($Q$11:Q1359)/5),0),Q1359)</f>
        <v>稀有词条</v>
      </c>
      <c r="R1360" s="83" t="e">
        <f ca="1">IF(MOD(COUNTIF($Q$11:Q1359,Q1359),5)=0,10000*SUBSTITUTE(SUBSTITUTE(OFFSET(装备属性!$F$1083,1+INT(COUNTA($Q$11:Q1359)/5),0),"[",""),"]","")+_xlfn.XLOOKUP(C1360,$M$3:$M$7,$N$3:$N$7)*100,R1359)</f>
        <v>#N/A</v>
      </c>
    </row>
    <row r="1361" customHeight="1" spans="1:18">
      <c r="A1361" s="78" t="str">
        <f ca="1" t="shared" si="63"/>
        <v/>
      </c>
      <c r="B1361" s="82" t="str">
        <f ca="1">IFERROR(R1361+COUNTIFS($R$11:$R1361,R1361),"")</f>
        <v/>
      </c>
      <c r="C1361" s="83">
        <f ca="1">IF(MOD(COUNTIF($Q$11:Q1360,Q1360),5)=0,OFFSET(装备属性!$D$1083,1+INT(COUNTA($Q$11:Q1360)/5),0),C1360)</f>
        <v>0</v>
      </c>
      <c r="D1361" s="82">
        <f t="shared" ref="D1361:D1424" si="65">D1356</f>
        <v>3000</v>
      </c>
      <c r="F1361" s="82" t="str">
        <f ca="1" t="shared" si="64"/>
        <v/>
      </c>
      <c r="G1361" s="78" t="str">
        <f ca="1">IF(AND(LEFT("[{"&amp;M1361&amp;","&amp;CEILING(N1361*10000+(O1361-N1361)/4*(COUNTIF($F$11:F1361,F1361)-1)*10000,10)&amp;"}]",7)="[{equip",MID("[{"&amp;M1361&amp;","&amp;CEILING(N1361*10000+(O1361-N1361)/4*(COUNTIF($F$11:F1361,F1361)-1)*10000,10)&amp;"}]",8,1)&lt;&gt;"_"),"[{"&amp;M1361&amp;","&amp;1&amp;"}]","[{"&amp;M1361&amp;","&amp;CEILING(N1361*10000+(O1361-N1361)/4*(COUNTIF($F$11:F1361,F1361)-1)*10000,10)&amp;"}]")</f>
        <v>[{equip5_rune_slot,1}]</v>
      </c>
      <c r="H1361" s="82" t="s">
        <v>563</v>
      </c>
      <c r="J1361" s="78">
        <f ca="1">IF(MOD(COUNTIF($Q$11:Q1360,Q1360),5)=0,OFFSET(装备属性!$P$1083,1+INT(COUNTA($Q$11:Q1360)/5),0),J1360)</f>
        <v>1</v>
      </c>
      <c r="K1361" s="83" t="str">
        <f ca="1">IF(RIGHT(G1361,13)="rune_slot,1}]",_xlfn.XLOOKUP(LEFT(SUBSTITUTE(G1361,"[{",""),FIND(",",SUBSTITUTE(G1361,"[{",""))-1),Sheet2!B:B,Sheet2!C:C)&amp;"+"&amp;1,_xlfn.XLOOKUP(LEFT(SUBSTITUTE(G1361,"[{",""),FIND(",",SUBSTITUTE(G1361,"[{",""))-1),Sheet2!B:B,Sheet2!C:C)&amp;"+"&amp;SUBSTITUTE(RIGHT(G1361,LEN(G1361)-FIND(",",G1361)),"}]","")/100&amp;"%")</f>
        <v>鞋子符文孔位+1</v>
      </c>
      <c r="L1361" s="83" t="str">
        <f ca="1">IF(MOD(COUNTIF($Q$11:Q1360,Q1360),5)=0,OFFSET(装备属性!$G$1083,1+INT(COUNTA($Q$11:Q1360)/5),0),L1360)</f>
        <v>扩符槽</v>
      </c>
      <c r="M1361" s="89" t="str">
        <f ca="1">IF(MOD(COUNTIF($Q$11:Q1360,Q1360),5)=0,OFFSET(装备属性!$H$1083,1+INT(COUNTA($Q$11:Q1360)/5),0),M1360)</f>
        <v>equip5_rune_slot</v>
      </c>
      <c r="N1361" s="76">
        <f ca="1">IF(MOD(COUNTIF($Q$11:Q1360,Q1360),5)=0,OFFSET(装备属性!$K$1083,1+INT(COUNTA($Q$11:Q1360)/5),0),N1360)</f>
        <v>1</v>
      </c>
      <c r="O1361" s="76">
        <f ca="1">IF(MOD(COUNTIF($Q$11:Q1360,Q1360),5)=0,OFFSET(装备属性!$L$1083,1+INT(COUNTA($Q$11:Q1360)/5),0),O1360)</f>
        <v>1</v>
      </c>
      <c r="Q1361" s="89" t="str">
        <f ca="1">IF(MOD(COUNTIF($Q$11:Q1360,Q1360),5)=0,OFFSET(装备属性!$M$1083,1+INT(COUNTA($Q$11:Q1360)/5),0),Q1360)</f>
        <v>稀有词条</v>
      </c>
      <c r="R1361" s="83" t="e">
        <f ca="1">IF(MOD(COUNTIF($Q$11:Q1360,Q1360),5)=0,10000*SUBSTITUTE(SUBSTITUTE(OFFSET(装备属性!$F$1083,1+INT(COUNTA($Q$11:Q1360)/5),0),"[",""),"]","")+_xlfn.XLOOKUP(C1361,$M$3:$M$7,$N$3:$N$7)*100,R1360)</f>
        <v>#N/A</v>
      </c>
    </row>
    <row r="1362" customHeight="1" spans="1:18">
      <c r="A1362" s="78" t="str">
        <f ca="1" t="shared" si="63"/>
        <v/>
      </c>
      <c r="B1362" s="82" t="str">
        <f ca="1">IFERROR(R1362+COUNTIFS($R$11:$R1362,R1362),"")</f>
        <v/>
      </c>
      <c r="C1362" s="83">
        <f ca="1">IF(MOD(COUNTIF($Q$11:Q1361,Q1361),5)=0,OFFSET(装备属性!$D$1083,1+INT(COUNTA($Q$11:Q1361)/5),0),C1361)</f>
        <v>0</v>
      </c>
      <c r="D1362" s="82">
        <f t="shared" si="65"/>
        <v>2500</v>
      </c>
      <c r="F1362" s="82" t="str">
        <f ca="1" t="shared" si="64"/>
        <v/>
      </c>
      <c r="G1362" s="78" t="str">
        <f ca="1">IF(AND(LEFT("[{"&amp;M1362&amp;","&amp;CEILING(N1362*10000+(O1362-N1362)/4*(COUNTIF($F$11:F1362,F1362)-1)*10000,10)&amp;"}]",7)="[{equip",MID("[{"&amp;M1362&amp;","&amp;CEILING(N1362*10000+(O1362-N1362)/4*(COUNTIF($F$11:F1362,F1362)-1)*10000,10)&amp;"}]",8,1)&lt;&gt;"_"),"[{"&amp;M1362&amp;","&amp;1&amp;"}]","[{"&amp;M1362&amp;","&amp;CEILING(N1362*10000+(O1362-N1362)/4*(COUNTIF($F$11:F1362,F1362)-1)*10000,10)&amp;"}]")</f>
        <v>[{equip5_rune_slot,1}]</v>
      </c>
      <c r="H1362" s="82" t="s">
        <v>563</v>
      </c>
      <c r="J1362" s="78">
        <f ca="1">IF(MOD(COUNTIF($Q$11:Q1361,Q1361),5)=0,OFFSET(装备属性!$P$1083,1+INT(COUNTA($Q$11:Q1361)/5),0),J1361)</f>
        <v>1</v>
      </c>
      <c r="K1362" s="83" t="str">
        <f ca="1">IF(RIGHT(G1362,13)="rune_slot,1}]",_xlfn.XLOOKUP(LEFT(SUBSTITUTE(G1362,"[{",""),FIND(",",SUBSTITUTE(G1362,"[{",""))-1),Sheet2!B:B,Sheet2!C:C)&amp;"+"&amp;1,_xlfn.XLOOKUP(LEFT(SUBSTITUTE(G1362,"[{",""),FIND(",",SUBSTITUTE(G1362,"[{",""))-1),Sheet2!B:B,Sheet2!C:C)&amp;"+"&amp;SUBSTITUTE(RIGHT(G1362,LEN(G1362)-FIND(",",G1362)),"}]","")/100&amp;"%")</f>
        <v>鞋子符文孔位+1</v>
      </c>
      <c r="L1362" s="83" t="str">
        <f ca="1">IF(MOD(COUNTIF($Q$11:Q1361,Q1361),5)=0,OFFSET(装备属性!$G$1083,1+INT(COUNTA($Q$11:Q1361)/5),0),L1361)</f>
        <v>扩符槽</v>
      </c>
      <c r="M1362" s="89" t="str">
        <f ca="1">IF(MOD(COUNTIF($Q$11:Q1361,Q1361),5)=0,OFFSET(装备属性!$H$1083,1+INT(COUNTA($Q$11:Q1361)/5),0),M1361)</f>
        <v>equip5_rune_slot</v>
      </c>
      <c r="N1362" s="76">
        <f ca="1">IF(MOD(COUNTIF($Q$11:Q1361,Q1361),5)=0,OFFSET(装备属性!$K$1083,1+INT(COUNTA($Q$11:Q1361)/5),0),N1361)</f>
        <v>1</v>
      </c>
      <c r="O1362" s="76">
        <f ca="1">IF(MOD(COUNTIF($Q$11:Q1361,Q1361),5)=0,OFFSET(装备属性!$L$1083,1+INT(COUNTA($Q$11:Q1361)/5),0),O1361)</f>
        <v>1</v>
      </c>
      <c r="Q1362" s="89" t="str">
        <f ca="1">IF(MOD(COUNTIF($Q$11:Q1361,Q1361),5)=0,OFFSET(装备属性!$M$1083,1+INT(COUNTA($Q$11:Q1361)/5),0),Q1361)</f>
        <v>稀有词条</v>
      </c>
      <c r="R1362" s="83" t="e">
        <f ca="1">IF(MOD(COUNTIF($Q$11:Q1361,Q1361),5)=0,10000*SUBSTITUTE(SUBSTITUTE(OFFSET(装备属性!$F$1083,1+INT(COUNTA($Q$11:Q1361)/5),0),"[",""),"]","")+_xlfn.XLOOKUP(C1362,$M$3:$M$7,$N$3:$N$7)*100,R1361)</f>
        <v>#N/A</v>
      </c>
    </row>
    <row r="1363" customHeight="1" spans="1:18">
      <c r="A1363" s="78" t="str">
        <f ca="1" t="shared" si="63"/>
        <v/>
      </c>
      <c r="B1363" s="82" t="str">
        <f ca="1">IFERROR(R1363+COUNTIFS($R$11:$R1363,R1363),"")</f>
        <v/>
      </c>
      <c r="C1363" s="83">
        <f ca="1">IF(MOD(COUNTIF($Q$11:Q1362,Q1362),5)=0,OFFSET(装备属性!$D$1083,1+INT(COUNTA($Q$11:Q1362)/5),0),C1362)</f>
        <v>0</v>
      </c>
      <c r="D1363" s="82">
        <f t="shared" si="65"/>
        <v>2000</v>
      </c>
      <c r="F1363" s="82" t="str">
        <f ca="1" t="shared" si="64"/>
        <v/>
      </c>
      <c r="G1363" s="78" t="str">
        <f ca="1">IF(AND(LEFT("[{"&amp;M1363&amp;","&amp;CEILING(N1363*10000+(O1363-N1363)/4*(COUNTIF($F$11:F1363,F1363)-1)*10000,10)&amp;"}]",7)="[{equip",MID("[{"&amp;M1363&amp;","&amp;CEILING(N1363*10000+(O1363-N1363)/4*(COUNTIF($F$11:F1363,F1363)-1)*10000,10)&amp;"}]",8,1)&lt;&gt;"_"),"[{"&amp;M1363&amp;","&amp;1&amp;"}]","[{"&amp;M1363&amp;","&amp;CEILING(N1363*10000+(O1363-N1363)/4*(COUNTIF($F$11:F1363,F1363)-1)*10000,10)&amp;"}]")</f>
        <v>[{equip5_rune_slot,1}]</v>
      </c>
      <c r="H1363" s="82" t="s">
        <v>563</v>
      </c>
      <c r="J1363" s="78">
        <f ca="1">IF(MOD(COUNTIF($Q$11:Q1362,Q1362),5)=0,OFFSET(装备属性!$P$1083,1+INT(COUNTA($Q$11:Q1362)/5),0),J1362)</f>
        <v>1</v>
      </c>
      <c r="K1363" s="83" t="str">
        <f ca="1">IF(RIGHT(G1363,13)="rune_slot,1}]",_xlfn.XLOOKUP(LEFT(SUBSTITUTE(G1363,"[{",""),FIND(",",SUBSTITUTE(G1363,"[{",""))-1),Sheet2!B:B,Sheet2!C:C)&amp;"+"&amp;1,_xlfn.XLOOKUP(LEFT(SUBSTITUTE(G1363,"[{",""),FIND(",",SUBSTITUTE(G1363,"[{",""))-1),Sheet2!B:B,Sheet2!C:C)&amp;"+"&amp;SUBSTITUTE(RIGHT(G1363,LEN(G1363)-FIND(",",G1363)),"}]","")/100&amp;"%")</f>
        <v>鞋子符文孔位+1</v>
      </c>
      <c r="L1363" s="83" t="str">
        <f ca="1">IF(MOD(COUNTIF($Q$11:Q1362,Q1362),5)=0,OFFSET(装备属性!$G$1083,1+INT(COUNTA($Q$11:Q1362)/5),0),L1362)</f>
        <v>扩符槽</v>
      </c>
      <c r="M1363" s="89" t="str">
        <f ca="1">IF(MOD(COUNTIF($Q$11:Q1362,Q1362),5)=0,OFFSET(装备属性!$H$1083,1+INT(COUNTA($Q$11:Q1362)/5),0),M1362)</f>
        <v>equip5_rune_slot</v>
      </c>
      <c r="N1363" s="76">
        <f ca="1">IF(MOD(COUNTIF($Q$11:Q1362,Q1362),5)=0,OFFSET(装备属性!$K$1083,1+INT(COUNTA($Q$11:Q1362)/5),0),N1362)</f>
        <v>1</v>
      </c>
      <c r="O1363" s="76">
        <f ca="1">IF(MOD(COUNTIF($Q$11:Q1362,Q1362),5)=0,OFFSET(装备属性!$L$1083,1+INT(COUNTA($Q$11:Q1362)/5),0),O1362)</f>
        <v>1</v>
      </c>
      <c r="Q1363" s="89" t="str">
        <f ca="1">IF(MOD(COUNTIF($Q$11:Q1362,Q1362),5)=0,OFFSET(装备属性!$M$1083,1+INT(COUNTA($Q$11:Q1362)/5),0),Q1362)</f>
        <v>稀有词条</v>
      </c>
      <c r="R1363" s="83" t="e">
        <f ca="1">IF(MOD(COUNTIF($Q$11:Q1362,Q1362),5)=0,10000*SUBSTITUTE(SUBSTITUTE(OFFSET(装备属性!$F$1083,1+INT(COUNTA($Q$11:Q1362)/5),0),"[",""),"]","")+_xlfn.XLOOKUP(C1363,$M$3:$M$7,$N$3:$N$7)*100,R1362)</f>
        <v>#N/A</v>
      </c>
    </row>
    <row r="1364" customHeight="1" spans="1:18">
      <c r="A1364" s="78" t="str">
        <f ca="1" t="shared" si="63"/>
        <v/>
      </c>
      <c r="B1364" s="82" t="str">
        <f ca="1">IFERROR(R1364+COUNTIFS($R$11:$R1364,R1364),"")</f>
        <v/>
      </c>
      <c r="C1364" s="83">
        <f ca="1">IF(MOD(COUNTIF($Q$11:Q1363,Q1363),5)=0,OFFSET(装备属性!$D$1083,1+INT(COUNTA($Q$11:Q1363)/5),0),C1363)</f>
        <v>0</v>
      </c>
      <c r="D1364" s="82">
        <f t="shared" si="65"/>
        <v>1500</v>
      </c>
      <c r="F1364" s="82" t="str">
        <f ca="1" t="shared" si="64"/>
        <v/>
      </c>
      <c r="G1364" s="78" t="str">
        <f ca="1">IF(AND(LEFT("[{"&amp;M1364&amp;","&amp;CEILING(N1364*10000+(O1364-N1364)/4*(COUNTIF($F$11:F1364,F1364)-1)*10000,10)&amp;"}]",7)="[{equip",MID("[{"&amp;M1364&amp;","&amp;CEILING(N1364*10000+(O1364-N1364)/4*(COUNTIF($F$11:F1364,F1364)-1)*10000,10)&amp;"}]",8,1)&lt;&gt;"_"),"[{"&amp;M1364&amp;","&amp;1&amp;"}]","[{"&amp;M1364&amp;","&amp;CEILING(N1364*10000+(O1364-N1364)/4*(COUNTIF($F$11:F1364,F1364)-1)*10000,10)&amp;"}]")</f>
        <v>[{equip5_rune_slot,1}]</v>
      </c>
      <c r="H1364" s="82" t="s">
        <v>563</v>
      </c>
      <c r="J1364" s="78">
        <f ca="1">IF(MOD(COUNTIF($Q$11:Q1363,Q1363),5)=0,OFFSET(装备属性!$P$1083,1+INT(COUNTA($Q$11:Q1363)/5),0),J1363)</f>
        <v>1</v>
      </c>
      <c r="K1364" s="83" t="str">
        <f ca="1">IF(RIGHT(G1364,13)="rune_slot,1}]",_xlfn.XLOOKUP(LEFT(SUBSTITUTE(G1364,"[{",""),FIND(",",SUBSTITUTE(G1364,"[{",""))-1),Sheet2!B:B,Sheet2!C:C)&amp;"+"&amp;1,_xlfn.XLOOKUP(LEFT(SUBSTITUTE(G1364,"[{",""),FIND(",",SUBSTITUTE(G1364,"[{",""))-1),Sheet2!B:B,Sheet2!C:C)&amp;"+"&amp;SUBSTITUTE(RIGHT(G1364,LEN(G1364)-FIND(",",G1364)),"}]","")/100&amp;"%")</f>
        <v>鞋子符文孔位+1</v>
      </c>
      <c r="L1364" s="83" t="str">
        <f ca="1">IF(MOD(COUNTIF($Q$11:Q1363,Q1363),5)=0,OFFSET(装备属性!$G$1083,1+INT(COUNTA($Q$11:Q1363)/5),0),L1363)</f>
        <v>扩符槽</v>
      </c>
      <c r="M1364" s="89" t="str">
        <f ca="1">IF(MOD(COUNTIF($Q$11:Q1363,Q1363),5)=0,OFFSET(装备属性!$H$1083,1+INT(COUNTA($Q$11:Q1363)/5),0),M1363)</f>
        <v>equip5_rune_slot</v>
      </c>
      <c r="N1364" s="76">
        <f ca="1">IF(MOD(COUNTIF($Q$11:Q1363,Q1363),5)=0,OFFSET(装备属性!$K$1083,1+INT(COUNTA($Q$11:Q1363)/5),0),N1363)</f>
        <v>1</v>
      </c>
      <c r="O1364" s="76">
        <f ca="1">IF(MOD(COUNTIF($Q$11:Q1363,Q1363),5)=0,OFFSET(装备属性!$L$1083,1+INT(COUNTA($Q$11:Q1363)/5),0),O1363)</f>
        <v>1</v>
      </c>
      <c r="Q1364" s="89" t="str">
        <f ca="1">IF(MOD(COUNTIF($Q$11:Q1363,Q1363),5)=0,OFFSET(装备属性!$M$1083,1+INT(COUNTA($Q$11:Q1363)/5),0),Q1363)</f>
        <v>稀有词条</v>
      </c>
      <c r="R1364" s="83" t="e">
        <f ca="1">IF(MOD(COUNTIF($Q$11:Q1363,Q1363),5)=0,10000*SUBSTITUTE(SUBSTITUTE(OFFSET(装备属性!$F$1083,1+INT(COUNTA($Q$11:Q1363)/5),0),"[",""),"]","")+_xlfn.XLOOKUP(C1364,$M$3:$M$7,$N$3:$N$7)*100,R1363)</f>
        <v>#N/A</v>
      </c>
    </row>
    <row r="1365" customHeight="1" spans="1:18">
      <c r="A1365" s="78" t="str">
        <f ca="1" t="shared" si="63"/>
        <v/>
      </c>
      <c r="B1365" s="82" t="str">
        <f ca="1">IFERROR(R1365+COUNTIFS($R$11:$R1365,R1365),"")</f>
        <v/>
      </c>
      <c r="C1365" s="83">
        <f ca="1">IF(MOD(COUNTIF($Q$11:Q1364,Q1364),5)=0,OFFSET(装备属性!$D$1083,1+INT(COUNTA($Q$11:Q1364)/5),0),C1364)</f>
        <v>0</v>
      </c>
      <c r="D1365" s="82">
        <f t="shared" si="65"/>
        <v>1000</v>
      </c>
      <c r="F1365" s="82" t="str">
        <f ca="1" t="shared" si="64"/>
        <v/>
      </c>
      <c r="G1365" s="78" t="str">
        <f ca="1">IF(AND(LEFT("[{"&amp;M1365&amp;","&amp;CEILING(N1365*10000+(O1365-N1365)/4*(COUNTIF($F$11:F1365,F1365)-1)*10000,10)&amp;"}]",7)="[{equip",MID("[{"&amp;M1365&amp;","&amp;CEILING(N1365*10000+(O1365-N1365)/4*(COUNTIF($F$11:F1365,F1365)-1)*10000,10)&amp;"}]",8,1)&lt;&gt;"_"),"[{"&amp;M1365&amp;","&amp;1&amp;"}]","[{"&amp;M1365&amp;","&amp;CEILING(N1365*10000+(O1365-N1365)/4*(COUNTIF($F$11:F1365,F1365)-1)*10000,10)&amp;"}]")</f>
        <v>[{equip5_rune_slot,1}]</v>
      </c>
      <c r="H1365" s="82" t="s">
        <v>563</v>
      </c>
      <c r="J1365" s="78">
        <f ca="1">IF(MOD(COUNTIF($Q$11:Q1364,Q1364),5)=0,OFFSET(装备属性!$P$1083,1+INT(COUNTA($Q$11:Q1364)/5),0),J1364)</f>
        <v>1</v>
      </c>
      <c r="K1365" s="83" t="str">
        <f ca="1">IF(RIGHT(G1365,13)="rune_slot,1}]",_xlfn.XLOOKUP(LEFT(SUBSTITUTE(G1365,"[{",""),FIND(",",SUBSTITUTE(G1365,"[{",""))-1),Sheet2!B:B,Sheet2!C:C)&amp;"+"&amp;1,_xlfn.XLOOKUP(LEFT(SUBSTITUTE(G1365,"[{",""),FIND(",",SUBSTITUTE(G1365,"[{",""))-1),Sheet2!B:B,Sheet2!C:C)&amp;"+"&amp;SUBSTITUTE(RIGHT(G1365,LEN(G1365)-FIND(",",G1365)),"}]","")/100&amp;"%")</f>
        <v>鞋子符文孔位+1</v>
      </c>
      <c r="L1365" s="83" t="str">
        <f ca="1">IF(MOD(COUNTIF($Q$11:Q1364,Q1364),5)=0,OFFSET(装备属性!$G$1083,1+INT(COUNTA($Q$11:Q1364)/5),0),L1364)</f>
        <v>扩符槽</v>
      </c>
      <c r="M1365" s="89" t="str">
        <f ca="1">IF(MOD(COUNTIF($Q$11:Q1364,Q1364),5)=0,OFFSET(装备属性!$H$1083,1+INT(COUNTA($Q$11:Q1364)/5),0),M1364)</f>
        <v>equip5_rune_slot</v>
      </c>
      <c r="N1365" s="76">
        <f ca="1">IF(MOD(COUNTIF($Q$11:Q1364,Q1364),5)=0,OFFSET(装备属性!$K$1083,1+INT(COUNTA($Q$11:Q1364)/5),0),N1364)</f>
        <v>1</v>
      </c>
      <c r="O1365" s="76">
        <f ca="1">IF(MOD(COUNTIF($Q$11:Q1364,Q1364),5)=0,OFFSET(装备属性!$L$1083,1+INT(COUNTA($Q$11:Q1364)/5),0),O1364)</f>
        <v>1</v>
      </c>
      <c r="Q1365" s="89" t="str">
        <f ca="1">IF(MOD(COUNTIF($Q$11:Q1364,Q1364),5)=0,OFFSET(装备属性!$M$1083,1+INT(COUNTA($Q$11:Q1364)/5),0),Q1364)</f>
        <v>稀有词条</v>
      </c>
      <c r="R1365" s="83" t="e">
        <f ca="1">IF(MOD(COUNTIF($Q$11:Q1364,Q1364),5)=0,10000*SUBSTITUTE(SUBSTITUTE(OFFSET(装备属性!$F$1083,1+INT(COUNTA($Q$11:Q1364)/5),0),"[",""),"]","")+_xlfn.XLOOKUP(C1365,$M$3:$M$7,$N$3:$N$7)*100,R1364)</f>
        <v>#N/A</v>
      </c>
    </row>
    <row r="1366" customHeight="1" spans="1:18">
      <c r="A1366" s="78">
        <f ca="1" t="shared" si="63"/>
        <v>50602</v>
      </c>
      <c r="B1366" s="82">
        <f ca="1">IFERROR(R1366+COUNTIFS($R$11:$R1366,R1366),"")</f>
        <v>50611</v>
      </c>
      <c r="C1366" s="83" t="str">
        <f ca="1">IF(MOD(COUNTIF($Q$11:Q1365,Q1365),5)=0,OFFSET(装备属性!$D$1083,1+INT(COUNTA($Q$11:Q1365)/5),0),C1365)</f>
        <v>红</v>
      </c>
      <c r="D1366" s="82">
        <f t="shared" si="65"/>
        <v>3000</v>
      </c>
      <c r="F1366" s="82">
        <f ca="1" t="shared" si="64"/>
        <v>50602</v>
      </c>
      <c r="G1366" s="78" t="str">
        <f ca="1">IF(AND(LEFT("[{"&amp;M1366&amp;","&amp;CEILING(N1366*10000+(O1366-N1366)/4*(COUNTIF($F$11:F1366,F1366)-1)*10000,10)&amp;"}]",7)="[{equip",MID("[{"&amp;M1366&amp;","&amp;CEILING(N1366*10000+(O1366-N1366)/4*(COUNTIF($F$11:F1366,F1366)-1)*10000,10)&amp;"}]",8,1)&lt;&gt;"_"),"[{"&amp;M1366&amp;","&amp;1&amp;"}]","[{"&amp;M1366&amp;","&amp;CEILING(N1366*10000+(O1366-N1366)/4*(COUNTIF($F$11:F1366,F1366)-1)*10000,10)&amp;"}]")</f>
        <v>[{elitist_monster_hit_rate,860}]</v>
      </c>
      <c r="H1366" s="82" t="s">
        <v>563</v>
      </c>
      <c r="J1366" s="78">
        <f ca="1">IF(MOD(COUNTIF($Q$11:Q1365,Q1365),5)=0,OFFSET(装备属性!$P$1083,1+INT(COUNTA($Q$11:Q1365)/5),0),J1365)</f>
        <v>6</v>
      </c>
      <c r="K1366" s="83" t="str">
        <f ca="1">IF(RIGHT(G1366,13)="rune_slot,1}]",_xlfn.XLOOKUP(LEFT(SUBSTITUTE(G1366,"[{",""),FIND(",",SUBSTITUTE(G1366,"[{",""))-1),Sheet2!B:B,Sheet2!C:C)&amp;"+"&amp;1,_xlfn.XLOOKUP(LEFT(SUBSTITUTE(G1366,"[{",""),FIND(",",SUBSTITUTE(G1366,"[{",""))-1),Sheet2!B:B,Sheet2!C:C)&amp;"+"&amp;SUBSTITUTE(RIGHT(G1366,LEN(G1366)-FIND(",",G1366)),"}]","")/100&amp;"%")</f>
        <v>对精英增伤+8.6%</v>
      </c>
      <c r="L1366" s="83" t="str">
        <f ca="1">IF(MOD(COUNTIF($Q$11:Q1365,Q1365),5)=0,OFFSET(装备属性!$G$1083,1+INT(COUNTA($Q$11:Q1365)/5),0),L1365)</f>
        <v>Boss加餐Ⅲ</v>
      </c>
      <c r="M1366" s="89" t="str">
        <f ca="1">IF(MOD(COUNTIF($Q$11:Q1365,Q1365),5)=0,OFFSET(装备属性!$H$1083,1+INT(COUNTA($Q$11:Q1365)/5),0),M1365)</f>
        <v>elitist_monster_hit_rate</v>
      </c>
      <c r="N1366" s="76">
        <f ca="1">IF(MOD(COUNTIF($Q$11:Q1365,Q1365),5)=0,OFFSET(装备属性!$K$1083,1+INT(COUNTA($Q$11:Q1365)/5),0),N1365)</f>
        <v>0.086</v>
      </c>
      <c r="O1366" s="76">
        <f ca="1">IF(MOD(COUNTIF($Q$11:Q1365,Q1365),5)=0,OFFSET(装备属性!$L$1083,1+INT(COUNTA($Q$11:Q1365)/5),0),O1365)</f>
        <v>0.098</v>
      </c>
      <c r="Q1366" s="89" t="str">
        <f ca="1">IF(MOD(COUNTIF($Q$11:Q1365,Q1365),5)=0,OFFSET(装备属性!$M$1083,1+INT(COUNTA($Q$11:Q1365)/5),0),Q1365)</f>
        <v>玩法类</v>
      </c>
      <c r="R1366" s="83">
        <f ca="1">IF(MOD(COUNTIF($Q$11:Q1365,Q1365),5)=0,10000*SUBSTITUTE(SUBSTITUTE(OFFSET(装备属性!$F$1083,1+INT(COUNTA($Q$11:Q1365)/5),0),"[",""),"]","")+_xlfn.XLOOKUP(C1366,$M$3:$M$7,$N$3:$N$7)*100,R1365)</f>
        <v>50600</v>
      </c>
    </row>
    <row r="1367" customHeight="1" spans="1:18">
      <c r="A1367" s="78">
        <f ca="1" t="shared" si="63"/>
        <v>50602</v>
      </c>
      <c r="B1367" s="82">
        <f ca="1">IFERROR(R1367+COUNTIFS($R$11:$R1367,R1367),"")</f>
        <v>50612</v>
      </c>
      <c r="C1367" s="83" t="str">
        <f ca="1">IF(MOD(COUNTIF($Q$11:Q1366,Q1366),5)=0,OFFSET(装备属性!$D$1083,1+INT(COUNTA($Q$11:Q1366)/5),0),C1366)</f>
        <v>红</v>
      </c>
      <c r="D1367" s="82">
        <f t="shared" si="65"/>
        <v>2500</v>
      </c>
      <c r="F1367" s="82">
        <f ca="1" t="shared" si="64"/>
        <v>50602</v>
      </c>
      <c r="G1367" s="78" t="str">
        <f ca="1">IF(AND(LEFT("[{"&amp;M1367&amp;","&amp;CEILING(N1367*10000+(O1367-N1367)/4*(COUNTIF($F$11:F1367,F1367)-1)*10000,10)&amp;"}]",7)="[{equip",MID("[{"&amp;M1367&amp;","&amp;CEILING(N1367*10000+(O1367-N1367)/4*(COUNTIF($F$11:F1367,F1367)-1)*10000,10)&amp;"}]",8,1)&lt;&gt;"_"),"[{"&amp;M1367&amp;","&amp;1&amp;"}]","[{"&amp;M1367&amp;","&amp;CEILING(N1367*10000+(O1367-N1367)/4*(COUNTIF($F$11:F1367,F1367)-1)*10000,10)&amp;"}]")</f>
        <v>[{elitist_monster_hit_rate,890}]</v>
      </c>
      <c r="H1367" s="82" t="s">
        <v>563</v>
      </c>
      <c r="J1367" s="78">
        <f ca="1">IF(MOD(COUNTIF($Q$11:Q1366,Q1366),5)=0,OFFSET(装备属性!$P$1083,1+INT(COUNTA($Q$11:Q1366)/5),0),J1366)</f>
        <v>6</v>
      </c>
      <c r="K1367" s="83" t="str">
        <f ca="1">IF(RIGHT(G1367,13)="rune_slot,1}]",_xlfn.XLOOKUP(LEFT(SUBSTITUTE(G1367,"[{",""),FIND(",",SUBSTITUTE(G1367,"[{",""))-1),Sheet2!B:B,Sheet2!C:C)&amp;"+"&amp;1,_xlfn.XLOOKUP(LEFT(SUBSTITUTE(G1367,"[{",""),FIND(",",SUBSTITUTE(G1367,"[{",""))-1),Sheet2!B:B,Sheet2!C:C)&amp;"+"&amp;SUBSTITUTE(RIGHT(G1367,LEN(G1367)-FIND(",",G1367)),"}]","")/100&amp;"%")</f>
        <v>对精英增伤+8.9%</v>
      </c>
      <c r="L1367" s="83" t="str">
        <f ca="1">IF(MOD(COUNTIF($Q$11:Q1366,Q1366),5)=0,OFFSET(装备属性!$G$1083,1+INT(COUNTA($Q$11:Q1366)/5),0),L1366)</f>
        <v>Boss加餐Ⅲ</v>
      </c>
      <c r="M1367" s="89" t="str">
        <f ca="1">IF(MOD(COUNTIF($Q$11:Q1366,Q1366),5)=0,OFFSET(装备属性!$H$1083,1+INT(COUNTA($Q$11:Q1366)/5),0),M1366)</f>
        <v>elitist_monster_hit_rate</v>
      </c>
      <c r="N1367" s="76">
        <f ca="1">IF(MOD(COUNTIF($Q$11:Q1366,Q1366),5)=0,OFFSET(装备属性!$K$1083,1+INT(COUNTA($Q$11:Q1366)/5),0),N1366)</f>
        <v>0.086</v>
      </c>
      <c r="O1367" s="76">
        <f ca="1">IF(MOD(COUNTIF($Q$11:Q1366,Q1366),5)=0,OFFSET(装备属性!$L$1083,1+INT(COUNTA($Q$11:Q1366)/5),0),O1366)</f>
        <v>0.098</v>
      </c>
      <c r="Q1367" s="89" t="str">
        <f ca="1">IF(MOD(COUNTIF($Q$11:Q1366,Q1366),5)=0,OFFSET(装备属性!$M$1083,1+INT(COUNTA($Q$11:Q1366)/5),0),Q1366)</f>
        <v>玩法类</v>
      </c>
      <c r="R1367" s="83">
        <f ca="1">IF(MOD(COUNTIF($Q$11:Q1366,Q1366),5)=0,10000*SUBSTITUTE(SUBSTITUTE(OFFSET(装备属性!$F$1083,1+INT(COUNTA($Q$11:Q1366)/5),0),"[",""),"]","")+_xlfn.XLOOKUP(C1367,$M$3:$M$7,$N$3:$N$7)*100,R1366)</f>
        <v>50600</v>
      </c>
    </row>
    <row r="1368" customHeight="1" spans="1:18">
      <c r="A1368" s="78">
        <f ca="1" t="shared" si="63"/>
        <v>50602</v>
      </c>
      <c r="B1368" s="82">
        <f ca="1">IFERROR(R1368+COUNTIFS($R$11:$R1368,R1368),"")</f>
        <v>50613</v>
      </c>
      <c r="C1368" s="83" t="str">
        <f ca="1">IF(MOD(COUNTIF($Q$11:Q1367,Q1367),5)=0,OFFSET(装备属性!$D$1083,1+INT(COUNTA($Q$11:Q1367)/5),0),C1367)</f>
        <v>红</v>
      </c>
      <c r="D1368" s="82">
        <f t="shared" si="65"/>
        <v>2000</v>
      </c>
      <c r="F1368" s="82">
        <f ca="1" t="shared" si="64"/>
        <v>50602</v>
      </c>
      <c r="G1368" s="78" t="str">
        <f ca="1">IF(AND(LEFT("[{"&amp;M1368&amp;","&amp;CEILING(N1368*10000+(O1368-N1368)/4*(COUNTIF($F$11:F1368,F1368)-1)*10000,10)&amp;"}]",7)="[{equip",MID("[{"&amp;M1368&amp;","&amp;CEILING(N1368*10000+(O1368-N1368)/4*(COUNTIF($F$11:F1368,F1368)-1)*10000,10)&amp;"}]",8,1)&lt;&gt;"_"),"[{"&amp;M1368&amp;","&amp;1&amp;"}]","[{"&amp;M1368&amp;","&amp;CEILING(N1368*10000+(O1368-N1368)/4*(COUNTIF($F$11:F1368,F1368)-1)*10000,10)&amp;"}]")</f>
        <v>[{elitist_monster_hit_rate,920}]</v>
      </c>
      <c r="H1368" s="82" t="s">
        <v>563</v>
      </c>
      <c r="J1368" s="78">
        <f ca="1">IF(MOD(COUNTIF($Q$11:Q1367,Q1367),5)=0,OFFSET(装备属性!$P$1083,1+INT(COUNTA($Q$11:Q1367)/5),0),J1367)</f>
        <v>6</v>
      </c>
      <c r="K1368" s="83" t="str">
        <f ca="1">IF(RIGHT(G1368,13)="rune_slot,1}]",_xlfn.XLOOKUP(LEFT(SUBSTITUTE(G1368,"[{",""),FIND(",",SUBSTITUTE(G1368,"[{",""))-1),Sheet2!B:B,Sheet2!C:C)&amp;"+"&amp;1,_xlfn.XLOOKUP(LEFT(SUBSTITUTE(G1368,"[{",""),FIND(",",SUBSTITUTE(G1368,"[{",""))-1),Sheet2!B:B,Sheet2!C:C)&amp;"+"&amp;SUBSTITUTE(RIGHT(G1368,LEN(G1368)-FIND(",",G1368)),"}]","")/100&amp;"%")</f>
        <v>对精英增伤+9.2%</v>
      </c>
      <c r="L1368" s="83" t="str">
        <f ca="1">IF(MOD(COUNTIF($Q$11:Q1367,Q1367),5)=0,OFFSET(装备属性!$G$1083,1+INT(COUNTA($Q$11:Q1367)/5),0),L1367)</f>
        <v>Boss加餐Ⅲ</v>
      </c>
      <c r="M1368" s="89" t="str">
        <f ca="1">IF(MOD(COUNTIF($Q$11:Q1367,Q1367),5)=0,OFFSET(装备属性!$H$1083,1+INT(COUNTA($Q$11:Q1367)/5),0),M1367)</f>
        <v>elitist_monster_hit_rate</v>
      </c>
      <c r="N1368" s="76">
        <f ca="1">IF(MOD(COUNTIF($Q$11:Q1367,Q1367),5)=0,OFFSET(装备属性!$K$1083,1+INT(COUNTA($Q$11:Q1367)/5),0),N1367)</f>
        <v>0.086</v>
      </c>
      <c r="O1368" s="76">
        <f ca="1">IF(MOD(COUNTIF($Q$11:Q1367,Q1367),5)=0,OFFSET(装备属性!$L$1083,1+INT(COUNTA($Q$11:Q1367)/5),0),O1367)</f>
        <v>0.098</v>
      </c>
      <c r="Q1368" s="89" t="str">
        <f ca="1">IF(MOD(COUNTIF($Q$11:Q1367,Q1367),5)=0,OFFSET(装备属性!$M$1083,1+INT(COUNTA($Q$11:Q1367)/5),0),Q1367)</f>
        <v>玩法类</v>
      </c>
      <c r="R1368" s="83">
        <f ca="1">IF(MOD(COUNTIF($Q$11:Q1367,Q1367),5)=0,10000*SUBSTITUTE(SUBSTITUTE(OFFSET(装备属性!$F$1083,1+INT(COUNTA($Q$11:Q1367)/5),0),"[",""),"]","")+_xlfn.XLOOKUP(C1368,$M$3:$M$7,$N$3:$N$7)*100,R1367)</f>
        <v>50600</v>
      </c>
    </row>
    <row r="1369" customHeight="1" spans="1:18">
      <c r="A1369" s="78">
        <f ca="1" t="shared" si="63"/>
        <v>50602</v>
      </c>
      <c r="B1369" s="82">
        <f ca="1">IFERROR(R1369+COUNTIFS($R$11:$R1369,R1369),"")</f>
        <v>50614</v>
      </c>
      <c r="C1369" s="83" t="str">
        <f ca="1">IF(MOD(COUNTIF($Q$11:Q1368,Q1368),5)=0,OFFSET(装备属性!$D$1083,1+INT(COUNTA($Q$11:Q1368)/5),0),C1368)</f>
        <v>红</v>
      </c>
      <c r="D1369" s="82">
        <f t="shared" si="65"/>
        <v>1500</v>
      </c>
      <c r="F1369" s="82">
        <f ca="1" t="shared" si="64"/>
        <v>50602</v>
      </c>
      <c r="G1369" s="78" t="str">
        <f ca="1">IF(AND(LEFT("[{"&amp;M1369&amp;","&amp;CEILING(N1369*10000+(O1369-N1369)/4*(COUNTIF($F$11:F1369,F1369)-1)*10000,10)&amp;"}]",7)="[{equip",MID("[{"&amp;M1369&amp;","&amp;CEILING(N1369*10000+(O1369-N1369)/4*(COUNTIF($F$11:F1369,F1369)-1)*10000,10)&amp;"}]",8,1)&lt;&gt;"_"),"[{"&amp;M1369&amp;","&amp;1&amp;"}]","[{"&amp;M1369&amp;","&amp;CEILING(N1369*10000+(O1369-N1369)/4*(COUNTIF($F$11:F1369,F1369)-1)*10000,10)&amp;"}]")</f>
        <v>[{elitist_monster_hit_rate,950}]</v>
      </c>
      <c r="H1369" s="82" t="s">
        <v>563</v>
      </c>
      <c r="J1369" s="78">
        <f ca="1">IF(MOD(COUNTIF($Q$11:Q1368,Q1368),5)=0,OFFSET(装备属性!$P$1083,1+INT(COUNTA($Q$11:Q1368)/5),0),J1368)</f>
        <v>6</v>
      </c>
      <c r="K1369" s="83" t="str">
        <f ca="1">IF(RIGHT(G1369,13)="rune_slot,1}]",_xlfn.XLOOKUP(LEFT(SUBSTITUTE(G1369,"[{",""),FIND(",",SUBSTITUTE(G1369,"[{",""))-1),Sheet2!B:B,Sheet2!C:C)&amp;"+"&amp;1,_xlfn.XLOOKUP(LEFT(SUBSTITUTE(G1369,"[{",""),FIND(",",SUBSTITUTE(G1369,"[{",""))-1),Sheet2!B:B,Sheet2!C:C)&amp;"+"&amp;SUBSTITUTE(RIGHT(G1369,LEN(G1369)-FIND(",",G1369)),"}]","")/100&amp;"%")</f>
        <v>对精英增伤+9.5%</v>
      </c>
      <c r="L1369" s="83" t="str">
        <f ca="1">IF(MOD(COUNTIF($Q$11:Q1368,Q1368),5)=0,OFFSET(装备属性!$G$1083,1+INT(COUNTA($Q$11:Q1368)/5),0),L1368)</f>
        <v>Boss加餐Ⅲ</v>
      </c>
      <c r="M1369" s="89" t="str">
        <f ca="1">IF(MOD(COUNTIF($Q$11:Q1368,Q1368),5)=0,OFFSET(装备属性!$H$1083,1+INT(COUNTA($Q$11:Q1368)/5),0),M1368)</f>
        <v>elitist_monster_hit_rate</v>
      </c>
      <c r="N1369" s="76">
        <f ca="1">IF(MOD(COUNTIF($Q$11:Q1368,Q1368),5)=0,OFFSET(装备属性!$K$1083,1+INT(COUNTA($Q$11:Q1368)/5),0),N1368)</f>
        <v>0.086</v>
      </c>
      <c r="O1369" s="76">
        <f ca="1">IF(MOD(COUNTIF($Q$11:Q1368,Q1368),5)=0,OFFSET(装备属性!$L$1083,1+INT(COUNTA($Q$11:Q1368)/5),0),O1368)</f>
        <v>0.098</v>
      </c>
      <c r="Q1369" s="89" t="str">
        <f ca="1">IF(MOD(COUNTIF($Q$11:Q1368,Q1368),5)=0,OFFSET(装备属性!$M$1083,1+INT(COUNTA($Q$11:Q1368)/5),0),Q1368)</f>
        <v>玩法类</v>
      </c>
      <c r="R1369" s="83">
        <f ca="1">IF(MOD(COUNTIF($Q$11:Q1368,Q1368),5)=0,10000*SUBSTITUTE(SUBSTITUTE(OFFSET(装备属性!$F$1083,1+INT(COUNTA($Q$11:Q1368)/5),0),"[",""),"]","")+_xlfn.XLOOKUP(C1369,$M$3:$M$7,$N$3:$N$7)*100,R1368)</f>
        <v>50600</v>
      </c>
    </row>
    <row r="1370" customHeight="1" spans="1:18">
      <c r="A1370" s="78">
        <f ca="1" t="shared" si="63"/>
        <v>50602</v>
      </c>
      <c r="B1370" s="82">
        <f ca="1">IFERROR(R1370+COUNTIFS($R$11:$R1370,R1370),"")</f>
        <v>50615</v>
      </c>
      <c r="C1370" s="83" t="str">
        <f ca="1">IF(MOD(COUNTIF($Q$11:Q1369,Q1369),5)=0,OFFSET(装备属性!$D$1083,1+INT(COUNTA($Q$11:Q1369)/5),0),C1369)</f>
        <v>红</v>
      </c>
      <c r="D1370" s="82">
        <f t="shared" si="65"/>
        <v>1000</v>
      </c>
      <c r="F1370" s="82">
        <f ca="1" t="shared" si="64"/>
        <v>50602</v>
      </c>
      <c r="G1370" s="78" t="str">
        <f ca="1">IF(AND(LEFT("[{"&amp;M1370&amp;","&amp;CEILING(N1370*10000+(O1370-N1370)/4*(COUNTIF($F$11:F1370,F1370)-1)*10000,10)&amp;"}]",7)="[{equip",MID("[{"&amp;M1370&amp;","&amp;CEILING(N1370*10000+(O1370-N1370)/4*(COUNTIF($F$11:F1370,F1370)-1)*10000,10)&amp;"}]",8,1)&lt;&gt;"_"),"[{"&amp;M1370&amp;","&amp;1&amp;"}]","[{"&amp;M1370&amp;","&amp;CEILING(N1370*10000+(O1370-N1370)/4*(COUNTIF($F$11:F1370,F1370)-1)*10000,10)&amp;"}]")</f>
        <v>[{elitist_monster_hit_rate,980}]</v>
      </c>
      <c r="H1370" s="82" t="s">
        <v>563</v>
      </c>
      <c r="J1370" s="78">
        <f ca="1">IF(MOD(COUNTIF($Q$11:Q1369,Q1369),5)=0,OFFSET(装备属性!$P$1083,1+INT(COUNTA($Q$11:Q1369)/5),0),J1369)</f>
        <v>6</v>
      </c>
      <c r="K1370" s="83" t="str">
        <f ca="1">IF(RIGHT(G1370,13)="rune_slot,1}]",_xlfn.XLOOKUP(LEFT(SUBSTITUTE(G1370,"[{",""),FIND(",",SUBSTITUTE(G1370,"[{",""))-1),Sheet2!B:B,Sheet2!C:C)&amp;"+"&amp;1,_xlfn.XLOOKUP(LEFT(SUBSTITUTE(G1370,"[{",""),FIND(",",SUBSTITUTE(G1370,"[{",""))-1),Sheet2!B:B,Sheet2!C:C)&amp;"+"&amp;SUBSTITUTE(RIGHT(G1370,LEN(G1370)-FIND(",",G1370)),"}]","")/100&amp;"%")</f>
        <v>对精英增伤+9.8%</v>
      </c>
      <c r="L1370" s="83" t="str">
        <f ca="1">IF(MOD(COUNTIF($Q$11:Q1369,Q1369),5)=0,OFFSET(装备属性!$G$1083,1+INT(COUNTA($Q$11:Q1369)/5),0),L1369)</f>
        <v>Boss加餐Ⅲ</v>
      </c>
      <c r="M1370" s="89" t="str">
        <f ca="1">IF(MOD(COUNTIF($Q$11:Q1369,Q1369),5)=0,OFFSET(装备属性!$H$1083,1+INT(COUNTA($Q$11:Q1369)/5),0),M1369)</f>
        <v>elitist_monster_hit_rate</v>
      </c>
      <c r="N1370" s="76">
        <f ca="1">IF(MOD(COUNTIF($Q$11:Q1369,Q1369),5)=0,OFFSET(装备属性!$K$1083,1+INT(COUNTA($Q$11:Q1369)/5),0),N1369)</f>
        <v>0.086</v>
      </c>
      <c r="O1370" s="76">
        <f ca="1">IF(MOD(COUNTIF($Q$11:Q1369,Q1369),5)=0,OFFSET(装备属性!$L$1083,1+INT(COUNTA($Q$11:Q1369)/5),0),O1369)</f>
        <v>0.098</v>
      </c>
      <c r="Q1370" s="89" t="str">
        <f ca="1">IF(MOD(COUNTIF($Q$11:Q1369,Q1369),5)=0,OFFSET(装备属性!$M$1083,1+INT(COUNTA($Q$11:Q1369)/5),0),Q1369)</f>
        <v>玩法类</v>
      </c>
      <c r="R1370" s="83">
        <f ca="1">IF(MOD(COUNTIF($Q$11:Q1369,Q1369),5)=0,10000*SUBSTITUTE(SUBSTITUTE(OFFSET(装备属性!$F$1083,1+INT(COUNTA($Q$11:Q1369)/5),0),"[",""),"]","")+_xlfn.XLOOKUP(C1370,$M$3:$M$7,$N$3:$N$7)*100,R1369)</f>
        <v>50600</v>
      </c>
    </row>
    <row r="1371" customHeight="1" spans="1:18">
      <c r="A1371" s="78">
        <f ca="1" t="shared" si="63"/>
        <v>50601</v>
      </c>
      <c r="B1371" s="82">
        <f ca="1">IFERROR(R1371+COUNTIFS($R$11:$R1371,R1371),"")</f>
        <v>50616</v>
      </c>
      <c r="C1371" s="83" t="str">
        <f ca="1">IF(MOD(COUNTIF($Q$11:Q1370,Q1370),5)=0,OFFSET(装备属性!$D$1083,1+INT(COUNTA($Q$11:Q1370)/5),0),C1370)</f>
        <v>红</v>
      </c>
      <c r="D1371" s="82">
        <f t="shared" si="65"/>
        <v>3000</v>
      </c>
      <c r="F1371" s="82">
        <f ca="1" t="shared" si="64"/>
        <v>50603</v>
      </c>
      <c r="G1371" s="78" t="str">
        <f ca="1">IF(AND(LEFT("[{"&amp;M1371&amp;","&amp;CEILING(N1371*10000+(O1371-N1371)/4*(COUNTIF($F$11:F1371,F1371)-1)*10000,10)&amp;"}]",7)="[{equip",MID("[{"&amp;M1371&amp;","&amp;CEILING(N1371*10000+(O1371-N1371)/4*(COUNTIF($F$11:F1371,F1371)-1)*10000,10)&amp;"}]",8,1)&lt;&gt;"_"),"[{"&amp;M1371&amp;","&amp;1&amp;"}]","[{"&amp;M1371&amp;","&amp;CEILING(N1371*10000+(O1371-N1371)/4*(COUNTIF($F$11:F1371,F1371)-1)*10000,10)&amp;"}]")</f>
        <v>[{control_dmg_rate,720}]</v>
      </c>
      <c r="H1371" s="82" t="s">
        <v>563</v>
      </c>
      <c r="J1371" s="78">
        <f ca="1">IF(MOD(COUNTIF($Q$11:Q1370,Q1370),5)=0,OFFSET(装备属性!$P$1083,1+INT(COUNTA($Q$11:Q1370)/5),0),J1370)</f>
        <v>5</v>
      </c>
      <c r="K1371" s="83" t="str">
        <f ca="1">IF(RIGHT(G1371,13)="rune_slot,1}]",_xlfn.XLOOKUP(LEFT(SUBSTITUTE(G1371,"[{",""),FIND(",",SUBSTITUTE(G1371,"[{",""))-1),Sheet2!B:B,Sheet2!C:C)&amp;"+"&amp;1,_xlfn.XLOOKUP(LEFT(SUBSTITUTE(G1371,"[{",""),FIND(",",SUBSTITUTE(G1371,"[{",""))-1),Sheet2!B:B,Sheet2!C:C)&amp;"+"&amp;SUBSTITUTE(RIGHT(G1371,LEN(G1371)-FIND(",",G1371)),"}]","")/100&amp;"%")</f>
        <v>控制伤害+7.2%</v>
      </c>
      <c r="L1371" s="83" t="str">
        <f ca="1">IF(MOD(COUNTIF($Q$11:Q1370,Q1370),5)=0,OFFSET(装备属性!$G$1083,1+INT(COUNTA($Q$11:Q1370)/5),0),L1370)</f>
        <v>控场添力Ⅲ</v>
      </c>
      <c r="M1371" s="89" t="str">
        <f ca="1">IF(MOD(COUNTIF($Q$11:Q1370,Q1370),5)=0,OFFSET(装备属性!$H$1083,1+INT(COUNTA($Q$11:Q1370)/5),0),M1370)</f>
        <v>control_dmg_rate</v>
      </c>
      <c r="N1371" s="76">
        <f ca="1">IF(MOD(COUNTIF($Q$11:Q1370,Q1370),5)=0,OFFSET(装备属性!$K$1083,1+INT(COUNTA($Q$11:Q1370)/5),0),N1370)</f>
        <v>0.072</v>
      </c>
      <c r="O1371" s="76">
        <f ca="1">IF(MOD(COUNTIF($Q$11:Q1370,Q1370),5)=0,OFFSET(装备属性!$L$1083,1+INT(COUNTA($Q$11:Q1370)/5),0),O1370)</f>
        <v>0.086</v>
      </c>
      <c r="Q1371" s="89" t="str">
        <f ca="1">IF(MOD(COUNTIF($Q$11:Q1370,Q1370),5)=0,OFFSET(装备属性!$M$1083,1+INT(COUNTA($Q$11:Q1370)/5),0),Q1370)</f>
        <v>通用属性</v>
      </c>
      <c r="R1371" s="83">
        <f ca="1">IF(MOD(COUNTIF($Q$11:Q1370,Q1370),5)=0,10000*SUBSTITUTE(SUBSTITUTE(OFFSET(装备属性!$F$1083,1+INT(COUNTA($Q$11:Q1370)/5),0),"[",""),"]","")+_xlfn.XLOOKUP(C1371,$M$3:$M$7,$N$3:$N$7)*100,R1370)</f>
        <v>50600</v>
      </c>
    </row>
    <row r="1372" customHeight="1" spans="1:18">
      <c r="A1372" s="78">
        <f ca="1" t="shared" si="63"/>
        <v>50601</v>
      </c>
      <c r="B1372" s="82">
        <f ca="1">IFERROR(R1372+COUNTIFS($R$11:$R1372,R1372),"")</f>
        <v>50617</v>
      </c>
      <c r="C1372" s="83" t="str">
        <f ca="1">IF(MOD(COUNTIF($Q$11:Q1371,Q1371),5)=0,OFFSET(装备属性!$D$1083,1+INT(COUNTA($Q$11:Q1371)/5),0),C1371)</f>
        <v>红</v>
      </c>
      <c r="D1372" s="82">
        <f t="shared" si="65"/>
        <v>2500</v>
      </c>
      <c r="F1372" s="82">
        <f ca="1" t="shared" si="64"/>
        <v>50603</v>
      </c>
      <c r="G1372" s="78" t="str">
        <f ca="1">IF(AND(LEFT("[{"&amp;M1372&amp;","&amp;CEILING(N1372*10000+(O1372-N1372)/4*(COUNTIF($F$11:F1372,F1372)-1)*10000,10)&amp;"}]",7)="[{equip",MID("[{"&amp;M1372&amp;","&amp;CEILING(N1372*10000+(O1372-N1372)/4*(COUNTIF($F$11:F1372,F1372)-1)*10000,10)&amp;"}]",8,1)&lt;&gt;"_"),"[{"&amp;M1372&amp;","&amp;1&amp;"}]","[{"&amp;M1372&amp;","&amp;CEILING(N1372*10000+(O1372-N1372)/4*(COUNTIF($F$11:F1372,F1372)-1)*10000,10)&amp;"}]")</f>
        <v>[{control_dmg_rate,760}]</v>
      </c>
      <c r="H1372" s="82" t="s">
        <v>563</v>
      </c>
      <c r="J1372" s="78">
        <f ca="1">IF(MOD(COUNTIF($Q$11:Q1371,Q1371),5)=0,OFFSET(装备属性!$P$1083,1+INT(COUNTA($Q$11:Q1371)/5),0),J1371)</f>
        <v>5</v>
      </c>
      <c r="K1372" s="83" t="str">
        <f ca="1">IF(RIGHT(G1372,13)="rune_slot,1}]",_xlfn.XLOOKUP(LEFT(SUBSTITUTE(G1372,"[{",""),FIND(",",SUBSTITUTE(G1372,"[{",""))-1),Sheet2!B:B,Sheet2!C:C)&amp;"+"&amp;1,_xlfn.XLOOKUP(LEFT(SUBSTITUTE(G1372,"[{",""),FIND(",",SUBSTITUTE(G1372,"[{",""))-1),Sheet2!B:B,Sheet2!C:C)&amp;"+"&amp;SUBSTITUTE(RIGHT(G1372,LEN(G1372)-FIND(",",G1372)),"}]","")/100&amp;"%")</f>
        <v>控制伤害+7.6%</v>
      </c>
      <c r="L1372" s="83" t="str">
        <f ca="1">IF(MOD(COUNTIF($Q$11:Q1371,Q1371),5)=0,OFFSET(装备属性!$G$1083,1+INT(COUNTA($Q$11:Q1371)/5),0),L1371)</f>
        <v>控场添力Ⅲ</v>
      </c>
      <c r="M1372" s="89" t="str">
        <f ca="1">IF(MOD(COUNTIF($Q$11:Q1371,Q1371),5)=0,OFFSET(装备属性!$H$1083,1+INT(COUNTA($Q$11:Q1371)/5),0),M1371)</f>
        <v>control_dmg_rate</v>
      </c>
      <c r="N1372" s="76">
        <f ca="1">IF(MOD(COUNTIF($Q$11:Q1371,Q1371),5)=0,OFFSET(装备属性!$K$1083,1+INT(COUNTA($Q$11:Q1371)/5),0),N1371)</f>
        <v>0.072</v>
      </c>
      <c r="O1372" s="76">
        <f ca="1">IF(MOD(COUNTIF($Q$11:Q1371,Q1371),5)=0,OFFSET(装备属性!$L$1083,1+INT(COUNTA($Q$11:Q1371)/5),0),O1371)</f>
        <v>0.086</v>
      </c>
      <c r="Q1372" s="89" t="str">
        <f ca="1">IF(MOD(COUNTIF($Q$11:Q1371,Q1371),5)=0,OFFSET(装备属性!$M$1083,1+INT(COUNTA($Q$11:Q1371)/5),0),Q1371)</f>
        <v>通用属性</v>
      </c>
      <c r="R1372" s="83">
        <f ca="1">IF(MOD(COUNTIF($Q$11:Q1371,Q1371),5)=0,10000*SUBSTITUTE(SUBSTITUTE(OFFSET(装备属性!$F$1083,1+INT(COUNTA($Q$11:Q1371)/5),0),"[",""),"]","")+_xlfn.XLOOKUP(C1372,$M$3:$M$7,$N$3:$N$7)*100,R1371)</f>
        <v>50600</v>
      </c>
    </row>
    <row r="1373" customHeight="1" spans="1:18">
      <c r="A1373" s="78">
        <f ca="1" t="shared" si="63"/>
        <v>50601</v>
      </c>
      <c r="B1373" s="82">
        <f ca="1">IFERROR(R1373+COUNTIFS($R$11:$R1373,R1373),"")</f>
        <v>50618</v>
      </c>
      <c r="C1373" s="83" t="str">
        <f ca="1">IF(MOD(COUNTIF($Q$11:Q1372,Q1372),5)=0,OFFSET(装备属性!$D$1083,1+INT(COUNTA($Q$11:Q1372)/5),0),C1372)</f>
        <v>红</v>
      </c>
      <c r="D1373" s="82">
        <f t="shared" si="65"/>
        <v>2000</v>
      </c>
      <c r="F1373" s="82">
        <f ca="1" t="shared" si="64"/>
        <v>50603</v>
      </c>
      <c r="G1373" s="78" t="str">
        <f ca="1">IF(AND(LEFT("[{"&amp;M1373&amp;","&amp;CEILING(N1373*10000+(O1373-N1373)/4*(COUNTIF($F$11:F1373,F1373)-1)*10000,10)&amp;"}]",7)="[{equip",MID("[{"&amp;M1373&amp;","&amp;CEILING(N1373*10000+(O1373-N1373)/4*(COUNTIF($F$11:F1373,F1373)-1)*10000,10)&amp;"}]",8,1)&lt;&gt;"_"),"[{"&amp;M1373&amp;","&amp;1&amp;"}]","[{"&amp;M1373&amp;","&amp;CEILING(N1373*10000+(O1373-N1373)/4*(COUNTIF($F$11:F1373,F1373)-1)*10000,10)&amp;"}]")</f>
        <v>[{control_dmg_rate,790}]</v>
      </c>
      <c r="H1373" s="82" t="s">
        <v>563</v>
      </c>
      <c r="J1373" s="78">
        <f ca="1">IF(MOD(COUNTIF($Q$11:Q1372,Q1372),5)=0,OFFSET(装备属性!$P$1083,1+INT(COUNTA($Q$11:Q1372)/5),0),J1372)</f>
        <v>5</v>
      </c>
      <c r="K1373" s="83" t="str">
        <f ca="1">IF(RIGHT(G1373,13)="rune_slot,1}]",_xlfn.XLOOKUP(LEFT(SUBSTITUTE(G1373,"[{",""),FIND(",",SUBSTITUTE(G1373,"[{",""))-1),Sheet2!B:B,Sheet2!C:C)&amp;"+"&amp;1,_xlfn.XLOOKUP(LEFT(SUBSTITUTE(G1373,"[{",""),FIND(",",SUBSTITUTE(G1373,"[{",""))-1),Sheet2!B:B,Sheet2!C:C)&amp;"+"&amp;SUBSTITUTE(RIGHT(G1373,LEN(G1373)-FIND(",",G1373)),"}]","")/100&amp;"%")</f>
        <v>控制伤害+7.9%</v>
      </c>
      <c r="L1373" s="83" t="str">
        <f ca="1">IF(MOD(COUNTIF($Q$11:Q1372,Q1372),5)=0,OFFSET(装备属性!$G$1083,1+INT(COUNTA($Q$11:Q1372)/5),0),L1372)</f>
        <v>控场添力Ⅲ</v>
      </c>
      <c r="M1373" s="89" t="str">
        <f ca="1">IF(MOD(COUNTIF($Q$11:Q1372,Q1372),5)=0,OFFSET(装备属性!$H$1083,1+INT(COUNTA($Q$11:Q1372)/5),0),M1372)</f>
        <v>control_dmg_rate</v>
      </c>
      <c r="N1373" s="76">
        <f ca="1">IF(MOD(COUNTIF($Q$11:Q1372,Q1372),5)=0,OFFSET(装备属性!$K$1083,1+INT(COUNTA($Q$11:Q1372)/5),0),N1372)</f>
        <v>0.072</v>
      </c>
      <c r="O1373" s="76">
        <f ca="1">IF(MOD(COUNTIF($Q$11:Q1372,Q1372),5)=0,OFFSET(装备属性!$L$1083,1+INT(COUNTA($Q$11:Q1372)/5),0),O1372)</f>
        <v>0.086</v>
      </c>
      <c r="Q1373" s="89" t="str">
        <f ca="1">IF(MOD(COUNTIF($Q$11:Q1372,Q1372),5)=0,OFFSET(装备属性!$M$1083,1+INT(COUNTA($Q$11:Q1372)/5),0),Q1372)</f>
        <v>通用属性</v>
      </c>
      <c r="R1373" s="83">
        <f ca="1">IF(MOD(COUNTIF($Q$11:Q1372,Q1372),5)=0,10000*SUBSTITUTE(SUBSTITUTE(OFFSET(装备属性!$F$1083,1+INT(COUNTA($Q$11:Q1372)/5),0),"[",""),"]","")+_xlfn.XLOOKUP(C1373,$M$3:$M$7,$N$3:$N$7)*100,R1372)</f>
        <v>50600</v>
      </c>
    </row>
    <row r="1374" customHeight="1" spans="1:18">
      <c r="A1374" s="78">
        <f ca="1" t="shared" si="63"/>
        <v>50601</v>
      </c>
      <c r="B1374" s="82">
        <f ca="1">IFERROR(R1374+COUNTIFS($R$11:$R1374,R1374),"")</f>
        <v>50619</v>
      </c>
      <c r="C1374" s="83" t="str">
        <f ca="1">IF(MOD(COUNTIF($Q$11:Q1373,Q1373),5)=0,OFFSET(装备属性!$D$1083,1+INT(COUNTA($Q$11:Q1373)/5),0),C1373)</f>
        <v>红</v>
      </c>
      <c r="D1374" s="82">
        <f t="shared" si="65"/>
        <v>1500</v>
      </c>
      <c r="F1374" s="82">
        <f ca="1" t="shared" si="64"/>
        <v>50603</v>
      </c>
      <c r="G1374" s="78" t="str">
        <f ca="1">IF(AND(LEFT("[{"&amp;M1374&amp;","&amp;CEILING(N1374*10000+(O1374-N1374)/4*(COUNTIF($F$11:F1374,F1374)-1)*10000,10)&amp;"}]",7)="[{equip",MID("[{"&amp;M1374&amp;","&amp;CEILING(N1374*10000+(O1374-N1374)/4*(COUNTIF($F$11:F1374,F1374)-1)*10000,10)&amp;"}]",8,1)&lt;&gt;"_"),"[{"&amp;M1374&amp;","&amp;1&amp;"}]","[{"&amp;M1374&amp;","&amp;CEILING(N1374*10000+(O1374-N1374)/4*(COUNTIF($F$11:F1374,F1374)-1)*10000,10)&amp;"}]")</f>
        <v>[{control_dmg_rate,830}]</v>
      </c>
      <c r="H1374" s="82" t="s">
        <v>563</v>
      </c>
      <c r="J1374" s="78">
        <f ca="1">IF(MOD(COUNTIF($Q$11:Q1373,Q1373),5)=0,OFFSET(装备属性!$P$1083,1+INT(COUNTA($Q$11:Q1373)/5),0),J1373)</f>
        <v>5</v>
      </c>
      <c r="K1374" s="83" t="str">
        <f ca="1">IF(RIGHT(G1374,13)="rune_slot,1}]",_xlfn.XLOOKUP(LEFT(SUBSTITUTE(G1374,"[{",""),FIND(",",SUBSTITUTE(G1374,"[{",""))-1),Sheet2!B:B,Sheet2!C:C)&amp;"+"&amp;1,_xlfn.XLOOKUP(LEFT(SUBSTITUTE(G1374,"[{",""),FIND(",",SUBSTITUTE(G1374,"[{",""))-1),Sheet2!B:B,Sheet2!C:C)&amp;"+"&amp;SUBSTITUTE(RIGHT(G1374,LEN(G1374)-FIND(",",G1374)),"}]","")/100&amp;"%")</f>
        <v>控制伤害+8.3%</v>
      </c>
      <c r="L1374" s="83" t="str">
        <f ca="1">IF(MOD(COUNTIF($Q$11:Q1373,Q1373),5)=0,OFFSET(装备属性!$G$1083,1+INT(COUNTA($Q$11:Q1373)/5),0),L1373)</f>
        <v>控场添力Ⅲ</v>
      </c>
      <c r="M1374" s="89" t="str">
        <f ca="1">IF(MOD(COUNTIF($Q$11:Q1373,Q1373),5)=0,OFFSET(装备属性!$H$1083,1+INT(COUNTA($Q$11:Q1373)/5),0),M1373)</f>
        <v>control_dmg_rate</v>
      </c>
      <c r="N1374" s="76">
        <f ca="1">IF(MOD(COUNTIF($Q$11:Q1373,Q1373),5)=0,OFFSET(装备属性!$K$1083,1+INT(COUNTA($Q$11:Q1373)/5),0),N1373)</f>
        <v>0.072</v>
      </c>
      <c r="O1374" s="76">
        <f ca="1">IF(MOD(COUNTIF($Q$11:Q1373,Q1373),5)=0,OFFSET(装备属性!$L$1083,1+INT(COUNTA($Q$11:Q1373)/5),0),O1373)</f>
        <v>0.086</v>
      </c>
      <c r="Q1374" s="89" t="str">
        <f ca="1">IF(MOD(COUNTIF($Q$11:Q1373,Q1373),5)=0,OFFSET(装备属性!$M$1083,1+INT(COUNTA($Q$11:Q1373)/5),0),Q1373)</f>
        <v>通用属性</v>
      </c>
      <c r="R1374" s="83">
        <f ca="1">IF(MOD(COUNTIF($Q$11:Q1373,Q1373),5)=0,10000*SUBSTITUTE(SUBSTITUTE(OFFSET(装备属性!$F$1083,1+INT(COUNTA($Q$11:Q1373)/5),0),"[",""),"]","")+_xlfn.XLOOKUP(C1374,$M$3:$M$7,$N$3:$N$7)*100,R1373)</f>
        <v>50600</v>
      </c>
    </row>
    <row r="1375" customHeight="1" spans="1:18">
      <c r="A1375" s="78">
        <f ca="1" t="shared" si="63"/>
        <v>50601</v>
      </c>
      <c r="B1375" s="82">
        <f ca="1">IFERROR(R1375+COUNTIFS($R$11:$R1375,R1375),"")</f>
        <v>50620</v>
      </c>
      <c r="C1375" s="83" t="str">
        <f ca="1">IF(MOD(COUNTIF($Q$11:Q1374,Q1374),5)=0,OFFSET(装备属性!$D$1083,1+INT(COUNTA($Q$11:Q1374)/5),0),C1374)</f>
        <v>红</v>
      </c>
      <c r="D1375" s="82">
        <f t="shared" si="65"/>
        <v>1000</v>
      </c>
      <c r="F1375" s="82">
        <f ca="1" t="shared" si="64"/>
        <v>50603</v>
      </c>
      <c r="G1375" s="78" t="str">
        <f ca="1">IF(AND(LEFT("[{"&amp;M1375&amp;","&amp;CEILING(N1375*10000+(O1375-N1375)/4*(COUNTIF($F$11:F1375,F1375)-1)*10000,10)&amp;"}]",7)="[{equip",MID("[{"&amp;M1375&amp;","&amp;CEILING(N1375*10000+(O1375-N1375)/4*(COUNTIF($F$11:F1375,F1375)-1)*10000,10)&amp;"}]",8,1)&lt;&gt;"_"),"[{"&amp;M1375&amp;","&amp;1&amp;"}]","[{"&amp;M1375&amp;","&amp;CEILING(N1375*10000+(O1375-N1375)/4*(COUNTIF($F$11:F1375,F1375)-1)*10000,10)&amp;"}]")</f>
        <v>[{control_dmg_rate,860}]</v>
      </c>
      <c r="H1375" s="82" t="s">
        <v>563</v>
      </c>
      <c r="J1375" s="78">
        <f ca="1">IF(MOD(COUNTIF($Q$11:Q1374,Q1374),5)=0,OFFSET(装备属性!$P$1083,1+INT(COUNTA($Q$11:Q1374)/5),0),J1374)</f>
        <v>5</v>
      </c>
      <c r="K1375" s="83" t="str">
        <f ca="1">IF(RIGHT(G1375,13)="rune_slot,1}]",_xlfn.XLOOKUP(LEFT(SUBSTITUTE(G1375,"[{",""),FIND(",",SUBSTITUTE(G1375,"[{",""))-1),Sheet2!B:B,Sheet2!C:C)&amp;"+"&amp;1,_xlfn.XLOOKUP(LEFT(SUBSTITUTE(G1375,"[{",""),FIND(",",SUBSTITUTE(G1375,"[{",""))-1),Sheet2!B:B,Sheet2!C:C)&amp;"+"&amp;SUBSTITUTE(RIGHT(G1375,LEN(G1375)-FIND(",",G1375)),"}]","")/100&amp;"%")</f>
        <v>控制伤害+8.6%</v>
      </c>
      <c r="L1375" s="83" t="str">
        <f ca="1">IF(MOD(COUNTIF($Q$11:Q1374,Q1374),5)=0,OFFSET(装备属性!$G$1083,1+INT(COUNTA($Q$11:Q1374)/5),0),L1374)</f>
        <v>控场添力Ⅲ</v>
      </c>
      <c r="M1375" s="89" t="str">
        <f ca="1">IF(MOD(COUNTIF($Q$11:Q1374,Q1374),5)=0,OFFSET(装备属性!$H$1083,1+INT(COUNTA($Q$11:Q1374)/5),0),M1374)</f>
        <v>control_dmg_rate</v>
      </c>
      <c r="N1375" s="76">
        <f ca="1">IF(MOD(COUNTIF($Q$11:Q1374,Q1374),5)=0,OFFSET(装备属性!$K$1083,1+INT(COUNTA($Q$11:Q1374)/5),0),N1374)</f>
        <v>0.072</v>
      </c>
      <c r="O1375" s="76">
        <f ca="1">IF(MOD(COUNTIF($Q$11:Q1374,Q1374),5)=0,OFFSET(装备属性!$L$1083,1+INT(COUNTA($Q$11:Q1374)/5),0),O1374)</f>
        <v>0.086</v>
      </c>
      <c r="Q1375" s="89" t="str">
        <f ca="1">IF(MOD(COUNTIF($Q$11:Q1374,Q1374),5)=0,OFFSET(装备属性!$M$1083,1+INT(COUNTA($Q$11:Q1374)/5),0),Q1374)</f>
        <v>通用属性</v>
      </c>
      <c r="R1375" s="83">
        <f ca="1">IF(MOD(COUNTIF($Q$11:Q1374,Q1374),5)=0,10000*SUBSTITUTE(SUBSTITUTE(OFFSET(装备属性!$F$1083,1+INT(COUNTA($Q$11:Q1374)/5),0),"[",""),"]","")+_xlfn.XLOOKUP(C1375,$M$3:$M$7,$N$3:$N$7)*100,R1374)</f>
        <v>50600</v>
      </c>
    </row>
    <row r="1376" customHeight="1" spans="1:18">
      <c r="A1376" s="78">
        <f ca="1" t="shared" si="63"/>
        <v>50601</v>
      </c>
      <c r="B1376" s="82">
        <f ca="1">IFERROR(R1376+COUNTIFS($R$11:$R1376,R1376),"")</f>
        <v>50621</v>
      </c>
      <c r="C1376" s="83" t="str">
        <f ca="1">IF(MOD(COUNTIF($Q$11:Q1375,Q1375),5)=0,OFFSET(装备属性!$D$1083,1+INT(COUNTA($Q$11:Q1375)/5),0),C1375)</f>
        <v>红</v>
      </c>
      <c r="D1376" s="82">
        <f t="shared" si="65"/>
        <v>3000</v>
      </c>
      <c r="F1376" s="82">
        <f ca="1" t="shared" si="64"/>
        <v>50604</v>
      </c>
      <c r="G1376" s="78" t="str">
        <f ca="1">IF(AND(LEFT("[{"&amp;M1376&amp;","&amp;CEILING(N1376*10000+(O1376-N1376)/4*(COUNTIF($F$11:F1376,F1376)-1)*10000,10)&amp;"}]",7)="[{equip",MID("[{"&amp;M1376&amp;","&amp;CEILING(N1376*10000+(O1376-N1376)/4*(COUNTIF($F$11:F1376,F1376)-1)*10000,10)&amp;"}]",8,1)&lt;&gt;"_"),"[{"&amp;M1376&amp;","&amp;1&amp;"}]","[{"&amp;M1376&amp;","&amp;CEILING(N1376*10000+(O1376-N1376)/4*(COUNTIF($F$11:F1376,F1376)-1)*10000,10)&amp;"}]")</f>
        <v>[{control_dmg_red_rate,250}]</v>
      </c>
      <c r="H1376" s="82" t="s">
        <v>563</v>
      </c>
      <c r="J1376" s="78">
        <f ca="1">IF(MOD(COUNTIF($Q$11:Q1375,Q1375),5)=0,OFFSET(装备属性!$P$1083,1+INT(COUNTA($Q$11:Q1375)/5),0),J1375)</f>
        <v>3</v>
      </c>
      <c r="K1376" s="83" t="str">
        <f ca="1">IF(RIGHT(G1376,13)="rune_slot,1}]",_xlfn.XLOOKUP(LEFT(SUBSTITUTE(G1376,"[{",""),FIND(",",SUBSTITUTE(G1376,"[{",""))-1),Sheet2!B:B,Sheet2!C:C)&amp;"+"&amp;1,_xlfn.XLOOKUP(LEFT(SUBSTITUTE(G1376,"[{",""),FIND(",",SUBSTITUTE(G1376,"[{",""))-1),Sheet2!B:B,Sheet2!C:C)&amp;"+"&amp;SUBSTITUTE(RIGHT(G1376,LEN(G1376)-FIND(",",G1376)),"}]","")/100&amp;"%")</f>
        <v>控制伤害减免+2.5%</v>
      </c>
      <c r="L1376" s="83" t="str">
        <f ca="1">IF(MOD(COUNTIF($Q$11:Q1375,Q1375),5)=0,OFFSET(装备属性!$G$1083,1+INT(COUNTA($Q$11:Q1375)/5),0),L1375)</f>
        <v>控场能苟Ⅲ</v>
      </c>
      <c r="M1376" s="89" t="str">
        <f ca="1">IF(MOD(COUNTIF($Q$11:Q1375,Q1375),5)=0,OFFSET(装备属性!$H$1083,1+INT(COUNTA($Q$11:Q1375)/5),0),M1375)</f>
        <v>control_dmg_red_rate</v>
      </c>
      <c r="N1376" s="76">
        <f ca="1">IF(MOD(COUNTIF($Q$11:Q1375,Q1375),5)=0,OFFSET(装备属性!$K$1083,1+INT(COUNTA($Q$11:Q1375)/5),0),N1375)</f>
        <v>0.025</v>
      </c>
      <c r="O1376" s="76">
        <f ca="1">IF(MOD(COUNTIF($Q$11:Q1375,Q1375),5)=0,OFFSET(装备属性!$L$1083,1+INT(COUNTA($Q$11:Q1375)/5),0),O1375)</f>
        <v>0.029</v>
      </c>
      <c r="Q1376" s="89" t="str">
        <f ca="1">IF(MOD(COUNTIF($Q$11:Q1375,Q1375),5)=0,OFFSET(装备属性!$M$1083,1+INT(COUNTA($Q$11:Q1375)/5),0),Q1375)</f>
        <v>通用属性</v>
      </c>
      <c r="R1376" s="83">
        <f ca="1">IF(MOD(COUNTIF($Q$11:Q1375,Q1375),5)=0,10000*SUBSTITUTE(SUBSTITUTE(OFFSET(装备属性!$F$1083,1+INT(COUNTA($Q$11:Q1375)/5),0),"[",""),"]","")+_xlfn.XLOOKUP(C1376,$M$3:$M$7,$N$3:$N$7)*100,R1375)</f>
        <v>50600</v>
      </c>
    </row>
    <row r="1377" customHeight="1" spans="1:18">
      <c r="A1377" s="78">
        <f ca="1" t="shared" si="63"/>
        <v>50601</v>
      </c>
      <c r="B1377" s="82">
        <f ca="1">IFERROR(R1377+COUNTIFS($R$11:$R1377,R1377),"")</f>
        <v>50622</v>
      </c>
      <c r="C1377" s="83" t="str">
        <f ca="1">IF(MOD(COUNTIF($Q$11:Q1376,Q1376),5)=0,OFFSET(装备属性!$D$1083,1+INT(COUNTA($Q$11:Q1376)/5),0),C1376)</f>
        <v>红</v>
      </c>
      <c r="D1377" s="82">
        <f t="shared" si="65"/>
        <v>2500</v>
      </c>
      <c r="F1377" s="82">
        <f ca="1" t="shared" si="64"/>
        <v>50604</v>
      </c>
      <c r="G1377" s="78" t="str">
        <f ca="1">IF(AND(LEFT("[{"&amp;M1377&amp;","&amp;CEILING(N1377*10000+(O1377-N1377)/4*(COUNTIF($F$11:F1377,F1377)-1)*10000,10)&amp;"}]",7)="[{equip",MID("[{"&amp;M1377&amp;","&amp;CEILING(N1377*10000+(O1377-N1377)/4*(COUNTIF($F$11:F1377,F1377)-1)*10000,10)&amp;"}]",8,1)&lt;&gt;"_"),"[{"&amp;M1377&amp;","&amp;1&amp;"}]","[{"&amp;M1377&amp;","&amp;CEILING(N1377*10000+(O1377-N1377)/4*(COUNTIF($F$11:F1377,F1377)-1)*10000,10)&amp;"}]")</f>
        <v>[{control_dmg_red_rate,260}]</v>
      </c>
      <c r="H1377" s="82" t="s">
        <v>563</v>
      </c>
      <c r="J1377" s="78">
        <f ca="1">IF(MOD(COUNTIF($Q$11:Q1376,Q1376),5)=0,OFFSET(装备属性!$P$1083,1+INT(COUNTA($Q$11:Q1376)/5),0),J1376)</f>
        <v>3</v>
      </c>
      <c r="K1377" s="83" t="str">
        <f ca="1">IF(RIGHT(G1377,13)="rune_slot,1}]",_xlfn.XLOOKUP(LEFT(SUBSTITUTE(G1377,"[{",""),FIND(",",SUBSTITUTE(G1377,"[{",""))-1),Sheet2!B:B,Sheet2!C:C)&amp;"+"&amp;1,_xlfn.XLOOKUP(LEFT(SUBSTITUTE(G1377,"[{",""),FIND(",",SUBSTITUTE(G1377,"[{",""))-1),Sheet2!B:B,Sheet2!C:C)&amp;"+"&amp;SUBSTITUTE(RIGHT(G1377,LEN(G1377)-FIND(",",G1377)),"}]","")/100&amp;"%")</f>
        <v>控制伤害减免+2.6%</v>
      </c>
      <c r="L1377" s="83" t="str">
        <f ca="1">IF(MOD(COUNTIF($Q$11:Q1376,Q1376),5)=0,OFFSET(装备属性!$G$1083,1+INT(COUNTA($Q$11:Q1376)/5),0),L1376)</f>
        <v>控场能苟Ⅲ</v>
      </c>
      <c r="M1377" s="89" t="str">
        <f ca="1">IF(MOD(COUNTIF($Q$11:Q1376,Q1376),5)=0,OFFSET(装备属性!$H$1083,1+INT(COUNTA($Q$11:Q1376)/5),0),M1376)</f>
        <v>control_dmg_red_rate</v>
      </c>
      <c r="N1377" s="76">
        <f ca="1">IF(MOD(COUNTIF($Q$11:Q1376,Q1376),5)=0,OFFSET(装备属性!$K$1083,1+INT(COUNTA($Q$11:Q1376)/5),0),N1376)</f>
        <v>0.025</v>
      </c>
      <c r="O1377" s="76">
        <f ca="1">IF(MOD(COUNTIF($Q$11:Q1376,Q1376),5)=0,OFFSET(装备属性!$L$1083,1+INT(COUNTA($Q$11:Q1376)/5),0),O1376)</f>
        <v>0.029</v>
      </c>
      <c r="Q1377" s="89" t="str">
        <f ca="1">IF(MOD(COUNTIF($Q$11:Q1376,Q1376),5)=0,OFFSET(装备属性!$M$1083,1+INT(COUNTA($Q$11:Q1376)/5),0),Q1376)</f>
        <v>通用属性</v>
      </c>
      <c r="R1377" s="83">
        <f ca="1">IF(MOD(COUNTIF($Q$11:Q1376,Q1376),5)=0,10000*SUBSTITUTE(SUBSTITUTE(OFFSET(装备属性!$F$1083,1+INT(COUNTA($Q$11:Q1376)/5),0),"[",""),"]","")+_xlfn.XLOOKUP(C1377,$M$3:$M$7,$N$3:$N$7)*100,R1376)</f>
        <v>50600</v>
      </c>
    </row>
    <row r="1378" customHeight="1" spans="1:18">
      <c r="A1378" s="78">
        <f ca="1" t="shared" si="63"/>
        <v>50601</v>
      </c>
      <c r="B1378" s="82">
        <f ca="1">IFERROR(R1378+COUNTIFS($R$11:$R1378,R1378),"")</f>
        <v>50623</v>
      </c>
      <c r="C1378" s="83" t="str">
        <f ca="1">IF(MOD(COUNTIF($Q$11:Q1377,Q1377),5)=0,OFFSET(装备属性!$D$1083,1+INT(COUNTA($Q$11:Q1377)/5),0),C1377)</f>
        <v>红</v>
      </c>
      <c r="D1378" s="82">
        <f t="shared" si="65"/>
        <v>2000</v>
      </c>
      <c r="F1378" s="82">
        <f ca="1" t="shared" si="64"/>
        <v>50604</v>
      </c>
      <c r="G1378" s="78" t="str">
        <f ca="1">IF(AND(LEFT("[{"&amp;M1378&amp;","&amp;CEILING(N1378*10000+(O1378-N1378)/4*(COUNTIF($F$11:F1378,F1378)-1)*10000,10)&amp;"}]",7)="[{equip",MID("[{"&amp;M1378&amp;","&amp;CEILING(N1378*10000+(O1378-N1378)/4*(COUNTIF($F$11:F1378,F1378)-1)*10000,10)&amp;"}]",8,1)&lt;&gt;"_"),"[{"&amp;M1378&amp;","&amp;1&amp;"}]","[{"&amp;M1378&amp;","&amp;CEILING(N1378*10000+(O1378-N1378)/4*(COUNTIF($F$11:F1378,F1378)-1)*10000,10)&amp;"}]")</f>
        <v>[{control_dmg_red_rate,270}]</v>
      </c>
      <c r="H1378" s="82" t="s">
        <v>563</v>
      </c>
      <c r="J1378" s="78">
        <f ca="1">IF(MOD(COUNTIF($Q$11:Q1377,Q1377),5)=0,OFFSET(装备属性!$P$1083,1+INT(COUNTA($Q$11:Q1377)/5),0),J1377)</f>
        <v>3</v>
      </c>
      <c r="K1378" s="83" t="str">
        <f ca="1">IF(RIGHT(G1378,13)="rune_slot,1}]",_xlfn.XLOOKUP(LEFT(SUBSTITUTE(G1378,"[{",""),FIND(",",SUBSTITUTE(G1378,"[{",""))-1),Sheet2!B:B,Sheet2!C:C)&amp;"+"&amp;1,_xlfn.XLOOKUP(LEFT(SUBSTITUTE(G1378,"[{",""),FIND(",",SUBSTITUTE(G1378,"[{",""))-1),Sheet2!B:B,Sheet2!C:C)&amp;"+"&amp;SUBSTITUTE(RIGHT(G1378,LEN(G1378)-FIND(",",G1378)),"}]","")/100&amp;"%")</f>
        <v>控制伤害减免+2.7%</v>
      </c>
      <c r="L1378" s="83" t="str">
        <f ca="1">IF(MOD(COUNTIF($Q$11:Q1377,Q1377),5)=0,OFFSET(装备属性!$G$1083,1+INT(COUNTA($Q$11:Q1377)/5),0),L1377)</f>
        <v>控场能苟Ⅲ</v>
      </c>
      <c r="M1378" s="89" t="str">
        <f ca="1">IF(MOD(COUNTIF($Q$11:Q1377,Q1377),5)=0,OFFSET(装备属性!$H$1083,1+INT(COUNTA($Q$11:Q1377)/5),0),M1377)</f>
        <v>control_dmg_red_rate</v>
      </c>
      <c r="N1378" s="76">
        <f ca="1">IF(MOD(COUNTIF($Q$11:Q1377,Q1377),5)=0,OFFSET(装备属性!$K$1083,1+INT(COUNTA($Q$11:Q1377)/5),0),N1377)</f>
        <v>0.025</v>
      </c>
      <c r="O1378" s="76">
        <f ca="1">IF(MOD(COUNTIF($Q$11:Q1377,Q1377),5)=0,OFFSET(装备属性!$L$1083,1+INT(COUNTA($Q$11:Q1377)/5),0),O1377)</f>
        <v>0.029</v>
      </c>
      <c r="Q1378" s="89" t="str">
        <f ca="1">IF(MOD(COUNTIF($Q$11:Q1377,Q1377),5)=0,OFFSET(装备属性!$M$1083,1+INT(COUNTA($Q$11:Q1377)/5),0),Q1377)</f>
        <v>通用属性</v>
      </c>
      <c r="R1378" s="83">
        <f ca="1">IF(MOD(COUNTIF($Q$11:Q1377,Q1377),5)=0,10000*SUBSTITUTE(SUBSTITUTE(OFFSET(装备属性!$F$1083,1+INT(COUNTA($Q$11:Q1377)/5),0),"[",""),"]","")+_xlfn.XLOOKUP(C1378,$M$3:$M$7,$N$3:$N$7)*100,R1377)</f>
        <v>50600</v>
      </c>
    </row>
    <row r="1379" customHeight="1" spans="1:18">
      <c r="A1379" s="78">
        <f ca="1" t="shared" si="63"/>
        <v>50601</v>
      </c>
      <c r="B1379" s="82">
        <f ca="1">IFERROR(R1379+COUNTIFS($R$11:$R1379,R1379),"")</f>
        <v>50624</v>
      </c>
      <c r="C1379" s="83" t="str">
        <f ca="1">IF(MOD(COUNTIF($Q$11:Q1378,Q1378),5)=0,OFFSET(装备属性!$D$1083,1+INT(COUNTA($Q$11:Q1378)/5),0),C1378)</f>
        <v>红</v>
      </c>
      <c r="D1379" s="82">
        <f t="shared" si="65"/>
        <v>1500</v>
      </c>
      <c r="F1379" s="82">
        <f ca="1" t="shared" si="64"/>
        <v>50604</v>
      </c>
      <c r="G1379" s="78" t="str">
        <f ca="1">IF(AND(LEFT("[{"&amp;M1379&amp;","&amp;CEILING(N1379*10000+(O1379-N1379)/4*(COUNTIF($F$11:F1379,F1379)-1)*10000,10)&amp;"}]",7)="[{equip",MID("[{"&amp;M1379&amp;","&amp;CEILING(N1379*10000+(O1379-N1379)/4*(COUNTIF($F$11:F1379,F1379)-1)*10000,10)&amp;"}]",8,1)&lt;&gt;"_"),"[{"&amp;M1379&amp;","&amp;1&amp;"}]","[{"&amp;M1379&amp;","&amp;CEILING(N1379*10000+(O1379-N1379)/4*(COUNTIF($F$11:F1379,F1379)-1)*10000,10)&amp;"}]")</f>
        <v>[{control_dmg_red_rate,280}]</v>
      </c>
      <c r="H1379" s="82" t="s">
        <v>563</v>
      </c>
      <c r="J1379" s="78">
        <f ca="1">IF(MOD(COUNTIF($Q$11:Q1378,Q1378),5)=0,OFFSET(装备属性!$P$1083,1+INT(COUNTA($Q$11:Q1378)/5),0),J1378)</f>
        <v>3</v>
      </c>
      <c r="K1379" s="83" t="str">
        <f ca="1">IF(RIGHT(G1379,13)="rune_slot,1}]",_xlfn.XLOOKUP(LEFT(SUBSTITUTE(G1379,"[{",""),FIND(",",SUBSTITUTE(G1379,"[{",""))-1),Sheet2!B:B,Sheet2!C:C)&amp;"+"&amp;1,_xlfn.XLOOKUP(LEFT(SUBSTITUTE(G1379,"[{",""),FIND(",",SUBSTITUTE(G1379,"[{",""))-1),Sheet2!B:B,Sheet2!C:C)&amp;"+"&amp;SUBSTITUTE(RIGHT(G1379,LEN(G1379)-FIND(",",G1379)),"}]","")/100&amp;"%")</f>
        <v>控制伤害减免+2.8%</v>
      </c>
      <c r="L1379" s="83" t="str">
        <f ca="1">IF(MOD(COUNTIF($Q$11:Q1378,Q1378),5)=0,OFFSET(装备属性!$G$1083,1+INT(COUNTA($Q$11:Q1378)/5),0),L1378)</f>
        <v>控场能苟Ⅲ</v>
      </c>
      <c r="M1379" s="89" t="str">
        <f ca="1">IF(MOD(COUNTIF($Q$11:Q1378,Q1378),5)=0,OFFSET(装备属性!$H$1083,1+INT(COUNTA($Q$11:Q1378)/5),0),M1378)</f>
        <v>control_dmg_red_rate</v>
      </c>
      <c r="N1379" s="76">
        <f ca="1">IF(MOD(COUNTIF($Q$11:Q1378,Q1378),5)=0,OFFSET(装备属性!$K$1083,1+INT(COUNTA($Q$11:Q1378)/5),0),N1378)</f>
        <v>0.025</v>
      </c>
      <c r="O1379" s="76">
        <f ca="1">IF(MOD(COUNTIF($Q$11:Q1378,Q1378),5)=0,OFFSET(装备属性!$L$1083,1+INT(COUNTA($Q$11:Q1378)/5),0),O1378)</f>
        <v>0.029</v>
      </c>
      <c r="Q1379" s="89" t="str">
        <f ca="1">IF(MOD(COUNTIF($Q$11:Q1378,Q1378),5)=0,OFFSET(装备属性!$M$1083,1+INT(COUNTA($Q$11:Q1378)/5),0),Q1378)</f>
        <v>通用属性</v>
      </c>
      <c r="R1379" s="83">
        <f ca="1">IF(MOD(COUNTIF($Q$11:Q1378,Q1378),5)=0,10000*SUBSTITUTE(SUBSTITUTE(OFFSET(装备属性!$F$1083,1+INT(COUNTA($Q$11:Q1378)/5),0),"[",""),"]","")+_xlfn.XLOOKUP(C1379,$M$3:$M$7,$N$3:$N$7)*100,R1378)</f>
        <v>50600</v>
      </c>
    </row>
    <row r="1380" customHeight="1" spans="1:18">
      <c r="A1380" s="78">
        <f ca="1" t="shared" si="63"/>
        <v>50601</v>
      </c>
      <c r="B1380" s="82">
        <f ca="1">IFERROR(R1380+COUNTIFS($R$11:$R1380,R1380),"")</f>
        <v>50625</v>
      </c>
      <c r="C1380" s="83" t="str">
        <f ca="1">IF(MOD(COUNTIF($Q$11:Q1379,Q1379),5)=0,OFFSET(装备属性!$D$1083,1+INT(COUNTA($Q$11:Q1379)/5),0),C1379)</f>
        <v>红</v>
      </c>
      <c r="D1380" s="82">
        <f t="shared" si="65"/>
        <v>1000</v>
      </c>
      <c r="F1380" s="82">
        <f ca="1" t="shared" si="64"/>
        <v>50604</v>
      </c>
      <c r="G1380" s="78" t="str">
        <f ca="1">IF(AND(LEFT("[{"&amp;M1380&amp;","&amp;CEILING(N1380*10000+(O1380-N1380)/4*(COUNTIF($F$11:F1380,F1380)-1)*10000,10)&amp;"}]",7)="[{equip",MID("[{"&amp;M1380&amp;","&amp;CEILING(N1380*10000+(O1380-N1380)/4*(COUNTIF($F$11:F1380,F1380)-1)*10000,10)&amp;"}]",8,1)&lt;&gt;"_"),"[{"&amp;M1380&amp;","&amp;1&amp;"}]","[{"&amp;M1380&amp;","&amp;CEILING(N1380*10000+(O1380-N1380)/4*(COUNTIF($F$11:F1380,F1380)-1)*10000,10)&amp;"}]")</f>
        <v>[{control_dmg_red_rate,290}]</v>
      </c>
      <c r="H1380" s="82" t="s">
        <v>563</v>
      </c>
      <c r="J1380" s="78">
        <f ca="1">IF(MOD(COUNTIF($Q$11:Q1379,Q1379),5)=0,OFFSET(装备属性!$P$1083,1+INT(COUNTA($Q$11:Q1379)/5),0),J1379)</f>
        <v>3</v>
      </c>
      <c r="K1380" s="83" t="str">
        <f ca="1">IF(RIGHT(G1380,13)="rune_slot,1}]",_xlfn.XLOOKUP(LEFT(SUBSTITUTE(G1380,"[{",""),FIND(",",SUBSTITUTE(G1380,"[{",""))-1),Sheet2!B:B,Sheet2!C:C)&amp;"+"&amp;1,_xlfn.XLOOKUP(LEFT(SUBSTITUTE(G1380,"[{",""),FIND(",",SUBSTITUTE(G1380,"[{",""))-1),Sheet2!B:B,Sheet2!C:C)&amp;"+"&amp;SUBSTITUTE(RIGHT(G1380,LEN(G1380)-FIND(",",G1380)),"}]","")/100&amp;"%")</f>
        <v>控制伤害减免+2.9%</v>
      </c>
      <c r="L1380" s="83" t="str">
        <f ca="1">IF(MOD(COUNTIF($Q$11:Q1379,Q1379),5)=0,OFFSET(装备属性!$G$1083,1+INT(COUNTA($Q$11:Q1379)/5),0),L1379)</f>
        <v>控场能苟Ⅲ</v>
      </c>
      <c r="M1380" s="89" t="str">
        <f ca="1">IF(MOD(COUNTIF($Q$11:Q1379,Q1379),5)=0,OFFSET(装备属性!$H$1083,1+INT(COUNTA($Q$11:Q1379)/5),0),M1379)</f>
        <v>control_dmg_red_rate</v>
      </c>
      <c r="N1380" s="76">
        <f ca="1">IF(MOD(COUNTIF($Q$11:Q1379,Q1379),5)=0,OFFSET(装备属性!$K$1083,1+INT(COUNTA($Q$11:Q1379)/5),0),N1379)</f>
        <v>0.025</v>
      </c>
      <c r="O1380" s="76">
        <f ca="1">IF(MOD(COUNTIF($Q$11:Q1379,Q1379),5)=0,OFFSET(装备属性!$L$1083,1+INT(COUNTA($Q$11:Q1379)/5),0),O1379)</f>
        <v>0.029</v>
      </c>
      <c r="Q1380" s="89" t="str">
        <f ca="1">IF(MOD(COUNTIF($Q$11:Q1379,Q1379),5)=0,OFFSET(装备属性!$M$1083,1+INT(COUNTA($Q$11:Q1379)/5),0),Q1379)</f>
        <v>通用属性</v>
      </c>
      <c r="R1380" s="83">
        <f ca="1">IF(MOD(COUNTIF($Q$11:Q1379,Q1379),5)=0,10000*SUBSTITUTE(SUBSTITUTE(OFFSET(装备属性!$F$1083,1+INT(COUNTA($Q$11:Q1379)/5),0),"[",""),"]","")+_xlfn.XLOOKUP(C1380,$M$3:$M$7,$N$3:$N$7)*100,R1379)</f>
        <v>50600</v>
      </c>
    </row>
    <row r="1381" customHeight="1" spans="1:18">
      <c r="A1381" s="78">
        <f ca="1" t="shared" si="63"/>
        <v>50601</v>
      </c>
      <c r="B1381" s="82">
        <f ca="1">IFERROR(R1381+COUNTIFS($R$11:$R1381,R1381),"")</f>
        <v>50626</v>
      </c>
      <c r="C1381" s="83" t="str">
        <f ca="1">IF(MOD(COUNTIF($Q$11:Q1380,Q1380),5)=0,OFFSET(装备属性!$D$1083,1+INT(COUNTA($Q$11:Q1380)/5),0),C1380)</f>
        <v>红</v>
      </c>
      <c r="D1381" s="82">
        <f t="shared" si="65"/>
        <v>3000</v>
      </c>
      <c r="F1381" s="82">
        <f ca="1" t="shared" si="64"/>
        <v>50605</v>
      </c>
      <c r="G1381" s="78" t="str">
        <f ca="1">IF(AND(LEFT("[{"&amp;M1381&amp;","&amp;CEILING(N1381*10000+(O1381-N1381)/4*(COUNTIF($F$11:F1381,F1381)-1)*10000,10)&amp;"}]",7)="[{equip",MID("[{"&amp;M1381&amp;","&amp;CEILING(N1381*10000+(O1381-N1381)/4*(COUNTIF($F$11:F1381,F1381)-1)*10000,10)&amp;"}]",8,1)&lt;&gt;"_"),"[{"&amp;M1381&amp;","&amp;1&amp;"}]","[{"&amp;M1381&amp;","&amp;CEILING(N1381*10000+(O1381-N1381)/4*(COUNTIF($F$11:F1381,F1381)-1)*10000,10)&amp;"}]")</f>
        <v>[{control_class_dmg_rate,900}]</v>
      </c>
      <c r="H1381" s="82" t="s">
        <v>563</v>
      </c>
      <c r="J1381" s="78">
        <f ca="1">IF(MOD(COUNTIF($Q$11:Q1380,Q1380),5)=0,OFFSET(装备属性!$P$1083,1+INT(COUNTA($Q$11:Q1380)/5),0),J1380)</f>
        <v>4</v>
      </c>
      <c r="K1381" s="83" t="str">
        <f ca="1">IF(RIGHT(G1381,13)="rune_slot,1}]",_xlfn.XLOOKUP(LEFT(SUBSTITUTE(G1381,"[{",""),FIND(",",SUBSTITUTE(G1381,"[{",""))-1),Sheet2!B:B,Sheet2!C:C)&amp;"+"&amp;1,_xlfn.XLOOKUP(LEFT(SUBSTITUTE(G1381,"[{",""),FIND(",",SUBSTITUTE(G1381,"[{",""))-1),Sheet2!B:B,Sheet2!C:C)&amp;"+"&amp;SUBSTITUTE(RIGHT(G1381,LEN(G1381)-FIND(",",G1381)),"}]","")/100&amp;"%")</f>
        <v>上阵两个控制职业增伤+9%</v>
      </c>
      <c r="L1381" s="83" t="str">
        <f ca="1">IF(MOD(COUNTIF($Q$11:Q1380,Q1380),5)=0,OFFSET(装备属性!$G$1083,1+INT(COUNTA($Q$11:Q1380)/5),0),L1380)</f>
        <v>控场小队Ⅲ</v>
      </c>
      <c r="M1381" s="89" t="str">
        <f ca="1">IF(MOD(COUNTIF($Q$11:Q1380,Q1380),5)=0,OFFSET(装备属性!$H$1083,1+INT(COUNTA($Q$11:Q1380)/5),0),M1380)</f>
        <v>control_class_dmg_rate</v>
      </c>
      <c r="N1381" s="76">
        <f ca="1">IF(MOD(COUNTIF($Q$11:Q1380,Q1380),5)=0,OFFSET(装备属性!$K$1083,1+INT(COUNTA($Q$11:Q1380)/5),0),N1380)</f>
        <v>0.09</v>
      </c>
      <c r="O1381" s="76">
        <f ca="1">IF(MOD(COUNTIF($Q$11:Q1380,Q1380),5)=0,OFFSET(装备属性!$L$1083,1+INT(COUNTA($Q$11:Q1380)/5),0),O1380)</f>
        <v>0.11</v>
      </c>
      <c r="Q1381" s="89" t="str">
        <f ca="1">IF(MOD(COUNTIF($Q$11:Q1380,Q1380),5)=0,OFFSET(装备属性!$M$1083,1+INT(COUNTA($Q$11:Q1380)/5),0),Q1380)</f>
        <v>通用属性</v>
      </c>
      <c r="R1381" s="83">
        <f ca="1">IF(MOD(COUNTIF($Q$11:Q1380,Q1380),5)=0,10000*SUBSTITUTE(SUBSTITUTE(OFFSET(装备属性!$F$1083,1+INT(COUNTA($Q$11:Q1380)/5),0),"[",""),"]","")+_xlfn.XLOOKUP(C1381,$M$3:$M$7,$N$3:$N$7)*100,R1380)</f>
        <v>50600</v>
      </c>
    </row>
    <row r="1382" customHeight="1" spans="1:18">
      <c r="A1382" s="78">
        <f ca="1" t="shared" si="63"/>
        <v>50601</v>
      </c>
      <c r="B1382" s="82">
        <f ca="1">IFERROR(R1382+COUNTIFS($R$11:$R1382,R1382),"")</f>
        <v>50627</v>
      </c>
      <c r="C1382" s="83" t="str">
        <f ca="1">IF(MOD(COUNTIF($Q$11:Q1381,Q1381),5)=0,OFFSET(装备属性!$D$1083,1+INT(COUNTA($Q$11:Q1381)/5),0),C1381)</f>
        <v>红</v>
      </c>
      <c r="D1382" s="82">
        <f t="shared" si="65"/>
        <v>2500</v>
      </c>
      <c r="F1382" s="82">
        <f ca="1" t="shared" si="64"/>
        <v>50605</v>
      </c>
      <c r="G1382" s="78" t="str">
        <f ca="1">IF(AND(LEFT("[{"&amp;M1382&amp;","&amp;CEILING(N1382*10000+(O1382-N1382)/4*(COUNTIF($F$11:F1382,F1382)-1)*10000,10)&amp;"}]",7)="[{equip",MID("[{"&amp;M1382&amp;","&amp;CEILING(N1382*10000+(O1382-N1382)/4*(COUNTIF($F$11:F1382,F1382)-1)*10000,10)&amp;"}]",8,1)&lt;&gt;"_"),"[{"&amp;M1382&amp;","&amp;1&amp;"}]","[{"&amp;M1382&amp;","&amp;CEILING(N1382*10000+(O1382-N1382)/4*(COUNTIF($F$11:F1382,F1382)-1)*10000,10)&amp;"}]")</f>
        <v>[{control_class_dmg_rate,950}]</v>
      </c>
      <c r="H1382" s="82" t="s">
        <v>563</v>
      </c>
      <c r="J1382" s="78">
        <f ca="1">IF(MOD(COUNTIF($Q$11:Q1381,Q1381),5)=0,OFFSET(装备属性!$P$1083,1+INT(COUNTA($Q$11:Q1381)/5),0),J1381)</f>
        <v>4</v>
      </c>
      <c r="K1382" s="83" t="str">
        <f ca="1">IF(RIGHT(G1382,13)="rune_slot,1}]",_xlfn.XLOOKUP(LEFT(SUBSTITUTE(G1382,"[{",""),FIND(",",SUBSTITUTE(G1382,"[{",""))-1),Sheet2!B:B,Sheet2!C:C)&amp;"+"&amp;1,_xlfn.XLOOKUP(LEFT(SUBSTITUTE(G1382,"[{",""),FIND(",",SUBSTITUTE(G1382,"[{",""))-1),Sheet2!B:B,Sheet2!C:C)&amp;"+"&amp;SUBSTITUTE(RIGHT(G1382,LEN(G1382)-FIND(",",G1382)),"}]","")/100&amp;"%")</f>
        <v>上阵两个控制职业增伤+9.5%</v>
      </c>
      <c r="L1382" s="83" t="str">
        <f ca="1">IF(MOD(COUNTIF($Q$11:Q1381,Q1381),5)=0,OFFSET(装备属性!$G$1083,1+INT(COUNTA($Q$11:Q1381)/5),0),L1381)</f>
        <v>控场小队Ⅲ</v>
      </c>
      <c r="M1382" s="89" t="str">
        <f ca="1">IF(MOD(COUNTIF($Q$11:Q1381,Q1381),5)=0,OFFSET(装备属性!$H$1083,1+INT(COUNTA($Q$11:Q1381)/5),0),M1381)</f>
        <v>control_class_dmg_rate</v>
      </c>
      <c r="N1382" s="76">
        <f ca="1">IF(MOD(COUNTIF($Q$11:Q1381,Q1381),5)=0,OFFSET(装备属性!$K$1083,1+INT(COUNTA($Q$11:Q1381)/5),0),N1381)</f>
        <v>0.09</v>
      </c>
      <c r="O1382" s="76">
        <f ca="1">IF(MOD(COUNTIF($Q$11:Q1381,Q1381),5)=0,OFFSET(装备属性!$L$1083,1+INT(COUNTA($Q$11:Q1381)/5),0),O1381)</f>
        <v>0.11</v>
      </c>
      <c r="Q1382" s="89" t="str">
        <f ca="1">IF(MOD(COUNTIF($Q$11:Q1381,Q1381),5)=0,OFFSET(装备属性!$M$1083,1+INT(COUNTA($Q$11:Q1381)/5),0),Q1381)</f>
        <v>通用属性</v>
      </c>
      <c r="R1382" s="83">
        <f ca="1">IF(MOD(COUNTIF($Q$11:Q1381,Q1381),5)=0,10000*SUBSTITUTE(SUBSTITUTE(OFFSET(装备属性!$F$1083,1+INT(COUNTA($Q$11:Q1381)/5),0),"[",""),"]","")+_xlfn.XLOOKUP(C1382,$M$3:$M$7,$N$3:$N$7)*100,R1381)</f>
        <v>50600</v>
      </c>
    </row>
    <row r="1383" customHeight="1" spans="1:18">
      <c r="A1383" s="78">
        <f ca="1" t="shared" si="63"/>
        <v>50601</v>
      </c>
      <c r="B1383" s="82">
        <f ca="1">IFERROR(R1383+COUNTIFS($R$11:$R1383,R1383),"")</f>
        <v>50628</v>
      </c>
      <c r="C1383" s="83" t="str">
        <f ca="1">IF(MOD(COUNTIF($Q$11:Q1382,Q1382),5)=0,OFFSET(装备属性!$D$1083,1+INT(COUNTA($Q$11:Q1382)/5),0),C1382)</f>
        <v>红</v>
      </c>
      <c r="D1383" s="82">
        <f t="shared" si="65"/>
        <v>2000</v>
      </c>
      <c r="F1383" s="82">
        <f ca="1" t="shared" si="64"/>
        <v>50605</v>
      </c>
      <c r="G1383" s="78" t="str">
        <f ca="1">IF(AND(LEFT("[{"&amp;M1383&amp;","&amp;CEILING(N1383*10000+(O1383-N1383)/4*(COUNTIF($F$11:F1383,F1383)-1)*10000,10)&amp;"}]",7)="[{equip",MID("[{"&amp;M1383&amp;","&amp;CEILING(N1383*10000+(O1383-N1383)/4*(COUNTIF($F$11:F1383,F1383)-1)*10000,10)&amp;"}]",8,1)&lt;&gt;"_"),"[{"&amp;M1383&amp;","&amp;1&amp;"}]","[{"&amp;M1383&amp;","&amp;CEILING(N1383*10000+(O1383-N1383)/4*(COUNTIF($F$11:F1383,F1383)-1)*10000,10)&amp;"}]")</f>
        <v>[{control_class_dmg_rate,1000}]</v>
      </c>
      <c r="H1383" s="82" t="s">
        <v>563</v>
      </c>
      <c r="J1383" s="78">
        <f ca="1">IF(MOD(COUNTIF($Q$11:Q1382,Q1382),5)=0,OFFSET(装备属性!$P$1083,1+INT(COUNTA($Q$11:Q1382)/5),0),J1382)</f>
        <v>4</v>
      </c>
      <c r="K1383" s="83" t="str">
        <f ca="1">IF(RIGHT(G1383,13)="rune_slot,1}]",_xlfn.XLOOKUP(LEFT(SUBSTITUTE(G1383,"[{",""),FIND(",",SUBSTITUTE(G1383,"[{",""))-1),Sheet2!B:B,Sheet2!C:C)&amp;"+"&amp;1,_xlfn.XLOOKUP(LEFT(SUBSTITUTE(G1383,"[{",""),FIND(",",SUBSTITUTE(G1383,"[{",""))-1),Sheet2!B:B,Sheet2!C:C)&amp;"+"&amp;SUBSTITUTE(RIGHT(G1383,LEN(G1383)-FIND(",",G1383)),"}]","")/100&amp;"%")</f>
        <v>上阵两个控制职业增伤+10%</v>
      </c>
      <c r="L1383" s="83" t="str">
        <f ca="1">IF(MOD(COUNTIF($Q$11:Q1382,Q1382),5)=0,OFFSET(装备属性!$G$1083,1+INT(COUNTA($Q$11:Q1382)/5),0),L1382)</f>
        <v>控场小队Ⅲ</v>
      </c>
      <c r="M1383" s="89" t="str">
        <f ca="1">IF(MOD(COUNTIF($Q$11:Q1382,Q1382),5)=0,OFFSET(装备属性!$H$1083,1+INT(COUNTA($Q$11:Q1382)/5),0),M1382)</f>
        <v>control_class_dmg_rate</v>
      </c>
      <c r="N1383" s="76">
        <f ca="1">IF(MOD(COUNTIF($Q$11:Q1382,Q1382),5)=0,OFFSET(装备属性!$K$1083,1+INT(COUNTA($Q$11:Q1382)/5),0),N1382)</f>
        <v>0.09</v>
      </c>
      <c r="O1383" s="76">
        <f ca="1">IF(MOD(COUNTIF($Q$11:Q1382,Q1382),5)=0,OFFSET(装备属性!$L$1083,1+INT(COUNTA($Q$11:Q1382)/5),0),O1382)</f>
        <v>0.11</v>
      </c>
      <c r="Q1383" s="89" t="str">
        <f ca="1">IF(MOD(COUNTIF($Q$11:Q1382,Q1382),5)=0,OFFSET(装备属性!$M$1083,1+INT(COUNTA($Q$11:Q1382)/5),0),Q1382)</f>
        <v>通用属性</v>
      </c>
      <c r="R1383" s="83">
        <f ca="1">IF(MOD(COUNTIF($Q$11:Q1382,Q1382),5)=0,10000*SUBSTITUTE(SUBSTITUTE(OFFSET(装备属性!$F$1083,1+INT(COUNTA($Q$11:Q1382)/5),0),"[",""),"]","")+_xlfn.XLOOKUP(C1383,$M$3:$M$7,$N$3:$N$7)*100,R1382)</f>
        <v>50600</v>
      </c>
    </row>
    <row r="1384" customHeight="1" spans="1:18">
      <c r="A1384" s="78">
        <f ca="1" t="shared" si="63"/>
        <v>50601</v>
      </c>
      <c r="B1384" s="82">
        <f ca="1">IFERROR(R1384+COUNTIFS($R$11:$R1384,R1384),"")</f>
        <v>50629</v>
      </c>
      <c r="C1384" s="83" t="str">
        <f ca="1">IF(MOD(COUNTIF($Q$11:Q1383,Q1383),5)=0,OFFSET(装备属性!$D$1083,1+INT(COUNTA($Q$11:Q1383)/5),0),C1383)</f>
        <v>红</v>
      </c>
      <c r="D1384" s="82">
        <f t="shared" si="65"/>
        <v>1500</v>
      </c>
      <c r="F1384" s="82">
        <f ca="1" t="shared" si="64"/>
        <v>50605</v>
      </c>
      <c r="G1384" s="78" t="str">
        <f ca="1">IF(AND(LEFT("[{"&amp;M1384&amp;","&amp;CEILING(N1384*10000+(O1384-N1384)/4*(COUNTIF($F$11:F1384,F1384)-1)*10000,10)&amp;"}]",7)="[{equip",MID("[{"&amp;M1384&amp;","&amp;CEILING(N1384*10000+(O1384-N1384)/4*(COUNTIF($F$11:F1384,F1384)-1)*10000,10)&amp;"}]",8,1)&lt;&gt;"_"),"[{"&amp;M1384&amp;","&amp;1&amp;"}]","[{"&amp;M1384&amp;","&amp;CEILING(N1384*10000+(O1384-N1384)/4*(COUNTIF($F$11:F1384,F1384)-1)*10000,10)&amp;"}]")</f>
        <v>[{control_class_dmg_rate,1050}]</v>
      </c>
      <c r="H1384" s="82" t="s">
        <v>563</v>
      </c>
      <c r="J1384" s="78">
        <f ca="1">IF(MOD(COUNTIF($Q$11:Q1383,Q1383),5)=0,OFFSET(装备属性!$P$1083,1+INT(COUNTA($Q$11:Q1383)/5),0),J1383)</f>
        <v>4</v>
      </c>
      <c r="K1384" s="83" t="str">
        <f ca="1">IF(RIGHT(G1384,13)="rune_slot,1}]",_xlfn.XLOOKUP(LEFT(SUBSTITUTE(G1384,"[{",""),FIND(",",SUBSTITUTE(G1384,"[{",""))-1),Sheet2!B:B,Sheet2!C:C)&amp;"+"&amp;1,_xlfn.XLOOKUP(LEFT(SUBSTITUTE(G1384,"[{",""),FIND(",",SUBSTITUTE(G1384,"[{",""))-1),Sheet2!B:B,Sheet2!C:C)&amp;"+"&amp;SUBSTITUTE(RIGHT(G1384,LEN(G1384)-FIND(",",G1384)),"}]","")/100&amp;"%")</f>
        <v>上阵两个控制职业增伤+10.5%</v>
      </c>
      <c r="L1384" s="83" t="str">
        <f ca="1">IF(MOD(COUNTIF($Q$11:Q1383,Q1383),5)=0,OFFSET(装备属性!$G$1083,1+INT(COUNTA($Q$11:Q1383)/5),0),L1383)</f>
        <v>控场小队Ⅲ</v>
      </c>
      <c r="M1384" s="89" t="str">
        <f ca="1">IF(MOD(COUNTIF($Q$11:Q1383,Q1383),5)=0,OFFSET(装备属性!$H$1083,1+INT(COUNTA($Q$11:Q1383)/5),0),M1383)</f>
        <v>control_class_dmg_rate</v>
      </c>
      <c r="N1384" s="76">
        <f ca="1">IF(MOD(COUNTIF($Q$11:Q1383,Q1383),5)=0,OFFSET(装备属性!$K$1083,1+INT(COUNTA($Q$11:Q1383)/5),0),N1383)</f>
        <v>0.09</v>
      </c>
      <c r="O1384" s="76">
        <f ca="1">IF(MOD(COUNTIF($Q$11:Q1383,Q1383),5)=0,OFFSET(装备属性!$L$1083,1+INT(COUNTA($Q$11:Q1383)/5),0),O1383)</f>
        <v>0.11</v>
      </c>
      <c r="Q1384" s="89" t="str">
        <f ca="1">IF(MOD(COUNTIF($Q$11:Q1383,Q1383),5)=0,OFFSET(装备属性!$M$1083,1+INT(COUNTA($Q$11:Q1383)/5),0),Q1383)</f>
        <v>通用属性</v>
      </c>
      <c r="R1384" s="83">
        <f ca="1">IF(MOD(COUNTIF($Q$11:Q1383,Q1383),5)=0,10000*SUBSTITUTE(SUBSTITUTE(OFFSET(装备属性!$F$1083,1+INT(COUNTA($Q$11:Q1383)/5),0),"[",""),"]","")+_xlfn.XLOOKUP(C1384,$M$3:$M$7,$N$3:$N$7)*100,R1383)</f>
        <v>50600</v>
      </c>
    </row>
    <row r="1385" customHeight="1" spans="1:18">
      <c r="A1385" s="78">
        <f ca="1" t="shared" si="63"/>
        <v>50601</v>
      </c>
      <c r="B1385" s="82">
        <f ca="1">IFERROR(R1385+COUNTIFS($R$11:$R1385,R1385),"")</f>
        <v>50630</v>
      </c>
      <c r="C1385" s="83" t="str">
        <f ca="1">IF(MOD(COUNTIF($Q$11:Q1384,Q1384),5)=0,OFFSET(装备属性!$D$1083,1+INT(COUNTA($Q$11:Q1384)/5),0),C1384)</f>
        <v>红</v>
      </c>
      <c r="D1385" s="82">
        <f t="shared" si="65"/>
        <v>1000</v>
      </c>
      <c r="F1385" s="82">
        <f ca="1" t="shared" si="64"/>
        <v>50605</v>
      </c>
      <c r="G1385" s="78" t="str">
        <f ca="1">IF(AND(LEFT("[{"&amp;M1385&amp;","&amp;CEILING(N1385*10000+(O1385-N1385)/4*(COUNTIF($F$11:F1385,F1385)-1)*10000,10)&amp;"}]",7)="[{equip",MID("[{"&amp;M1385&amp;","&amp;CEILING(N1385*10000+(O1385-N1385)/4*(COUNTIF($F$11:F1385,F1385)-1)*10000,10)&amp;"}]",8,1)&lt;&gt;"_"),"[{"&amp;M1385&amp;","&amp;1&amp;"}]","[{"&amp;M1385&amp;","&amp;CEILING(N1385*10000+(O1385-N1385)/4*(COUNTIF($F$11:F1385,F1385)-1)*10000,10)&amp;"}]")</f>
        <v>[{control_class_dmg_rate,1100}]</v>
      </c>
      <c r="H1385" s="82" t="s">
        <v>563</v>
      </c>
      <c r="J1385" s="78">
        <f ca="1">IF(MOD(COUNTIF($Q$11:Q1384,Q1384),5)=0,OFFSET(装备属性!$P$1083,1+INT(COUNTA($Q$11:Q1384)/5),0),J1384)</f>
        <v>4</v>
      </c>
      <c r="K1385" s="83" t="str">
        <f ca="1">IF(RIGHT(G1385,13)="rune_slot,1}]",_xlfn.XLOOKUP(LEFT(SUBSTITUTE(G1385,"[{",""),FIND(",",SUBSTITUTE(G1385,"[{",""))-1),Sheet2!B:B,Sheet2!C:C)&amp;"+"&amp;1,_xlfn.XLOOKUP(LEFT(SUBSTITUTE(G1385,"[{",""),FIND(",",SUBSTITUTE(G1385,"[{",""))-1),Sheet2!B:B,Sheet2!C:C)&amp;"+"&amp;SUBSTITUTE(RIGHT(G1385,LEN(G1385)-FIND(",",G1385)),"}]","")/100&amp;"%")</f>
        <v>上阵两个控制职业增伤+11%</v>
      </c>
      <c r="L1385" s="83" t="str">
        <f ca="1">IF(MOD(COUNTIF($Q$11:Q1384,Q1384),5)=0,OFFSET(装备属性!$G$1083,1+INT(COUNTA($Q$11:Q1384)/5),0),L1384)</f>
        <v>控场小队Ⅲ</v>
      </c>
      <c r="M1385" s="89" t="str">
        <f ca="1">IF(MOD(COUNTIF($Q$11:Q1384,Q1384),5)=0,OFFSET(装备属性!$H$1083,1+INT(COUNTA($Q$11:Q1384)/5),0),M1384)</f>
        <v>control_class_dmg_rate</v>
      </c>
      <c r="N1385" s="76">
        <f ca="1">IF(MOD(COUNTIF($Q$11:Q1384,Q1384),5)=0,OFFSET(装备属性!$K$1083,1+INT(COUNTA($Q$11:Q1384)/5),0),N1384)</f>
        <v>0.09</v>
      </c>
      <c r="O1385" s="76">
        <f ca="1">IF(MOD(COUNTIF($Q$11:Q1384,Q1384),5)=0,OFFSET(装备属性!$L$1083,1+INT(COUNTA($Q$11:Q1384)/5),0),O1384)</f>
        <v>0.11</v>
      </c>
      <c r="Q1385" s="89" t="str">
        <f ca="1">IF(MOD(COUNTIF($Q$11:Q1384,Q1384),5)=0,OFFSET(装备属性!$M$1083,1+INT(COUNTA($Q$11:Q1384)/5),0),Q1384)</f>
        <v>通用属性</v>
      </c>
      <c r="R1385" s="83">
        <f ca="1">IF(MOD(COUNTIF($Q$11:Q1384,Q1384),5)=0,10000*SUBSTITUTE(SUBSTITUTE(OFFSET(装备属性!$F$1083,1+INT(COUNTA($Q$11:Q1384)/5),0),"[",""),"]","")+_xlfn.XLOOKUP(C1385,$M$3:$M$7,$N$3:$N$7)*100,R1384)</f>
        <v>50600</v>
      </c>
    </row>
    <row r="1386" customHeight="1" spans="1:18">
      <c r="A1386" s="78">
        <f ca="1" t="shared" si="63"/>
        <v>50601</v>
      </c>
      <c r="B1386" s="82">
        <f ca="1">IFERROR(R1386+COUNTIFS($R$11:$R1386,R1386),"")</f>
        <v>50631</v>
      </c>
      <c r="C1386" s="83" t="str">
        <f ca="1">IF(MOD(COUNTIF($Q$11:Q1385,Q1385),5)=0,OFFSET(装备属性!$D$1083,1+INT(COUNTA($Q$11:Q1385)/5),0),C1385)</f>
        <v>红</v>
      </c>
      <c r="D1386" s="82">
        <f t="shared" si="65"/>
        <v>3000</v>
      </c>
      <c r="F1386" s="82">
        <f ca="1" t="shared" si="64"/>
        <v>50606</v>
      </c>
      <c r="G1386" s="78" t="str">
        <f ca="1">IF(AND(LEFT("[{"&amp;M1386&amp;","&amp;CEILING(N1386*10000+(O1386-N1386)/4*(COUNTIF($F$11:F1386,F1386)-1)*10000,10)&amp;"}]",7)="[{equip",MID("[{"&amp;M1386&amp;","&amp;CEILING(N1386*10000+(O1386-N1386)/4*(COUNTIF($F$11:F1386,F1386)-1)*10000,10)&amp;"}]",8,1)&lt;&gt;"_"),"[{"&amp;M1386&amp;","&amp;1&amp;"}]","[{"&amp;M1386&amp;","&amp;CEILING(N1386*10000+(O1386-N1386)/4*(COUNTIF($F$11:F1386,F1386)-1)*10000,10)&amp;"}]")</f>
        <v>[{control_crit_dmg,2700}]</v>
      </c>
      <c r="H1386" s="82" t="s">
        <v>563</v>
      </c>
      <c r="J1386" s="78">
        <f ca="1">IF(MOD(COUNTIF($Q$11:Q1385,Q1385),5)=0,OFFSET(装备属性!$P$1083,1+INT(COUNTA($Q$11:Q1385)/5),0),J1385)</f>
        <v>10</v>
      </c>
      <c r="K1386" s="83" t="str">
        <f ca="1">IF(RIGHT(G1386,13)="rune_slot,1}]",_xlfn.XLOOKUP(LEFT(SUBSTITUTE(G1386,"[{",""),FIND(",",SUBSTITUTE(G1386,"[{",""))-1),Sheet2!B:B,Sheet2!C:C)&amp;"+"&amp;1,_xlfn.XLOOKUP(LEFT(SUBSTITUTE(G1386,"[{",""),FIND(",",SUBSTITUTE(G1386,"[{",""))-1),Sheet2!B:B,Sheet2!C:C)&amp;"+"&amp;SUBSTITUTE(RIGHT(G1386,LEN(G1386)-FIND(",",G1386)),"}]","")/100&amp;"%")</f>
        <v>控制暴击伤害+27%</v>
      </c>
      <c r="L1386" s="83" t="str">
        <f ca="1">IF(MOD(COUNTIF($Q$11:Q1385,Q1385),5)=0,OFFSET(装备属性!$G$1083,1+INT(COUNTA($Q$11:Q1385)/5),0),L1385)</f>
        <v>暴走控场Ⅲ</v>
      </c>
      <c r="M1386" s="89" t="str">
        <f ca="1">IF(MOD(COUNTIF($Q$11:Q1385,Q1385),5)=0,OFFSET(装备属性!$H$1083,1+INT(COUNTA($Q$11:Q1385)/5),0),M1385)</f>
        <v>control_crit_dmg</v>
      </c>
      <c r="N1386" s="76">
        <f ca="1">IF(MOD(COUNTIF($Q$11:Q1385,Q1385),5)=0,OFFSET(装备属性!$K$1083,1+INT(COUNTA($Q$11:Q1385)/5),0),N1385)</f>
        <v>0.27</v>
      </c>
      <c r="O1386" s="76">
        <f ca="1">IF(MOD(COUNTIF($Q$11:Q1385,Q1385),5)=0,OFFSET(装备属性!$L$1083,1+INT(COUNTA($Q$11:Q1385)/5),0),O1385)</f>
        <v>0.33</v>
      </c>
      <c r="Q1386" s="89" t="str">
        <f ca="1">IF(MOD(COUNTIF($Q$11:Q1385,Q1385),5)=0,OFFSET(装备属性!$M$1083,1+INT(COUNTA($Q$11:Q1385)/5),0),Q1385)</f>
        <v>通用属性</v>
      </c>
      <c r="R1386" s="83">
        <f ca="1">IF(MOD(COUNTIF($Q$11:Q1385,Q1385),5)=0,10000*SUBSTITUTE(SUBSTITUTE(OFFSET(装备属性!$F$1083,1+INT(COUNTA($Q$11:Q1385)/5),0),"[",""),"]","")+_xlfn.XLOOKUP(C1386,$M$3:$M$7,$N$3:$N$7)*100,R1385)</f>
        <v>50600</v>
      </c>
    </row>
    <row r="1387" customHeight="1" spans="1:18">
      <c r="A1387" s="78">
        <f ca="1" t="shared" si="63"/>
        <v>50601</v>
      </c>
      <c r="B1387" s="82">
        <f ca="1">IFERROR(R1387+COUNTIFS($R$11:$R1387,R1387),"")</f>
        <v>50632</v>
      </c>
      <c r="C1387" s="83" t="str">
        <f ca="1">IF(MOD(COUNTIF($Q$11:Q1386,Q1386),5)=0,OFFSET(装备属性!$D$1083,1+INT(COUNTA($Q$11:Q1386)/5),0),C1386)</f>
        <v>红</v>
      </c>
      <c r="D1387" s="82">
        <f t="shared" si="65"/>
        <v>2500</v>
      </c>
      <c r="F1387" s="82">
        <f ca="1" t="shared" si="64"/>
        <v>50606</v>
      </c>
      <c r="G1387" s="78" t="str">
        <f ca="1">IF(AND(LEFT("[{"&amp;M1387&amp;","&amp;CEILING(N1387*10000+(O1387-N1387)/4*(COUNTIF($F$11:F1387,F1387)-1)*10000,10)&amp;"}]",7)="[{equip",MID("[{"&amp;M1387&amp;","&amp;CEILING(N1387*10000+(O1387-N1387)/4*(COUNTIF($F$11:F1387,F1387)-1)*10000,10)&amp;"}]",8,1)&lt;&gt;"_"),"[{"&amp;M1387&amp;","&amp;1&amp;"}]","[{"&amp;M1387&amp;","&amp;CEILING(N1387*10000+(O1387-N1387)/4*(COUNTIF($F$11:F1387,F1387)-1)*10000,10)&amp;"}]")</f>
        <v>[{control_crit_dmg,2850}]</v>
      </c>
      <c r="H1387" s="82" t="s">
        <v>563</v>
      </c>
      <c r="J1387" s="78">
        <f ca="1">IF(MOD(COUNTIF($Q$11:Q1386,Q1386),5)=0,OFFSET(装备属性!$P$1083,1+INT(COUNTA($Q$11:Q1386)/5),0),J1386)</f>
        <v>10</v>
      </c>
      <c r="K1387" s="83" t="str">
        <f ca="1">IF(RIGHT(G1387,13)="rune_slot,1}]",_xlfn.XLOOKUP(LEFT(SUBSTITUTE(G1387,"[{",""),FIND(",",SUBSTITUTE(G1387,"[{",""))-1),Sheet2!B:B,Sheet2!C:C)&amp;"+"&amp;1,_xlfn.XLOOKUP(LEFT(SUBSTITUTE(G1387,"[{",""),FIND(",",SUBSTITUTE(G1387,"[{",""))-1),Sheet2!B:B,Sheet2!C:C)&amp;"+"&amp;SUBSTITUTE(RIGHT(G1387,LEN(G1387)-FIND(",",G1387)),"}]","")/100&amp;"%")</f>
        <v>控制暴击伤害+28.5%</v>
      </c>
      <c r="L1387" s="83" t="str">
        <f ca="1">IF(MOD(COUNTIF($Q$11:Q1386,Q1386),5)=0,OFFSET(装备属性!$G$1083,1+INT(COUNTA($Q$11:Q1386)/5),0),L1386)</f>
        <v>暴走控场Ⅲ</v>
      </c>
      <c r="M1387" s="89" t="str">
        <f ca="1">IF(MOD(COUNTIF($Q$11:Q1386,Q1386),5)=0,OFFSET(装备属性!$H$1083,1+INT(COUNTA($Q$11:Q1386)/5),0),M1386)</f>
        <v>control_crit_dmg</v>
      </c>
      <c r="N1387" s="76">
        <f ca="1">IF(MOD(COUNTIF($Q$11:Q1386,Q1386),5)=0,OFFSET(装备属性!$K$1083,1+INT(COUNTA($Q$11:Q1386)/5),0),N1386)</f>
        <v>0.27</v>
      </c>
      <c r="O1387" s="76">
        <f ca="1">IF(MOD(COUNTIF($Q$11:Q1386,Q1386),5)=0,OFFSET(装备属性!$L$1083,1+INT(COUNTA($Q$11:Q1386)/5),0),O1386)</f>
        <v>0.33</v>
      </c>
      <c r="Q1387" s="89" t="str">
        <f ca="1">IF(MOD(COUNTIF($Q$11:Q1386,Q1386),5)=0,OFFSET(装备属性!$M$1083,1+INT(COUNTA($Q$11:Q1386)/5),0),Q1386)</f>
        <v>通用属性</v>
      </c>
      <c r="R1387" s="83">
        <f ca="1">IF(MOD(COUNTIF($Q$11:Q1386,Q1386),5)=0,10000*SUBSTITUTE(SUBSTITUTE(OFFSET(装备属性!$F$1083,1+INT(COUNTA($Q$11:Q1386)/5),0),"[",""),"]","")+_xlfn.XLOOKUP(C1387,$M$3:$M$7,$N$3:$N$7)*100,R1386)</f>
        <v>50600</v>
      </c>
    </row>
    <row r="1388" customHeight="1" spans="1:18">
      <c r="A1388" s="78">
        <f ca="1" t="shared" si="63"/>
        <v>50601</v>
      </c>
      <c r="B1388" s="82">
        <f ca="1">IFERROR(R1388+COUNTIFS($R$11:$R1388,R1388),"")</f>
        <v>50633</v>
      </c>
      <c r="C1388" s="83" t="str">
        <f ca="1">IF(MOD(COUNTIF($Q$11:Q1387,Q1387),5)=0,OFFSET(装备属性!$D$1083,1+INT(COUNTA($Q$11:Q1387)/5),0),C1387)</f>
        <v>红</v>
      </c>
      <c r="D1388" s="82">
        <f t="shared" si="65"/>
        <v>2000</v>
      </c>
      <c r="F1388" s="82">
        <f ca="1" t="shared" si="64"/>
        <v>50606</v>
      </c>
      <c r="G1388" s="78" t="str">
        <f ca="1">IF(AND(LEFT("[{"&amp;M1388&amp;","&amp;CEILING(N1388*10000+(O1388-N1388)/4*(COUNTIF($F$11:F1388,F1388)-1)*10000,10)&amp;"}]",7)="[{equip",MID("[{"&amp;M1388&amp;","&amp;CEILING(N1388*10000+(O1388-N1388)/4*(COUNTIF($F$11:F1388,F1388)-1)*10000,10)&amp;"}]",8,1)&lt;&gt;"_"),"[{"&amp;M1388&amp;","&amp;1&amp;"}]","[{"&amp;M1388&amp;","&amp;CEILING(N1388*10000+(O1388-N1388)/4*(COUNTIF($F$11:F1388,F1388)-1)*10000,10)&amp;"}]")</f>
        <v>[{control_crit_dmg,3000}]</v>
      </c>
      <c r="H1388" s="82" t="s">
        <v>563</v>
      </c>
      <c r="J1388" s="78">
        <f ca="1">IF(MOD(COUNTIF($Q$11:Q1387,Q1387),5)=0,OFFSET(装备属性!$P$1083,1+INT(COUNTA($Q$11:Q1387)/5),0),J1387)</f>
        <v>10</v>
      </c>
      <c r="K1388" s="83" t="str">
        <f ca="1">IF(RIGHT(G1388,13)="rune_slot,1}]",_xlfn.XLOOKUP(LEFT(SUBSTITUTE(G1388,"[{",""),FIND(",",SUBSTITUTE(G1388,"[{",""))-1),Sheet2!B:B,Sheet2!C:C)&amp;"+"&amp;1,_xlfn.XLOOKUP(LEFT(SUBSTITUTE(G1388,"[{",""),FIND(",",SUBSTITUTE(G1388,"[{",""))-1),Sheet2!B:B,Sheet2!C:C)&amp;"+"&amp;SUBSTITUTE(RIGHT(G1388,LEN(G1388)-FIND(",",G1388)),"}]","")/100&amp;"%")</f>
        <v>控制暴击伤害+30%</v>
      </c>
      <c r="L1388" s="83" t="str">
        <f ca="1">IF(MOD(COUNTIF($Q$11:Q1387,Q1387),5)=0,OFFSET(装备属性!$G$1083,1+INT(COUNTA($Q$11:Q1387)/5),0),L1387)</f>
        <v>暴走控场Ⅲ</v>
      </c>
      <c r="M1388" s="89" t="str">
        <f ca="1">IF(MOD(COUNTIF($Q$11:Q1387,Q1387),5)=0,OFFSET(装备属性!$H$1083,1+INT(COUNTA($Q$11:Q1387)/5),0),M1387)</f>
        <v>control_crit_dmg</v>
      </c>
      <c r="N1388" s="76">
        <f ca="1">IF(MOD(COUNTIF($Q$11:Q1387,Q1387),5)=0,OFFSET(装备属性!$K$1083,1+INT(COUNTA($Q$11:Q1387)/5),0),N1387)</f>
        <v>0.27</v>
      </c>
      <c r="O1388" s="76">
        <f ca="1">IF(MOD(COUNTIF($Q$11:Q1387,Q1387),5)=0,OFFSET(装备属性!$L$1083,1+INT(COUNTA($Q$11:Q1387)/5),0),O1387)</f>
        <v>0.33</v>
      </c>
      <c r="Q1388" s="89" t="str">
        <f ca="1">IF(MOD(COUNTIF($Q$11:Q1387,Q1387),5)=0,OFFSET(装备属性!$M$1083,1+INT(COUNTA($Q$11:Q1387)/5),0),Q1387)</f>
        <v>通用属性</v>
      </c>
      <c r="R1388" s="83">
        <f ca="1">IF(MOD(COUNTIF($Q$11:Q1387,Q1387),5)=0,10000*SUBSTITUTE(SUBSTITUTE(OFFSET(装备属性!$F$1083,1+INT(COUNTA($Q$11:Q1387)/5),0),"[",""),"]","")+_xlfn.XLOOKUP(C1388,$M$3:$M$7,$N$3:$N$7)*100,R1387)</f>
        <v>50600</v>
      </c>
    </row>
    <row r="1389" customHeight="1" spans="1:18">
      <c r="A1389" s="78">
        <f ca="1" t="shared" si="63"/>
        <v>50601</v>
      </c>
      <c r="B1389" s="82">
        <f ca="1">IFERROR(R1389+COUNTIFS($R$11:$R1389,R1389),"")</f>
        <v>50634</v>
      </c>
      <c r="C1389" s="83" t="str">
        <f ca="1">IF(MOD(COUNTIF($Q$11:Q1388,Q1388),5)=0,OFFSET(装备属性!$D$1083,1+INT(COUNTA($Q$11:Q1388)/5),0),C1388)</f>
        <v>红</v>
      </c>
      <c r="D1389" s="82">
        <f t="shared" si="65"/>
        <v>1500</v>
      </c>
      <c r="F1389" s="82">
        <f ca="1" t="shared" si="64"/>
        <v>50606</v>
      </c>
      <c r="G1389" s="78" t="str">
        <f ca="1">IF(AND(LEFT("[{"&amp;M1389&amp;","&amp;CEILING(N1389*10000+(O1389-N1389)/4*(COUNTIF($F$11:F1389,F1389)-1)*10000,10)&amp;"}]",7)="[{equip",MID("[{"&amp;M1389&amp;","&amp;CEILING(N1389*10000+(O1389-N1389)/4*(COUNTIF($F$11:F1389,F1389)-1)*10000,10)&amp;"}]",8,1)&lt;&gt;"_"),"[{"&amp;M1389&amp;","&amp;1&amp;"}]","[{"&amp;M1389&amp;","&amp;CEILING(N1389*10000+(O1389-N1389)/4*(COUNTIF($F$11:F1389,F1389)-1)*10000,10)&amp;"}]")</f>
        <v>[{control_crit_dmg,3150}]</v>
      </c>
      <c r="H1389" s="82" t="s">
        <v>563</v>
      </c>
      <c r="J1389" s="78">
        <f ca="1">IF(MOD(COUNTIF($Q$11:Q1388,Q1388),5)=0,OFFSET(装备属性!$P$1083,1+INT(COUNTA($Q$11:Q1388)/5),0),J1388)</f>
        <v>10</v>
      </c>
      <c r="K1389" s="83" t="str">
        <f ca="1">IF(RIGHT(G1389,13)="rune_slot,1}]",_xlfn.XLOOKUP(LEFT(SUBSTITUTE(G1389,"[{",""),FIND(",",SUBSTITUTE(G1389,"[{",""))-1),Sheet2!B:B,Sheet2!C:C)&amp;"+"&amp;1,_xlfn.XLOOKUP(LEFT(SUBSTITUTE(G1389,"[{",""),FIND(",",SUBSTITUTE(G1389,"[{",""))-1),Sheet2!B:B,Sheet2!C:C)&amp;"+"&amp;SUBSTITUTE(RIGHT(G1389,LEN(G1389)-FIND(",",G1389)),"}]","")/100&amp;"%")</f>
        <v>控制暴击伤害+31.5%</v>
      </c>
      <c r="L1389" s="83" t="str">
        <f ca="1">IF(MOD(COUNTIF($Q$11:Q1388,Q1388),5)=0,OFFSET(装备属性!$G$1083,1+INT(COUNTA($Q$11:Q1388)/5),0),L1388)</f>
        <v>暴走控场Ⅲ</v>
      </c>
      <c r="M1389" s="89" t="str">
        <f ca="1">IF(MOD(COUNTIF($Q$11:Q1388,Q1388),5)=0,OFFSET(装备属性!$H$1083,1+INT(COUNTA($Q$11:Q1388)/5),0),M1388)</f>
        <v>control_crit_dmg</v>
      </c>
      <c r="N1389" s="76">
        <f ca="1">IF(MOD(COUNTIF($Q$11:Q1388,Q1388),5)=0,OFFSET(装备属性!$K$1083,1+INT(COUNTA($Q$11:Q1388)/5),0),N1388)</f>
        <v>0.27</v>
      </c>
      <c r="O1389" s="76">
        <f ca="1">IF(MOD(COUNTIF($Q$11:Q1388,Q1388),5)=0,OFFSET(装备属性!$L$1083,1+INT(COUNTA($Q$11:Q1388)/5),0),O1388)</f>
        <v>0.33</v>
      </c>
      <c r="Q1389" s="89" t="str">
        <f ca="1">IF(MOD(COUNTIF($Q$11:Q1388,Q1388),5)=0,OFFSET(装备属性!$M$1083,1+INT(COUNTA($Q$11:Q1388)/5),0),Q1388)</f>
        <v>通用属性</v>
      </c>
      <c r="R1389" s="83">
        <f ca="1">IF(MOD(COUNTIF($Q$11:Q1388,Q1388),5)=0,10000*SUBSTITUTE(SUBSTITUTE(OFFSET(装备属性!$F$1083,1+INT(COUNTA($Q$11:Q1388)/5),0),"[",""),"]","")+_xlfn.XLOOKUP(C1389,$M$3:$M$7,$N$3:$N$7)*100,R1388)</f>
        <v>50600</v>
      </c>
    </row>
    <row r="1390" customHeight="1" spans="1:18">
      <c r="A1390" s="78">
        <f ca="1" t="shared" si="63"/>
        <v>50601</v>
      </c>
      <c r="B1390" s="82">
        <f ca="1">IFERROR(R1390+COUNTIFS($R$11:$R1390,R1390),"")</f>
        <v>50635</v>
      </c>
      <c r="C1390" s="83" t="str">
        <f ca="1">IF(MOD(COUNTIF($Q$11:Q1389,Q1389),5)=0,OFFSET(装备属性!$D$1083,1+INT(COUNTA($Q$11:Q1389)/5),0),C1389)</f>
        <v>红</v>
      </c>
      <c r="D1390" s="82">
        <f t="shared" si="65"/>
        <v>1000</v>
      </c>
      <c r="F1390" s="82">
        <f ca="1" t="shared" si="64"/>
        <v>50606</v>
      </c>
      <c r="G1390" s="78" t="str">
        <f ca="1">IF(AND(LEFT("[{"&amp;M1390&amp;","&amp;CEILING(N1390*10000+(O1390-N1390)/4*(COUNTIF($F$11:F1390,F1390)-1)*10000,10)&amp;"}]",7)="[{equip",MID("[{"&amp;M1390&amp;","&amp;CEILING(N1390*10000+(O1390-N1390)/4*(COUNTIF($F$11:F1390,F1390)-1)*10000,10)&amp;"}]",8,1)&lt;&gt;"_"),"[{"&amp;M1390&amp;","&amp;1&amp;"}]","[{"&amp;M1390&amp;","&amp;CEILING(N1390*10000+(O1390-N1390)/4*(COUNTIF($F$11:F1390,F1390)-1)*10000,10)&amp;"}]")</f>
        <v>[{control_crit_dmg,3300}]</v>
      </c>
      <c r="H1390" s="82" t="s">
        <v>563</v>
      </c>
      <c r="J1390" s="78">
        <f ca="1">IF(MOD(COUNTIF($Q$11:Q1389,Q1389),5)=0,OFFSET(装备属性!$P$1083,1+INT(COUNTA($Q$11:Q1389)/5),0),J1389)</f>
        <v>10</v>
      </c>
      <c r="K1390" s="83" t="str">
        <f ca="1">IF(RIGHT(G1390,13)="rune_slot,1}]",_xlfn.XLOOKUP(LEFT(SUBSTITUTE(G1390,"[{",""),FIND(",",SUBSTITUTE(G1390,"[{",""))-1),Sheet2!B:B,Sheet2!C:C)&amp;"+"&amp;1,_xlfn.XLOOKUP(LEFT(SUBSTITUTE(G1390,"[{",""),FIND(",",SUBSTITUTE(G1390,"[{",""))-1),Sheet2!B:B,Sheet2!C:C)&amp;"+"&amp;SUBSTITUTE(RIGHT(G1390,LEN(G1390)-FIND(",",G1390)),"}]","")/100&amp;"%")</f>
        <v>控制暴击伤害+33%</v>
      </c>
      <c r="L1390" s="83" t="str">
        <f ca="1">IF(MOD(COUNTIF($Q$11:Q1389,Q1389),5)=0,OFFSET(装备属性!$G$1083,1+INT(COUNTA($Q$11:Q1389)/5),0),L1389)</f>
        <v>暴走控场Ⅲ</v>
      </c>
      <c r="M1390" s="89" t="str">
        <f ca="1">IF(MOD(COUNTIF($Q$11:Q1389,Q1389),5)=0,OFFSET(装备属性!$H$1083,1+INT(COUNTA($Q$11:Q1389)/5),0),M1389)</f>
        <v>control_crit_dmg</v>
      </c>
      <c r="N1390" s="76">
        <f ca="1">IF(MOD(COUNTIF($Q$11:Q1389,Q1389),5)=0,OFFSET(装备属性!$K$1083,1+INT(COUNTA($Q$11:Q1389)/5),0),N1389)</f>
        <v>0.27</v>
      </c>
      <c r="O1390" s="76">
        <f ca="1">IF(MOD(COUNTIF($Q$11:Q1389,Q1389),5)=0,OFFSET(装备属性!$L$1083,1+INT(COUNTA($Q$11:Q1389)/5),0),O1389)</f>
        <v>0.33</v>
      </c>
      <c r="Q1390" s="89" t="str">
        <f ca="1">IF(MOD(COUNTIF($Q$11:Q1389,Q1389),5)=0,OFFSET(装备属性!$M$1083,1+INT(COUNTA($Q$11:Q1389)/5),0),Q1389)</f>
        <v>通用属性</v>
      </c>
      <c r="R1390" s="83">
        <f ca="1">IF(MOD(COUNTIF($Q$11:Q1389,Q1389),5)=0,10000*SUBSTITUTE(SUBSTITUTE(OFFSET(装备属性!$F$1083,1+INT(COUNTA($Q$11:Q1389)/5),0),"[",""),"]","")+_xlfn.XLOOKUP(C1390,$M$3:$M$7,$N$3:$N$7)*100,R1389)</f>
        <v>50600</v>
      </c>
    </row>
    <row r="1391" customHeight="1" spans="1:18">
      <c r="A1391" s="78" t="str">
        <f ca="1" t="shared" si="63"/>
        <v/>
      </c>
      <c r="B1391" s="82" t="str">
        <f ca="1">IFERROR(R1391+COUNTIFS($R$11:$R1391,R1391),"")</f>
        <v/>
      </c>
      <c r="C1391" s="83">
        <f ca="1">IF(MOD(COUNTIF($Q$11:Q1390,Q1390),5)=0,OFFSET(装备属性!$D$1083,1+INT(COUNTA($Q$11:Q1390)/5),0),C1390)</f>
        <v>0</v>
      </c>
      <c r="D1391" s="82">
        <f t="shared" si="65"/>
        <v>3000</v>
      </c>
      <c r="F1391" s="82" t="str">
        <f ca="1" t="shared" si="64"/>
        <v/>
      </c>
      <c r="G1391" s="78" t="str">
        <f ca="1">IF(AND(LEFT("[{"&amp;M1391&amp;","&amp;CEILING(N1391*10000+(O1391-N1391)/4*(COUNTIF($F$11:F1391,F1391)-1)*10000,10)&amp;"}]",7)="[{equip",MID("[{"&amp;M1391&amp;","&amp;CEILING(N1391*10000+(O1391-N1391)/4*(COUNTIF($F$11:F1391,F1391)-1)*10000,10)&amp;"}]",8,1)&lt;&gt;"_"),"[{"&amp;M1391&amp;","&amp;1&amp;"}]","[{"&amp;M1391&amp;","&amp;CEILING(N1391*10000+(O1391-N1391)/4*(COUNTIF($F$11:F1391,F1391)-1)*10000,10)&amp;"}]")</f>
        <v>[{global_dmg_rate,20530}]</v>
      </c>
      <c r="H1391" s="82" t="s">
        <v>563</v>
      </c>
      <c r="J1391" s="78">
        <f ca="1">IF(MOD(COUNTIF($Q$11:Q1390,Q1390),5)=0,OFFSET(装备属性!$P$1083,1+INT(COUNTA($Q$11:Q1390)/5),0),J1390)</f>
        <v>2</v>
      </c>
      <c r="K1391" s="83" t="str">
        <f ca="1">IF(RIGHT(G1391,13)="rune_slot,1}]",_xlfn.XLOOKUP(LEFT(SUBSTITUTE(G1391,"[{",""),FIND(",",SUBSTITUTE(G1391,"[{",""))-1),Sheet2!B:B,Sheet2!C:C)&amp;"+"&amp;1,_xlfn.XLOOKUP(LEFT(SUBSTITUTE(G1391,"[{",""),FIND(",",SUBSTITUTE(G1391,"[{",""))-1),Sheet2!B:B,Sheet2!C:C)&amp;"+"&amp;SUBSTITUTE(RIGHT(G1391,LEN(G1391)-FIND(",",G1391)),"}]","")/100&amp;"%")</f>
        <v>伤害加成+205.3%</v>
      </c>
      <c r="L1391" s="83" t="str">
        <f ca="1">IF(MOD(COUNTIF($Q$11:Q1390,Q1390),5)=0,OFFSET(装备属性!$G$1083,1+INT(COUNTA($Q$11:Q1390)/5),0),L1390)</f>
        <v>全职小队Ⅳ</v>
      </c>
      <c r="M1391" s="89" t="str">
        <f ca="1">IF(MOD(COUNTIF($Q$11:Q1390,Q1390),5)=0,OFFSET(装备属性!$H$1083,1+INT(COUNTA($Q$11:Q1390)/5),0),M1390)</f>
        <v>global_dmg_rate</v>
      </c>
      <c r="N1391" s="76">
        <f ca="1">IF(MOD(COUNTIF($Q$11:Q1390,Q1390),5)=0,OFFSET(装备属性!$K$1083,1+INT(COUNTA($Q$11:Q1390)/5),0),N1390)</f>
        <v>0.058</v>
      </c>
      <c r="O1391" s="76">
        <f ca="1">IF(MOD(COUNTIF($Q$11:Q1390,Q1390),5)=0,OFFSET(装备属性!$L$1083,1+INT(COUNTA($Q$11:Q1390)/5),0),O1390)</f>
        <v>0.072</v>
      </c>
      <c r="Q1391" s="89" t="str">
        <f ca="1">IF(MOD(COUNTIF($Q$11:Q1390,Q1390),5)=0,OFFSET(装备属性!$M$1083,1+INT(COUNTA($Q$11:Q1390)/5),0),Q1390)</f>
        <v>通用属性</v>
      </c>
      <c r="R1391" s="83" t="e">
        <f ca="1">IF(MOD(COUNTIF($Q$11:Q1390,Q1390),5)=0,10000*SUBSTITUTE(SUBSTITUTE(OFFSET(装备属性!$F$1083,1+INT(COUNTA($Q$11:Q1390)/5),0),"[",""),"]","")+_xlfn.XLOOKUP(C1391,$M$3:$M$7,$N$3:$N$7)*100,R1390)</f>
        <v>#N/A</v>
      </c>
    </row>
    <row r="1392" customHeight="1" spans="1:18">
      <c r="A1392" s="78" t="str">
        <f ca="1" t="shared" si="63"/>
        <v/>
      </c>
      <c r="B1392" s="82" t="str">
        <f ca="1">IFERROR(R1392+COUNTIFS($R$11:$R1392,R1392),"")</f>
        <v/>
      </c>
      <c r="C1392" s="83">
        <f ca="1">IF(MOD(COUNTIF($Q$11:Q1391,Q1391),5)=0,OFFSET(装备属性!$D$1083,1+INT(COUNTA($Q$11:Q1391)/5),0),C1391)</f>
        <v>0</v>
      </c>
      <c r="D1392" s="82">
        <f t="shared" si="65"/>
        <v>2500</v>
      </c>
      <c r="F1392" s="82" t="str">
        <f ca="1" t="shared" si="64"/>
        <v/>
      </c>
      <c r="G1392" s="78" t="str">
        <f ca="1">IF(AND(LEFT("[{"&amp;M1392&amp;","&amp;CEILING(N1392*10000+(O1392-N1392)/4*(COUNTIF($F$11:F1392,F1392)-1)*10000,10)&amp;"}]",7)="[{equip",MID("[{"&amp;M1392&amp;","&amp;CEILING(N1392*10000+(O1392-N1392)/4*(COUNTIF($F$11:F1392,F1392)-1)*10000,10)&amp;"}]",8,1)&lt;&gt;"_"),"[{"&amp;M1392&amp;","&amp;1&amp;"}]","[{"&amp;M1392&amp;","&amp;CEILING(N1392*10000+(O1392-N1392)/4*(COUNTIF($F$11:F1392,F1392)-1)*10000,10)&amp;"}]")</f>
        <v>[{global_dmg_rate,20570}]</v>
      </c>
      <c r="H1392" s="82" t="s">
        <v>563</v>
      </c>
      <c r="J1392" s="78">
        <f ca="1">IF(MOD(COUNTIF($Q$11:Q1391,Q1391),5)=0,OFFSET(装备属性!$P$1083,1+INT(COUNTA($Q$11:Q1391)/5),0),J1391)</f>
        <v>2</v>
      </c>
      <c r="K1392" s="83" t="str">
        <f ca="1">IF(RIGHT(G1392,13)="rune_slot,1}]",_xlfn.XLOOKUP(LEFT(SUBSTITUTE(G1392,"[{",""),FIND(",",SUBSTITUTE(G1392,"[{",""))-1),Sheet2!B:B,Sheet2!C:C)&amp;"+"&amp;1,_xlfn.XLOOKUP(LEFT(SUBSTITUTE(G1392,"[{",""),FIND(",",SUBSTITUTE(G1392,"[{",""))-1),Sheet2!B:B,Sheet2!C:C)&amp;"+"&amp;SUBSTITUTE(RIGHT(G1392,LEN(G1392)-FIND(",",G1392)),"}]","")/100&amp;"%")</f>
        <v>伤害加成+205.7%</v>
      </c>
      <c r="L1392" s="83" t="str">
        <f ca="1">IF(MOD(COUNTIF($Q$11:Q1391,Q1391),5)=0,OFFSET(装备属性!$G$1083,1+INT(COUNTA($Q$11:Q1391)/5),0),L1391)</f>
        <v>全职小队Ⅳ</v>
      </c>
      <c r="M1392" s="89" t="str">
        <f ca="1">IF(MOD(COUNTIF($Q$11:Q1391,Q1391),5)=0,OFFSET(装备属性!$H$1083,1+INT(COUNTA($Q$11:Q1391)/5),0),M1391)</f>
        <v>global_dmg_rate</v>
      </c>
      <c r="N1392" s="76">
        <f ca="1">IF(MOD(COUNTIF($Q$11:Q1391,Q1391),5)=0,OFFSET(装备属性!$K$1083,1+INT(COUNTA($Q$11:Q1391)/5),0),N1391)</f>
        <v>0.058</v>
      </c>
      <c r="O1392" s="76">
        <f ca="1">IF(MOD(COUNTIF($Q$11:Q1391,Q1391),5)=0,OFFSET(装备属性!$L$1083,1+INT(COUNTA($Q$11:Q1391)/5),0),O1391)</f>
        <v>0.072</v>
      </c>
      <c r="Q1392" s="89" t="str">
        <f ca="1">IF(MOD(COUNTIF($Q$11:Q1391,Q1391),5)=0,OFFSET(装备属性!$M$1083,1+INT(COUNTA($Q$11:Q1391)/5),0),Q1391)</f>
        <v>通用属性</v>
      </c>
      <c r="R1392" s="83" t="e">
        <f ca="1">IF(MOD(COUNTIF($Q$11:Q1391,Q1391),5)=0,10000*SUBSTITUTE(SUBSTITUTE(OFFSET(装备属性!$F$1083,1+INT(COUNTA($Q$11:Q1391)/5),0),"[",""),"]","")+_xlfn.XLOOKUP(C1392,$M$3:$M$7,$N$3:$N$7)*100,R1391)</f>
        <v>#N/A</v>
      </c>
    </row>
    <row r="1393" customHeight="1" spans="1:18">
      <c r="A1393" s="78" t="str">
        <f ca="1" t="shared" si="63"/>
        <v/>
      </c>
      <c r="B1393" s="82" t="str">
        <f ca="1">IFERROR(R1393+COUNTIFS($R$11:$R1393,R1393),"")</f>
        <v/>
      </c>
      <c r="C1393" s="83">
        <f ca="1">IF(MOD(COUNTIF($Q$11:Q1392,Q1392),5)=0,OFFSET(装备属性!$D$1083,1+INT(COUNTA($Q$11:Q1392)/5),0),C1392)</f>
        <v>0</v>
      </c>
      <c r="D1393" s="82">
        <f t="shared" si="65"/>
        <v>2000</v>
      </c>
      <c r="F1393" s="82" t="str">
        <f ca="1" t="shared" si="64"/>
        <v/>
      </c>
      <c r="G1393" s="78" t="str">
        <f ca="1">IF(AND(LEFT("[{"&amp;M1393&amp;","&amp;CEILING(N1393*10000+(O1393-N1393)/4*(COUNTIF($F$11:F1393,F1393)-1)*10000,10)&amp;"}]",7)="[{equip",MID("[{"&amp;M1393&amp;","&amp;CEILING(N1393*10000+(O1393-N1393)/4*(COUNTIF($F$11:F1393,F1393)-1)*10000,10)&amp;"}]",8,1)&lt;&gt;"_"),"[{"&amp;M1393&amp;","&amp;1&amp;"}]","[{"&amp;M1393&amp;","&amp;CEILING(N1393*10000+(O1393-N1393)/4*(COUNTIF($F$11:F1393,F1393)-1)*10000,10)&amp;"}]")</f>
        <v>[{global_dmg_rate,20600}]</v>
      </c>
      <c r="H1393" s="82" t="s">
        <v>563</v>
      </c>
      <c r="J1393" s="78">
        <f ca="1">IF(MOD(COUNTIF($Q$11:Q1392,Q1392),5)=0,OFFSET(装备属性!$P$1083,1+INT(COUNTA($Q$11:Q1392)/5),0),J1392)</f>
        <v>2</v>
      </c>
      <c r="K1393" s="83" t="str">
        <f ca="1">IF(RIGHT(G1393,13)="rune_slot,1}]",_xlfn.XLOOKUP(LEFT(SUBSTITUTE(G1393,"[{",""),FIND(",",SUBSTITUTE(G1393,"[{",""))-1),Sheet2!B:B,Sheet2!C:C)&amp;"+"&amp;1,_xlfn.XLOOKUP(LEFT(SUBSTITUTE(G1393,"[{",""),FIND(",",SUBSTITUTE(G1393,"[{",""))-1),Sheet2!B:B,Sheet2!C:C)&amp;"+"&amp;SUBSTITUTE(RIGHT(G1393,LEN(G1393)-FIND(",",G1393)),"}]","")/100&amp;"%")</f>
        <v>伤害加成+206%</v>
      </c>
      <c r="L1393" s="83" t="str">
        <f ca="1">IF(MOD(COUNTIF($Q$11:Q1392,Q1392),5)=0,OFFSET(装备属性!$G$1083,1+INT(COUNTA($Q$11:Q1392)/5),0),L1392)</f>
        <v>全职小队Ⅳ</v>
      </c>
      <c r="M1393" s="89" t="str">
        <f ca="1">IF(MOD(COUNTIF($Q$11:Q1392,Q1392),5)=0,OFFSET(装备属性!$H$1083,1+INT(COUNTA($Q$11:Q1392)/5),0),M1392)</f>
        <v>global_dmg_rate</v>
      </c>
      <c r="N1393" s="76">
        <f ca="1">IF(MOD(COUNTIF($Q$11:Q1392,Q1392),5)=0,OFFSET(装备属性!$K$1083,1+INT(COUNTA($Q$11:Q1392)/5),0),N1392)</f>
        <v>0.058</v>
      </c>
      <c r="O1393" s="76">
        <f ca="1">IF(MOD(COUNTIF($Q$11:Q1392,Q1392),5)=0,OFFSET(装备属性!$L$1083,1+INT(COUNTA($Q$11:Q1392)/5),0),O1392)</f>
        <v>0.072</v>
      </c>
      <c r="Q1393" s="89" t="str">
        <f ca="1">IF(MOD(COUNTIF($Q$11:Q1392,Q1392),5)=0,OFFSET(装备属性!$M$1083,1+INT(COUNTA($Q$11:Q1392)/5),0),Q1392)</f>
        <v>通用属性</v>
      </c>
      <c r="R1393" s="83" t="e">
        <f ca="1">IF(MOD(COUNTIF($Q$11:Q1392,Q1392),5)=0,10000*SUBSTITUTE(SUBSTITUTE(OFFSET(装备属性!$F$1083,1+INT(COUNTA($Q$11:Q1392)/5),0),"[",""),"]","")+_xlfn.XLOOKUP(C1393,$M$3:$M$7,$N$3:$N$7)*100,R1392)</f>
        <v>#N/A</v>
      </c>
    </row>
    <row r="1394" customHeight="1" spans="1:18">
      <c r="A1394" s="78" t="str">
        <f ca="1" t="shared" si="63"/>
        <v/>
      </c>
      <c r="B1394" s="82" t="str">
        <f ca="1">IFERROR(R1394+COUNTIFS($R$11:$R1394,R1394),"")</f>
        <v/>
      </c>
      <c r="C1394" s="83">
        <f ca="1">IF(MOD(COUNTIF($Q$11:Q1393,Q1393),5)=0,OFFSET(装备属性!$D$1083,1+INT(COUNTA($Q$11:Q1393)/5),0),C1393)</f>
        <v>0</v>
      </c>
      <c r="D1394" s="82">
        <f t="shared" si="65"/>
        <v>1500</v>
      </c>
      <c r="F1394" s="82" t="str">
        <f ca="1" t="shared" si="64"/>
        <v/>
      </c>
      <c r="G1394" s="78" t="str">
        <f ca="1">IF(AND(LEFT("[{"&amp;M1394&amp;","&amp;CEILING(N1394*10000+(O1394-N1394)/4*(COUNTIF($F$11:F1394,F1394)-1)*10000,10)&amp;"}]",7)="[{equip",MID("[{"&amp;M1394&amp;","&amp;CEILING(N1394*10000+(O1394-N1394)/4*(COUNTIF($F$11:F1394,F1394)-1)*10000,10)&amp;"}]",8,1)&lt;&gt;"_"),"[{"&amp;M1394&amp;","&amp;1&amp;"}]","[{"&amp;M1394&amp;","&amp;CEILING(N1394*10000+(O1394-N1394)/4*(COUNTIF($F$11:F1394,F1394)-1)*10000,10)&amp;"}]")</f>
        <v>[{global_dmg_rate,20640}]</v>
      </c>
      <c r="H1394" s="82" t="s">
        <v>563</v>
      </c>
      <c r="J1394" s="78">
        <f ca="1">IF(MOD(COUNTIF($Q$11:Q1393,Q1393),5)=0,OFFSET(装备属性!$P$1083,1+INT(COUNTA($Q$11:Q1393)/5),0),J1393)</f>
        <v>2</v>
      </c>
      <c r="K1394" s="83" t="str">
        <f ca="1">IF(RIGHT(G1394,13)="rune_slot,1}]",_xlfn.XLOOKUP(LEFT(SUBSTITUTE(G1394,"[{",""),FIND(",",SUBSTITUTE(G1394,"[{",""))-1),Sheet2!B:B,Sheet2!C:C)&amp;"+"&amp;1,_xlfn.XLOOKUP(LEFT(SUBSTITUTE(G1394,"[{",""),FIND(",",SUBSTITUTE(G1394,"[{",""))-1),Sheet2!B:B,Sheet2!C:C)&amp;"+"&amp;SUBSTITUTE(RIGHT(G1394,LEN(G1394)-FIND(",",G1394)),"}]","")/100&amp;"%")</f>
        <v>伤害加成+206.4%</v>
      </c>
      <c r="L1394" s="83" t="str">
        <f ca="1">IF(MOD(COUNTIF($Q$11:Q1393,Q1393),5)=0,OFFSET(装备属性!$G$1083,1+INT(COUNTA($Q$11:Q1393)/5),0),L1393)</f>
        <v>全职小队Ⅳ</v>
      </c>
      <c r="M1394" s="89" t="str">
        <f ca="1">IF(MOD(COUNTIF($Q$11:Q1393,Q1393),5)=0,OFFSET(装备属性!$H$1083,1+INT(COUNTA($Q$11:Q1393)/5),0),M1393)</f>
        <v>global_dmg_rate</v>
      </c>
      <c r="N1394" s="76">
        <f ca="1">IF(MOD(COUNTIF($Q$11:Q1393,Q1393),5)=0,OFFSET(装备属性!$K$1083,1+INT(COUNTA($Q$11:Q1393)/5),0),N1393)</f>
        <v>0.058</v>
      </c>
      <c r="O1394" s="76">
        <f ca="1">IF(MOD(COUNTIF($Q$11:Q1393,Q1393),5)=0,OFFSET(装备属性!$L$1083,1+INT(COUNTA($Q$11:Q1393)/5),0),O1393)</f>
        <v>0.072</v>
      </c>
      <c r="Q1394" s="89" t="str">
        <f ca="1">IF(MOD(COUNTIF($Q$11:Q1393,Q1393),5)=0,OFFSET(装备属性!$M$1083,1+INT(COUNTA($Q$11:Q1393)/5),0),Q1393)</f>
        <v>通用属性</v>
      </c>
      <c r="R1394" s="83" t="e">
        <f ca="1">IF(MOD(COUNTIF($Q$11:Q1393,Q1393),5)=0,10000*SUBSTITUTE(SUBSTITUTE(OFFSET(装备属性!$F$1083,1+INT(COUNTA($Q$11:Q1393)/5),0),"[",""),"]","")+_xlfn.XLOOKUP(C1394,$M$3:$M$7,$N$3:$N$7)*100,R1393)</f>
        <v>#N/A</v>
      </c>
    </row>
    <row r="1395" customHeight="1" spans="1:18">
      <c r="A1395" s="78" t="str">
        <f ca="1" t="shared" si="63"/>
        <v/>
      </c>
      <c r="B1395" s="82" t="str">
        <f ca="1">IFERROR(R1395+COUNTIFS($R$11:$R1395,R1395),"")</f>
        <v/>
      </c>
      <c r="C1395" s="83">
        <f ca="1">IF(MOD(COUNTIF($Q$11:Q1394,Q1394),5)=0,OFFSET(装备属性!$D$1083,1+INT(COUNTA($Q$11:Q1394)/5),0),C1394)</f>
        <v>0</v>
      </c>
      <c r="D1395" s="82">
        <f t="shared" si="65"/>
        <v>1000</v>
      </c>
      <c r="F1395" s="82" t="str">
        <f ca="1" t="shared" si="64"/>
        <v/>
      </c>
      <c r="G1395" s="78" t="str">
        <f ca="1">IF(AND(LEFT("[{"&amp;M1395&amp;","&amp;CEILING(N1395*10000+(O1395-N1395)/4*(COUNTIF($F$11:F1395,F1395)-1)*10000,10)&amp;"}]",7)="[{equip",MID("[{"&amp;M1395&amp;","&amp;CEILING(N1395*10000+(O1395-N1395)/4*(COUNTIF($F$11:F1395,F1395)-1)*10000,10)&amp;"}]",8,1)&lt;&gt;"_"),"[{"&amp;M1395&amp;","&amp;1&amp;"}]","[{"&amp;M1395&amp;","&amp;CEILING(N1395*10000+(O1395-N1395)/4*(COUNTIF($F$11:F1395,F1395)-1)*10000,10)&amp;"}]")</f>
        <v>[{global_dmg_rate,20670}]</v>
      </c>
      <c r="H1395" s="82" t="s">
        <v>563</v>
      </c>
      <c r="J1395" s="78">
        <f ca="1">IF(MOD(COUNTIF($Q$11:Q1394,Q1394),5)=0,OFFSET(装备属性!$P$1083,1+INT(COUNTA($Q$11:Q1394)/5),0),J1394)</f>
        <v>2</v>
      </c>
      <c r="K1395" s="83" t="str">
        <f ca="1">IF(RIGHT(G1395,13)="rune_slot,1}]",_xlfn.XLOOKUP(LEFT(SUBSTITUTE(G1395,"[{",""),FIND(",",SUBSTITUTE(G1395,"[{",""))-1),Sheet2!B:B,Sheet2!C:C)&amp;"+"&amp;1,_xlfn.XLOOKUP(LEFT(SUBSTITUTE(G1395,"[{",""),FIND(",",SUBSTITUTE(G1395,"[{",""))-1),Sheet2!B:B,Sheet2!C:C)&amp;"+"&amp;SUBSTITUTE(RIGHT(G1395,LEN(G1395)-FIND(",",G1395)),"}]","")/100&amp;"%")</f>
        <v>伤害加成+206.7%</v>
      </c>
      <c r="L1395" s="83" t="str">
        <f ca="1">IF(MOD(COUNTIF($Q$11:Q1394,Q1394),5)=0,OFFSET(装备属性!$G$1083,1+INT(COUNTA($Q$11:Q1394)/5),0),L1394)</f>
        <v>全职小队Ⅳ</v>
      </c>
      <c r="M1395" s="89" t="str">
        <f ca="1">IF(MOD(COUNTIF($Q$11:Q1394,Q1394),5)=0,OFFSET(装备属性!$H$1083,1+INT(COUNTA($Q$11:Q1394)/5),0),M1394)</f>
        <v>global_dmg_rate</v>
      </c>
      <c r="N1395" s="76">
        <f ca="1">IF(MOD(COUNTIF($Q$11:Q1394,Q1394),5)=0,OFFSET(装备属性!$K$1083,1+INT(COUNTA($Q$11:Q1394)/5),0),N1394)</f>
        <v>0.058</v>
      </c>
      <c r="O1395" s="76">
        <f ca="1">IF(MOD(COUNTIF($Q$11:Q1394,Q1394),5)=0,OFFSET(装备属性!$L$1083,1+INT(COUNTA($Q$11:Q1394)/5),0),O1394)</f>
        <v>0.072</v>
      </c>
      <c r="Q1395" s="89" t="str">
        <f ca="1">IF(MOD(COUNTIF($Q$11:Q1394,Q1394),5)=0,OFFSET(装备属性!$M$1083,1+INT(COUNTA($Q$11:Q1394)/5),0),Q1394)</f>
        <v>通用属性</v>
      </c>
      <c r="R1395" s="83" t="e">
        <f ca="1">IF(MOD(COUNTIF($Q$11:Q1394,Q1394),5)=0,10000*SUBSTITUTE(SUBSTITUTE(OFFSET(装备属性!$F$1083,1+INT(COUNTA($Q$11:Q1394)/5),0),"[",""),"]","")+_xlfn.XLOOKUP(C1395,$M$3:$M$7,$N$3:$N$7)*100,R1394)</f>
        <v>#N/A</v>
      </c>
    </row>
    <row r="1396" customHeight="1" spans="1:18">
      <c r="A1396" s="78">
        <f ca="1" t="shared" si="63"/>
        <v>50701</v>
      </c>
      <c r="B1396" s="82">
        <f ca="1">IFERROR(R1396+COUNTIFS($R$11:$R1396,R1396),"")</f>
        <v>50701</v>
      </c>
      <c r="C1396" s="83" t="str">
        <f ca="1">IF(MOD(COUNTIF($Q$11:Q1395,Q1395),5)=0,OFFSET(装备属性!$D$1083,1+INT(COUNTA($Q$11:Q1395)/5),0),C1395)</f>
        <v>粉</v>
      </c>
      <c r="D1396" s="82">
        <f t="shared" si="65"/>
        <v>3000</v>
      </c>
      <c r="F1396" s="82">
        <f ca="1" t="shared" si="64"/>
        <v>50700</v>
      </c>
      <c r="G1396" s="78" t="str">
        <f ca="1">IF(AND(LEFT("[{"&amp;M1396&amp;","&amp;CEILING(N1396*10000+(O1396-N1396)/4*(COUNTIF($F$11:F1396,F1396)-1)*10000,10)&amp;"}]",7)="[{equip",MID("[{"&amp;M1396&amp;","&amp;CEILING(N1396*10000+(O1396-N1396)/4*(COUNTIF($F$11:F1396,F1396)-1)*10000,10)&amp;"}]",8,1)&lt;&gt;"_"),"[{"&amp;M1396&amp;","&amp;1&amp;"}]","[{"&amp;M1396&amp;","&amp;CEILING(N1396*10000+(O1396-N1396)/4*(COUNTIF($F$11:F1396,F1396)-1)*10000,10)&amp;"}]")</f>
        <v>[{dmg_red_rate,250}]</v>
      </c>
      <c r="H1396" s="82" t="s">
        <v>563</v>
      </c>
      <c r="J1396" s="78">
        <f ca="1">IF(MOD(COUNTIF($Q$11:Q1395,Q1395),5)=0,OFFSET(装备属性!$P$1083,1+INT(COUNTA($Q$11:Q1395)/5),0),J1395)</f>
        <v>6</v>
      </c>
      <c r="K1396" s="83" t="str">
        <f ca="1">IF(RIGHT(G1396,13)="rune_slot,1}]",_xlfn.XLOOKUP(LEFT(SUBSTITUTE(G1396,"[{",""),FIND(",",SUBSTITUTE(G1396,"[{",""))-1),Sheet2!B:B,Sheet2!C:C)&amp;"+"&amp;1,_xlfn.XLOOKUP(LEFT(SUBSTITUTE(G1396,"[{",""),FIND(",",SUBSTITUTE(G1396,"[{",""))-1),Sheet2!B:B,Sheet2!C:C)&amp;"+"&amp;SUBSTITUTE(RIGHT(G1396,LEN(G1396)-FIND(",",G1396)),"}]","")/100&amp;"%")</f>
        <v>伤害减免+2.5%</v>
      </c>
      <c r="L1396" s="83" t="str">
        <f ca="1">IF(MOD(COUNTIF($Q$11:Q1395,Q1395),5)=0,OFFSET(装备属性!$G$1083,1+INT(COUNTA($Q$11:Q1395)/5),0),L1395)</f>
        <v>全员抗揍Ⅳ</v>
      </c>
      <c r="M1396" s="89" t="str">
        <f ca="1">IF(MOD(COUNTIF($Q$11:Q1395,Q1395),5)=0,OFFSET(装备属性!$H$1083,1+INT(COUNTA($Q$11:Q1395)/5),0),M1395)</f>
        <v>dmg_red_rate</v>
      </c>
      <c r="N1396" s="76">
        <f ca="1">IF(MOD(COUNTIF($Q$11:Q1395,Q1395),5)=0,OFFSET(装备属性!$K$1083,1+INT(COUNTA($Q$11:Q1395)/5),0),N1395)</f>
        <v>0.025</v>
      </c>
      <c r="O1396" s="76">
        <f ca="1">IF(MOD(COUNTIF($Q$11:Q1395,Q1395),5)=0,OFFSET(装备属性!$L$1083,1+INT(COUNTA($Q$11:Q1395)/5),0),O1395)</f>
        <v>0.029</v>
      </c>
      <c r="Q1396" s="89" t="str">
        <f ca="1">IF(MOD(COUNTIF($Q$11:Q1395,Q1395),5)=0,OFFSET(装备属性!$M$1083,1+INT(COUNTA($Q$11:Q1395)/5),0),Q1395)</f>
        <v>通用属性</v>
      </c>
      <c r="R1396" s="83">
        <f ca="1">IF(MOD(COUNTIF($Q$11:Q1395,Q1395),5)=0,10000*SUBSTITUTE(SUBSTITUTE(OFFSET(装备属性!$F$1083,1+INT(COUNTA($Q$11:Q1395)/5),0),"[",""),"]","")+_xlfn.XLOOKUP(C1396,$M$3:$M$7,$N$3:$N$7)*100,R1395)</f>
        <v>50700</v>
      </c>
    </row>
    <row r="1397" customHeight="1" spans="1:18">
      <c r="A1397" s="78">
        <f ca="1" t="shared" si="63"/>
        <v>50701</v>
      </c>
      <c r="B1397" s="82">
        <f ca="1">IFERROR(R1397+COUNTIFS($R$11:$R1397,R1397),"")</f>
        <v>50702</v>
      </c>
      <c r="C1397" s="83" t="str">
        <f ca="1">IF(MOD(COUNTIF($Q$11:Q1396,Q1396),5)=0,OFFSET(装备属性!$D$1083,1+INT(COUNTA($Q$11:Q1396)/5),0),C1396)</f>
        <v>粉</v>
      </c>
      <c r="D1397" s="82">
        <f t="shared" si="65"/>
        <v>2500</v>
      </c>
      <c r="F1397" s="82">
        <f ca="1" t="shared" si="64"/>
        <v>50700</v>
      </c>
      <c r="G1397" s="78" t="str">
        <f ca="1">IF(AND(LEFT("[{"&amp;M1397&amp;","&amp;CEILING(N1397*10000+(O1397-N1397)/4*(COUNTIF($F$11:F1397,F1397)-1)*10000,10)&amp;"}]",7)="[{equip",MID("[{"&amp;M1397&amp;","&amp;CEILING(N1397*10000+(O1397-N1397)/4*(COUNTIF($F$11:F1397,F1397)-1)*10000,10)&amp;"}]",8,1)&lt;&gt;"_"),"[{"&amp;M1397&amp;","&amp;1&amp;"}]","[{"&amp;M1397&amp;","&amp;CEILING(N1397*10000+(O1397-N1397)/4*(COUNTIF($F$11:F1397,F1397)-1)*10000,10)&amp;"}]")</f>
        <v>[{dmg_red_rate,260}]</v>
      </c>
      <c r="H1397" s="82" t="s">
        <v>563</v>
      </c>
      <c r="J1397" s="78">
        <f ca="1">IF(MOD(COUNTIF($Q$11:Q1396,Q1396),5)=0,OFFSET(装备属性!$P$1083,1+INT(COUNTA($Q$11:Q1396)/5),0),J1396)</f>
        <v>6</v>
      </c>
      <c r="K1397" s="83" t="str">
        <f ca="1">IF(RIGHT(G1397,13)="rune_slot,1}]",_xlfn.XLOOKUP(LEFT(SUBSTITUTE(G1397,"[{",""),FIND(",",SUBSTITUTE(G1397,"[{",""))-1),Sheet2!B:B,Sheet2!C:C)&amp;"+"&amp;1,_xlfn.XLOOKUP(LEFT(SUBSTITUTE(G1397,"[{",""),FIND(",",SUBSTITUTE(G1397,"[{",""))-1),Sheet2!B:B,Sheet2!C:C)&amp;"+"&amp;SUBSTITUTE(RIGHT(G1397,LEN(G1397)-FIND(",",G1397)),"}]","")/100&amp;"%")</f>
        <v>伤害减免+2.6%</v>
      </c>
      <c r="L1397" s="83" t="str">
        <f ca="1">IF(MOD(COUNTIF($Q$11:Q1396,Q1396),5)=0,OFFSET(装备属性!$G$1083,1+INT(COUNTA($Q$11:Q1396)/5),0),L1396)</f>
        <v>全员抗揍Ⅳ</v>
      </c>
      <c r="M1397" s="89" t="str">
        <f ca="1">IF(MOD(COUNTIF($Q$11:Q1396,Q1396),5)=0,OFFSET(装备属性!$H$1083,1+INT(COUNTA($Q$11:Q1396)/5),0),M1396)</f>
        <v>dmg_red_rate</v>
      </c>
      <c r="N1397" s="76">
        <f ca="1">IF(MOD(COUNTIF($Q$11:Q1396,Q1396),5)=0,OFFSET(装备属性!$K$1083,1+INT(COUNTA($Q$11:Q1396)/5),0),N1396)</f>
        <v>0.025</v>
      </c>
      <c r="O1397" s="76">
        <f ca="1">IF(MOD(COUNTIF($Q$11:Q1396,Q1396),5)=0,OFFSET(装备属性!$L$1083,1+INT(COUNTA($Q$11:Q1396)/5),0),O1396)</f>
        <v>0.029</v>
      </c>
      <c r="Q1397" s="89" t="str">
        <f ca="1">IF(MOD(COUNTIF($Q$11:Q1396,Q1396),5)=0,OFFSET(装备属性!$M$1083,1+INT(COUNTA($Q$11:Q1396)/5),0),Q1396)</f>
        <v>通用属性</v>
      </c>
      <c r="R1397" s="83">
        <f ca="1">IF(MOD(COUNTIF($Q$11:Q1396,Q1396),5)=0,10000*SUBSTITUTE(SUBSTITUTE(OFFSET(装备属性!$F$1083,1+INT(COUNTA($Q$11:Q1396)/5),0),"[",""),"]","")+_xlfn.XLOOKUP(C1397,$M$3:$M$7,$N$3:$N$7)*100,R1396)</f>
        <v>50700</v>
      </c>
    </row>
    <row r="1398" customHeight="1" spans="1:18">
      <c r="A1398" s="78">
        <f ca="1" t="shared" si="63"/>
        <v>50701</v>
      </c>
      <c r="B1398" s="82">
        <f ca="1">IFERROR(R1398+COUNTIFS($R$11:$R1398,R1398),"")</f>
        <v>50703</v>
      </c>
      <c r="C1398" s="83" t="str">
        <f ca="1">IF(MOD(COUNTIF($Q$11:Q1397,Q1397),5)=0,OFFSET(装备属性!$D$1083,1+INT(COUNTA($Q$11:Q1397)/5),0),C1397)</f>
        <v>粉</v>
      </c>
      <c r="D1398" s="82">
        <f t="shared" si="65"/>
        <v>2000</v>
      </c>
      <c r="F1398" s="82">
        <f ca="1" t="shared" si="64"/>
        <v>50700</v>
      </c>
      <c r="G1398" s="78" t="str">
        <f ca="1">IF(AND(LEFT("[{"&amp;M1398&amp;","&amp;CEILING(N1398*10000+(O1398-N1398)/4*(COUNTIF($F$11:F1398,F1398)-1)*10000,10)&amp;"}]",7)="[{equip",MID("[{"&amp;M1398&amp;","&amp;CEILING(N1398*10000+(O1398-N1398)/4*(COUNTIF($F$11:F1398,F1398)-1)*10000,10)&amp;"}]",8,1)&lt;&gt;"_"),"[{"&amp;M1398&amp;","&amp;1&amp;"}]","[{"&amp;M1398&amp;","&amp;CEILING(N1398*10000+(O1398-N1398)/4*(COUNTIF($F$11:F1398,F1398)-1)*10000,10)&amp;"}]")</f>
        <v>[{dmg_red_rate,270}]</v>
      </c>
      <c r="H1398" s="82" t="s">
        <v>563</v>
      </c>
      <c r="J1398" s="78">
        <f ca="1">IF(MOD(COUNTIF($Q$11:Q1397,Q1397),5)=0,OFFSET(装备属性!$P$1083,1+INT(COUNTA($Q$11:Q1397)/5),0),J1397)</f>
        <v>6</v>
      </c>
      <c r="K1398" s="83" t="str">
        <f ca="1">IF(RIGHT(G1398,13)="rune_slot,1}]",_xlfn.XLOOKUP(LEFT(SUBSTITUTE(G1398,"[{",""),FIND(",",SUBSTITUTE(G1398,"[{",""))-1),Sheet2!B:B,Sheet2!C:C)&amp;"+"&amp;1,_xlfn.XLOOKUP(LEFT(SUBSTITUTE(G1398,"[{",""),FIND(",",SUBSTITUTE(G1398,"[{",""))-1),Sheet2!B:B,Sheet2!C:C)&amp;"+"&amp;SUBSTITUTE(RIGHT(G1398,LEN(G1398)-FIND(",",G1398)),"}]","")/100&amp;"%")</f>
        <v>伤害减免+2.7%</v>
      </c>
      <c r="L1398" s="83" t="str">
        <f ca="1">IF(MOD(COUNTIF($Q$11:Q1397,Q1397),5)=0,OFFSET(装备属性!$G$1083,1+INT(COUNTA($Q$11:Q1397)/5),0),L1397)</f>
        <v>全员抗揍Ⅳ</v>
      </c>
      <c r="M1398" s="89" t="str">
        <f ca="1">IF(MOD(COUNTIF($Q$11:Q1397,Q1397),5)=0,OFFSET(装备属性!$H$1083,1+INT(COUNTA($Q$11:Q1397)/5),0),M1397)</f>
        <v>dmg_red_rate</v>
      </c>
      <c r="N1398" s="76">
        <f ca="1">IF(MOD(COUNTIF($Q$11:Q1397,Q1397),5)=0,OFFSET(装备属性!$K$1083,1+INT(COUNTA($Q$11:Q1397)/5),0),N1397)</f>
        <v>0.025</v>
      </c>
      <c r="O1398" s="76">
        <f ca="1">IF(MOD(COUNTIF($Q$11:Q1397,Q1397),5)=0,OFFSET(装备属性!$L$1083,1+INT(COUNTA($Q$11:Q1397)/5),0),O1397)</f>
        <v>0.029</v>
      </c>
      <c r="Q1398" s="89" t="str">
        <f ca="1">IF(MOD(COUNTIF($Q$11:Q1397,Q1397),5)=0,OFFSET(装备属性!$M$1083,1+INT(COUNTA($Q$11:Q1397)/5),0),Q1397)</f>
        <v>通用属性</v>
      </c>
      <c r="R1398" s="83">
        <f ca="1">IF(MOD(COUNTIF($Q$11:Q1397,Q1397),5)=0,10000*SUBSTITUTE(SUBSTITUTE(OFFSET(装备属性!$F$1083,1+INT(COUNTA($Q$11:Q1397)/5),0),"[",""),"]","")+_xlfn.XLOOKUP(C1398,$M$3:$M$7,$N$3:$N$7)*100,R1397)</f>
        <v>50700</v>
      </c>
    </row>
    <row r="1399" customHeight="1" spans="1:18">
      <c r="A1399" s="78">
        <f ca="1" t="shared" si="63"/>
        <v>50701</v>
      </c>
      <c r="B1399" s="82">
        <f ca="1">IFERROR(R1399+COUNTIFS($R$11:$R1399,R1399),"")</f>
        <v>50704</v>
      </c>
      <c r="C1399" s="83" t="str">
        <f ca="1">IF(MOD(COUNTIF($Q$11:Q1398,Q1398),5)=0,OFFSET(装备属性!$D$1083,1+INT(COUNTA($Q$11:Q1398)/5),0),C1398)</f>
        <v>粉</v>
      </c>
      <c r="D1399" s="82">
        <f t="shared" si="65"/>
        <v>1500</v>
      </c>
      <c r="F1399" s="82">
        <f ca="1" t="shared" si="64"/>
        <v>50700</v>
      </c>
      <c r="G1399" s="78" t="str">
        <f ca="1">IF(AND(LEFT("[{"&amp;M1399&amp;","&amp;CEILING(N1399*10000+(O1399-N1399)/4*(COUNTIF($F$11:F1399,F1399)-1)*10000,10)&amp;"}]",7)="[{equip",MID("[{"&amp;M1399&amp;","&amp;CEILING(N1399*10000+(O1399-N1399)/4*(COUNTIF($F$11:F1399,F1399)-1)*10000,10)&amp;"}]",8,1)&lt;&gt;"_"),"[{"&amp;M1399&amp;","&amp;1&amp;"}]","[{"&amp;M1399&amp;","&amp;CEILING(N1399*10000+(O1399-N1399)/4*(COUNTIF($F$11:F1399,F1399)-1)*10000,10)&amp;"}]")</f>
        <v>[{dmg_red_rate,280}]</v>
      </c>
      <c r="H1399" s="82" t="s">
        <v>563</v>
      </c>
      <c r="J1399" s="78">
        <f ca="1">IF(MOD(COUNTIF($Q$11:Q1398,Q1398),5)=0,OFFSET(装备属性!$P$1083,1+INT(COUNTA($Q$11:Q1398)/5),0),J1398)</f>
        <v>6</v>
      </c>
      <c r="K1399" s="83" t="str">
        <f ca="1">IF(RIGHT(G1399,13)="rune_slot,1}]",_xlfn.XLOOKUP(LEFT(SUBSTITUTE(G1399,"[{",""),FIND(",",SUBSTITUTE(G1399,"[{",""))-1),Sheet2!B:B,Sheet2!C:C)&amp;"+"&amp;1,_xlfn.XLOOKUP(LEFT(SUBSTITUTE(G1399,"[{",""),FIND(",",SUBSTITUTE(G1399,"[{",""))-1),Sheet2!B:B,Sheet2!C:C)&amp;"+"&amp;SUBSTITUTE(RIGHT(G1399,LEN(G1399)-FIND(",",G1399)),"}]","")/100&amp;"%")</f>
        <v>伤害减免+2.8%</v>
      </c>
      <c r="L1399" s="83" t="str">
        <f ca="1">IF(MOD(COUNTIF($Q$11:Q1398,Q1398),5)=0,OFFSET(装备属性!$G$1083,1+INT(COUNTA($Q$11:Q1398)/5),0),L1398)</f>
        <v>全员抗揍Ⅳ</v>
      </c>
      <c r="M1399" s="89" t="str">
        <f ca="1">IF(MOD(COUNTIF($Q$11:Q1398,Q1398),5)=0,OFFSET(装备属性!$H$1083,1+INT(COUNTA($Q$11:Q1398)/5),0),M1398)</f>
        <v>dmg_red_rate</v>
      </c>
      <c r="N1399" s="76">
        <f ca="1">IF(MOD(COUNTIF($Q$11:Q1398,Q1398),5)=0,OFFSET(装备属性!$K$1083,1+INT(COUNTA($Q$11:Q1398)/5),0),N1398)</f>
        <v>0.025</v>
      </c>
      <c r="O1399" s="76">
        <f ca="1">IF(MOD(COUNTIF($Q$11:Q1398,Q1398),5)=0,OFFSET(装备属性!$L$1083,1+INT(COUNTA($Q$11:Q1398)/5),0),O1398)</f>
        <v>0.029</v>
      </c>
      <c r="Q1399" s="89" t="str">
        <f ca="1">IF(MOD(COUNTIF($Q$11:Q1398,Q1398),5)=0,OFFSET(装备属性!$M$1083,1+INT(COUNTA($Q$11:Q1398)/5),0),Q1398)</f>
        <v>通用属性</v>
      </c>
      <c r="R1399" s="83">
        <f ca="1">IF(MOD(COUNTIF($Q$11:Q1398,Q1398),5)=0,10000*SUBSTITUTE(SUBSTITUTE(OFFSET(装备属性!$F$1083,1+INT(COUNTA($Q$11:Q1398)/5),0),"[",""),"]","")+_xlfn.XLOOKUP(C1399,$M$3:$M$7,$N$3:$N$7)*100,R1398)</f>
        <v>50700</v>
      </c>
    </row>
    <row r="1400" customHeight="1" spans="1:18">
      <c r="A1400" s="78">
        <f ca="1" t="shared" si="63"/>
        <v>50701</v>
      </c>
      <c r="B1400" s="82">
        <f ca="1">IFERROR(R1400+COUNTIFS($R$11:$R1400,R1400),"")</f>
        <v>50705</v>
      </c>
      <c r="C1400" s="83" t="str">
        <f ca="1">IF(MOD(COUNTIF($Q$11:Q1399,Q1399),5)=0,OFFSET(装备属性!$D$1083,1+INT(COUNTA($Q$11:Q1399)/5),0),C1399)</f>
        <v>粉</v>
      </c>
      <c r="D1400" s="82">
        <f t="shared" si="65"/>
        <v>1000</v>
      </c>
      <c r="F1400" s="82">
        <f ca="1" t="shared" si="64"/>
        <v>50700</v>
      </c>
      <c r="G1400" s="78" t="str">
        <f ca="1">IF(AND(LEFT("[{"&amp;M1400&amp;","&amp;CEILING(N1400*10000+(O1400-N1400)/4*(COUNTIF($F$11:F1400,F1400)-1)*10000,10)&amp;"}]",7)="[{equip",MID("[{"&amp;M1400&amp;","&amp;CEILING(N1400*10000+(O1400-N1400)/4*(COUNTIF($F$11:F1400,F1400)-1)*10000,10)&amp;"}]",8,1)&lt;&gt;"_"),"[{"&amp;M1400&amp;","&amp;1&amp;"}]","[{"&amp;M1400&amp;","&amp;CEILING(N1400*10000+(O1400-N1400)/4*(COUNTIF($F$11:F1400,F1400)-1)*10000,10)&amp;"}]")</f>
        <v>[{dmg_red_rate,290}]</v>
      </c>
      <c r="H1400" s="82" t="s">
        <v>563</v>
      </c>
      <c r="J1400" s="78">
        <f ca="1">IF(MOD(COUNTIF($Q$11:Q1399,Q1399),5)=0,OFFSET(装备属性!$P$1083,1+INT(COUNTA($Q$11:Q1399)/5),0),J1399)</f>
        <v>6</v>
      </c>
      <c r="K1400" s="83" t="str">
        <f ca="1">IF(RIGHT(G1400,13)="rune_slot,1}]",_xlfn.XLOOKUP(LEFT(SUBSTITUTE(G1400,"[{",""),FIND(",",SUBSTITUTE(G1400,"[{",""))-1),Sheet2!B:B,Sheet2!C:C)&amp;"+"&amp;1,_xlfn.XLOOKUP(LEFT(SUBSTITUTE(G1400,"[{",""),FIND(",",SUBSTITUTE(G1400,"[{",""))-1),Sheet2!B:B,Sheet2!C:C)&amp;"+"&amp;SUBSTITUTE(RIGHT(G1400,LEN(G1400)-FIND(",",G1400)),"}]","")/100&amp;"%")</f>
        <v>伤害减免+2.9%</v>
      </c>
      <c r="L1400" s="83" t="str">
        <f ca="1">IF(MOD(COUNTIF($Q$11:Q1399,Q1399),5)=0,OFFSET(装备属性!$G$1083,1+INT(COUNTA($Q$11:Q1399)/5),0),L1399)</f>
        <v>全员抗揍Ⅳ</v>
      </c>
      <c r="M1400" s="89" t="str">
        <f ca="1">IF(MOD(COUNTIF($Q$11:Q1399,Q1399),5)=0,OFFSET(装备属性!$H$1083,1+INT(COUNTA($Q$11:Q1399)/5),0),M1399)</f>
        <v>dmg_red_rate</v>
      </c>
      <c r="N1400" s="76">
        <f ca="1">IF(MOD(COUNTIF($Q$11:Q1399,Q1399),5)=0,OFFSET(装备属性!$K$1083,1+INT(COUNTA($Q$11:Q1399)/5),0),N1399)</f>
        <v>0.025</v>
      </c>
      <c r="O1400" s="76">
        <f ca="1">IF(MOD(COUNTIF($Q$11:Q1399,Q1399),5)=0,OFFSET(装备属性!$L$1083,1+INT(COUNTA($Q$11:Q1399)/5),0),O1399)</f>
        <v>0.029</v>
      </c>
      <c r="Q1400" s="89" t="str">
        <f ca="1">IF(MOD(COUNTIF($Q$11:Q1399,Q1399),5)=0,OFFSET(装备属性!$M$1083,1+INT(COUNTA($Q$11:Q1399)/5),0),Q1399)</f>
        <v>通用属性</v>
      </c>
      <c r="R1400" s="83">
        <f ca="1">IF(MOD(COUNTIF($Q$11:Q1399,Q1399),5)=0,10000*SUBSTITUTE(SUBSTITUTE(OFFSET(装备属性!$F$1083,1+INT(COUNTA($Q$11:Q1399)/5),0),"[",""),"]","")+_xlfn.XLOOKUP(C1400,$M$3:$M$7,$N$3:$N$7)*100,R1399)</f>
        <v>50700</v>
      </c>
    </row>
    <row r="1401" customHeight="1" spans="1:18">
      <c r="A1401" s="78">
        <f ca="1" t="shared" si="63"/>
        <v>50701</v>
      </c>
      <c r="B1401" s="82">
        <f ca="1">IFERROR(R1401+COUNTIFS($R$11:$R1401,R1401),"")</f>
        <v>50706</v>
      </c>
      <c r="C1401" s="83" t="str">
        <f ca="1">IF(MOD(COUNTIF($Q$11:Q1400,Q1400),5)=0,OFFSET(装备属性!$D$1083,1+INT(COUNTA($Q$11:Q1400)/5),0),C1400)</f>
        <v>粉</v>
      </c>
      <c r="D1401" s="82">
        <f t="shared" si="65"/>
        <v>3000</v>
      </c>
      <c r="F1401" s="82">
        <f ca="1" t="shared" si="64"/>
        <v>50701</v>
      </c>
      <c r="G1401" s="78" t="str">
        <f ca="1">IF(AND(LEFT("[{"&amp;M1401&amp;","&amp;CEILING(N1401*10000+(O1401-N1401)/4*(COUNTIF($F$11:F1401,F1401)-1)*10000,10)&amp;"}]",7)="[{equip",MID("[{"&amp;M1401&amp;","&amp;CEILING(N1401*10000+(O1401-N1401)/4*(COUNTIF($F$11:F1401,F1401)-1)*10000,10)&amp;"}]",8,1)&lt;&gt;"_"),"[{"&amp;M1401&amp;","&amp;1&amp;"}]","[{"&amp;M1401&amp;","&amp;CEILING(N1401*10000+(O1401-N1401)/4*(COUNTIF($F$11:F1401,F1401)-1)*10000,10)&amp;"}]")</f>
        <v>[{all_class_dmg,580}]</v>
      </c>
      <c r="H1401" s="82" t="s">
        <v>563</v>
      </c>
      <c r="J1401" s="78">
        <f ca="1">IF(MOD(COUNTIF($Q$11:Q1400,Q1400),5)=0,OFFSET(装备属性!$P$1083,1+INT(COUNTA($Q$11:Q1400)/5),0),J1400)</f>
        <v>2</v>
      </c>
      <c r="K1401" s="83" t="str">
        <f ca="1">IF(RIGHT(G1401,13)="rune_slot,1}]",_xlfn.XLOOKUP(LEFT(SUBSTITUTE(G1401,"[{",""),FIND(",",SUBSTITUTE(G1401,"[{",""))-1),Sheet2!B:B,Sheet2!C:C)&amp;"+"&amp;1,_xlfn.XLOOKUP(LEFT(SUBSTITUTE(G1401,"[{",""),FIND(",",SUBSTITUTE(G1401,"[{",""))-1),Sheet2!B:B,Sheet2!C:C)&amp;"+"&amp;SUBSTITUTE(RIGHT(G1401,LEN(G1401)-FIND(",",G1401)),"}]","")/100&amp;"%")</f>
        <v>上阵五个不同职业增伤+5.8%</v>
      </c>
      <c r="L1401" s="83" t="str">
        <f ca="1">IF(MOD(COUNTIF($Q$11:Q1400,Q1400),5)=0,OFFSET(装备属性!$G$1083,1+INT(COUNTA($Q$11:Q1400)/5),0),L1400)</f>
        <v>全员出力Ⅳ</v>
      </c>
      <c r="M1401" s="89" t="str">
        <f ca="1">IF(MOD(COUNTIF($Q$11:Q1400,Q1400),5)=0,OFFSET(装备属性!$H$1083,1+INT(COUNTA($Q$11:Q1400)/5),0),M1400)</f>
        <v>all_class_dmg</v>
      </c>
      <c r="N1401" s="76">
        <f ca="1">IF(MOD(COUNTIF($Q$11:Q1400,Q1400),5)=0,OFFSET(装备属性!$K$1083,1+INT(COUNTA($Q$11:Q1400)/5),0),N1400)</f>
        <v>0.058</v>
      </c>
      <c r="O1401" s="76">
        <f ca="1">IF(MOD(COUNTIF($Q$11:Q1400,Q1400),5)=0,OFFSET(装备属性!$L$1083,1+INT(COUNTA($Q$11:Q1400)/5),0),O1400)</f>
        <v>0.072</v>
      </c>
      <c r="Q1401" s="89" t="str">
        <f ca="1">IF(MOD(COUNTIF($Q$11:Q1400,Q1400),5)=0,OFFSET(装备属性!$M$1083,1+INT(COUNTA($Q$11:Q1400)/5),0),Q1400)</f>
        <v>通用属性</v>
      </c>
      <c r="R1401" s="83">
        <f ca="1">IF(MOD(COUNTIF($Q$11:Q1400,Q1400),5)=0,10000*SUBSTITUTE(SUBSTITUTE(OFFSET(装备属性!$F$1083,1+INT(COUNTA($Q$11:Q1400)/5),0),"[",""),"]","")+_xlfn.XLOOKUP(C1401,$M$3:$M$7,$N$3:$N$7)*100,R1400)</f>
        <v>50700</v>
      </c>
    </row>
    <row r="1402" customHeight="1" spans="1:18">
      <c r="A1402" s="78">
        <f ca="1" t="shared" si="63"/>
        <v>50701</v>
      </c>
      <c r="B1402" s="82">
        <f ca="1">IFERROR(R1402+COUNTIFS($R$11:$R1402,R1402),"")</f>
        <v>50707</v>
      </c>
      <c r="C1402" s="83" t="str">
        <f ca="1">IF(MOD(COUNTIF($Q$11:Q1401,Q1401),5)=0,OFFSET(装备属性!$D$1083,1+INT(COUNTA($Q$11:Q1401)/5),0),C1401)</f>
        <v>粉</v>
      </c>
      <c r="D1402" s="82">
        <f t="shared" si="65"/>
        <v>2500</v>
      </c>
      <c r="F1402" s="82">
        <f ca="1" t="shared" si="64"/>
        <v>50701</v>
      </c>
      <c r="G1402" s="78" t="str">
        <f ca="1">IF(AND(LEFT("[{"&amp;M1402&amp;","&amp;CEILING(N1402*10000+(O1402-N1402)/4*(COUNTIF($F$11:F1402,F1402)-1)*10000,10)&amp;"}]",7)="[{equip",MID("[{"&amp;M1402&amp;","&amp;CEILING(N1402*10000+(O1402-N1402)/4*(COUNTIF($F$11:F1402,F1402)-1)*10000,10)&amp;"}]",8,1)&lt;&gt;"_"),"[{"&amp;M1402&amp;","&amp;1&amp;"}]","[{"&amp;M1402&amp;","&amp;CEILING(N1402*10000+(O1402-N1402)/4*(COUNTIF($F$11:F1402,F1402)-1)*10000,10)&amp;"}]")</f>
        <v>[{all_class_dmg,620}]</v>
      </c>
      <c r="H1402" s="82" t="s">
        <v>563</v>
      </c>
      <c r="J1402" s="78">
        <f ca="1">IF(MOD(COUNTIF($Q$11:Q1401,Q1401),5)=0,OFFSET(装备属性!$P$1083,1+INT(COUNTA($Q$11:Q1401)/5),0),J1401)</f>
        <v>2</v>
      </c>
      <c r="K1402" s="83" t="str">
        <f ca="1">IF(RIGHT(G1402,13)="rune_slot,1}]",_xlfn.XLOOKUP(LEFT(SUBSTITUTE(G1402,"[{",""),FIND(",",SUBSTITUTE(G1402,"[{",""))-1),Sheet2!B:B,Sheet2!C:C)&amp;"+"&amp;1,_xlfn.XLOOKUP(LEFT(SUBSTITUTE(G1402,"[{",""),FIND(",",SUBSTITUTE(G1402,"[{",""))-1),Sheet2!B:B,Sheet2!C:C)&amp;"+"&amp;SUBSTITUTE(RIGHT(G1402,LEN(G1402)-FIND(",",G1402)),"}]","")/100&amp;"%")</f>
        <v>上阵五个不同职业增伤+6.2%</v>
      </c>
      <c r="L1402" s="83" t="str">
        <f ca="1">IF(MOD(COUNTIF($Q$11:Q1401,Q1401),5)=0,OFFSET(装备属性!$G$1083,1+INT(COUNTA($Q$11:Q1401)/5),0),L1401)</f>
        <v>全员出力Ⅳ</v>
      </c>
      <c r="M1402" s="89" t="str">
        <f ca="1">IF(MOD(COUNTIF($Q$11:Q1401,Q1401),5)=0,OFFSET(装备属性!$H$1083,1+INT(COUNTA($Q$11:Q1401)/5),0),M1401)</f>
        <v>all_class_dmg</v>
      </c>
      <c r="N1402" s="76">
        <f ca="1">IF(MOD(COUNTIF($Q$11:Q1401,Q1401),5)=0,OFFSET(装备属性!$K$1083,1+INT(COUNTA($Q$11:Q1401)/5),0),N1401)</f>
        <v>0.058</v>
      </c>
      <c r="O1402" s="76">
        <f ca="1">IF(MOD(COUNTIF($Q$11:Q1401,Q1401),5)=0,OFFSET(装备属性!$L$1083,1+INT(COUNTA($Q$11:Q1401)/5),0),O1401)</f>
        <v>0.072</v>
      </c>
      <c r="Q1402" s="89" t="str">
        <f ca="1">IF(MOD(COUNTIF($Q$11:Q1401,Q1401),5)=0,OFFSET(装备属性!$M$1083,1+INT(COUNTA($Q$11:Q1401)/5),0),Q1401)</f>
        <v>通用属性</v>
      </c>
      <c r="R1402" s="83">
        <f ca="1">IF(MOD(COUNTIF($Q$11:Q1401,Q1401),5)=0,10000*SUBSTITUTE(SUBSTITUTE(OFFSET(装备属性!$F$1083,1+INT(COUNTA($Q$11:Q1401)/5),0),"[",""),"]","")+_xlfn.XLOOKUP(C1402,$M$3:$M$7,$N$3:$N$7)*100,R1401)</f>
        <v>50700</v>
      </c>
    </row>
    <row r="1403" customHeight="1" spans="1:18">
      <c r="A1403" s="78">
        <f ca="1" t="shared" si="63"/>
        <v>50701</v>
      </c>
      <c r="B1403" s="82">
        <f ca="1">IFERROR(R1403+COUNTIFS($R$11:$R1403,R1403),"")</f>
        <v>50708</v>
      </c>
      <c r="C1403" s="83" t="str">
        <f ca="1">IF(MOD(COUNTIF($Q$11:Q1402,Q1402),5)=0,OFFSET(装备属性!$D$1083,1+INT(COUNTA($Q$11:Q1402)/5),0),C1402)</f>
        <v>粉</v>
      </c>
      <c r="D1403" s="82">
        <f t="shared" si="65"/>
        <v>2000</v>
      </c>
      <c r="F1403" s="82">
        <f ca="1" t="shared" si="64"/>
        <v>50701</v>
      </c>
      <c r="G1403" s="78" t="str">
        <f ca="1">IF(AND(LEFT("[{"&amp;M1403&amp;","&amp;CEILING(N1403*10000+(O1403-N1403)/4*(COUNTIF($F$11:F1403,F1403)-1)*10000,10)&amp;"}]",7)="[{equip",MID("[{"&amp;M1403&amp;","&amp;CEILING(N1403*10000+(O1403-N1403)/4*(COUNTIF($F$11:F1403,F1403)-1)*10000,10)&amp;"}]",8,1)&lt;&gt;"_"),"[{"&amp;M1403&amp;","&amp;1&amp;"}]","[{"&amp;M1403&amp;","&amp;CEILING(N1403*10000+(O1403-N1403)/4*(COUNTIF($F$11:F1403,F1403)-1)*10000,10)&amp;"}]")</f>
        <v>[{all_class_dmg,650}]</v>
      </c>
      <c r="H1403" s="82" t="s">
        <v>563</v>
      </c>
      <c r="J1403" s="78">
        <f ca="1">IF(MOD(COUNTIF($Q$11:Q1402,Q1402),5)=0,OFFSET(装备属性!$P$1083,1+INT(COUNTA($Q$11:Q1402)/5),0),J1402)</f>
        <v>2</v>
      </c>
      <c r="K1403" s="83" t="str">
        <f ca="1">IF(RIGHT(G1403,13)="rune_slot,1}]",_xlfn.XLOOKUP(LEFT(SUBSTITUTE(G1403,"[{",""),FIND(",",SUBSTITUTE(G1403,"[{",""))-1),Sheet2!B:B,Sheet2!C:C)&amp;"+"&amp;1,_xlfn.XLOOKUP(LEFT(SUBSTITUTE(G1403,"[{",""),FIND(",",SUBSTITUTE(G1403,"[{",""))-1),Sheet2!B:B,Sheet2!C:C)&amp;"+"&amp;SUBSTITUTE(RIGHT(G1403,LEN(G1403)-FIND(",",G1403)),"}]","")/100&amp;"%")</f>
        <v>上阵五个不同职业增伤+6.5%</v>
      </c>
      <c r="L1403" s="83" t="str">
        <f ca="1">IF(MOD(COUNTIF($Q$11:Q1402,Q1402),5)=0,OFFSET(装备属性!$G$1083,1+INT(COUNTA($Q$11:Q1402)/5),0),L1402)</f>
        <v>全员出力Ⅳ</v>
      </c>
      <c r="M1403" s="89" t="str">
        <f ca="1">IF(MOD(COUNTIF($Q$11:Q1402,Q1402),5)=0,OFFSET(装备属性!$H$1083,1+INT(COUNTA($Q$11:Q1402)/5),0),M1402)</f>
        <v>all_class_dmg</v>
      </c>
      <c r="N1403" s="76">
        <f ca="1">IF(MOD(COUNTIF($Q$11:Q1402,Q1402),5)=0,OFFSET(装备属性!$K$1083,1+INT(COUNTA($Q$11:Q1402)/5),0),N1402)</f>
        <v>0.058</v>
      </c>
      <c r="O1403" s="76">
        <f ca="1">IF(MOD(COUNTIF($Q$11:Q1402,Q1402),5)=0,OFFSET(装备属性!$L$1083,1+INT(COUNTA($Q$11:Q1402)/5),0),O1402)</f>
        <v>0.072</v>
      </c>
      <c r="Q1403" s="89" t="str">
        <f ca="1">IF(MOD(COUNTIF($Q$11:Q1402,Q1402),5)=0,OFFSET(装备属性!$M$1083,1+INT(COUNTA($Q$11:Q1402)/5),0),Q1402)</f>
        <v>通用属性</v>
      </c>
      <c r="R1403" s="83">
        <f ca="1">IF(MOD(COUNTIF($Q$11:Q1402,Q1402),5)=0,10000*SUBSTITUTE(SUBSTITUTE(OFFSET(装备属性!$F$1083,1+INT(COUNTA($Q$11:Q1402)/5),0),"[",""),"]","")+_xlfn.XLOOKUP(C1403,$M$3:$M$7,$N$3:$N$7)*100,R1402)</f>
        <v>50700</v>
      </c>
    </row>
    <row r="1404" customHeight="1" spans="1:18">
      <c r="A1404" s="78">
        <f ca="1" t="shared" si="63"/>
        <v>50701</v>
      </c>
      <c r="B1404" s="82">
        <f ca="1">IFERROR(R1404+COUNTIFS($R$11:$R1404,R1404),"")</f>
        <v>50709</v>
      </c>
      <c r="C1404" s="83" t="str">
        <f ca="1">IF(MOD(COUNTIF($Q$11:Q1403,Q1403),5)=0,OFFSET(装备属性!$D$1083,1+INT(COUNTA($Q$11:Q1403)/5),0),C1403)</f>
        <v>粉</v>
      </c>
      <c r="D1404" s="82">
        <f t="shared" si="65"/>
        <v>1500</v>
      </c>
      <c r="F1404" s="82">
        <f ca="1" t="shared" si="64"/>
        <v>50701</v>
      </c>
      <c r="G1404" s="78" t="str">
        <f ca="1">IF(AND(LEFT("[{"&amp;M1404&amp;","&amp;CEILING(N1404*10000+(O1404-N1404)/4*(COUNTIF($F$11:F1404,F1404)-1)*10000,10)&amp;"}]",7)="[{equip",MID("[{"&amp;M1404&amp;","&amp;CEILING(N1404*10000+(O1404-N1404)/4*(COUNTIF($F$11:F1404,F1404)-1)*10000,10)&amp;"}]",8,1)&lt;&gt;"_"),"[{"&amp;M1404&amp;","&amp;1&amp;"}]","[{"&amp;M1404&amp;","&amp;CEILING(N1404*10000+(O1404-N1404)/4*(COUNTIF($F$11:F1404,F1404)-1)*10000,10)&amp;"}]")</f>
        <v>[{all_class_dmg,690}]</v>
      </c>
      <c r="H1404" s="82" t="s">
        <v>563</v>
      </c>
      <c r="J1404" s="78">
        <f ca="1">IF(MOD(COUNTIF($Q$11:Q1403,Q1403),5)=0,OFFSET(装备属性!$P$1083,1+INT(COUNTA($Q$11:Q1403)/5),0),J1403)</f>
        <v>2</v>
      </c>
      <c r="K1404" s="83" t="str">
        <f ca="1">IF(RIGHT(G1404,13)="rune_slot,1}]",_xlfn.XLOOKUP(LEFT(SUBSTITUTE(G1404,"[{",""),FIND(",",SUBSTITUTE(G1404,"[{",""))-1),Sheet2!B:B,Sheet2!C:C)&amp;"+"&amp;1,_xlfn.XLOOKUP(LEFT(SUBSTITUTE(G1404,"[{",""),FIND(",",SUBSTITUTE(G1404,"[{",""))-1),Sheet2!B:B,Sheet2!C:C)&amp;"+"&amp;SUBSTITUTE(RIGHT(G1404,LEN(G1404)-FIND(",",G1404)),"}]","")/100&amp;"%")</f>
        <v>上阵五个不同职业增伤+6.9%</v>
      </c>
      <c r="L1404" s="83" t="str">
        <f ca="1">IF(MOD(COUNTIF($Q$11:Q1403,Q1403),5)=0,OFFSET(装备属性!$G$1083,1+INT(COUNTA($Q$11:Q1403)/5),0),L1403)</f>
        <v>全员出力Ⅳ</v>
      </c>
      <c r="M1404" s="89" t="str">
        <f ca="1">IF(MOD(COUNTIF($Q$11:Q1403,Q1403),5)=0,OFFSET(装备属性!$H$1083,1+INT(COUNTA($Q$11:Q1403)/5),0),M1403)</f>
        <v>all_class_dmg</v>
      </c>
      <c r="N1404" s="76">
        <f ca="1">IF(MOD(COUNTIF($Q$11:Q1403,Q1403),5)=0,OFFSET(装备属性!$K$1083,1+INT(COUNTA($Q$11:Q1403)/5),0),N1403)</f>
        <v>0.058</v>
      </c>
      <c r="O1404" s="76">
        <f ca="1">IF(MOD(COUNTIF($Q$11:Q1403,Q1403),5)=0,OFFSET(装备属性!$L$1083,1+INT(COUNTA($Q$11:Q1403)/5),0),O1403)</f>
        <v>0.072</v>
      </c>
      <c r="Q1404" s="89" t="str">
        <f ca="1">IF(MOD(COUNTIF($Q$11:Q1403,Q1403),5)=0,OFFSET(装备属性!$M$1083,1+INT(COUNTA($Q$11:Q1403)/5),0),Q1403)</f>
        <v>通用属性</v>
      </c>
      <c r="R1404" s="83">
        <f ca="1">IF(MOD(COUNTIF($Q$11:Q1403,Q1403),5)=0,10000*SUBSTITUTE(SUBSTITUTE(OFFSET(装备属性!$F$1083,1+INT(COUNTA($Q$11:Q1403)/5),0),"[",""),"]","")+_xlfn.XLOOKUP(C1404,$M$3:$M$7,$N$3:$N$7)*100,R1403)</f>
        <v>50700</v>
      </c>
    </row>
    <row r="1405" customHeight="1" spans="1:18">
      <c r="A1405" s="78">
        <f ca="1" t="shared" si="63"/>
        <v>50701</v>
      </c>
      <c r="B1405" s="82">
        <f ca="1">IFERROR(R1405+COUNTIFS($R$11:$R1405,R1405),"")</f>
        <v>50710</v>
      </c>
      <c r="C1405" s="83" t="str">
        <f ca="1">IF(MOD(COUNTIF($Q$11:Q1404,Q1404),5)=0,OFFSET(装备属性!$D$1083,1+INT(COUNTA($Q$11:Q1404)/5),0),C1404)</f>
        <v>粉</v>
      </c>
      <c r="D1405" s="82">
        <f t="shared" si="65"/>
        <v>1000</v>
      </c>
      <c r="F1405" s="82">
        <f ca="1" t="shared" si="64"/>
        <v>50701</v>
      </c>
      <c r="G1405" s="78" t="str">
        <f ca="1">IF(AND(LEFT("[{"&amp;M1405&amp;","&amp;CEILING(N1405*10000+(O1405-N1405)/4*(COUNTIF($F$11:F1405,F1405)-1)*10000,10)&amp;"}]",7)="[{equip",MID("[{"&amp;M1405&amp;","&amp;CEILING(N1405*10000+(O1405-N1405)/4*(COUNTIF($F$11:F1405,F1405)-1)*10000,10)&amp;"}]",8,1)&lt;&gt;"_"),"[{"&amp;M1405&amp;","&amp;1&amp;"}]","[{"&amp;M1405&amp;","&amp;CEILING(N1405*10000+(O1405-N1405)/4*(COUNTIF($F$11:F1405,F1405)-1)*10000,10)&amp;"}]")</f>
        <v>[{all_class_dmg,720}]</v>
      </c>
      <c r="H1405" s="82" t="s">
        <v>563</v>
      </c>
      <c r="J1405" s="78">
        <f ca="1">IF(MOD(COUNTIF($Q$11:Q1404,Q1404),5)=0,OFFSET(装备属性!$P$1083,1+INT(COUNTA($Q$11:Q1404)/5),0),J1404)</f>
        <v>2</v>
      </c>
      <c r="K1405" s="83" t="str">
        <f ca="1">IF(RIGHT(G1405,13)="rune_slot,1}]",_xlfn.XLOOKUP(LEFT(SUBSTITUTE(G1405,"[{",""),FIND(",",SUBSTITUTE(G1405,"[{",""))-1),Sheet2!B:B,Sheet2!C:C)&amp;"+"&amp;1,_xlfn.XLOOKUP(LEFT(SUBSTITUTE(G1405,"[{",""),FIND(",",SUBSTITUTE(G1405,"[{",""))-1),Sheet2!B:B,Sheet2!C:C)&amp;"+"&amp;SUBSTITUTE(RIGHT(G1405,LEN(G1405)-FIND(",",G1405)),"}]","")/100&amp;"%")</f>
        <v>上阵五个不同职业增伤+7.2%</v>
      </c>
      <c r="L1405" s="83" t="str">
        <f ca="1">IF(MOD(COUNTIF($Q$11:Q1404,Q1404),5)=0,OFFSET(装备属性!$G$1083,1+INT(COUNTA($Q$11:Q1404)/5),0),L1404)</f>
        <v>全员出力Ⅳ</v>
      </c>
      <c r="M1405" s="89" t="str">
        <f ca="1">IF(MOD(COUNTIF($Q$11:Q1404,Q1404),5)=0,OFFSET(装备属性!$H$1083,1+INT(COUNTA($Q$11:Q1404)/5),0),M1404)</f>
        <v>all_class_dmg</v>
      </c>
      <c r="N1405" s="76">
        <f ca="1">IF(MOD(COUNTIF($Q$11:Q1404,Q1404),5)=0,OFFSET(装备属性!$K$1083,1+INT(COUNTA($Q$11:Q1404)/5),0),N1404)</f>
        <v>0.058</v>
      </c>
      <c r="O1405" s="76">
        <f ca="1">IF(MOD(COUNTIF($Q$11:Q1404,Q1404),5)=0,OFFSET(装备属性!$L$1083,1+INT(COUNTA($Q$11:Q1404)/5),0),O1404)</f>
        <v>0.072</v>
      </c>
      <c r="Q1405" s="89" t="str">
        <f ca="1">IF(MOD(COUNTIF($Q$11:Q1404,Q1404),5)=0,OFFSET(装备属性!$M$1083,1+INT(COUNTA($Q$11:Q1404)/5),0),Q1404)</f>
        <v>通用属性</v>
      </c>
      <c r="R1405" s="83">
        <f ca="1">IF(MOD(COUNTIF($Q$11:Q1404,Q1404),5)=0,10000*SUBSTITUTE(SUBSTITUTE(OFFSET(装备属性!$F$1083,1+INT(COUNTA($Q$11:Q1404)/5),0),"[",""),"]","")+_xlfn.XLOOKUP(C1405,$M$3:$M$7,$N$3:$N$7)*100,R1404)</f>
        <v>50700</v>
      </c>
    </row>
    <row r="1406" customHeight="1" spans="1:18">
      <c r="A1406" s="78">
        <f ca="1" t="shared" si="63"/>
        <v>50703</v>
      </c>
      <c r="B1406" s="82">
        <f ca="1">IFERROR(R1406+COUNTIFS($R$11:$R1406,R1406),"")</f>
        <v>50711</v>
      </c>
      <c r="C1406" s="83" t="str">
        <f ca="1">IF(MOD(COUNTIF($Q$11:Q1405,Q1405),5)=0,OFFSET(装备属性!$D$1083,1+INT(COUNTA($Q$11:Q1405)/5),0),C1405)</f>
        <v>粉</v>
      </c>
      <c r="D1406" s="82">
        <f t="shared" si="65"/>
        <v>3000</v>
      </c>
      <c r="F1406" s="82">
        <f ca="1" t="shared" si="64"/>
        <v>50702</v>
      </c>
      <c r="G1406" s="78" t="str">
        <f ca="1">IF(AND(LEFT("[{"&amp;M1406&amp;","&amp;CEILING(N1406*10000+(O1406-N1406)/4*(COUNTIF($F$11:F1406,F1406)-1)*10000,10)&amp;"}]",7)="[{equip",MID("[{"&amp;M1406&amp;","&amp;CEILING(N1406*10000+(O1406-N1406)/4*(COUNTIF($F$11:F1406,F1406)-1)*10000,10)&amp;"}]",8,1)&lt;&gt;"_"),"[{"&amp;M1406&amp;","&amp;1&amp;"}]","[{"&amp;M1406&amp;","&amp;CEILING(N1406*10000+(O1406-N1406)/4*(COUNTIF($F$11:F1406,F1406)-1)*10000,10)&amp;"}]")</f>
        <v>[{exp_boost,2000}]</v>
      </c>
      <c r="H1406" s="82" t="s">
        <v>563</v>
      </c>
      <c r="J1406" s="78">
        <f ca="1">IF(MOD(COUNTIF($Q$11:Q1405,Q1405),5)=0,OFFSET(装备属性!$P$1083,1+INT(COUNTA($Q$11:Q1405)/5),0),J1405)</f>
        <v>9</v>
      </c>
      <c r="K1406" s="83" t="str">
        <f ca="1">IF(RIGHT(G1406,13)="rune_slot,1}]",_xlfn.XLOOKUP(LEFT(SUBSTITUTE(G1406,"[{",""),FIND(",",SUBSTITUTE(G1406,"[{",""))-1),Sheet2!B:B,Sheet2!C:C)&amp;"+"&amp;1,_xlfn.XLOOKUP(LEFT(SUBSTITUTE(G1406,"[{",""),FIND(",",SUBSTITUTE(G1406,"[{",""))-1),Sheet2!B:B,Sheet2!C:C)&amp;"+"&amp;SUBSTITUTE(RIGHT(G1406,LEN(G1406)-FIND(",",G1406)),"}]","")/100&amp;"%")</f>
        <v>经验加成+20%</v>
      </c>
      <c r="L1406" s="83" t="str">
        <f ca="1">IF(MOD(COUNTIF($Q$11:Q1405,Q1405),5)=0,OFFSET(装备属性!$G$1083,1+INT(COUNTA($Q$11:Q1405)/5),0),L1405)</f>
        <v>涨见识</v>
      </c>
      <c r="M1406" s="89" t="str">
        <f ca="1">IF(MOD(COUNTIF($Q$11:Q1405,Q1405),5)=0,OFFSET(装备属性!$H$1083,1+INT(COUNTA($Q$11:Q1405)/5),0),M1405)</f>
        <v>exp_boost</v>
      </c>
      <c r="N1406" s="76">
        <f ca="1">IF(MOD(COUNTIF($Q$11:Q1405,Q1405),5)=0,OFFSET(装备属性!$K$1083,1+INT(COUNTA($Q$11:Q1405)/5),0),N1405)</f>
        <v>0.2</v>
      </c>
      <c r="O1406" s="76">
        <f ca="1">IF(MOD(COUNTIF($Q$11:Q1405,Q1405),5)=0,OFFSET(装备属性!$L$1083,1+INT(COUNTA($Q$11:Q1405)/5),0),O1405)</f>
        <v>0.2</v>
      </c>
      <c r="Q1406" s="89" t="str">
        <f ca="1">IF(MOD(COUNTIF($Q$11:Q1405,Q1405),5)=0,OFFSET(装备属性!$M$1083,1+INT(COUNTA($Q$11:Q1405)/5),0),Q1405)</f>
        <v>稀有词条</v>
      </c>
      <c r="R1406" s="83">
        <f ca="1">IF(MOD(COUNTIF($Q$11:Q1405,Q1405),5)=0,10000*SUBSTITUTE(SUBSTITUTE(OFFSET(装备属性!$F$1083,1+INT(COUNTA($Q$11:Q1405)/5),0),"[",""),"]","")+_xlfn.XLOOKUP(C1406,$M$3:$M$7,$N$3:$N$7)*100,R1405)</f>
        <v>50700</v>
      </c>
    </row>
    <row r="1407" customHeight="1" spans="1:18">
      <c r="A1407" s="78">
        <f ca="1" t="shared" si="63"/>
        <v>50703</v>
      </c>
      <c r="B1407" s="82">
        <f ca="1">IFERROR(R1407+COUNTIFS($R$11:$R1407,R1407),"")</f>
        <v>50712</v>
      </c>
      <c r="C1407" s="83" t="str">
        <f ca="1">IF(MOD(COUNTIF($Q$11:Q1406,Q1406),5)=0,OFFSET(装备属性!$D$1083,1+INT(COUNTA($Q$11:Q1406)/5),0),C1406)</f>
        <v>粉</v>
      </c>
      <c r="D1407" s="82">
        <f t="shared" si="65"/>
        <v>2500</v>
      </c>
      <c r="F1407" s="82">
        <f ca="1" t="shared" si="64"/>
        <v>50702</v>
      </c>
      <c r="G1407" s="78" t="str">
        <f ca="1">IF(AND(LEFT("[{"&amp;M1407&amp;","&amp;CEILING(N1407*10000+(O1407-N1407)/4*(COUNTIF($F$11:F1407,F1407)-1)*10000,10)&amp;"}]",7)="[{equip",MID("[{"&amp;M1407&amp;","&amp;CEILING(N1407*10000+(O1407-N1407)/4*(COUNTIF($F$11:F1407,F1407)-1)*10000,10)&amp;"}]",8,1)&lt;&gt;"_"),"[{"&amp;M1407&amp;","&amp;1&amp;"}]","[{"&amp;M1407&amp;","&amp;CEILING(N1407*10000+(O1407-N1407)/4*(COUNTIF($F$11:F1407,F1407)-1)*10000,10)&amp;"}]")</f>
        <v>[{exp_boost,2000}]</v>
      </c>
      <c r="H1407" s="82" t="s">
        <v>563</v>
      </c>
      <c r="J1407" s="78">
        <f ca="1">IF(MOD(COUNTIF($Q$11:Q1406,Q1406),5)=0,OFFSET(装备属性!$P$1083,1+INT(COUNTA($Q$11:Q1406)/5),0),J1406)</f>
        <v>9</v>
      </c>
      <c r="K1407" s="83" t="str">
        <f ca="1">IF(RIGHT(G1407,13)="rune_slot,1}]",_xlfn.XLOOKUP(LEFT(SUBSTITUTE(G1407,"[{",""),FIND(",",SUBSTITUTE(G1407,"[{",""))-1),Sheet2!B:B,Sheet2!C:C)&amp;"+"&amp;1,_xlfn.XLOOKUP(LEFT(SUBSTITUTE(G1407,"[{",""),FIND(",",SUBSTITUTE(G1407,"[{",""))-1),Sheet2!B:B,Sheet2!C:C)&amp;"+"&amp;SUBSTITUTE(RIGHT(G1407,LEN(G1407)-FIND(",",G1407)),"}]","")/100&amp;"%")</f>
        <v>经验加成+20%</v>
      </c>
      <c r="L1407" s="83" t="str">
        <f ca="1">IF(MOD(COUNTIF($Q$11:Q1406,Q1406),5)=0,OFFSET(装备属性!$G$1083,1+INT(COUNTA($Q$11:Q1406)/5),0),L1406)</f>
        <v>涨见识</v>
      </c>
      <c r="M1407" s="89" t="str">
        <f ca="1">IF(MOD(COUNTIF($Q$11:Q1406,Q1406),5)=0,OFFSET(装备属性!$H$1083,1+INT(COUNTA($Q$11:Q1406)/5),0),M1406)</f>
        <v>exp_boost</v>
      </c>
      <c r="N1407" s="76">
        <f ca="1">IF(MOD(COUNTIF($Q$11:Q1406,Q1406),5)=0,OFFSET(装备属性!$K$1083,1+INT(COUNTA($Q$11:Q1406)/5),0),N1406)</f>
        <v>0.2</v>
      </c>
      <c r="O1407" s="76">
        <f ca="1">IF(MOD(COUNTIF($Q$11:Q1406,Q1406),5)=0,OFFSET(装备属性!$L$1083,1+INT(COUNTA($Q$11:Q1406)/5),0),O1406)</f>
        <v>0.2</v>
      </c>
      <c r="Q1407" s="89" t="str">
        <f ca="1">IF(MOD(COUNTIF($Q$11:Q1406,Q1406),5)=0,OFFSET(装备属性!$M$1083,1+INT(COUNTA($Q$11:Q1406)/5),0),Q1406)</f>
        <v>稀有词条</v>
      </c>
      <c r="R1407" s="83">
        <f ca="1">IF(MOD(COUNTIF($Q$11:Q1406,Q1406),5)=0,10000*SUBSTITUTE(SUBSTITUTE(OFFSET(装备属性!$F$1083,1+INT(COUNTA($Q$11:Q1406)/5),0),"[",""),"]","")+_xlfn.XLOOKUP(C1407,$M$3:$M$7,$N$3:$N$7)*100,R1406)</f>
        <v>50700</v>
      </c>
    </row>
    <row r="1408" customHeight="1" spans="1:18">
      <c r="A1408" s="78">
        <f ca="1" t="shared" si="63"/>
        <v>50703</v>
      </c>
      <c r="B1408" s="82">
        <f ca="1">IFERROR(R1408+COUNTIFS($R$11:$R1408,R1408),"")</f>
        <v>50713</v>
      </c>
      <c r="C1408" s="83" t="str">
        <f ca="1">IF(MOD(COUNTIF($Q$11:Q1407,Q1407),5)=0,OFFSET(装备属性!$D$1083,1+INT(COUNTA($Q$11:Q1407)/5),0),C1407)</f>
        <v>粉</v>
      </c>
      <c r="D1408" s="82">
        <f t="shared" si="65"/>
        <v>2000</v>
      </c>
      <c r="F1408" s="82">
        <f ca="1" t="shared" si="64"/>
        <v>50702</v>
      </c>
      <c r="G1408" s="78" t="str">
        <f ca="1">IF(AND(LEFT("[{"&amp;M1408&amp;","&amp;CEILING(N1408*10000+(O1408-N1408)/4*(COUNTIF($F$11:F1408,F1408)-1)*10000,10)&amp;"}]",7)="[{equip",MID("[{"&amp;M1408&amp;","&amp;CEILING(N1408*10000+(O1408-N1408)/4*(COUNTIF($F$11:F1408,F1408)-1)*10000,10)&amp;"}]",8,1)&lt;&gt;"_"),"[{"&amp;M1408&amp;","&amp;1&amp;"}]","[{"&amp;M1408&amp;","&amp;CEILING(N1408*10000+(O1408-N1408)/4*(COUNTIF($F$11:F1408,F1408)-1)*10000,10)&amp;"}]")</f>
        <v>[{exp_boost,2000}]</v>
      </c>
      <c r="H1408" s="82" t="s">
        <v>563</v>
      </c>
      <c r="J1408" s="78">
        <f ca="1">IF(MOD(COUNTIF($Q$11:Q1407,Q1407),5)=0,OFFSET(装备属性!$P$1083,1+INT(COUNTA($Q$11:Q1407)/5),0),J1407)</f>
        <v>9</v>
      </c>
      <c r="K1408" s="83" t="str">
        <f ca="1">IF(RIGHT(G1408,13)="rune_slot,1}]",_xlfn.XLOOKUP(LEFT(SUBSTITUTE(G1408,"[{",""),FIND(",",SUBSTITUTE(G1408,"[{",""))-1),Sheet2!B:B,Sheet2!C:C)&amp;"+"&amp;1,_xlfn.XLOOKUP(LEFT(SUBSTITUTE(G1408,"[{",""),FIND(",",SUBSTITUTE(G1408,"[{",""))-1),Sheet2!B:B,Sheet2!C:C)&amp;"+"&amp;SUBSTITUTE(RIGHT(G1408,LEN(G1408)-FIND(",",G1408)),"}]","")/100&amp;"%")</f>
        <v>经验加成+20%</v>
      </c>
      <c r="L1408" s="83" t="str">
        <f ca="1">IF(MOD(COUNTIF($Q$11:Q1407,Q1407),5)=0,OFFSET(装备属性!$G$1083,1+INT(COUNTA($Q$11:Q1407)/5),0),L1407)</f>
        <v>涨见识</v>
      </c>
      <c r="M1408" s="89" t="str">
        <f ca="1">IF(MOD(COUNTIF($Q$11:Q1407,Q1407),5)=0,OFFSET(装备属性!$H$1083,1+INT(COUNTA($Q$11:Q1407)/5),0),M1407)</f>
        <v>exp_boost</v>
      </c>
      <c r="N1408" s="76">
        <f ca="1">IF(MOD(COUNTIF($Q$11:Q1407,Q1407),5)=0,OFFSET(装备属性!$K$1083,1+INT(COUNTA($Q$11:Q1407)/5),0),N1407)</f>
        <v>0.2</v>
      </c>
      <c r="O1408" s="76">
        <f ca="1">IF(MOD(COUNTIF($Q$11:Q1407,Q1407),5)=0,OFFSET(装备属性!$L$1083,1+INT(COUNTA($Q$11:Q1407)/5),0),O1407)</f>
        <v>0.2</v>
      </c>
      <c r="Q1408" s="89" t="str">
        <f ca="1">IF(MOD(COUNTIF($Q$11:Q1407,Q1407),5)=0,OFFSET(装备属性!$M$1083,1+INT(COUNTA($Q$11:Q1407)/5),0),Q1407)</f>
        <v>稀有词条</v>
      </c>
      <c r="R1408" s="83">
        <f ca="1">IF(MOD(COUNTIF($Q$11:Q1407,Q1407),5)=0,10000*SUBSTITUTE(SUBSTITUTE(OFFSET(装备属性!$F$1083,1+INT(COUNTA($Q$11:Q1407)/5),0),"[",""),"]","")+_xlfn.XLOOKUP(C1408,$M$3:$M$7,$N$3:$N$7)*100,R1407)</f>
        <v>50700</v>
      </c>
    </row>
    <row r="1409" customHeight="1" spans="1:18">
      <c r="A1409" s="78">
        <f ca="1" t="shared" si="63"/>
        <v>50703</v>
      </c>
      <c r="B1409" s="82">
        <f ca="1">IFERROR(R1409+COUNTIFS($R$11:$R1409,R1409),"")</f>
        <v>50714</v>
      </c>
      <c r="C1409" s="83" t="str">
        <f ca="1">IF(MOD(COUNTIF($Q$11:Q1408,Q1408),5)=0,OFFSET(装备属性!$D$1083,1+INT(COUNTA($Q$11:Q1408)/5),0),C1408)</f>
        <v>粉</v>
      </c>
      <c r="D1409" s="82">
        <f t="shared" si="65"/>
        <v>1500</v>
      </c>
      <c r="F1409" s="82">
        <f ca="1" t="shared" si="64"/>
        <v>50702</v>
      </c>
      <c r="G1409" s="78" t="str">
        <f ca="1">IF(AND(LEFT("[{"&amp;M1409&amp;","&amp;CEILING(N1409*10000+(O1409-N1409)/4*(COUNTIF($F$11:F1409,F1409)-1)*10000,10)&amp;"}]",7)="[{equip",MID("[{"&amp;M1409&amp;","&amp;CEILING(N1409*10000+(O1409-N1409)/4*(COUNTIF($F$11:F1409,F1409)-1)*10000,10)&amp;"}]",8,1)&lt;&gt;"_"),"[{"&amp;M1409&amp;","&amp;1&amp;"}]","[{"&amp;M1409&amp;","&amp;CEILING(N1409*10000+(O1409-N1409)/4*(COUNTIF($F$11:F1409,F1409)-1)*10000,10)&amp;"}]")</f>
        <v>[{exp_boost,2000}]</v>
      </c>
      <c r="H1409" s="82" t="s">
        <v>563</v>
      </c>
      <c r="J1409" s="78">
        <f ca="1">IF(MOD(COUNTIF($Q$11:Q1408,Q1408),5)=0,OFFSET(装备属性!$P$1083,1+INT(COUNTA($Q$11:Q1408)/5),0),J1408)</f>
        <v>9</v>
      </c>
      <c r="K1409" s="83" t="str">
        <f ca="1">IF(RIGHT(G1409,13)="rune_slot,1}]",_xlfn.XLOOKUP(LEFT(SUBSTITUTE(G1409,"[{",""),FIND(",",SUBSTITUTE(G1409,"[{",""))-1),Sheet2!B:B,Sheet2!C:C)&amp;"+"&amp;1,_xlfn.XLOOKUP(LEFT(SUBSTITUTE(G1409,"[{",""),FIND(",",SUBSTITUTE(G1409,"[{",""))-1),Sheet2!B:B,Sheet2!C:C)&amp;"+"&amp;SUBSTITUTE(RIGHT(G1409,LEN(G1409)-FIND(",",G1409)),"}]","")/100&amp;"%")</f>
        <v>经验加成+20%</v>
      </c>
      <c r="L1409" s="83" t="str">
        <f ca="1">IF(MOD(COUNTIF($Q$11:Q1408,Q1408),5)=0,OFFSET(装备属性!$G$1083,1+INT(COUNTA($Q$11:Q1408)/5),0),L1408)</f>
        <v>涨见识</v>
      </c>
      <c r="M1409" s="89" t="str">
        <f ca="1">IF(MOD(COUNTIF($Q$11:Q1408,Q1408),5)=0,OFFSET(装备属性!$H$1083,1+INT(COUNTA($Q$11:Q1408)/5),0),M1408)</f>
        <v>exp_boost</v>
      </c>
      <c r="N1409" s="76">
        <f ca="1">IF(MOD(COUNTIF($Q$11:Q1408,Q1408),5)=0,OFFSET(装备属性!$K$1083,1+INT(COUNTA($Q$11:Q1408)/5),0),N1408)</f>
        <v>0.2</v>
      </c>
      <c r="O1409" s="76">
        <f ca="1">IF(MOD(COUNTIF($Q$11:Q1408,Q1408),5)=0,OFFSET(装备属性!$L$1083,1+INT(COUNTA($Q$11:Q1408)/5),0),O1408)</f>
        <v>0.2</v>
      </c>
      <c r="Q1409" s="89" t="str">
        <f ca="1">IF(MOD(COUNTIF($Q$11:Q1408,Q1408),5)=0,OFFSET(装备属性!$M$1083,1+INT(COUNTA($Q$11:Q1408)/5),0),Q1408)</f>
        <v>稀有词条</v>
      </c>
      <c r="R1409" s="83">
        <f ca="1">IF(MOD(COUNTIF($Q$11:Q1408,Q1408),5)=0,10000*SUBSTITUTE(SUBSTITUTE(OFFSET(装备属性!$F$1083,1+INT(COUNTA($Q$11:Q1408)/5),0),"[",""),"]","")+_xlfn.XLOOKUP(C1409,$M$3:$M$7,$N$3:$N$7)*100,R1408)</f>
        <v>50700</v>
      </c>
    </row>
    <row r="1410" customHeight="1" spans="1:18">
      <c r="A1410" s="78">
        <f ca="1" t="shared" si="63"/>
        <v>50703</v>
      </c>
      <c r="B1410" s="82">
        <f ca="1">IFERROR(R1410+COUNTIFS($R$11:$R1410,R1410),"")</f>
        <v>50715</v>
      </c>
      <c r="C1410" s="83" t="str">
        <f ca="1">IF(MOD(COUNTIF($Q$11:Q1409,Q1409),5)=0,OFFSET(装备属性!$D$1083,1+INT(COUNTA($Q$11:Q1409)/5),0),C1409)</f>
        <v>粉</v>
      </c>
      <c r="D1410" s="82">
        <f t="shared" si="65"/>
        <v>1000</v>
      </c>
      <c r="F1410" s="82">
        <f ca="1" t="shared" si="64"/>
        <v>50702</v>
      </c>
      <c r="G1410" s="78" t="str">
        <f ca="1">IF(AND(LEFT("[{"&amp;M1410&amp;","&amp;CEILING(N1410*10000+(O1410-N1410)/4*(COUNTIF($F$11:F1410,F1410)-1)*10000,10)&amp;"}]",7)="[{equip",MID("[{"&amp;M1410&amp;","&amp;CEILING(N1410*10000+(O1410-N1410)/4*(COUNTIF($F$11:F1410,F1410)-1)*10000,10)&amp;"}]",8,1)&lt;&gt;"_"),"[{"&amp;M1410&amp;","&amp;1&amp;"}]","[{"&amp;M1410&amp;","&amp;CEILING(N1410*10000+(O1410-N1410)/4*(COUNTIF($F$11:F1410,F1410)-1)*10000,10)&amp;"}]")</f>
        <v>[{exp_boost,2000}]</v>
      </c>
      <c r="H1410" s="82" t="s">
        <v>563</v>
      </c>
      <c r="J1410" s="78">
        <f ca="1">IF(MOD(COUNTIF($Q$11:Q1409,Q1409),5)=0,OFFSET(装备属性!$P$1083,1+INT(COUNTA($Q$11:Q1409)/5),0),J1409)</f>
        <v>9</v>
      </c>
      <c r="K1410" s="83" t="str">
        <f ca="1">IF(RIGHT(G1410,13)="rune_slot,1}]",_xlfn.XLOOKUP(LEFT(SUBSTITUTE(G1410,"[{",""),FIND(",",SUBSTITUTE(G1410,"[{",""))-1),Sheet2!B:B,Sheet2!C:C)&amp;"+"&amp;1,_xlfn.XLOOKUP(LEFT(SUBSTITUTE(G1410,"[{",""),FIND(",",SUBSTITUTE(G1410,"[{",""))-1),Sheet2!B:B,Sheet2!C:C)&amp;"+"&amp;SUBSTITUTE(RIGHT(G1410,LEN(G1410)-FIND(",",G1410)),"}]","")/100&amp;"%")</f>
        <v>经验加成+20%</v>
      </c>
      <c r="L1410" s="83" t="str">
        <f ca="1">IF(MOD(COUNTIF($Q$11:Q1409,Q1409),5)=0,OFFSET(装备属性!$G$1083,1+INT(COUNTA($Q$11:Q1409)/5),0),L1409)</f>
        <v>涨见识</v>
      </c>
      <c r="M1410" s="89" t="str">
        <f ca="1">IF(MOD(COUNTIF($Q$11:Q1409,Q1409),5)=0,OFFSET(装备属性!$H$1083,1+INT(COUNTA($Q$11:Q1409)/5),0),M1409)</f>
        <v>exp_boost</v>
      </c>
      <c r="N1410" s="76">
        <f ca="1">IF(MOD(COUNTIF($Q$11:Q1409,Q1409),5)=0,OFFSET(装备属性!$K$1083,1+INT(COUNTA($Q$11:Q1409)/5),0),N1409)</f>
        <v>0.2</v>
      </c>
      <c r="O1410" s="76">
        <f ca="1">IF(MOD(COUNTIF($Q$11:Q1409,Q1409),5)=0,OFFSET(装备属性!$L$1083,1+INT(COUNTA($Q$11:Q1409)/5),0),O1409)</f>
        <v>0.2</v>
      </c>
      <c r="Q1410" s="89" t="str">
        <f ca="1">IF(MOD(COUNTIF($Q$11:Q1409,Q1409),5)=0,OFFSET(装备属性!$M$1083,1+INT(COUNTA($Q$11:Q1409)/5),0),Q1409)</f>
        <v>稀有词条</v>
      </c>
      <c r="R1410" s="83">
        <f ca="1">IF(MOD(COUNTIF($Q$11:Q1409,Q1409),5)=0,10000*SUBSTITUTE(SUBSTITUTE(OFFSET(装备属性!$F$1083,1+INT(COUNTA($Q$11:Q1409)/5),0),"[",""),"]","")+_xlfn.XLOOKUP(C1410,$M$3:$M$7,$N$3:$N$7)*100,R1409)</f>
        <v>50700</v>
      </c>
    </row>
    <row r="1411" customHeight="1" spans="1:18">
      <c r="A1411" s="78">
        <f ca="1" t="shared" si="63"/>
        <v>50703</v>
      </c>
      <c r="B1411" s="82">
        <f ca="1">IFERROR(R1411+COUNTIFS($R$11:$R1411,R1411),"")</f>
        <v>50716</v>
      </c>
      <c r="C1411" s="83" t="str">
        <f ca="1">IF(MOD(COUNTIF($Q$11:Q1410,Q1410),5)=0,OFFSET(装备属性!$D$1083,1+INT(COUNTA($Q$11:Q1410)/5),0),C1410)</f>
        <v>粉</v>
      </c>
      <c r="D1411" s="82">
        <f t="shared" si="65"/>
        <v>3000</v>
      </c>
      <c r="F1411" s="82">
        <f ca="1" t="shared" si="64"/>
        <v>50703</v>
      </c>
      <c r="G1411" s="78" t="str">
        <f ca="1">IF(AND(LEFT("[{"&amp;M1411&amp;","&amp;CEILING(N1411*10000+(O1411-N1411)/4*(COUNTIF($F$11:F1411,F1411)-1)*10000,10)&amp;"}]",7)="[{equip",MID("[{"&amp;M1411&amp;","&amp;CEILING(N1411*10000+(O1411-N1411)/4*(COUNTIF($F$11:F1411,F1411)-1)*10000,10)&amp;"}]",8,1)&lt;&gt;"_"),"[{"&amp;M1411&amp;","&amp;1&amp;"}]","[{"&amp;M1411&amp;","&amp;CEILING(N1411*10000+(O1411-N1411)/4*(COUNTIF($F$11:F1411,F1411)-1)*10000,10)&amp;"}]")</f>
        <v>[{equip_base_attr,2500}]</v>
      </c>
      <c r="H1411" s="82" t="s">
        <v>563</v>
      </c>
      <c r="J1411" s="78">
        <f ca="1">IF(MOD(COUNTIF($Q$11:Q1410,Q1410),5)=0,OFFSET(装备属性!$P$1083,1+INT(COUNTA($Q$11:Q1410)/5),0),J1410)</f>
        <v>7</v>
      </c>
      <c r="K1411" s="83" t="str">
        <f ca="1">IF(RIGHT(G1411,13)="rune_slot,1}]",_xlfn.XLOOKUP(LEFT(SUBSTITUTE(G1411,"[{",""),FIND(",",SUBSTITUTE(G1411,"[{",""))-1),Sheet2!B:B,Sheet2!C:C)&amp;"+"&amp;1,_xlfn.XLOOKUP(LEFT(SUBSTITUTE(G1411,"[{",""),FIND(",",SUBSTITUTE(G1411,"[{",""))-1),Sheet2!B:B,Sheet2!C:C)&amp;"+"&amp;SUBSTITUTE(RIGHT(G1411,LEN(G1411)-FIND(",",G1411)),"}]","")/100&amp;"%")</f>
        <v>装备基础属性加成+25%</v>
      </c>
      <c r="L1411" s="83" t="str">
        <f ca="1">IF(MOD(COUNTIF($Q$11:Q1410,Q1410),5)=0,OFFSET(装备属性!$G$1083,1+INT(COUNTA($Q$11:Q1410)/5),0),L1410)</f>
        <v>厚底子</v>
      </c>
      <c r="M1411" s="89" t="str">
        <f ca="1">IF(MOD(COUNTIF($Q$11:Q1410,Q1410),5)=0,OFFSET(装备属性!$H$1083,1+INT(COUNTA($Q$11:Q1410)/5),0),M1410)</f>
        <v>equip_base_attr</v>
      </c>
      <c r="N1411" s="76">
        <f ca="1">IF(MOD(COUNTIF($Q$11:Q1410,Q1410),5)=0,OFFSET(装备属性!$K$1083,1+INT(COUNTA($Q$11:Q1410)/5),0),N1410)</f>
        <v>0.25</v>
      </c>
      <c r="O1411" s="76">
        <f ca="1">IF(MOD(COUNTIF($Q$11:Q1410,Q1410),5)=0,OFFSET(装备属性!$L$1083,1+INT(COUNTA($Q$11:Q1410)/5),0),O1410)</f>
        <v>0.25</v>
      </c>
      <c r="Q1411" s="89" t="str">
        <f ca="1">IF(MOD(COUNTIF($Q$11:Q1410,Q1410),5)=0,OFFSET(装备属性!$M$1083,1+INT(COUNTA($Q$11:Q1410)/5),0),Q1410)</f>
        <v>稀有词条</v>
      </c>
      <c r="R1411" s="83">
        <f ca="1">IF(MOD(COUNTIF($Q$11:Q1410,Q1410),5)=0,10000*SUBSTITUTE(SUBSTITUTE(OFFSET(装备属性!$F$1083,1+INT(COUNTA($Q$11:Q1410)/5),0),"[",""),"]","")+_xlfn.XLOOKUP(C1411,$M$3:$M$7,$N$3:$N$7)*100,R1410)</f>
        <v>50700</v>
      </c>
    </row>
    <row r="1412" customHeight="1" spans="1:18">
      <c r="A1412" s="78">
        <f ca="1" t="shared" si="63"/>
        <v>50703</v>
      </c>
      <c r="B1412" s="82">
        <f ca="1">IFERROR(R1412+COUNTIFS($R$11:$R1412,R1412),"")</f>
        <v>50717</v>
      </c>
      <c r="C1412" s="83" t="str">
        <f ca="1">IF(MOD(COUNTIF($Q$11:Q1411,Q1411),5)=0,OFFSET(装备属性!$D$1083,1+INT(COUNTA($Q$11:Q1411)/5),0),C1411)</f>
        <v>粉</v>
      </c>
      <c r="D1412" s="82">
        <f t="shared" si="65"/>
        <v>2500</v>
      </c>
      <c r="F1412" s="82">
        <f ca="1" t="shared" si="64"/>
        <v>50703</v>
      </c>
      <c r="G1412" s="78" t="str">
        <f ca="1">IF(AND(LEFT("[{"&amp;M1412&amp;","&amp;CEILING(N1412*10000+(O1412-N1412)/4*(COUNTIF($F$11:F1412,F1412)-1)*10000,10)&amp;"}]",7)="[{equip",MID("[{"&amp;M1412&amp;","&amp;CEILING(N1412*10000+(O1412-N1412)/4*(COUNTIF($F$11:F1412,F1412)-1)*10000,10)&amp;"}]",8,1)&lt;&gt;"_"),"[{"&amp;M1412&amp;","&amp;1&amp;"}]","[{"&amp;M1412&amp;","&amp;CEILING(N1412*10000+(O1412-N1412)/4*(COUNTIF($F$11:F1412,F1412)-1)*10000,10)&amp;"}]")</f>
        <v>[{equip_base_attr,2500}]</v>
      </c>
      <c r="H1412" s="82" t="s">
        <v>563</v>
      </c>
      <c r="J1412" s="78">
        <f ca="1">IF(MOD(COUNTIF($Q$11:Q1411,Q1411),5)=0,OFFSET(装备属性!$P$1083,1+INT(COUNTA($Q$11:Q1411)/5),0),J1411)</f>
        <v>7</v>
      </c>
      <c r="K1412" s="83" t="str">
        <f ca="1">IF(RIGHT(G1412,13)="rune_slot,1}]",_xlfn.XLOOKUP(LEFT(SUBSTITUTE(G1412,"[{",""),FIND(",",SUBSTITUTE(G1412,"[{",""))-1),Sheet2!B:B,Sheet2!C:C)&amp;"+"&amp;1,_xlfn.XLOOKUP(LEFT(SUBSTITUTE(G1412,"[{",""),FIND(",",SUBSTITUTE(G1412,"[{",""))-1),Sheet2!B:B,Sheet2!C:C)&amp;"+"&amp;SUBSTITUTE(RIGHT(G1412,LEN(G1412)-FIND(",",G1412)),"}]","")/100&amp;"%")</f>
        <v>装备基础属性加成+25%</v>
      </c>
      <c r="L1412" s="83" t="str">
        <f ca="1">IF(MOD(COUNTIF($Q$11:Q1411,Q1411),5)=0,OFFSET(装备属性!$G$1083,1+INT(COUNTA($Q$11:Q1411)/5),0),L1411)</f>
        <v>厚底子</v>
      </c>
      <c r="M1412" s="89" t="str">
        <f ca="1">IF(MOD(COUNTIF($Q$11:Q1411,Q1411),5)=0,OFFSET(装备属性!$H$1083,1+INT(COUNTA($Q$11:Q1411)/5),0),M1411)</f>
        <v>equip_base_attr</v>
      </c>
      <c r="N1412" s="76">
        <f ca="1">IF(MOD(COUNTIF($Q$11:Q1411,Q1411),5)=0,OFFSET(装备属性!$K$1083,1+INT(COUNTA($Q$11:Q1411)/5),0),N1411)</f>
        <v>0.25</v>
      </c>
      <c r="O1412" s="76">
        <f ca="1">IF(MOD(COUNTIF($Q$11:Q1411,Q1411),5)=0,OFFSET(装备属性!$L$1083,1+INT(COUNTA($Q$11:Q1411)/5),0),O1411)</f>
        <v>0.25</v>
      </c>
      <c r="Q1412" s="89" t="str">
        <f ca="1">IF(MOD(COUNTIF($Q$11:Q1411,Q1411),5)=0,OFFSET(装备属性!$M$1083,1+INT(COUNTA($Q$11:Q1411)/5),0),Q1411)</f>
        <v>稀有词条</v>
      </c>
      <c r="R1412" s="83">
        <f ca="1">IF(MOD(COUNTIF($Q$11:Q1411,Q1411),5)=0,10000*SUBSTITUTE(SUBSTITUTE(OFFSET(装备属性!$F$1083,1+INT(COUNTA($Q$11:Q1411)/5),0),"[",""),"]","")+_xlfn.XLOOKUP(C1412,$M$3:$M$7,$N$3:$N$7)*100,R1411)</f>
        <v>50700</v>
      </c>
    </row>
    <row r="1413" customHeight="1" spans="1:18">
      <c r="A1413" s="78">
        <f ca="1" t="shared" si="63"/>
        <v>50703</v>
      </c>
      <c r="B1413" s="82">
        <f ca="1">IFERROR(R1413+COUNTIFS($R$11:$R1413,R1413),"")</f>
        <v>50718</v>
      </c>
      <c r="C1413" s="83" t="str">
        <f ca="1">IF(MOD(COUNTIF($Q$11:Q1412,Q1412),5)=0,OFFSET(装备属性!$D$1083,1+INT(COUNTA($Q$11:Q1412)/5),0),C1412)</f>
        <v>粉</v>
      </c>
      <c r="D1413" s="82">
        <f t="shared" si="65"/>
        <v>2000</v>
      </c>
      <c r="F1413" s="82">
        <f ca="1" t="shared" si="64"/>
        <v>50703</v>
      </c>
      <c r="G1413" s="78" t="str">
        <f ca="1">IF(AND(LEFT("[{"&amp;M1413&amp;","&amp;CEILING(N1413*10000+(O1413-N1413)/4*(COUNTIF($F$11:F1413,F1413)-1)*10000,10)&amp;"}]",7)="[{equip",MID("[{"&amp;M1413&amp;","&amp;CEILING(N1413*10000+(O1413-N1413)/4*(COUNTIF($F$11:F1413,F1413)-1)*10000,10)&amp;"}]",8,1)&lt;&gt;"_"),"[{"&amp;M1413&amp;","&amp;1&amp;"}]","[{"&amp;M1413&amp;","&amp;CEILING(N1413*10000+(O1413-N1413)/4*(COUNTIF($F$11:F1413,F1413)-1)*10000,10)&amp;"}]")</f>
        <v>[{equip_base_attr,2500}]</v>
      </c>
      <c r="H1413" s="82" t="s">
        <v>563</v>
      </c>
      <c r="J1413" s="78">
        <f ca="1">IF(MOD(COUNTIF($Q$11:Q1412,Q1412),5)=0,OFFSET(装备属性!$P$1083,1+INT(COUNTA($Q$11:Q1412)/5),0),J1412)</f>
        <v>7</v>
      </c>
      <c r="K1413" s="83" t="str">
        <f ca="1">IF(RIGHT(G1413,13)="rune_slot,1}]",_xlfn.XLOOKUP(LEFT(SUBSTITUTE(G1413,"[{",""),FIND(",",SUBSTITUTE(G1413,"[{",""))-1),Sheet2!B:B,Sheet2!C:C)&amp;"+"&amp;1,_xlfn.XLOOKUP(LEFT(SUBSTITUTE(G1413,"[{",""),FIND(",",SUBSTITUTE(G1413,"[{",""))-1),Sheet2!B:B,Sheet2!C:C)&amp;"+"&amp;SUBSTITUTE(RIGHT(G1413,LEN(G1413)-FIND(",",G1413)),"}]","")/100&amp;"%")</f>
        <v>装备基础属性加成+25%</v>
      </c>
      <c r="L1413" s="83" t="str">
        <f ca="1">IF(MOD(COUNTIF($Q$11:Q1412,Q1412),5)=0,OFFSET(装备属性!$G$1083,1+INT(COUNTA($Q$11:Q1412)/5),0),L1412)</f>
        <v>厚底子</v>
      </c>
      <c r="M1413" s="89" t="str">
        <f ca="1">IF(MOD(COUNTIF($Q$11:Q1412,Q1412),5)=0,OFFSET(装备属性!$H$1083,1+INT(COUNTA($Q$11:Q1412)/5),0),M1412)</f>
        <v>equip_base_attr</v>
      </c>
      <c r="N1413" s="76">
        <f ca="1">IF(MOD(COUNTIF($Q$11:Q1412,Q1412),5)=0,OFFSET(装备属性!$K$1083,1+INT(COUNTA($Q$11:Q1412)/5),0),N1412)</f>
        <v>0.25</v>
      </c>
      <c r="O1413" s="76">
        <f ca="1">IF(MOD(COUNTIF($Q$11:Q1412,Q1412),5)=0,OFFSET(装备属性!$L$1083,1+INT(COUNTA($Q$11:Q1412)/5),0),O1412)</f>
        <v>0.25</v>
      </c>
      <c r="Q1413" s="89" t="str">
        <f ca="1">IF(MOD(COUNTIF($Q$11:Q1412,Q1412),5)=0,OFFSET(装备属性!$M$1083,1+INT(COUNTA($Q$11:Q1412)/5),0),Q1412)</f>
        <v>稀有词条</v>
      </c>
      <c r="R1413" s="83">
        <f ca="1">IF(MOD(COUNTIF($Q$11:Q1412,Q1412),5)=0,10000*SUBSTITUTE(SUBSTITUTE(OFFSET(装备属性!$F$1083,1+INT(COUNTA($Q$11:Q1412)/5),0),"[",""),"]","")+_xlfn.XLOOKUP(C1413,$M$3:$M$7,$N$3:$N$7)*100,R1412)</f>
        <v>50700</v>
      </c>
    </row>
    <row r="1414" customHeight="1" spans="1:18">
      <c r="A1414" s="78">
        <f ca="1" t="shared" si="63"/>
        <v>50703</v>
      </c>
      <c r="B1414" s="82">
        <f ca="1">IFERROR(R1414+COUNTIFS($R$11:$R1414,R1414),"")</f>
        <v>50719</v>
      </c>
      <c r="C1414" s="83" t="str">
        <f ca="1">IF(MOD(COUNTIF($Q$11:Q1413,Q1413),5)=0,OFFSET(装备属性!$D$1083,1+INT(COUNTA($Q$11:Q1413)/5),0),C1413)</f>
        <v>粉</v>
      </c>
      <c r="D1414" s="82">
        <f t="shared" si="65"/>
        <v>1500</v>
      </c>
      <c r="F1414" s="82">
        <f ca="1" t="shared" si="64"/>
        <v>50703</v>
      </c>
      <c r="G1414" s="78" t="str">
        <f ca="1">IF(AND(LEFT("[{"&amp;M1414&amp;","&amp;CEILING(N1414*10000+(O1414-N1414)/4*(COUNTIF($F$11:F1414,F1414)-1)*10000,10)&amp;"}]",7)="[{equip",MID("[{"&amp;M1414&amp;","&amp;CEILING(N1414*10000+(O1414-N1414)/4*(COUNTIF($F$11:F1414,F1414)-1)*10000,10)&amp;"}]",8,1)&lt;&gt;"_"),"[{"&amp;M1414&amp;","&amp;1&amp;"}]","[{"&amp;M1414&amp;","&amp;CEILING(N1414*10000+(O1414-N1414)/4*(COUNTIF($F$11:F1414,F1414)-1)*10000,10)&amp;"}]")</f>
        <v>[{equip_base_attr,2500}]</v>
      </c>
      <c r="H1414" s="82" t="s">
        <v>563</v>
      </c>
      <c r="J1414" s="78">
        <f ca="1">IF(MOD(COUNTIF($Q$11:Q1413,Q1413),5)=0,OFFSET(装备属性!$P$1083,1+INT(COUNTA($Q$11:Q1413)/5),0),J1413)</f>
        <v>7</v>
      </c>
      <c r="K1414" s="83" t="str">
        <f ca="1">IF(RIGHT(G1414,13)="rune_slot,1}]",_xlfn.XLOOKUP(LEFT(SUBSTITUTE(G1414,"[{",""),FIND(",",SUBSTITUTE(G1414,"[{",""))-1),Sheet2!B:B,Sheet2!C:C)&amp;"+"&amp;1,_xlfn.XLOOKUP(LEFT(SUBSTITUTE(G1414,"[{",""),FIND(",",SUBSTITUTE(G1414,"[{",""))-1),Sheet2!B:B,Sheet2!C:C)&amp;"+"&amp;SUBSTITUTE(RIGHT(G1414,LEN(G1414)-FIND(",",G1414)),"}]","")/100&amp;"%")</f>
        <v>装备基础属性加成+25%</v>
      </c>
      <c r="L1414" s="83" t="str">
        <f ca="1">IF(MOD(COUNTIF($Q$11:Q1413,Q1413),5)=0,OFFSET(装备属性!$G$1083,1+INT(COUNTA($Q$11:Q1413)/5),0),L1413)</f>
        <v>厚底子</v>
      </c>
      <c r="M1414" s="89" t="str">
        <f ca="1">IF(MOD(COUNTIF($Q$11:Q1413,Q1413),5)=0,OFFSET(装备属性!$H$1083,1+INT(COUNTA($Q$11:Q1413)/5),0),M1413)</f>
        <v>equip_base_attr</v>
      </c>
      <c r="N1414" s="76">
        <f ca="1">IF(MOD(COUNTIF($Q$11:Q1413,Q1413),5)=0,OFFSET(装备属性!$K$1083,1+INT(COUNTA($Q$11:Q1413)/5),0),N1413)</f>
        <v>0.25</v>
      </c>
      <c r="O1414" s="76">
        <f ca="1">IF(MOD(COUNTIF($Q$11:Q1413,Q1413),5)=0,OFFSET(装备属性!$L$1083,1+INT(COUNTA($Q$11:Q1413)/5),0),O1413)</f>
        <v>0.25</v>
      </c>
      <c r="Q1414" s="89" t="str">
        <f ca="1">IF(MOD(COUNTIF($Q$11:Q1413,Q1413),5)=0,OFFSET(装备属性!$M$1083,1+INT(COUNTA($Q$11:Q1413)/5),0),Q1413)</f>
        <v>稀有词条</v>
      </c>
      <c r="R1414" s="83">
        <f ca="1">IF(MOD(COUNTIF($Q$11:Q1413,Q1413),5)=0,10000*SUBSTITUTE(SUBSTITUTE(OFFSET(装备属性!$F$1083,1+INT(COUNTA($Q$11:Q1413)/5),0),"[",""),"]","")+_xlfn.XLOOKUP(C1414,$M$3:$M$7,$N$3:$N$7)*100,R1413)</f>
        <v>50700</v>
      </c>
    </row>
    <row r="1415" customHeight="1" spans="1:18">
      <c r="A1415" s="78">
        <f ca="1" t="shared" si="63"/>
        <v>50703</v>
      </c>
      <c r="B1415" s="82">
        <f ca="1">IFERROR(R1415+COUNTIFS($R$11:$R1415,R1415),"")</f>
        <v>50720</v>
      </c>
      <c r="C1415" s="83" t="str">
        <f ca="1">IF(MOD(COUNTIF($Q$11:Q1414,Q1414),5)=0,OFFSET(装备属性!$D$1083,1+INT(COUNTA($Q$11:Q1414)/5),0),C1414)</f>
        <v>粉</v>
      </c>
      <c r="D1415" s="82">
        <f t="shared" si="65"/>
        <v>1000</v>
      </c>
      <c r="F1415" s="82">
        <f ca="1" t="shared" si="64"/>
        <v>50703</v>
      </c>
      <c r="G1415" s="78" t="str">
        <f ca="1">IF(AND(LEFT("[{"&amp;M1415&amp;","&amp;CEILING(N1415*10000+(O1415-N1415)/4*(COUNTIF($F$11:F1415,F1415)-1)*10000,10)&amp;"}]",7)="[{equip",MID("[{"&amp;M1415&amp;","&amp;CEILING(N1415*10000+(O1415-N1415)/4*(COUNTIF($F$11:F1415,F1415)-1)*10000,10)&amp;"}]",8,1)&lt;&gt;"_"),"[{"&amp;M1415&amp;","&amp;1&amp;"}]","[{"&amp;M1415&amp;","&amp;CEILING(N1415*10000+(O1415-N1415)/4*(COUNTIF($F$11:F1415,F1415)-1)*10000,10)&amp;"}]")</f>
        <v>[{equip_base_attr,2500}]</v>
      </c>
      <c r="H1415" s="82" t="s">
        <v>563</v>
      </c>
      <c r="J1415" s="78">
        <f ca="1">IF(MOD(COUNTIF($Q$11:Q1414,Q1414),5)=0,OFFSET(装备属性!$P$1083,1+INT(COUNTA($Q$11:Q1414)/5),0),J1414)</f>
        <v>7</v>
      </c>
      <c r="K1415" s="83" t="str">
        <f ca="1">IF(RIGHT(G1415,13)="rune_slot,1}]",_xlfn.XLOOKUP(LEFT(SUBSTITUTE(G1415,"[{",""),FIND(",",SUBSTITUTE(G1415,"[{",""))-1),Sheet2!B:B,Sheet2!C:C)&amp;"+"&amp;1,_xlfn.XLOOKUP(LEFT(SUBSTITUTE(G1415,"[{",""),FIND(",",SUBSTITUTE(G1415,"[{",""))-1),Sheet2!B:B,Sheet2!C:C)&amp;"+"&amp;SUBSTITUTE(RIGHT(G1415,LEN(G1415)-FIND(",",G1415)),"}]","")/100&amp;"%")</f>
        <v>装备基础属性加成+25%</v>
      </c>
      <c r="L1415" s="83" t="str">
        <f ca="1">IF(MOD(COUNTIF($Q$11:Q1414,Q1414),5)=0,OFFSET(装备属性!$G$1083,1+INT(COUNTA($Q$11:Q1414)/5),0),L1414)</f>
        <v>厚底子</v>
      </c>
      <c r="M1415" s="89" t="str">
        <f ca="1">IF(MOD(COUNTIF($Q$11:Q1414,Q1414),5)=0,OFFSET(装备属性!$H$1083,1+INT(COUNTA($Q$11:Q1414)/5),0),M1414)</f>
        <v>equip_base_attr</v>
      </c>
      <c r="N1415" s="76">
        <f ca="1">IF(MOD(COUNTIF($Q$11:Q1414,Q1414),5)=0,OFFSET(装备属性!$K$1083,1+INT(COUNTA($Q$11:Q1414)/5),0),N1414)</f>
        <v>0.25</v>
      </c>
      <c r="O1415" s="76">
        <f ca="1">IF(MOD(COUNTIF($Q$11:Q1414,Q1414),5)=0,OFFSET(装备属性!$L$1083,1+INT(COUNTA($Q$11:Q1414)/5),0),O1414)</f>
        <v>0.25</v>
      </c>
      <c r="Q1415" s="89" t="str">
        <f ca="1">IF(MOD(COUNTIF($Q$11:Q1414,Q1414),5)=0,OFFSET(装备属性!$M$1083,1+INT(COUNTA($Q$11:Q1414)/5),0),Q1414)</f>
        <v>稀有词条</v>
      </c>
      <c r="R1415" s="83">
        <f ca="1">IF(MOD(COUNTIF($Q$11:Q1414,Q1414),5)=0,10000*SUBSTITUTE(SUBSTITUTE(OFFSET(装备属性!$F$1083,1+INT(COUNTA($Q$11:Q1414)/5),0),"[",""),"]","")+_xlfn.XLOOKUP(C1415,$M$3:$M$7,$N$3:$N$7)*100,R1414)</f>
        <v>50700</v>
      </c>
    </row>
    <row r="1416" customHeight="1" spans="1:18">
      <c r="A1416" s="78" t="str">
        <f ca="1" t="shared" si="63"/>
        <v/>
      </c>
      <c r="B1416" s="82" t="str">
        <f ca="1">IFERROR(R1416+COUNTIFS($R$11:$R1416,R1416),"")</f>
        <v/>
      </c>
      <c r="C1416" s="83">
        <f ca="1">IF(MOD(COUNTIF($Q$11:Q1415,Q1415),5)=0,OFFSET(装备属性!$D$1083,1+INT(COUNTA($Q$11:Q1415)/5),0),C1415)</f>
        <v>0</v>
      </c>
      <c r="D1416" s="82">
        <f t="shared" si="65"/>
        <v>3000</v>
      </c>
      <c r="F1416" s="82" t="str">
        <f ca="1" t="shared" si="64"/>
        <v/>
      </c>
      <c r="G1416" s="78" t="str">
        <f ca="1">IF(AND(LEFT("[{"&amp;M1416&amp;","&amp;CEILING(N1416*10000+(O1416-N1416)/4*(COUNTIF($F$11:F1416,F1416)-1)*10000,10)&amp;"}]",7)="[{equip",MID("[{"&amp;M1416&amp;","&amp;CEILING(N1416*10000+(O1416-N1416)/4*(COUNTIF($F$11:F1416,F1416)-1)*10000,10)&amp;"}]",8,1)&lt;&gt;"_"),"[{"&amp;M1416&amp;","&amp;1&amp;"}]","[{"&amp;M1416&amp;","&amp;CEILING(N1416*10000+(O1416-N1416)/4*(COUNTIF($F$11:F1416,F1416)-1)*10000,10)&amp;"}]")</f>
        <v>[{equip_extra_attr,5000}]</v>
      </c>
      <c r="H1416" s="82" t="s">
        <v>563</v>
      </c>
      <c r="J1416" s="78">
        <f ca="1">IF(MOD(COUNTIF($Q$11:Q1415,Q1415),5)=0,OFFSET(装备属性!$P$1083,1+INT(COUNTA($Q$11:Q1415)/5),0),J1415)</f>
        <v>8</v>
      </c>
      <c r="K1416" s="83" t="str">
        <f ca="1">IF(RIGHT(G1416,13)="rune_slot,1}]",_xlfn.XLOOKUP(LEFT(SUBSTITUTE(G1416,"[{",""),FIND(",",SUBSTITUTE(G1416,"[{",""))-1),Sheet2!B:B,Sheet2!C:C)&amp;"+"&amp;1,_xlfn.XLOOKUP(LEFT(SUBSTITUTE(G1416,"[{",""),FIND(",",SUBSTITUTE(G1416,"[{",""))-1),Sheet2!B:B,Sheet2!C:C)&amp;"+"&amp;SUBSTITUTE(RIGHT(G1416,LEN(G1416)-FIND(",",G1416)),"}]","")/100&amp;"%")</f>
        <v>装备附加属性加成+50%</v>
      </c>
      <c r="L1416" s="83" t="str">
        <f ca="1">IF(MOD(COUNTIF($Q$11:Q1415,Q1415),5)=0,OFFSET(装备属性!$G$1083,1+INT(COUNTA($Q$11:Q1415)/5),0),L1415)</f>
        <v>提成色</v>
      </c>
      <c r="M1416" s="89" t="str">
        <f ca="1">IF(MOD(COUNTIF($Q$11:Q1415,Q1415),5)=0,OFFSET(装备属性!$H$1083,1+INT(COUNTA($Q$11:Q1415)/5),0),M1415)</f>
        <v>equip_extra_attr</v>
      </c>
      <c r="N1416" s="76">
        <f ca="1">IF(MOD(COUNTIF($Q$11:Q1415,Q1415),5)=0,OFFSET(装备属性!$K$1083,1+INT(COUNTA($Q$11:Q1415)/5),0),N1415)</f>
        <v>0.5</v>
      </c>
      <c r="O1416" s="76">
        <f ca="1">IF(MOD(COUNTIF($Q$11:Q1415,Q1415),5)=0,OFFSET(装备属性!$L$1083,1+INT(COUNTA($Q$11:Q1415)/5),0),O1415)</f>
        <v>0.5</v>
      </c>
      <c r="Q1416" s="89" t="str">
        <f ca="1">IF(MOD(COUNTIF($Q$11:Q1415,Q1415),5)=0,OFFSET(装备属性!$M$1083,1+INT(COUNTA($Q$11:Q1415)/5),0),Q1415)</f>
        <v>稀有词条</v>
      </c>
      <c r="R1416" s="83" t="e">
        <f ca="1">IF(MOD(COUNTIF($Q$11:Q1415,Q1415),5)=0,10000*SUBSTITUTE(SUBSTITUTE(OFFSET(装备属性!$F$1083,1+INT(COUNTA($Q$11:Q1415)/5),0),"[",""),"]","")+_xlfn.XLOOKUP(C1416,$M$3:$M$7,$N$3:$N$7)*100,R1415)</f>
        <v>#N/A</v>
      </c>
    </row>
    <row r="1417" customHeight="1" spans="1:18">
      <c r="A1417" s="78" t="str">
        <f ca="1" t="shared" si="63"/>
        <v/>
      </c>
      <c r="B1417" s="82" t="str">
        <f ca="1">IFERROR(R1417+COUNTIFS($R$11:$R1417,R1417),"")</f>
        <v/>
      </c>
      <c r="C1417" s="83">
        <f ca="1">IF(MOD(COUNTIF($Q$11:Q1416,Q1416),5)=0,OFFSET(装备属性!$D$1083,1+INT(COUNTA($Q$11:Q1416)/5),0),C1416)</f>
        <v>0</v>
      </c>
      <c r="D1417" s="82">
        <f t="shared" si="65"/>
        <v>2500</v>
      </c>
      <c r="F1417" s="82" t="str">
        <f ca="1" t="shared" si="64"/>
        <v/>
      </c>
      <c r="G1417" s="78" t="str">
        <f ca="1">IF(AND(LEFT("[{"&amp;M1417&amp;","&amp;CEILING(N1417*10000+(O1417-N1417)/4*(COUNTIF($F$11:F1417,F1417)-1)*10000,10)&amp;"}]",7)="[{equip",MID("[{"&amp;M1417&amp;","&amp;CEILING(N1417*10000+(O1417-N1417)/4*(COUNTIF($F$11:F1417,F1417)-1)*10000,10)&amp;"}]",8,1)&lt;&gt;"_"),"[{"&amp;M1417&amp;","&amp;1&amp;"}]","[{"&amp;M1417&amp;","&amp;CEILING(N1417*10000+(O1417-N1417)/4*(COUNTIF($F$11:F1417,F1417)-1)*10000,10)&amp;"}]")</f>
        <v>[{equip_extra_attr,5000}]</v>
      </c>
      <c r="H1417" s="82" t="s">
        <v>563</v>
      </c>
      <c r="J1417" s="78">
        <f ca="1">IF(MOD(COUNTIF($Q$11:Q1416,Q1416),5)=0,OFFSET(装备属性!$P$1083,1+INT(COUNTA($Q$11:Q1416)/5),0),J1416)</f>
        <v>8</v>
      </c>
      <c r="K1417" s="83" t="str">
        <f ca="1">IF(RIGHT(G1417,13)="rune_slot,1}]",_xlfn.XLOOKUP(LEFT(SUBSTITUTE(G1417,"[{",""),FIND(",",SUBSTITUTE(G1417,"[{",""))-1),Sheet2!B:B,Sheet2!C:C)&amp;"+"&amp;1,_xlfn.XLOOKUP(LEFT(SUBSTITUTE(G1417,"[{",""),FIND(",",SUBSTITUTE(G1417,"[{",""))-1),Sheet2!B:B,Sheet2!C:C)&amp;"+"&amp;SUBSTITUTE(RIGHT(G1417,LEN(G1417)-FIND(",",G1417)),"}]","")/100&amp;"%")</f>
        <v>装备附加属性加成+50%</v>
      </c>
      <c r="L1417" s="83" t="str">
        <f ca="1">IF(MOD(COUNTIF($Q$11:Q1416,Q1416),5)=0,OFFSET(装备属性!$G$1083,1+INT(COUNTA($Q$11:Q1416)/5),0),L1416)</f>
        <v>提成色</v>
      </c>
      <c r="M1417" s="89" t="str">
        <f ca="1">IF(MOD(COUNTIF($Q$11:Q1416,Q1416),5)=0,OFFSET(装备属性!$H$1083,1+INT(COUNTA($Q$11:Q1416)/5),0),M1416)</f>
        <v>equip_extra_attr</v>
      </c>
      <c r="N1417" s="76">
        <f ca="1">IF(MOD(COUNTIF($Q$11:Q1416,Q1416),5)=0,OFFSET(装备属性!$K$1083,1+INT(COUNTA($Q$11:Q1416)/5),0),N1416)</f>
        <v>0.5</v>
      </c>
      <c r="O1417" s="76">
        <f ca="1">IF(MOD(COUNTIF($Q$11:Q1416,Q1416),5)=0,OFFSET(装备属性!$L$1083,1+INT(COUNTA($Q$11:Q1416)/5),0),O1416)</f>
        <v>0.5</v>
      </c>
      <c r="Q1417" s="89" t="str">
        <f ca="1">IF(MOD(COUNTIF($Q$11:Q1416,Q1416),5)=0,OFFSET(装备属性!$M$1083,1+INT(COUNTA($Q$11:Q1416)/5),0),Q1416)</f>
        <v>稀有词条</v>
      </c>
      <c r="R1417" s="83" t="e">
        <f ca="1">IF(MOD(COUNTIF($Q$11:Q1416,Q1416),5)=0,10000*SUBSTITUTE(SUBSTITUTE(OFFSET(装备属性!$F$1083,1+INT(COUNTA($Q$11:Q1416)/5),0),"[",""),"]","")+_xlfn.XLOOKUP(C1417,$M$3:$M$7,$N$3:$N$7)*100,R1416)</f>
        <v>#N/A</v>
      </c>
    </row>
    <row r="1418" customHeight="1" spans="1:18">
      <c r="A1418" s="78" t="str">
        <f ca="1" t="shared" si="63"/>
        <v/>
      </c>
      <c r="B1418" s="82" t="str">
        <f ca="1">IFERROR(R1418+COUNTIFS($R$11:$R1418,R1418),"")</f>
        <v/>
      </c>
      <c r="C1418" s="83">
        <f ca="1">IF(MOD(COUNTIF($Q$11:Q1417,Q1417),5)=0,OFFSET(装备属性!$D$1083,1+INT(COUNTA($Q$11:Q1417)/5),0),C1417)</f>
        <v>0</v>
      </c>
      <c r="D1418" s="82">
        <f t="shared" si="65"/>
        <v>2000</v>
      </c>
      <c r="F1418" s="82" t="str">
        <f ca="1" t="shared" si="64"/>
        <v/>
      </c>
      <c r="G1418" s="78" t="str">
        <f ca="1">IF(AND(LEFT("[{"&amp;M1418&amp;","&amp;CEILING(N1418*10000+(O1418-N1418)/4*(COUNTIF($F$11:F1418,F1418)-1)*10000,10)&amp;"}]",7)="[{equip",MID("[{"&amp;M1418&amp;","&amp;CEILING(N1418*10000+(O1418-N1418)/4*(COUNTIF($F$11:F1418,F1418)-1)*10000,10)&amp;"}]",8,1)&lt;&gt;"_"),"[{"&amp;M1418&amp;","&amp;1&amp;"}]","[{"&amp;M1418&amp;","&amp;CEILING(N1418*10000+(O1418-N1418)/4*(COUNTIF($F$11:F1418,F1418)-1)*10000,10)&amp;"}]")</f>
        <v>[{equip_extra_attr,5000}]</v>
      </c>
      <c r="H1418" s="82" t="s">
        <v>563</v>
      </c>
      <c r="J1418" s="78">
        <f ca="1">IF(MOD(COUNTIF($Q$11:Q1417,Q1417),5)=0,OFFSET(装备属性!$P$1083,1+INT(COUNTA($Q$11:Q1417)/5),0),J1417)</f>
        <v>8</v>
      </c>
      <c r="K1418" s="83" t="str">
        <f ca="1">IF(RIGHT(G1418,13)="rune_slot,1}]",_xlfn.XLOOKUP(LEFT(SUBSTITUTE(G1418,"[{",""),FIND(",",SUBSTITUTE(G1418,"[{",""))-1),Sheet2!B:B,Sheet2!C:C)&amp;"+"&amp;1,_xlfn.XLOOKUP(LEFT(SUBSTITUTE(G1418,"[{",""),FIND(",",SUBSTITUTE(G1418,"[{",""))-1),Sheet2!B:B,Sheet2!C:C)&amp;"+"&amp;SUBSTITUTE(RIGHT(G1418,LEN(G1418)-FIND(",",G1418)),"}]","")/100&amp;"%")</f>
        <v>装备附加属性加成+50%</v>
      </c>
      <c r="L1418" s="83" t="str">
        <f ca="1">IF(MOD(COUNTIF($Q$11:Q1417,Q1417),5)=0,OFFSET(装备属性!$G$1083,1+INT(COUNTA($Q$11:Q1417)/5),0),L1417)</f>
        <v>提成色</v>
      </c>
      <c r="M1418" s="89" t="str">
        <f ca="1">IF(MOD(COUNTIF($Q$11:Q1417,Q1417),5)=0,OFFSET(装备属性!$H$1083,1+INT(COUNTA($Q$11:Q1417)/5),0),M1417)</f>
        <v>equip_extra_attr</v>
      </c>
      <c r="N1418" s="76">
        <f ca="1">IF(MOD(COUNTIF($Q$11:Q1417,Q1417),5)=0,OFFSET(装备属性!$K$1083,1+INT(COUNTA($Q$11:Q1417)/5),0),N1417)</f>
        <v>0.5</v>
      </c>
      <c r="O1418" s="76">
        <f ca="1">IF(MOD(COUNTIF($Q$11:Q1417,Q1417),5)=0,OFFSET(装备属性!$L$1083,1+INT(COUNTA($Q$11:Q1417)/5),0),O1417)</f>
        <v>0.5</v>
      </c>
      <c r="Q1418" s="89" t="str">
        <f ca="1">IF(MOD(COUNTIF($Q$11:Q1417,Q1417),5)=0,OFFSET(装备属性!$M$1083,1+INT(COUNTA($Q$11:Q1417)/5),0),Q1417)</f>
        <v>稀有词条</v>
      </c>
      <c r="R1418" s="83" t="e">
        <f ca="1">IF(MOD(COUNTIF($Q$11:Q1417,Q1417),5)=0,10000*SUBSTITUTE(SUBSTITUTE(OFFSET(装备属性!$F$1083,1+INT(COUNTA($Q$11:Q1417)/5),0),"[",""),"]","")+_xlfn.XLOOKUP(C1418,$M$3:$M$7,$N$3:$N$7)*100,R1417)</f>
        <v>#N/A</v>
      </c>
    </row>
    <row r="1419" customHeight="1" spans="1:18">
      <c r="A1419" s="78" t="str">
        <f ca="1" t="shared" si="63"/>
        <v/>
      </c>
      <c r="B1419" s="82" t="str">
        <f ca="1">IFERROR(R1419+COUNTIFS($R$11:$R1419,R1419),"")</f>
        <v/>
      </c>
      <c r="C1419" s="83">
        <f ca="1">IF(MOD(COUNTIF($Q$11:Q1418,Q1418),5)=0,OFFSET(装备属性!$D$1083,1+INT(COUNTA($Q$11:Q1418)/5),0),C1418)</f>
        <v>0</v>
      </c>
      <c r="D1419" s="82">
        <f t="shared" si="65"/>
        <v>1500</v>
      </c>
      <c r="F1419" s="82" t="str">
        <f ca="1" t="shared" si="64"/>
        <v/>
      </c>
      <c r="G1419" s="78" t="str">
        <f ca="1">IF(AND(LEFT("[{"&amp;M1419&amp;","&amp;CEILING(N1419*10000+(O1419-N1419)/4*(COUNTIF($F$11:F1419,F1419)-1)*10000,10)&amp;"}]",7)="[{equip",MID("[{"&amp;M1419&amp;","&amp;CEILING(N1419*10000+(O1419-N1419)/4*(COUNTIF($F$11:F1419,F1419)-1)*10000,10)&amp;"}]",8,1)&lt;&gt;"_"),"[{"&amp;M1419&amp;","&amp;1&amp;"}]","[{"&amp;M1419&amp;","&amp;CEILING(N1419*10000+(O1419-N1419)/4*(COUNTIF($F$11:F1419,F1419)-1)*10000,10)&amp;"}]")</f>
        <v>[{equip_extra_attr,5000}]</v>
      </c>
      <c r="H1419" s="82" t="s">
        <v>563</v>
      </c>
      <c r="J1419" s="78">
        <f ca="1">IF(MOD(COUNTIF($Q$11:Q1418,Q1418),5)=0,OFFSET(装备属性!$P$1083,1+INT(COUNTA($Q$11:Q1418)/5),0),J1418)</f>
        <v>8</v>
      </c>
      <c r="K1419" s="83" t="str">
        <f ca="1">IF(RIGHT(G1419,13)="rune_slot,1}]",_xlfn.XLOOKUP(LEFT(SUBSTITUTE(G1419,"[{",""),FIND(",",SUBSTITUTE(G1419,"[{",""))-1),Sheet2!B:B,Sheet2!C:C)&amp;"+"&amp;1,_xlfn.XLOOKUP(LEFT(SUBSTITUTE(G1419,"[{",""),FIND(",",SUBSTITUTE(G1419,"[{",""))-1),Sheet2!B:B,Sheet2!C:C)&amp;"+"&amp;SUBSTITUTE(RIGHT(G1419,LEN(G1419)-FIND(",",G1419)),"}]","")/100&amp;"%")</f>
        <v>装备附加属性加成+50%</v>
      </c>
      <c r="L1419" s="83" t="str">
        <f ca="1">IF(MOD(COUNTIF($Q$11:Q1418,Q1418),5)=0,OFFSET(装备属性!$G$1083,1+INT(COUNTA($Q$11:Q1418)/5),0),L1418)</f>
        <v>提成色</v>
      </c>
      <c r="M1419" s="89" t="str">
        <f ca="1">IF(MOD(COUNTIF($Q$11:Q1418,Q1418),5)=0,OFFSET(装备属性!$H$1083,1+INT(COUNTA($Q$11:Q1418)/5),0),M1418)</f>
        <v>equip_extra_attr</v>
      </c>
      <c r="N1419" s="76">
        <f ca="1">IF(MOD(COUNTIF($Q$11:Q1418,Q1418),5)=0,OFFSET(装备属性!$K$1083,1+INT(COUNTA($Q$11:Q1418)/5),0),N1418)</f>
        <v>0.5</v>
      </c>
      <c r="O1419" s="76">
        <f ca="1">IF(MOD(COUNTIF($Q$11:Q1418,Q1418),5)=0,OFFSET(装备属性!$L$1083,1+INT(COUNTA($Q$11:Q1418)/5),0),O1418)</f>
        <v>0.5</v>
      </c>
      <c r="Q1419" s="89" t="str">
        <f ca="1">IF(MOD(COUNTIF($Q$11:Q1418,Q1418),5)=0,OFFSET(装备属性!$M$1083,1+INT(COUNTA($Q$11:Q1418)/5),0),Q1418)</f>
        <v>稀有词条</v>
      </c>
      <c r="R1419" s="83" t="e">
        <f ca="1">IF(MOD(COUNTIF($Q$11:Q1418,Q1418),5)=0,10000*SUBSTITUTE(SUBSTITUTE(OFFSET(装备属性!$F$1083,1+INT(COUNTA($Q$11:Q1418)/5),0),"[",""),"]","")+_xlfn.XLOOKUP(C1419,$M$3:$M$7,$N$3:$N$7)*100,R1418)</f>
        <v>#N/A</v>
      </c>
    </row>
    <row r="1420" customHeight="1" spans="1:18">
      <c r="A1420" s="78" t="str">
        <f ca="1" t="shared" ref="A1420:A1483" si="66">IFERROR(R1420+IF(Q1420="通用属性",1,IF(Q1420="玩法类",2,IF(Q1420="稀有词条",3,0))),"")</f>
        <v/>
      </c>
      <c r="B1420" s="82" t="str">
        <f ca="1">IFERROR(R1420+COUNTIFS($R$11:$R1420,R1420),"")</f>
        <v/>
      </c>
      <c r="C1420" s="83">
        <f ca="1">IF(MOD(COUNTIF($Q$11:Q1419,Q1419),5)=0,OFFSET(装备属性!$D$1083,1+INT(COUNTA($Q$11:Q1419)/5),0),C1419)</f>
        <v>0</v>
      </c>
      <c r="D1420" s="82">
        <f t="shared" si="65"/>
        <v>1000</v>
      </c>
      <c r="F1420" s="82" t="str">
        <f ca="1" t="shared" ref="F1420:F1483" si="67">IFERROR(R1420+INT((B1420-R1420-1)/5),"")</f>
        <v/>
      </c>
      <c r="G1420" s="78" t="str">
        <f ca="1">IF(AND(LEFT("[{"&amp;M1420&amp;","&amp;CEILING(N1420*10000+(O1420-N1420)/4*(COUNTIF($F$11:F1420,F1420)-1)*10000,10)&amp;"}]",7)="[{equip",MID("[{"&amp;M1420&amp;","&amp;CEILING(N1420*10000+(O1420-N1420)/4*(COUNTIF($F$11:F1420,F1420)-1)*10000,10)&amp;"}]",8,1)&lt;&gt;"_"),"[{"&amp;M1420&amp;","&amp;1&amp;"}]","[{"&amp;M1420&amp;","&amp;CEILING(N1420*10000+(O1420-N1420)/4*(COUNTIF($F$11:F1420,F1420)-1)*10000,10)&amp;"}]")</f>
        <v>[{equip_extra_attr,5000}]</v>
      </c>
      <c r="H1420" s="82" t="s">
        <v>563</v>
      </c>
      <c r="J1420" s="78">
        <f ca="1">IF(MOD(COUNTIF($Q$11:Q1419,Q1419),5)=0,OFFSET(装备属性!$P$1083,1+INT(COUNTA($Q$11:Q1419)/5),0),J1419)</f>
        <v>8</v>
      </c>
      <c r="K1420" s="83" t="str">
        <f ca="1">IF(RIGHT(G1420,13)="rune_slot,1}]",_xlfn.XLOOKUP(LEFT(SUBSTITUTE(G1420,"[{",""),FIND(",",SUBSTITUTE(G1420,"[{",""))-1),Sheet2!B:B,Sheet2!C:C)&amp;"+"&amp;1,_xlfn.XLOOKUP(LEFT(SUBSTITUTE(G1420,"[{",""),FIND(",",SUBSTITUTE(G1420,"[{",""))-1),Sheet2!B:B,Sheet2!C:C)&amp;"+"&amp;SUBSTITUTE(RIGHT(G1420,LEN(G1420)-FIND(",",G1420)),"}]","")/100&amp;"%")</f>
        <v>装备附加属性加成+50%</v>
      </c>
      <c r="L1420" s="83" t="str">
        <f ca="1">IF(MOD(COUNTIF($Q$11:Q1419,Q1419),5)=0,OFFSET(装备属性!$G$1083,1+INT(COUNTA($Q$11:Q1419)/5),0),L1419)</f>
        <v>提成色</v>
      </c>
      <c r="M1420" s="89" t="str">
        <f ca="1">IF(MOD(COUNTIF($Q$11:Q1419,Q1419),5)=0,OFFSET(装备属性!$H$1083,1+INT(COUNTA($Q$11:Q1419)/5),0),M1419)</f>
        <v>equip_extra_attr</v>
      </c>
      <c r="N1420" s="76">
        <f ca="1">IF(MOD(COUNTIF($Q$11:Q1419,Q1419),5)=0,OFFSET(装备属性!$K$1083,1+INT(COUNTA($Q$11:Q1419)/5),0),N1419)</f>
        <v>0.5</v>
      </c>
      <c r="O1420" s="76">
        <f ca="1">IF(MOD(COUNTIF($Q$11:Q1419,Q1419),5)=0,OFFSET(装备属性!$L$1083,1+INT(COUNTA($Q$11:Q1419)/5),0),O1419)</f>
        <v>0.5</v>
      </c>
      <c r="Q1420" s="89" t="str">
        <f ca="1">IF(MOD(COUNTIF($Q$11:Q1419,Q1419),5)=0,OFFSET(装备属性!$M$1083,1+INT(COUNTA($Q$11:Q1419)/5),0),Q1419)</f>
        <v>稀有词条</v>
      </c>
      <c r="R1420" s="83" t="e">
        <f ca="1">IF(MOD(COUNTIF($Q$11:Q1419,Q1419),5)=0,10000*SUBSTITUTE(SUBSTITUTE(OFFSET(装备属性!$F$1083,1+INT(COUNTA($Q$11:Q1419)/5),0),"[",""),"]","")+_xlfn.XLOOKUP(C1420,$M$3:$M$7,$N$3:$N$7)*100,R1419)</f>
        <v>#N/A</v>
      </c>
    </row>
    <row r="1421" customHeight="1" spans="1:18">
      <c r="A1421" s="78" t="str">
        <f ca="1" t="shared" si="66"/>
        <v/>
      </c>
      <c r="B1421" s="82" t="str">
        <f ca="1">IFERROR(R1421+COUNTIFS($R$11:$R1421,R1421),"")</f>
        <v/>
      </c>
      <c r="C1421" s="83">
        <f ca="1">IF(MOD(COUNTIF($Q$11:Q1420,Q1420),5)=0,OFFSET(装备属性!$D$1083,1+INT(COUNTA($Q$11:Q1420)/5),0),C1420)</f>
        <v>0</v>
      </c>
      <c r="D1421" s="82">
        <f t="shared" si="65"/>
        <v>3000</v>
      </c>
      <c r="F1421" s="82" t="str">
        <f ca="1" t="shared" si="67"/>
        <v/>
      </c>
      <c r="G1421" s="78" t="str">
        <f ca="1">IF(AND(LEFT("[{"&amp;M1421&amp;","&amp;CEILING(N1421*10000+(O1421-N1421)/4*(COUNTIF($F$11:F1421,F1421)-1)*10000,10)&amp;"}]",7)="[{equip",MID("[{"&amp;M1421&amp;","&amp;CEILING(N1421*10000+(O1421-N1421)/4*(COUNTIF($F$11:F1421,F1421)-1)*10000,10)&amp;"}]",8,1)&lt;&gt;"_"),"[{"&amp;M1421&amp;","&amp;1&amp;"}]","[{"&amp;M1421&amp;","&amp;CEILING(N1421*10000+(O1421-N1421)/4*(COUNTIF($F$11:F1421,F1421)-1)*10000,10)&amp;"}]")</f>
        <v>[{equip5_rune_slot,1}]</v>
      </c>
      <c r="H1421" s="82" t="s">
        <v>563</v>
      </c>
      <c r="J1421" s="78">
        <f ca="1">IF(MOD(COUNTIF($Q$11:Q1420,Q1420),5)=0,OFFSET(装备属性!$P$1083,1+INT(COUNTA($Q$11:Q1420)/5),0),J1420)</f>
        <v>1</v>
      </c>
      <c r="K1421" s="83" t="str">
        <f ca="1">IF(RIGHT(G1421,13)="rune_slot,1}]",_xlfn.XLOOKUP(LEFT(SUBSTITUTE(G1421,"[{",""),FIND(",",SUBSTITUTE(G1421,"[{",""))-1),Sheet2!B:B,Sheet2!C:C)&amp;"+"&amp;1,_xlfn.XLOOKUP(LEFT(SUBSTITUTE(G1421,"[{",""),FIND(",",SUBSTITUTE(G1421,"[{",""))-1),Sheet2!B:B,Sheet2!C:C)&amp;"+"&amp;SUBSTITUTE(RIGHT(G1421,LEN(G1421)-FIND(",",G1421)),"}]","")/100&amp;"%")</f>
        <v>鞋子符文孔位+1</v>
      </c>
      <c r="L1421" s="83" t="str">
        <f ca="1">IF(MOD(COUNTIF($Q$11:Q1420,Q1420),5)=0,OFFSET(装备属性!$G$1083,1+INT(COUNTA($Q$11:Q1420)/5),0),L1420)</f>
        <v>扩符槽</v>
      </c>
      <c r="M1421" s="89" t="str">
        <f ca="1">IF(MOD(COUNTIF($Q$11:Q1420,Q1420),5)=0,OFFSET(装备属性!$H$1083,1+INT(COUNTA($Q$11:Q1420)/5),0),M1420)</f>
        <v>equip5_rune_slot</v>
      </c>
      <c r="N1421" s="76">
        <f ca="1">IF(MOD(COUNTIF($Q$11:Q1420,Q1420),5)=0,OFFSET(装备属性!$K$1083,1+INT(COUNTA($Q$11:Q1420)/5),0),N1420)</f>
        <v>1</v>
      </c>
      <c r="O1421" s="76">
        <f ca="1">IF(MOD(COUNTIF($Q$11:Q1420,Q1420),5)=0,OFFSET(装备属性!$L$1083,1+INT(COUNTA($Q$11:Q1420)/5),0),O1420)</f>
        <v>1</v>
      </c>
      <c r="Q1421" s="89" t="str">
        <f ca="1">IF(MOD(COUNTIF($Q$11:Q1420,Q1420),5)=0,OFFSET(装备属性!$M$1083,1+INT(COUNTA($Q$11:Q1420)/5),0),Q1420)</f>
        <v>稀有词条</v>
      </c>
      <c r="R1421" s="83" t="e">
        <f ca="1">IF(MOD(COUNTIF($Q$11:Q1420,Q1420),5)=0,10000*SUBSTITUTE(SUBSTITUTE(OFFSET(装备属性!$F$1083,1+INT(COUNTA($Q$11:Q1420)/5),0),"[",""),"]","")+_xlfn.XLOOKUP(C1421,$M$3:$M$7,$N$3:$N$7)*100,R1420)</f>
        <v>#N/A</v>
      </c>
    </row>
    <row r="1422" customHeight="1" spans="1:18">
      <c r="A1422" s="78" t="str">
        <f ca="1" t="shared" si="66"/>
        <v/>
      </c>
      <c r="B1422" s="82" t="str">
        <f ca="1">IFERROR(R1422+COUNTIFS($R$11:$R1422,R1422),"")</f>
        <v/>
      </c>
      <c r="C1422" s="83">
        <f ca="1">IF(MOD(COUNTIF($Q$11:Q1421,Q1421),5)=0,OFFSET(装备属性!$D$1083,1+INT(COUNTA($Q$11:Q1421)/5),0),C1421)</f>
        <v>0</v>
      </c>
      <c r="D1422" s="82">
        <f t="shared" si="65"/>
        <v>2500</v>
      </c>
      <c r="F1422" s="82" t="str">
        <f ca="1" t="shared" si="67"/>
        <v/>
      </c>
      <c r="G1422" s="78" t="str">
        <f ca="1">IF(AND(LEFT("[{"&amp;M1422&amp;","&amp;CEILING(N1422*10000+(O1422-N1422)/4*(COUNTIF($F$11:F1422,F1422)-1)*10000,10)&amp;"}]",7)="[{equip",MID("[{"&amp;M1422&amp;","&amp;CEILING(N1422*10000+(O1422-N1422)/4*(COUNTIF($F$11:F1422,F1422)-1)*10000,10)&amp;"}]",8,1)&lt;&gt;"_"),"[{"&amp;M1422&amp;","&amp;1&amp;"}]","[{"&amp;M1422&amp;","&amp;CEILING(N1422*10000+(O1422-N1422)/4*(COUNTIF($F$11:F1422,F1422)-1)*10000,10)&amp;"}]")</f>
        <v>[{equip5_rune_slot,1}]</v>
      </c>
      <c r="H1422" s="82" t="s">
        <v>563</v>
      </c>
      <c r="J1422" s="78">
        <f ca="1">IF(MOD(COUNTIF($Q$11:Q1421,Q1421),5)=0,OFFSET(装备属性!$P$1083,1+INT(COUNTA($Q$11:Q1421)/5),0),J1421)</f>
        <v>1</v>
      </c>
      <c r="K1422" s="83" t="str">
        <f ca="1">IF(RIGHT(G1422,13)="rune_slot,1}]",_xlfn.XLOOKUP(LEFT(SUBSTITUTE(G1422,"[{",""),FIND(",",SUBSTITUTE(G1422,"[{",""))-1),Sheet2!B:B,Sheet2!C:C)&amp;"+"&amp;1,_xlfn.XLOOKUP(LEFT(SUBSTITUTE(G1422,"[{",""),FIND(",",SUBSTITUTE(G1422,"[{",""))-1),Sheet2!B:B,Sheet2!C:C)&amp;"+"&amp;SUBSTITUTE(RIGHT(G1422,LEN(G1422)-FIND(",",G1422)),"}]","")/100&amp;"%")</f>
        <v>鞋子符文孔位+1</v>
      </c>
      <c r="L1422" s="83" t="str">
        <f ca="1">IF(MOD(COUNTIF($Q$11:Q1421,Q1421),5)=0,OFFSET(装备属性!$G$1083,1+INT(COUNTA($Q$11:Q1421)/5),0),L1421)</f>
        <v>扩符槽</v>
      </c>
      <c r="M1422" s="89" t="str">
        <f ca="1">IF(MOD(COUNTIF($Q$11:Q1421,Q1421),5)=0,OFFSET(装备属性!$H$1083,1+INT(COUNTA($Q$11:Q1421)/5),0),M1421)</f>
        <v>equip5_rune_slot</v>
      </c>
      <c r="N1422" s="76">
        <f ca="1">IF(MOD(COUNTIF($Q$11:Q1421,Q1421),5)=0,OFFSET(装备属性!$K$1083,1+INT(COUNTA($Q$11:Q1421)/5),0),N1421)</f>
        <v>1</v>
      </c>
      <c r="O1422" s="76">
        <f ca="1">IF(MOD(COUNTIF($Q$11:Q1421,Q1421),5)=0,OFFSET(装备属性!$L$1083,1+INT(COUNTA($Q$11:Q1421)/5),0),O1421)</f>
        <v>1</v>
      </c>
      <c r="Q1422" s="89" t="str">
        <f ca="1">IF(MOD(COUNTIF($Q$11:Q1421,Q1421),5)=0,OFFSET(装备属性!$M$1083,1+INT(COUNTA($Q$11:Q1421)/5),0),Q1421)</f>
        <v>稀有词条</v>
      </c>
      <c r="R1422" s="83" t="e">
        <f ca="1">IF(MOD(COUNTIF($Q$11:Q1421,Q1421),5)=0,10000*SUBSTITUTE(SUBSTITUTE(OFFSET(装备属性!$F$1083,1+INT(COUNTA($Q$11:Q1421)/5),0),"[",""),"]","")+_xlfn.XLOOKUP(C1422,$M$3:$M$7,$N$3:$N$7)*100,R1421)</f>
        <v>#N/A</v>
      </c>
    </row>
    <row r="1423" customHeight="1" spans="1:18">
      <c r="A1423" s="78" t="str">
        <f ca="1" t="shared" si="66"/>
        <v/>
      </c>
      <c r="B1423" s="82" t="str">
        <f ca="1">IFERROR(R1423+COUNTIFS($R$11:$R1423,R1423),"")</f>
        <v/>
      </c>
      <c r="C1423" s="83">
        <f ca="1">IF(MOD(COUNTIF($Q$11:Q1422,Q1422),5)=0,OFFSET(装备属性!$D$1083,1+INT(COUNTA($Q$11:Q1422)/5),0),C1422)</f>
        <v>0</v>
      </c>
      <c r="D1423" s="82">
        <f t="shared" si="65"/>
        <v>2000</v>
      </c>
      <c r="F1423" s="82" t="str">
        <f ca="1" t="shared" si="67"/>
        <v/>
      </c>
      <c r="G1423" s="78" t="str">
        <f ca="1">IF(AND(LEFT("[{"&amp;M1423&amp;","&amp;CEILING(N1423*10000+(O1423-N1423)/4*(COUNTIF($F$11:F1423,F1423)-1)*10000,10)&amp;"}]",7)="[{equip",MID("[{"&amp;M1423&amp;","&amp;CEILING(N1423*10000+(O1423-N1423)/4*(COUNTIF($F$11:F1423,F1423)-1)*10000,10)&amp;"}]",8,1)&lt;&gt;"_"),"[{"&amp;M1423&amp;","&amp;1&amp;"}]","[{"&amp;M1423&amp;","&amp;CEILING(N1423*10000+(O1423-N1423)/4*(COUNTIF($F$11:F1423,F1423)-1)*10000,10)&amp;"}]")</f>
        <v>[{equip5_rune_slot,1}]</v>
      </c>
      <c r="H1423" s="82" t="s">
        <v>563</v>
      </c>
      <c r="J1423" s="78">
        <f ca="1">IF(MOD(COUNTIF($Q$11:Q1422,Q1422),5)=0,OFFSET(装备属性!$P$1083,1+INT(COUNTA($Q$11:Q1422)/5),0),J1422)</f>
        <v>1</v>
      </c>
      <c r="K1423" s="83" t="str">
        <f ca="1">IF(RIGHT(G1423,13)="rune_slot,1}]",_xlfn.XLOOKUP(LEFT(SUBSTITUTE(G1423,"[{",""),FIND(",",SUBSTITUTE(G1423,"[{",""))-1),Sheet2!B:B,Sheet2!C:C)&amp;"+"&amp;1,_xlfn.XLOOKUP(LEFT(SUBSTITUTE(G1423,"[{",""),FIND(",",SUBSTITUTE(G1423,"[{",""))-1),Sheet2!B:B,Sheet2!C:C)&amp;"+"&amp;SUBSTITUTE(RIGHT(G1423,LEN(G1423)-FIND(",",G1423)),"}]","")/100&amp;"%")</f>
        <v>鞋子符文孔位+1</v>
      </c>
      <c r="L1423" s="83" t="str">
        <f ca="1">IF(MOD(COUNTIF($Q$11:Q1422,Q1422),5)=0,OFFSET(装备属性!$G$1083,1+INT(COUNTA($Q$11:Q1422)/5),0),L1422)</f>
        <v>扩符槽</v>
      </c>
      <c r="M1423" s="89" t="str">
        <f ca="1">IF(MOD(COUNTIF($Q$11:Q1422,Q1422),5)=0,OFFSET(装备属性!$H$1083,1+INT(COUNTA($Q$11:Q1422)/5),0),M1422)</f>
        <v>equip5_rune_slot</v>
      </c>
      <c r="N1423" s="76">
        <f ca="1">IF(MOD(COUNTIF($Q$11:Q1422,Q1422),5)=0,OFFSET(装备属性!$K$1083,1+INT(COUNTA($Q$11:Q1422)/5),0),N1422)</f>
        <v>1</v>
      </c>
      <c r="O1423" s="76">
        <f ca="1">IF(MOD(COUNTIF($Q$11:Q1422,Q1422),5)=0,OFFSET(装备属性!$L$1083,1+INT(COUNTA($Q$11:Q1422)/5),0),O1422)</f>
        <v>1</v>
      </c>
      <c r="Q1423" s="89" t="str">
        <f ca="1">IF(MOD(COUNTIF($Q$11:Q1422,Q1422),5)=0,OFFSET(装备属性!$M$1083,1+INT(COUNTA($Q$11:Q1422)/5),0),Q1422)</f>
        <v>稀有词条</v>
      </c>
      <c r="R1423" s="83" t="e">
        <f ca="1">IF(MOD(COUNTIF($Q$11:Q1422,Q1422),5)=0,10000*SUBSTITUTE(SUBSTITUTE(OFFSET(装备属性!$F$1083,1+INT(COUNTA($Q$11:Q1422)/5),0),"[",""),"]","")+_xlfn.XLOOKUP(C1423,$M$3:$M$7,$N$3:$N$7)*100,R1422)</f>
        <v>#N/A</v>
      </c>
    </row>
    <row r="1424" customHeight="1" spans="1:18">
      <c r="A1424" s="78" t="str">
        <f ca="1" t="shared" si="66"/>
        <v/>
      </c>
      <c r="B1424" s="82" t="str">
        <f ca="1">IFERROR(R1424+COUNTIFS($R$11:$R1424,R1424),"")</f>
        <v/>
      </c>
      <c r="C1424" s="83">
        <f ca="1">IF(MOD(COUNTIF($Q$11:Q1423,Q1423),5)=0,OFFSET(装备属性!$D$1083,1+INT(COUNTA($Q$11:Q1423)/5),0),C1423)</f>
        <v>0</v>
      </c>
      <c r="D1424" s="82">
        <f t="shared" si="65"/>
        <v>1500</v>
      </c>
      <c r="F1424" s="82" t="str">
        <f ca="1" t="shared" si="67"/>
        <v/>
      </c>
      <c r="G1424" s="78" t="str">
        <f ca="1">IF(AND(LEFT("[{"&amp;M1424&amp;","&amp;CEILING(N1424*10000+(O1424-N1424)/4*(COUNTIF($F$11:F1424,F1424)-1)*10000,10)&amp;"}]",7)="[{equip",MID("[{"&amp;M1424&amp;","&amp;CEILING(N1424*10000+(O1424-N1424)/4*(COUNTIF($F$11:F1424,F1424)-1)*10000,10)&amp;"}]",8,1)&lt;&gt;"_"),"[{"&amp;M1424&amp;","&amp;1&amp;"}]","[{"&amp;M1424&amp;","&amp;CEILING(N1424*10000+(O1424-N1424)/4*(COUNTIF($F$11:F1424,F1424)-1)*10000,10)&amp;"}]")</f>
        <v>[{equip5_rune_slot,1}]</v>
      </c>
      <c r="H1424" s="82" t="s">
        <v>563</v>
      </c>
      <c r="J1424" s="78">
        <f ca="1">IF(MOD(COUNTIF($Q$11:Q1423,Q1423),5)=0,OFFSET(装备属性!$P$1083,1+INT(COUNTA($Q$11:Q1423)/5),0),J1423)</f>
        <v>1</v>
      </c>
      <c r="K1424" s="83" t="str">
        <f ca="1">IF(RIGHT(G1424,13)="rune_slot,1}]",_xlfn.XLOOKUP(LEFT(SUBSTITUTE(G1424,"[{",""),FIND(",",SUBSTITUTE(G1424,"[{",""))-1),Sheet2!B:B,Sheet2!C:C)&amp;"+"&amp;1,_xlfn.XLOOKUP(LEFT(SUBSTITUTE(G1424,"[{",""),FIND(",",SUBSTITUTE(G1424,"[{",""))-1),Sheet2!B:B,Sheet2!C:C)&amp;"+"&amp;SUBSTITUTE(RIGHT(G1424,LEN(G1424)-FIND(",",G1424)),"}]","")/100&amp;"%")</f>
        <v>鞋子符文孔位+1</v>
      </c>
      <c r="L1424" s="83" t="str">
        <f ca="1">IF(MOD(COUNTIF($Q$11:Q1423,Q1423),5)=0,OFFSET(装备属性!$G$1083,1+INT(COUNTA($Q$11:Q1423)/5),0),L1423)</f>
        <v>扩符槽</v>
      </c>
      <c r="M1424" s="89" t="str">
        <f ca="1">IF(MOD(COUNTIF($Q$11:Q1423,Q1423),5)=0,OFFSET(装备属性!$H$1083,1+INT(COUNTA($Q$11:Q1423)/5),0),M1423)</f>
        <v>equip5_rune_slot</v>
      </c>
      <c r="N1424" s="76">
        <f ca="1">IF(MOD(COUNTIF($Q$11:Q1423,Q1423),5)=0,OFFSET(装备属性!$K$1083,1+INT(COUNTA($Q$11:Q1423)/5),0),N1423)</f>
        <v>1</v>
      </c>
      <c r="O1424" s="76">
        <f ca="1">IF(MOD(COUNTIF($Q$11:Q1423,Q1423),5)=0,OFFSET(装备属性!$L$1083,1+INT(COUNTA($Q$11:Q1423)/5),0),O1423)</f>
        <v>1</v>
      </c>
      <c r="Q1424" s="89" t="str">
        <f ca="1">IF(MOD(COUNTIF($Q$11:Q1423,Q1423),5)=0,OFFSET(装备属性!$M$1083,1+INT(COUNTA($Q$11:Q1423)/5),0),Q1423)</f>
        <v>稀有词条</v>
      </c>
      <c r="R1424" s="83" t="e">
        <f ca="1">IF(MOD(COUNTIF($Q$11:Q1423,Q1423),5)=0,10000*SUBSTITUTE(SUBSTITUTE(OFFSET(装备属性!$F$1083,1+INT(COUNTA($Q$11:Q1423)/5),0),"[",""),"]","")+_xlfn.XLOOKUP(C1424,$M$3:$M$7,$N$3:$N$7)*100,R1423)</f>
        <v>#N/A</v>
      </c>
    </row>
    <row r="1425" customHeight="1" spans="1:18">
      <c r="A1425" s="78" t="str">
        <f ca="1" t="shared" si="66"/>
        <v/>
      </c>
      <c r="B1425" s="82" t="str">
        <f ca="1">IFERROR(R1425+COUNTIFS($R$11:$R1425,R1425),"")</f>
        <v/>
      </c>
      <c r="C1425" s="83">
        <f ca="1">IF(MOD(COUNTIF($Q$11:Q1424,Q1424),5)=0,OFFSET(装备属性!$D$1083,1+INT(COUNTA($Q$11:Q1424)/5),0),C1424)</f>
        <v>0</v>
      </c>
      <c r="D1425" s="82">
        <f t="shared" ref="D1425:D1488" si="68">D1420</f>
        <v>1000</v>
      </c>
      <c r="F1425" s="82" t="str">
        <f ca="1" t="shared" si="67"/>
        <v/>
      </c>
      <c r="G1425" s="78" t="str">
        <f ca="1">IF(AND(LEFT("[{"&amp;M1425&amp;","&amp;CEILING(N1425*10000+(O1425-N1425)/4*(COUNTIF($F$11:F1425,F1425)-1)*10000,10)&amp;"}]",7)="[{equip",MID("[{"&amp;M1425&amp;","&amp;CEILING(N1425*10000+(O1425-N1425)/4*(COUNTIF($F$11:F1425,F1425)-1)*10000,10)&amp;"}]",8,1)&lt;&gt;"_"),"[{"&amp;M1425&amp;","&amp;1&amp;"}]","[{"&amp;M1425&amp;","&amp;CEILING(N1425*10000+(O1425-N1425)/4*(COUNTIF($F$11:F1425,F1425)-1)*10000,10)&amp;"}]")</f>
        <v>[{equip5_rune_slot,1}]</v>
      </c>
      <c r="H1425" s="82" t="s">
        <v>563</v>
      </c>
      <c r="J1425" s="78">
        <f ca="1">IF(MOD(COUNTIF($Q$11:Q1424,Q1424),5)=0,OFFSET(装备属性!$P$1083,1+INT(COUNTA($Q$11:Q1424)/5),0),J1424)</f>
        <v>1</v>
      </c>
      <c r="K1425" s="83" t="str">
        <f ca="1">IF(RIGHT(G1425,13)="rune_slot,1}]",_xlfn.XLOOKUP(LEFT(SUBSTITUTE(G1425,"[{",""),FIND(",",SUBSTITUTE(G1425,"[{",""))-1),Sheet2!B:B,Sheet2!C:C)&amp;"+"&amp;1,_xlfn.XLOOKUP(LEFT(SUBSTITUTE(G1425,"[{",""),FIND(",",SUBSTITUTE(G1425,"[{",""))-1),Sheet2!B:B,Sheet2!C:C)&amp;"+"&amp;SUBSTITUTE(RIGHT(G1425,LEN(G1425)-FIND(",",G1425)),"}]","")/100&amp;"%")</f>
        <v>鞋子符文孔位+1</v>
      </c>
      <c r="L1425" s="83" t="str">
        <f ca="1">IF(MOD(COUNTIF($Q$11:Q1424,Q1424),5)=0,OFFSET(装备属性!$G$1083,1+INT(COUNTA($Q$11:Q1424)/5),0),L1424)</f>
        <v>扩符槽</v>
      </c>
      <c r="M1425" s="89" t="str">
        <f ca="1">IF(MOD(COUNTIF($Q$11:Q1424,Q1424),5)=0,OFFSET(装备属性!$H$1083,1+INT(COUNTA($Q$11:Q1424)/5),0),M1424)</f>
        <v>equip5_rune_slot</v>
      </c>
      <c r="N1425" s="76">
        <f ca="1">IF(MOD(COUNTIF($Q$11:Q1424,Q1424),5)=0,OFFSET(装备属性!$K$1083,1+INT(COUNTA($Q$11:Q1424)/5),0),N1424)</f>
        <v>1</v>
      </c>
      <c r="O1425" s="76">
        <f ca="1">IF(MOD(COUNTIF($Q$11:Q1424,Q1424),5)=0,OFFSET(装备属性!$L$1083,1+INT(COUNTA($Q$11:Q1424)/5),0),O1424)</f>
        <v>1</v>
      </c>
      <c r="Q1425" s="89" t="str">
        <f ca="1">IF(MOD(COUNTIF($Q$11:Q1424,Q1424),5)=0,OFFSET(装备属性!$M$1083,1+INT(COUNTA($Q$11:Q1424)/5),0),Q1424)</f>
        <v>稀有词条</v>
      </c>
      <c r="R1425" s="83" t="e">
        <f ca="1">IF(MOD(COUNTIF($Q$11:Q1424,Q1424),5)=0,10000*SUBSTITUTE(SUBSTITUTE(OFFSET(装备属性!$F$1083,1+INT(COUNTA($Q$11:Q1424)/5),0),"[",""),"]","")+_xlfn.XLOOKUP(C1425,$M$3:$M$7,$N$3:$N$7)*100,R1424)</f>
        <v>#N/A</v>
      </c>
    </row>
    <row r="1426" customHeight="1" spans="1:18">
      <c r="A1426" s="78">
        <f ca="1" t="shared" si="66"/>
        <v>50702</v>
      </c>
      <c r="B1426" s="82">
        <f ca="1">IFERROR(R1426+COUNTIFS($R$11:$R1426,R1426),"")</f>
        <v>50721</v>
      </c>
      <c r="C1426" s="83" t="str">
        <f ca="1">IF(MOD(COUNTIF($Q$11:Q1425,Q1425),5)=0,OFFSET(装备属性!$D$1083,1+INT(COUNTA($Q$11:Q1425)/5),0),C1425)</f>
        <v>粉</v>
      </c>
      <c r="D1426" s="82">
        <f t="shared" si="68"/>
        <v>3000</v>
      </c>
      <c r="F1426" s="82">
        <f ca="1" t="shared" si="67"/>
        <v>50704</v>
      </c>
      <c r="G1426" s="78" t="str">
        <f ca="1">IF(AND(LEFT("[{"&amp;M1426&amp;","&amp;CEILING(N1426*10000+(O1426-N1426)/4*(COUNTIF($F$11:F1426,F1426)-1)*10000,10)&amp;"}]",7)="[{equip",MID("[{"&amp;M1426&amp;","&amp;CEILING(N1426*10000+(O1426-N1426)/4*(COUNTIF($F$11:F1426,F1426)-1)*10000,10)&amp;"}]",8,1)&lt;&gt;"_"),"[{"&amp;M1426&amp;","&amp;1&amp;"}]","[{"&amp;M1426&amp;","&amp;CEILING(N1426*10000+(O1426-N1426)/4*(COUNTIF($F$11:F1426,F1426)-1)*10000,10)&amp;"}]")</f>
        <v>[{elitist_monster_hit_rate,980}]</v>
      </c>
      <c r="H1426" s="82" t="s">
        <v>563</v>
      </c>
      <c r="J1426" s="78">
        <f ca="1">IF(MOD(COUNTIF($Q$11:Q1425,Q1425),5)=0,OFFSET(装备属性!$P$1083,1+INT(COUNTA($Q$11:Q1425)/5),0),J1425)</f>
        <v>6</v>
      </c>
      <c r="K1426" s="83" t="str">
        <f ca="1">IF(RIGHT(G1426,13)="rune_slot,1}]",_xlfn.XLOOKUP(LEFT(SUBSTITUTE(G1426,"[{",""),FIND(",",SUBSTITUTE(G1426,"[{",""))-1),Sheet2!B:B,Sheet2!C:C)&amp;"+"&amp;1,_xlfn.XLOOKUP(LEFT(SUBSTITUTE(G1426,"[{",""),FIND(",",SUBSTITUTE(G1426,"[{",""))-1),Sheet2!B:B,Sheet2!C:C)&amp;"+"&amp;SUBSTITUTE(RIGHT(G1426,LEN(G1426)-FIND(",",G1426)),"}]","")/100&amp;"%")</f>
        <v>对精英增伤+9.8%</v>
      </c>
      <c r="L1426" s="83" t="str">
        <f ca="1">IF(MOD(COUNTIF($Q$11:Q1425,Q1425),5)=0,OFFSET(装备属性!$G$1083,1+INT(COUNTA($Q$11:Q1425)/5),0),L1425)</f>
        <v>Boss加餐Ⅳ</v>
      </c>
      <c r="M1426" s="89" t="str">
        <f ca="1">IF(MOD(COUNTIF($Q$11:Q1425,Q1425),5)=0,OFFSET(装备属性!$H$1083,1+INT(COUNTA($Q$11:Q1425)/5),0),M1425)</f>
        <v>elitist_monster_hit_rate</v>
      </c>
      <c r="N1426" s="76">
        <f ca="1">IF(MOD(COUNTIF($Q$11:Q1425,Q1425),5)=0,OFFSET(装备属性!$K$1083,1+INT(COUNTA($Q$11:Q1425)/5),0),N1425)</f>
        <v>0.098</v>
      </c>
      <c r="O1426" s="76">
        <f ca="1">IF(MOD(COUNTIF($Q$11:Q1425,Q1425),5)=0,OFFSET(装备属性!$L$1083,1+INT(COUNTA($Q$11:Q1425)/5),0),O1425)</f>
        <v>0.11</v>
      </c>
      <c r="Q1426" s="89" t="str">
        <f ca="1">IF(MOD(COUNTIF($Q$11:Q1425,Q1425),5)=0,OFFSET(装备属性!$M$1083,1+INT(COUNTA($Q$11:Q1425)/5),0),Q1425)</f>
        <v>玩法类</v>
      </c>
      <c r="R1426" s="83">
        <f ca="1">IF(MOD(COUNTIF($Q$11:Q1425,Q1425),5)=0,10000*SUBSTITUTE(SUBSTITUTE(OFFSET(装备属性!$F$1083,1+INT(COUNTA($Q$11:Q1425)/5),0),"[",""),"]","")+_xlfn.XLOOKUP(C1426,$M$3:$M$7,$N$3:$N$7)*100,R1425)</f>
        <v>50700</v>
      </c>
    </row>
    <row r="1427" customHeight="1" spans="1:18">
      <c r="A1427" s="78">
        <f ca="1" t="shared" si="66"/>
        <v>50702</v>
      </c>
      <c r="B1427" s="82">
        <f ca="1">IFERROR(R1427+COUNTIFS($R$11:$R1427,R1427),"")</f>
        <v>50722</v>
      </c>
      <c r="C1427" s="83" t="str">
        <f ca="1">IF(MOD(COUNTIF($Q$11:Q1426,Q1426),5)=0,OFFSET(装备属性!$D$1083,1+INT(COUNTA($Q$11:Q1426)/5),0),C1426)</f>
        <v>粉</v>
      </c>
      <c r="D1427" s="82">
        <f t="shared" si="68"/>
        <v>2500</v>
      </c>
      <c r="F1427" s="82">
        <f ca="1" t="shared" si="67"/>
        <v>50704</v>
      </c>
      <c r="G1427" s="78" t="str">
        <f ca="1">IF(AND(LEFT("[{"&amp;M1427&amp;","&amp;CEILING(N1427*10000+(O1427-N1427)/4*(COUNTIF($F$11:F1427,F1427)-1)*10000,10)&amp;"}]",7)="[{equip",MID("[{"&amp;M1427&amp;","&amp;CEILING(N1427*10000+(O1427-N1427)/4*(COUNTIF($F$11:F1427,F1427)-1)*10000,10)&amp;"}]",8,1)&lt;&gt;"_"),"[{"&amp;M1427&amp;","&amp;1&amp;"}]","[{"&amp;M1427&amp;","&amp;CEILING(N1427*10000+(O1427-N1427)/4*(COUNTIF($F$11:F1427,F1427)-1)*10000,10)&amp;"}]")</f>
        <v>[{elitist_monster_hit_rate,1010}]</v>
      </c>
      <c r="H1427" s="82" t="s">
        <v>563</v>
      </c>
      <c r="J1427" s="78">
        <f ca="1">IF(MOD(COUNTIF($Q$11:Q1426,Q1426),5)=0,OFFSET(装备属性!$P$1083,1+INT(COUNTA($Q$11:Q1426)/5),0),J1426)</f>
        <v>6</v>
      </c>
      <c r="K1427" s="83" t="str">
        <f ca="1">IF(RIGHT(G1427,13)="rune_slot,1}]",_xlfn.XLOOKUP(LEFT(SUBSTITUTE(G1427,"[{",""),FIND(",",SUBSTITUTE(G1427,"[{",""))-1),Sheet2!B:B,Sheet2!C:C)&amp;"+"&amp;1,_xlfn.XLOOKUP(LEFT(SUBSTITUTE(G1427,"[{",""),FIND(",",SUBSTITUTE(G1427,"[{",""))-1),Sheet2!B:B,Sheet2!C:C)&amp;"+"&amp;SUBSTITUTE(RIGHT(G1427,LEN(G1427)-FIND(",",G1427)),"}]","")/100&amp;"%")</f>
        <v>对精英增伤+10.1%</v>
      </c>
      <c r="L1427" s="83" t="str">
        <f ca="1">IF(MOD(COUNTIF($Q$11:Q1426,Q1426),5)=0,OFFSET(装备属性!$G$1083,1+INT(COUNTA($Q$11:Q1426)/5),0),L1426)</f>
        <v>Boss加餐Ⅳ</v>
      </c>
      <c r="M1427" s="89" t="str">
        <f ca="1">IF(MOD(COUNTIF($Q$11:Q1426,Q1426),5)=0,OFFSET(装备属性!$H$1083,1+INT(COUNTA($Q$11:Q1426)/5),0),M1426)</f>
        <v>elitist_monster_hit_rate</v>
      </c>
      <c r="N1427" s="76">
        <f ca="1">IF(MOD(COUNTIF($Q$11:Q1426,Q1426),5)=0,OFFSET(装备属性!$K$1083,1+INT(COUNTA($Q$11:Q1426)/5),0),N1426)</f>
        <v>0.098</v>
      </c>
      <c r="O1427" s="76">
        <f ca="1">IF(MOD(COUNTIF($Q$11:Q1426,Q1426),5)=0,OFFSET(装备属性!$L$1083,1+INT(COUNTA($Q$11:Q1426)/5),0),O1426)</f>
        <v>0.11</v>
      </c>
      <c r="Q1427" s="89" t="str">
        <f ca="1">IF(MOD(COUNTIF($Q$11:Q1426,Q1426),5)=0,OFFSET(装备属性!$M$1083,1+INT(COUNTA($Q$11:Q1426)/5),0),Q1426)</f>
        <v>玩法类</v>
      </c>
      <c r="R1427" s="83">
        <f ca="1">IF(MOD(COUNTIF($Q$11:Q1426,Q1426),5)=0,10000*SUBSTITUTE(SUBSTITUTE(OFFSET(装备属性!$F$1083,1+INT(COUNTA($Q$11:Q1426)/5),0),"[",""),"]","")+_xlfn.XLOOKUP(C1427,$M$3:$M$7,$N$3:$N$7)*100,R1426)</f>
        <v>50700</v>
      </c>
    </row>
    <row r="1428" customHeight="1" spans="1:18">
      <c r="A1428" s="78">
        <f ca="1" t="shared" si="66"/>
        <v>50702</v>
      </c>
      <c r="B1428" s="82">
        <f ca="1">IFERROR(R1428+COUNTIFS($R$11:$R1428,R1428),"")</f>
        <v>50723</v>
      </c>
      <c r="C1428" s="83" t="str">
        <f ca="1">IF(MOD(COUNTIF($Q$11:Q1427,Q1427),5)=0,OFFSET(装备属性!$D$1083,1+INT(COUNTA($Q$11:Q1427)/5),0),C1427)</f>
        <v>粉</v>
      </c>
      <c r="D1428" s="82">
        <f t="shared" si="68"/>
        <v>2000</v>
      </c>
      <c r="F1428" s="82">
        <f ca="1" t="shared" si="67"/>
        <v>50704</v>
      </c>
      <c r="G1428" s="78" t="str">
        <f ca="1">IF(AND(LEFT("[{"&amp;M1428&amp;","&amp;CEILING(N1428*10000+(O1428-N1428)/4*(COUNTIF($F$11:F1428,F1428)-1)*10000,10)&amp;"}]",7)="[{equip",MID("[{"&amp;M1428&amp;","&amp;CEILING(N1428*10000+(O1428-N1428)/4*(COUNTIF($F$11:F1428,F1428)-1)*10000,10)&amp;"}]",8,1)&lt;&gt;"_"),"[{"&amp;M1428&amp;","&amp;1&amp;"}]","[{"&amp;M1428&amp;","&amp;CEILING(N1428*10000+(O1428-N1428)/4*(COUNTIF($F$11:F1428,F1428)-1)*10000,10)&amp;"}]")</f>
        <v>[{elitist_monster_hit_rate,1040}]</v>
      </c>
      <c r="H1428" s="82" t="s">
        <v>563</v>
      </c>
      <c r="J1428" s="78">
        <f ca="1">IF(MOD(COUNTIF($Q$11:Q1427,Q1427),5)=0,OFFSET(装备属性!$P$1083,1+INT(COUNTA($Q$11:Q1427)/5),0),J1427)</f>
        <v>6</v>
      </c>
      <c r="K1428" s="83" t="str">
        <f ca="1">IF(RIGHT(G1428,13)="rune_slot,1}]",_xlfn.XLOOKUP(LEFT(SUBSTITUTE(G1428,"[{",""),FIND(",",SUBSTITUTE(G1428,"[{",""))-1),Sheet2!B:B,Sheet2!C:C)&amp;"+"&amp;1,_xlfn.XLOOKUP(LEFT(SUBSTITUTE(G1428,"[{",""),FIND(",",SUBSTITUTE(G1428,"[{",""))-1),Sheet2!B:B,Sheet2!C:C)&amp;"+"&amp;SUBSTITUTE(RIGHT(G1428,LEN(G1428)-FIND(",",G1428)),"}]","")/100&amp;"%")</f>
        <v>对精英增伤+10.4%</v>
      </c>
      <c r="L1428" s="83" t="str">
        <f ca="1">IF(MOD(COUNTIF($Q$11:Q1427,Q1427),5)=0,OFFSET(装备属性!$G$1083,1+INT(COUNTA($Q$11:Q1427)/5),0),L1427)</f>
        <v>Boss加餐Ⅳ</v>
      </c>
      <c r="M1428" s="89" t="str">
        <f ca="1">IF(MOD(COUNTIF($Q$11:Q1427,Q1427),5)=0,OFFSET(装备属性!$H$1083,1+INT(COUNTA($Q$11:Q1427)/5),0),M1427)</f>
        <v>elitist_monster_hit_rate</v>
      </c>
      <c r="N1428" s="76">
        <f ca="1">IF(MOD(COUNTIF($Q$11:Q1427,Q1427),5)=0,OFFSET(装备属性!$K$1083,1+INT(COUNTA($Q$11:Q1427)/5),0),N1427)</f>
        <v>0.098</v>
      </c>
      <c r="O1428" s="76">
        <f ca="1">IF(MOD(COUNTIF($Q$11:Q1427,Q1427),5)=0,OFFSET(装备属性!$L$1083,1+INT(COUNTA($Q$11:Q1427)/5),0),O1427)</f>
        <v>0.11</v>
      </c>
      <c r="Q1428" s="89" t="str">
        <f ca="1">IF(MOD(COUNTIF($Q$11:Q1427,Q1427),5)=0,OFFSET(装备属性!$M$1083,1+INT(COUNTA($Q$11:Q1427)/5),0),Q1427)</f>
        <v>玩法类</v>
      </c>
      <c r="R1428" s="83">
        <f ca="1">IF(MOD(COUNTIF($Q$11:Q1427,Q1427),5)=0,10000*SUBSTITUTE(SUBSTITUTE(OFFSET(装备属性!$F$1083,1+INT(COUNTA($Q$11:Q1427)/5),0),"[",""),"]","")+_xlfn.XLOOKUP(C1428,$M$3:$M$7,$N$3:$N$7)*100,R1427)</f>
        <v>50700</v>
      </c>
    </row>
    <row r="1429" customHeight="1" spans="1:18">
      <c r="A1429" s="78">
        <f ca="1" t="shared" si="66"/>
        <v>50702</v>
      </c>
      <c r="B1429" s="82">
        <f ca="1">IFERROR(R1429+COUNTIFS($R$11:$R1429,R1429),"")</f>
        <v>50724</v>
      </c>
      <c r="C1429" s="83" t="str">
        <f ca="1">IF(MOD(COUNTIF($Q$11:Q1428,Q1428),5)=0,OFFSET(装备属性!$D$1083,1+INT(COUNTA($Q$11:Q1428)/5),0),C1428)</f>
        <v>粉</v>
      </c>
      <c r="D1429" s="82">
        <f t="shared" si="68"/>
        <v>1500</v>
      </c>
      <c r="F1429" s="82">
        <f ca="1" t="shared" si="67"/>
        <v>50704</v>
      </c>
      <c r="G1429" s="78" t="str">
        <f ca="1">IF(AND(LEFT("[{"&amp;M1429&amp;","&amp;CEILING(N1429*10000+(O1429-N1429)/4*(COUNTIF($F$11:F1429,F1429)-1)*10000,10)&amp;"}]",7)="[{equip",MID("[{"&amp;M1429&amp;","&amp;CEILING(N1429*10000+(O1429-N1429)/4*(COUNTIF($F$11:F1429,F1429)-1)*10000,10)&amp;"}]",8,1)&lt;&gt;"_"),"[{"&amp;M1429&amp;","&amp;1&amp;"}]","[{"&amp;M1429&amp;","&amp;CEILING(N1429*10000+(O1429-N1429)/4*(COUNTIF($F$11:F1429,F1429)-1)*10000,10)&amp;"}]")</f>
        <v>[{elitist_monster_hit_rate,1070}]</v>
      </c>
      <c r="H1429" s="82" t="s">
        <v>563</v>
      </c>
      <c r="J1429" s="78">
        <f ca="1">IF(MOD(COUNTIF($Q$11:Q1428,Q1428),5)=0,OFFSET(装备属性!$P$1083,1+INT(COUNTA($Q$11:Q1428)/5),0),J1428)</f>
        <v>6</v>
      </c>
      <c r="K1429" s="83" t="str">
        <f ca="1">IF(RIGHT(G1429,13)="rune_slot,1}]",_xlfn.XLOOKUP(LEFT(SUBSTITUTE(G1429,"[{",""),FIND(",",SUBSTITUTE(G1429,"[{",""))-1),Sheet2!B:B,Sheet2!C:C)&amp;"+"&amp;1,_xlfn.XLOOKUP(LEFT(SUBSTITUTE(G1429,"[{",""),FIND(",",SUBSTITUTE(G1429,"[{",""))-1),Sheet2!B:B,Sheet2!C:C)&amp;"+"&amp;SUBSTITUTE(RIGHT(G1429,LEN(G1429)-FIND(",",G1429)),"}]","")/100&amp;"%")</f>
        <v>对精英增伤+10.7%</v>
      </c>
      <c r="L1429" s="83" t="str">
        <f ca="1">IF(MOD(COUNTIF($Q$11:Q1428,Q1428),5)=0,OFFSET(装备属性!$G$1083,1+INT(COUNTA($Q$11:Q1428)/5),0),L1428)</f>
        <v>Boss加餐Ⅳ</v>
      </c>
      <c r="M1429" s="89" t="str">
        <f ca="1">IF(MOD(COUNTIF($Q$11:Q1428,Q1428),5)=0,OFFSET(装备属性!$H$1083,1+INT(COUNTA($Q$11:Q1428)/5),0),M1428)</f>
        <v>elitist_monster_hit_rate</v>
      </c>
      <c r="N1429" s="76">
        <f ca="1">IF(MOD(COUNTIF($Q$11:Q1428,Q1428),5)=0,OFFSET(装备属性!$K$1083,1+INT(COUNTA($Q$11:Q1428)/5),0),N1428)</f>
        <v>0.098</v>
      </c>
      <c r="O1429" s="76">
        <f ca="1">IF(MOD(COUNTIF($Q$11:Q1428,Q1428),5)=0,OFFSET(装备属性!$L$1083,1+INT(COUNTA($Q$11:Q1428)/5),0),O1428)</f>
        <v>0.11</v>
      </c>
      <c r="Q1429" s="89" t="str">
        <f ca="1">IF(MOD(COUNTIF($Q$11:Q1428,Q1428),5)=0,OFFSET(装备属性!$M$1083,1+INT(COUNTA($Q$11:Q1428)/5),0),Q1428)</f>
        <v>玩法类</v>
      </c>
      <c r="R1429" s="83">
        <f ca="1">IF(MOD(COUNTIF($Q$11:Q1428,Q1428),5)=0,10000*SUBSTITUTE(SUBSTITUTE(OFFSET(装备属性!$F$1083,1+INT(COUNTA($Q$11:Q1428)/5),0),"[",""),"]","")+_xlfn.XLOOKUP(C1429,$M$3:$M$7,$N$3:$N$7)*100,R1428)</f>
        <v>50700</v>
      </c>
    </row>
    <row r="1430" customHeight="1" spans="1:18">
      <c r="A1430" s="78">
        <f ca="1" t="shared" si="66"/>
        <v>50702</v>
      </c>
      <c r="B1430" s="82">
        <f ca="1">IFERROR(R1430+COUNTIFS($R$11:$R1430,R1430),"")</f>
        <v>50725</v>
      </c>
      <c r="C1430" s="83" t="str">
        <f ca="1">IF(MOD(COUNTIF($Q$11:Q1429,Q1429),5)=0,OFFSET(装备属性!$D$1083,1+INT(COUNTA($Q$11:Q1429)/5),0),C1429)</f>
        <v>粉</v>
      </c>
      <c r="D1430" s="82">
        <f t="shared" si="68"/>
        <v>1000</v>
      </c>
      <c r="F1430" s="82">
        <f ca="1" t="shared" si="67"/>
        <v>50704</v>
      </c>
      <c r="G1430" s="78" t="str">
        <f ca="1">IF(AND(LEFT("[{"&amp;M1430&amp;","&amp;CEILING(N1430*10000+(O1430-N1430)/4*(COUNTIF($F$11:F1430,F1430)-1)*10000,10)&amp;"}]",7)="[{equip",MID("[{"&amp;M1430&amp;","&amp;CEILING(N1430*10000+(O1430-N1430)/4*(COUNTIF($F$11:F1430,F1430)-1)*10000,10)&amp;"}]",8,1)&lt;&gt;"_"),"[{"&amp;M1430&amp;","&amp;1&amp;"}]","[{"&amp;M1430&amp;","&amp;CEILING(N1430*10000+(O1430-N1430)/4*(COUNTIF($F$11:F1430,F1430)-1)*10000,10)&amp;"}]")</f>
        <v>[{elitist_monster_hit_rate,1100}]</v>
      </c>
      <c r="H1430" s="82" t="s">
        <v>563</v>
      </c>
      <c r="J1430" s="78">
        <f ca="1">IF(MOD(COUNTIF($Q$11:Q1429,Q1429),5)=0,OFFSET(装备属性!$P$1083,1+INT(COUNTA($Q$11:Q1429)/5),0),J1429)</f>
        <v>6</v>
      </c>
      <c r="K1430" s="83" t="str">
        <f ca="1">IF(RIGHT(G1430,13)="rune_slot,1}]",_xlfn.XLOOKUP(LEFT(SUBSTITUTE(G1430,"[{",""),FIND(",",SUBSTITUTE(G1430,"[{",""))-1),Sheet2!B:B,Sheet2!C:C)&amp;"+"&amp;1,_xlfn.XLOOKUP(LEFT(SUBSTITUTE(G1430,"[{",""),FIND(",",SUBSTITUTE(G1430,"[{",""))-1),Sheet2!B:B,Sheet2!C:C)&amp;"+"&amp;SUBSTITUTE(RIGHT(G1430,LEN(G1430)-FIND(",",G1430)),"}]","")/100&amp;"%")</f>
        <v>对精英增伤+11%</v>
      </c>
      <c r="L1430" s="83" t="str">
        <f ca="1">IF(MOD(COUNTIF($Q$11:Q1429,Q1429),5)=0,OFFSET(装备属性!$G$1083,1+INT(COUNTA($Q$11:Q1429)/5),0),L1429)</f>
        <v>Boss加餐Ⅳ</v>
      </c>
      <c r="M1430" s="89" t="str">
        <f ca="1">IF(MOD(COUNTIF($Q$11:Q1429,Q1429),5)=0,OFFSET(装备属性!$H$1083,1+INT(COUNTA($Q$11:Q1429)/5),0),M1429)</f>
        <v>elitist_monster_hit_rate</v>
      </c>
      <c r="N1430" s="76">
        <f ca="1">IF(MOD(COUNTIF($Q$11:Q1429,Q1429),5)=0,OFFSET(装备属性!$K$1083,1+INT(COUNTA($Q$11:Q1429)/5),0),N1429)</f>
        <v>0.098</v>
      </c>
      <c r="O1430" s="76">
        <f ca="1">IF(MOD(COUNTIF($Q$11:Q1429,Q1429),5)=0,OFFSET(装备属性!$L$1083,1+INT(COUNTA($Q$11:Q1429)/5),0),O1429)</f>
        <v>0.11</v>
      </c>
      <c r="Q1430" s="89" t="str">
        <f ca="1">IF(MOD(COUNTIF($Q$11:Q1429,Q1429),5)=0,OFFSET(装备属性!$M$1083,1+INT(COUNTA($Q$11:Q1429)/5),0),Q1429)</f>
        <v>玩法类</v>
      </c>
      <c r="R1430" s="83">
        <f ca="1">IF(MOD(COUNTIF($Q$11:Q1429,Q1429),5)=0,10000*SUBSTITUTE(SUBSTITUTE(OFFSET(装备属性!$F$1083,1+INT(COUNTA($Q$11:Q1429)/5),0),"[",""),"]","")+_xlfn.XLOOKUP(C1430,$M$3:$M$7,$N$3:$N$7)*100,R1429)</f>
        <v>50700</v>
      </c>
    </row>
    <row r="1431" customHeight="1" spans="1:18">
      <c r="A1431" s="78">
        <f ca="1" t="shared" si="66"/>
        <v>50701</v>
      </c>
      <c r="B1431" s="82">
        <f ca="1">IFERROR(R1431+COUNTIFS($R$11:$R1431,R1431),"")</f>
        <v>50726</v>
      </c>
      <c r="C1431" s="83" t="str">
        <f ca="1">IF(MOD(COUNTIF($Q$11:Q1430,Q1430),5)=0,OFFSET(装备属性!$D$1083,1+INT(COUNTA($Q$11:Q1430)/5),0),C1430)</f>
        <v>粉</v>
      </c>
      <c r="D1431" s="82">
        <f t="shared" si="68"/>
        <v>3000</v>
      </c>
      <c r="F1431" s="82">
        <f ca="1" t="shared" si="67"/>
        <v>50705</v>
      </c>
      <c r="G1431" s="78" t="str">
        <f ca="1">IF(AND(LEFT("[{"&amp;M1431&amp;","&amp;CEILING(N1431*10000+(O1431-N1431)/4*(COUNTIF($F$11:F1431,F1431)-1)*10000,10)&amp;"}]",7)="[{equip",MID("[{"&amp;M1431&amp;","&amp;CEILING(N1431*10000+(O1431-N1431)/4*(COUNTIF($F$11:F1431,F1431)-1)*10000,10)&amp;"}]",8,1)&lt;&gt;"_"),"[{"&amp;M1431&amp;","&amp;1&amp;"}]","[{"&amp;M1431&amp;","&amp;CEILING(N1431*10000+(O1431-N1431)/4*(COUNTIF($F$11:F1431,F1431)-1)*10000,10)&amp;"}]")</f>
        <v>[{control_dmg_rate,800}]</v>
      </c>
      <c r="H1431" s="82" t="s">
        <v>563</v>
      </c>
      <c r="J1431" s="78">
        <f ca="1">IF(MOD(COUNTIF($Q$11:Q1430,Q1430),5)=0,OFFSET(装备属性!$P$1083,1+INT(COUNTA($Q$11:Q1430)/5),0),J1430)</f>
        <v>5</v>
      </c>
      <c r="K1431" s="83" t="str">
        <f ca="1">IF(RIGHT(G1431,13)="rune_slot,1}]",_xlfn.XLOOKUP(LEFT(SUBSTITUTE(G1431,"[{",""),FIND(",",SUBSTITUTE(G1431,"[{",""))-1),Sheet2!B:B,Sheet2!C:C)&amp;"+"&amp;1,_xlfn.XLOOKUP(LEFT(SUBSTITUTE(G1431,"[{",""),FIND(",",SUBSTITUTE(G1431,"[{",""))-1),Sheet2!B:B,Sheet2!C:C)&amp;"+"&amp;SUBSTITUTE(RIGHT(G1431,LEN(G1431)-FIND(",",G1431)),"}]","")/100&amp;"%")</f>
        <v>控制伤害+8%</v>
      </c>
      <c r="L1431" s="83" t="str">
        <f ca="1">IF(MOD(COUNTIF($Q$11:Q1430,Q1430),5)=0,OFFSET(装备属性!$G$1083,1+INT(COUNTA($Q$11:Q1430)/5),0),L1430)</f>
        <v>控场添力Ⅳ</v>
      </c>
      <c r="M1431" s="89" t="str">
        <f ca="1">IF(MOD(COUNTIF($Q$11:Q1430,Q1430),5)=0,OFFSET(装备属性!$H$1083,1+INT(COUNTA($Q$11:Q1430)/5),0),M1430)</f>
        <v>control_dmg_rate</v>
      </c>
      <c r="N1431" s="76">
        <f ca="1">IF(MOD(COUNTIF($Q$11:Q1430,Q1430),5)=0,OFFSET(装备属性!$K$1083,1+INT(COUNTA($Q$11:Q1430)/5),0),N1430)</f>
        <v>0.08</v>
      </c>
      <c r="O1431" s="76">
        <f ca="1">IF(MOD(COUNTIF($Q$11:Q1430,Q1430),5)=0,OFFSET(装备属性!$L$1083,1+INT(COUNTA($Q$11:Q1430)/5),0),O1430)</f>
        <v>0.09</v>
      </c>
      <c r="Q1431" s="89" t="str">
        <f ca="1">IF(MOD(COUNTIF($Q$11:Q1430,Q1430),5)=0,OFFSET(装备属性!$M$1083,1+INT(COUNTA($Q$11:Q1430)/5),0),Q1430)</f>
        <v>通用属性</v>
      </c>
      <c r="R1431" s="83">
        <f ca="1">IF(MOD(COUNTIF($Q$11:Q1430,Q1430),5)=0,10000*SUBSTITUTE(SUBSTITUTE(OFFSET(装备属性!$F$1083,1+INT(COUNTA($Q$11:Q1430)/5),0),"[",""),"]","")+_xlfn.XLOOKUP(C1431,$M$3:$M$7,$N$3:$N$7)*100,R1430)</f>
        <v>50700</v>
      </c>
    </row>
    <row r="1432" customHeight="1" spans="1:18">
      <c r="A1432" s="78">
        <f ca="1" t="shared" si="66"/>
        <v>50701</v>
      </c>
      <c r="B1432" s="82">
        <f ca="1">IFERROR(R1432+COUNTIFS($R$11:$R1432,R1432),"")</f>
        <v>50727</v>
      </c>
      <c r="C1432" s="83" t="str">
        <f ca="1">IF(MOD(COUNTIF($Q$11:Q1431,Q1431),5)=0,OFFSET(装备属性!$D$1083,1+INT(COUNTA($Q$11:Q1431)/5),0),C1431)</f>
        <v>粉</v>
      </c>
      <c r="D1432" s="82">
        <f t="shared" si="68"/>
        <v>2500</v>
      </c>
      <c r="F1432" s="82">
        <f ca="1" t="shared" si="67"/>
        <v>50705</v>
      </c>
      <c r="G1432" s="78" t="str">
        <f ca="1">IF(AND(LEFT("[{"&amp;M1432&amp;","&amp;CEILING(N1432*10000+(O1432-N1432)/4*(COUNTIF($F$11:F1432,F1432)-1)*10000,10)&amp;"}]",7)="[{equip",MID("[{"&amp;M1432&amp;","&amp;CEILING(N1432*10000+(O1432-N1432)/4*(COUNTIF($F$11:F1432,F1432)-1)*10000,10)&amp;"}]",8,1)&lt;&gt;"_"),"[{"&amp;M1432&amp;","&amp;1&amp;"}]","[{"&amp;M1432&amp;","&amp;CEILING(N1432*10000+(O1432-N1432)/4*(COUNTIF($F$11:F1432,F1432)-1)*10000,10)&amp;"}]")</f>
        <v>[{control_dmg_rate,830}]</v>
      </c>
      <c r="H1432" s="82" t="s">
        <v>563</v>
      </c>
      <c r="J1432" s="78">
        <f ca="1">IF(MOD(COUNTIF($Q$11:Q1431,Q1431),5)=0,OFFSET(装备属性!$P$1083,1+INT(COUNTA($Q$11:Q1431)/5),0),J1431)</f>
        <v>5</v>
      </c>
      <c r="K1432" s="83" t="str">
        <f ca="1">IF(RIGHT(G1432,13)="rune_slot,1}]",_xlfn.XLOOKUP(LEFT(SUBSTITUTE(G1432,"[{",""),FIND(",",SUBSTITUTE(G1432,"[{",""))-1),Sheet2!B:B,Sheet2!C:C)&amp;"+"&amp;1,_xlfn.XLOOKUP(LEFT(SUBSTITUTE(G1432,"[{",""),FIND(",",SUBSTITUTE(G1432,"[{",""))-1),Sheet2!B:B,Sheet2!C:C)&amp;"+"&amp;SUBSTITUTE(RIGHT(G1432,LEN(G1432)-FIND(",",G1432)),"}]","")/100&amp;"%")</f>
        <v>控制伤害+8.3%</v>
      </c>
      <c r="L1432" s="83" t="str">
        <f ca="1">IF(MOD(COUNTIF($Q$11:Q1431,Q1431),5)=0,OFFSET(装备属性!$G$1083,1+INT(COUNTA($Q$11:Q1431)/5),0),L1431)</f>
        <v>控场添力Ⅳ</v>
      </c>
      <c r="M1432" s="89" t="str">
        <f ca="1">IF(MOD(COUNTIF($Q$11:Q1431,Q1431),5)=0,OFFSET(装备属性!$H$1083,1+INT(COUNTA($Q$11:Q1431)/5),0),M1431)</f>
        <v>control_dmg_rate</v>
      </c>
      <c r="N1432" s="76">
        <f ca="1">IF(MOD(COUNTIF($Q$11:Q1431,Q1431),5)=0,OFFSET(装备属性!$K$1083,1+INT(COUNTA($Q$11:Q1431)/5),0),N1431)</f>
        <v>0.08</v>
      </c>
      <c r="O1432" s="76">
        <f ca="1">IF(MOD(COUNTIF($Q$11:Q1431,Q1431),5)=0,OFFSET(装备属性!$L$1083,1+INT(COUNTA($Q$11:Q1431)/5),0),O1431)</f>
        <v>0.09</v>
      </c>
      <c r="Q1432" s="89" t="str">
        <f ca="1">IF(MOD(COUNTIF($Q$11:Q1431,Q1431),5)=0,OFFSET(装备属性!$M$1083,1+INT(COUNTA($Q$11:Q1431)/5),0),Q1431)</f>
        <v>通用属性</v>
      </c>
      <c r="R1432" s="83">
        <f ca="1">IF(MOD(COUNTIF($Q$11:Q1431,Q1431),5)=0,10000*SUBSTITUTE(SUBSTITUTE(OFFSET(装备属性!$F$1083,1+INT(COUNTA($Q$11:Q1431)/5),0),"[",""),"]","")+_xlfn.XLOOKUP(C1432,$M$3:$M$7,$N$3:$N$7)*100,R1431)</f>
        <v>50700</v>
      </c>
    </row>
    <row r="1433" customHeight="1" spans="1:18">
      <c r="A1433" s="78">
        <f ca="1" t="shared" si="66"/>
        <v>50701</v>
      </c>
      <c r="B1433" s="82">
        <f ca="1">IFERROR(R1433+COUNTIFS($R$11:$R1433,R1433),"")</f>
        <v>50728</v>
      </c>
      <c r="C1433" s="83" t="str">
        <f ca="1">IF(MOD(COUNTIF($Q$11:Q1432,Q1432),5)=0,OFFSET(装备属性!$D$1083,1+INT(COUNTA($Q$11:Q1432)/5),0),C1432)</f>
        <v>粉</v>
      </c>
      <c r="D1433" s="82">
        <f t="shared" si="68"/>
        <v>2000</v>
      </c>
      <c r="F1433" s="82">
        <f ca="1" t="shared" si="67"/>
        <v>50705</v>
      </c>
      <c r="G1433" s="78" t="str">
        <f ca="1">IF(AND(LEFT("[{"&amp;M1433&amp;","&amp;CEILING(N1433*10000+(O1433-N1433)/4*(COUNTIF($F$11:F1433,F1433)-1)*10000,10)&amp;"}]",7)="[{equip",MID("[{"&amp;M1433&amp;","&amp;CEILING(N1433*10000+(O1433-N1433)/4*(COUNTIF($F$11:F1433,F1433)-1)*10000,10)&amp;"}]",8,1)&lt;&gt;"_"),"[{"&amp;M1433&amp;","&amp;1&amp;"}]","[{"&amp;M1433&amp;","&amp;CEILING(N1433*10000+(O1433-N1433)/4*(COUNTIF($F$11:F1433,F1433)-1)*10000,10)&amp;"}]")</f>
        <v>[{control_dmg_rate,850}]</v>
      </c>
      <c r="H1433" s="82" t="s">
        <v>563</v>
      </c>
      <c r="J1433" s="78">
        <f ca="1">IF(MOD(COUNTIF($Q$11:Q1432,Q1432),5)=0,OFFSET(装备属性!$P$1083,1+INT(COUNTA($Q$11:Q1432)/5),0),J1432)</f>
        <v>5</v>
      </c>
      <c r="K1433" s="83" t="str">
        <f ca="1">IF(RIGHT(G1433,13)="rune_slot,1}]",_xlfn.XLOOKUP(LEFT(SUBSTITUTE(G1433,"[{",""),FIND(",",SUBSTITUTE(G1433,"[{",""))-1),Sheet2!B:B,Sheet2!C:C)&amp;"+"&amp;1,_xlfn.XLOOKUP(LEFT(SUBSTITUTE(G1433,"[{",""),FIND(",",SUBSTITUTE(G1433,"[{",""))-1),Sheet2!B:B,Sheet2!C:C)&amp;"+"&amp;SUBSTITUTE(RIGHT(G1433,LEN(G1433)-FIND(",",G1433)),"}]","")/100&amp;"%")</f>
        <v>控制伤害+8.5%</v>
      </c>
      <c r="L1433" s="83" t="str">
        <f ca="1">IF(MOD(COUNTIF($Q$11:Q1432,Q1432),5)=0,OFFSET(装备属性!$G$1083,1+INT(COUNTA($Q$11:Q1432)/5),0),L1432)</f>
        <v>控场添力Ⅳ</v>
      </c>
      <c r="M1433" s="89" t="str">
        <f ca="1">IF(MOD(COUNTIF($Q$11:Q1432,Q1432),5)=0,OFFSET(装备属性!$H$1083,1+INT(COUNTA($Q$11:Q1432)/5),0),M1432)</f>
        <v>control_dmg_rate</v>
      </c>
      <c r="N1433" s="76">
        <f ca="1">IF(MOD(COUNTIF($Q$11:Q1432,Q1432),5)=0,OFFSET(装备属性!$K$1083,1+INT(COUNTA($Q$11:Q1432)/5),0),N1432)</f>
        <v>0.08</v>
      </c>
      <c r="O1433" s="76">
        <f ca="1">IF(MOD(COUNTIF($Q$11:Q1432,Q1432),5)=0,OFFSET(装备属性!$L$1083,1+INT(COUNTA($Q$11:Q1432)/5),0),O1432)</f>
        <v>0.09</v>
      </c>
      <c r="Q1433" s="89" t="str">
        <f ca="1">IF(MOD(COUNTIF($Q$11:Q1432,Q1432),5)=0,OFFSET(装备属性!$M$1083,1+INT(COUNTA($Q$11:Q1432)/5),0),Q1432)</f>
        <v>通用属性</v>
      </c>
      <c r="R1433" s="83">
        <f ca="1">IF(MOD(COUNTIF($Q$11:Q1432,Q1432),5)=0,10000*SUBSTITUTE(SUBSTITUTE(OFFSET(装备属性!$F$1083,1+INT(COUNTA($Q$11:Q1432)/5),0),"[",""),"]","")+_xlfn.XLOOKUP(C1433,$M$3:$M$7,$N$3:$N$7)*100,R1432)</f>
        <v>50700</v>
      </c>
    </row>
    <row r="1434" customHeight="1" spans="1:18">
      <c r="A1434" s="78">
        <f ca="1" t="shared" si="66"/>
        <v>50701</v>
      </c>
      <c r="B1434" s="82">
        <f ca="1">IFERROR(R1434+COUNTIFS($R$11:$R1434,R1434),"")</f>
        <v>50729</v>
      </c>
      <c r="C1434" s="83" t="str">
        <f ca="1">IF(MOD(COUNTIF($Q$11:Q1433,Q1433),5)=0,OFFSET(装备属性!$D$1083,1+INT(COUNTA($Q$11:Q1433)/5),0),C1433)</f>
        <v>粉</v>
      </c>
      <c r="D1434" s="82">
        <f t="shared" si="68"/>
        <v>1500</v>
      </c>
      <c r="F1434" s="82">
        <f ca="1" t="shared" si="67"/>
        <v>50705</v>
      </c>
      <c r="G1434" s="78" t="str">
        <f ca="1">IF(AND(LEFT("[{"&amp;M1434&amp;","&amp;CEILING(N1434*10000+(O1434-N1434)/4*(COUNTIF($F$11:F1434,F1434)-1)*10000,10)&amp;"}]",7)="[{equip",MID("[{"&amp;M1434&amp;","&amp;CEILING(N1434*10000+(O1434-N1434)/4*(COUNTIF($F$11:F1434,F1434)-1)*10000,10)&amp;"}]",8,1)&lt;&gt;"_"),"[{"&amp;M1434&amp;","&amp;1&amp;"}]","[{"&amp;M1434&amp;","&amp;CEILING(N1434*10000+(O1434-N1434)/4*(COUNTIF($F$11:F1434,F1434)-1)*10000,10)&amp;"}]")</f>
        <v>[{control_dmg_rate,880}]</v>
      </c>
      <c r="H1434" s="82" t="s">
        <v>563</v>
      </c>
      <c r="J1434" s="78">
        <f ca="1">IF(MOD(COUNTIF($Q$11:Q1433,Q1433),5)=0,OFFSET(装备属性!$P$1083,1+INT(COUNTA($Q$11:Q1433)/5),0),J1433)</f>
        <v>5</v>
      </c>
      <c r="K1434" s="83" t="str">
        <f ca="1">IF(RIGHT(G1434,13)="rune_slot,1}]",_xlfn.XLOOKUP(LEFT(SUBSTITUTE(G1434,"[{",""),FIND(",",SUBSTITUTE(G1434,"[{",""))-1),Sheet2!B:B,Sheet2!C:C)&amp;"+"&amp;1,_xlfn.XLOOKUP(LEFT(SUBSTITUTE(G1434,"[{",""),FIND(",",SUBSTITUTE(G1434,"[{",""))-1),Sheet2!B:B,Sheet2!C:C)&amp;"+"&amp;SUBSTITUTE(RIGHT(G1434,LEN(G1434)-FIND(",",G1434)),"}]","")/100&amp;"%")</f>
        <v>控制伤害+8.8%</v>
      </c>
      <c r="L1434" s="83" t="str">
        <f ca="1">IF(MOD(COUNTIF($Q$11:Q1433,Q1433),5)=0,OFFSET(装备属性!$G$1083,1+INT(COUNTA($Q$11:Q1433)/5),0),L1433)</f>
        <v>控场添力Ⅳ</v>
      </c>
      <c r="M1434" s="89" t="str">
        <f ca="1">IF(MOD(COUNTIF($Q$11:Q1433,Q1433),5)=0,OFFSET(装备属性!$H$1083,1+INT(COUNTA($Q$11:Q1433)/5),0),M1433)</f>
        <v>control_dmg_rate</v>
      </c>
      <c r="N1434" s="76">
        <f ca="1">IF(MOD(COUNTIF($Q$11:Q1433,Q1433),5)=0,OFFSET(装备属性!$K$1083,1+INT(COUNTA($Q$11:Q1433)/5),0),N1433)</f>
        <v>0.08</v>
      </c>
      <c r="O1434" s="76">
        <f ca="1">IF(MOD(COUNTIF($Q$11:Q1433,Q1433),5)=0,OFFSET(装备属性!$L$1083,1+INT(COUNTA($Q$11:Q1433)/5),0),O1433)</f>
        <v>0.09</v>
      </c>
      <c r="Q1434" s="89" t="str">
        <f ca="1">IF(MOD(COUNTIF($Q$11:Q1433,Q1433),5)=0,OFFSET(装备属性!$M$1083,1+INT(COUNTA($Q$11:Q1433)/5),0),Q1433)</f>
        <v>通用属性</v>
      </c>
      <c r="R1434" s="83">
        <f ca="1">IF(MOD(COUNTIF($Q$11:Q1433,Q1433),5)=0,10000*SUBSTITUTE(SUBSTITUTE(OFFSET(装备属性!$F$1083,1+INT(COUNTA($Q$11:Q1433)/5),0),"[",""),"]","")+_xlfn.XLOOKUP(C1434,$M$3:$M$7,$N$3:$N$7)*100,R1433)</f>
        <v>50700</v>
      </c>
    </row>
    <row r="1435" customHeight="1" spans="1:18">
      <c r="A1435" s="78">
        <f ca="1" t="shared" si="66"/>
        <v>50701</v>
      </c>
      <c r="B1435" s="82">
        <f ca="1">IFERROR(R1435+COUNTIFS($R$11:$R1435,R1435),"")</f>
        <v>50730</v>
      </c>
      <c r="C1435" s="83" t="str">
        <f ca="1">IF(MOD(COUNTIF($Q$11:Q1434,Q1434),5)=0,OFFSET(装备属性!$D$1083,1+INT(COUNTA($Q$11:Q1434)/5),0),C1434)</f>
        <v>粉</v>
      </c>
      <c r="D1435" s="82">
        <f t="shared" si="68"/>
        <v>1000</v>
      </c>
      <c r="F1435" s="82">
        <f ca="1" t="shared" si="67"/>
        <v>50705</v>
      </c>
      <c r="G1435" s="78" t="str">
        <f ca="1">IF(AND(LEFT("[{"&amp;M1435&amp;","&amp;CEILING(N1435*10000+(O1435-N1435)/4*(COUNTIF($F$11:F1435,F1435)-1)*10000,10)&amp;"}]",7)="[{equip",MID("[{"&amp;M1435&amp;","&amp;CEILING(N1435*10000+(O1435-N1435)/4*(COUNTIF($F$11:F1435,F1435)-1)*10000,10)&amp;"}]",8,1)&lt;&gt;"_"),"[{"&amp;M1435&amp;","&amp;1&amp;"}]","[{"&amp;M1435&amp;","&amp;CEILING(N1435*10000+(O1435-N1435)/4*(COUNTIF($F$11:F1435,F1435)-1)*10000,10)&amp;"}]")</f>
        <v>[{control_dmg_rate,900}]</v>
      </c>
      <c r="H1435" s="82" t="s">
        <v>563</v>
      </c>
      <c r="J1435" s="78">
        <f ca="1">IF(MOD(COUNTIF($Q$11:Q1434,Q1434),5)=0,OFFSET(装备属性!$P$1083,1+INT(COUNTA($Q$11:Q1434)/5),0),J1434)</f>
        <v>5</v>
      </c>
      <c r="K1435" s="83" t="str">
        <f ca="1">IF(RIGHT(G1435,13)="rune_slot,1}]",_xlfn.XLOOKUP(LEFT(SUBSTITUTE(G1435,"[{",""),FIND(",",SUBSTITUTE(G1435,"[{",""))-1),Sheet2!B:B,Sheet2!C:C)&amp;"+"&amp;1,_xlfn.XLOOKUP(LEFT(SUBSTITUTE(G1435,"[{",""),FIND(",",SUBSTITUTE(G1435,"[{",""))-1),Sheet2!B:B,Sheet2!C:C)&amp;"+"&amp;SUBSTITUTE(RIGHT(G1435,LEN(G1435)-FIND(",",G1435)),"}]","")/100&amp;"%")</f>
        <v>控制伤害+9%</v>
      </c>
      <c r="L1435" s="83" t="str">
        <f ca="1">IF(MOD(COUNTIF($Q$11:Q1434,Q1434),5)=0,OFFSET(装备属性!$G$1083,1+INT(COUNTA($Q$11:Q1434)/5),0),L1434)</f>
        <v>控场添力Ⅳ</v>
      </c>
      <c r="M1435" s="89" t="str">
        <f ca="1">IF(MOD(COUNTIF($Q$11:Q1434,Q1434),5)=0,OFFSET(装备属性!$H$1083,1+INT(COUNTA($Q$11:Q1434)/5),0),M1434)</f>
        <v>control_dmg_rate</v>
      </c>
      <c r="N1435" s="76">
        <f ca="1">IF(MOD(COUNTIF($Q$11:Q1434,Q1434),5)=0,OFFSET(装备属性!$K$1083,1+INT(COUNTA($Q$11:Q1434)/5),0),N1434)</f>
        <v>0.08</v>
      </c>
      <c r="O1435" s="76">
        <f ca="1">IF(MOD(COUNTIF($Q$11:Q1434,Q1434),5)=0,OFFSET(装备属性!$L$1083,1+INT(COUNTA($Q$11:Q1434)/5),0),O1434)</f>
        <v>0.09</v>
      </c>
      <c r="Q1435" s="89" t="str">
        <f ca="1">IF(MOD(COUNTIF($Q$11:Q1434,Q1434),5)=0,OFFSET(装备属性!$M$1083,1+INT(COUNTA($Q$11:Q1434)/5),0),Q1434)</f>
        <v>通用属性</v>
      </c>
      <c r="R1435" s="83">
        <f ca="1">IF(MOD(COUNTIF($Q$11:Q1434,Q1434),5)=0,10000*SUBSTITUTE(SUBSTITUTE(OFFSET(装备属性!$F$1083,1+INT(COUNTA($Q$11:Q1434)/5),0),"[",""),"]","")+_xlfn.XLOOKUP(C1435,$M$3:$M$7,$N$3:$N$7)*100,R1434)</f>
        <v>50700</v>
      </c>
    </row>
    <row r="1436" customHeight="1" spans="1:18">
      <c r="A1436" s="78">
        <f ca="1" t="shared" si="66"/>
        <v>50701</v>
      </c>
      <c r="B1436" s="82">
        <f ca="1">IFERROR(R1436+COUNTIFS($R$11:$R1436,R1436),"")</f>
        <v>50731</v>
      </c>
      <c r="C1436" s="83" t="str">
        <f ca="1">IF(MOD(COUNTIF($Q$11:Q1435,Q1435),5)=0,OFFSET(装备属性!$D$1083,1+INT(COUNTA($Q$11:Q1435)/5),0),C1435)</f>
        <v>粉</v>
      </c>
      <c r="D1436" s="82">
        <f t="shared" si="68"/>
        <v>3000</v>
      </c>
      <c r="F1436" s="82">
        <f ca="1" t="shared" si="67"/>
        <v>50706</v>
      </c>
      <c r="G1436" s="78" t="str">
        <f ca="1">IF(AND(LEFT("[{"&amp;M1436&amp;","&amp;CEILING(N1436*10000+(O1436-N1436)/4*(COUNTIF($F$11:F1436,F1436)-1)*10000,10)&amp;"}]",7)="[{equip",MID("[{"&amp;M1436&amp;","&amp;CEILING(N1436*10000+(O1436-N1436)/4*(COUNTIF($F$11:F1436,F1436)-1)*10000,10)&amp;"}]",8,1)&lt;&gt;"_"),"[{"&amp;M1436&amp;","&amp;1&amp;"}]","[{"&amp;M1436&amp;","&amp;CEILING(N1436*10000+(O1436-N1436)/4*(COUNTIF($F$11:F1436,F1436)-1)*10000,10)&amp;"}]")</f>
        <v>[{control_dmg_red_rate,300}]</v>
      </c>
      <c r="H1436" s="82" t="s">
        <v>563</v>
      </c>
      <c r="J1436" s="78">
        <f ca="1">IF(MOD(COUNTIF($Q$11:Q1435,Q1435),5)=0,OFFSET(装备属性!$P$1083,1+INT(COUNTA($Q$11:Q1435)/5),0),J1435)</f>
        <v>3</v>
      </c>
      <c r="K1436" s="83" t="str">
        <f ca="1">IF(RIGHT(G1436,13)="rune_slot,1}]",_xlfn.XLOOKUP(LEFT(SUBSTITUTE(G1436,"[{",""),FIND(",",SUBSTITUTE(G1436,"[{",""))-1),Sheet2!B:B,Sheet2!C:C)&amp;"+"&amp;1,_xlfn.XLOOKUP(LEFT(SUBSTITUTE(G1436,"[{",""),FIND(",",SUBSTITUTE(G1436,"[{",""))-1),Sheet2!B:B,Sheet2!C:C)&amp;"+"&amp;SUBSTITUTE(RIGHT(G1436,LEN(G1436)-FIND(",",G1436)),"}]","")/100&amp;"%")</f>
        <v>控制伤害减免+3%</v>
      </c>
      <c r="L1436" s="83" t="str">
        <f ca="1">IF(MOD(COUNTIF($Q$11:Q1435,Q1435),5)=0,OFFSET(装备属性!$G$1083,1+INT(COUNTA($Q$11:Q1435)/5),0),L1435)</f>
        <v>控场能苟Ⅳ</v>
      </c>
      <c r="M1436" s="89" t="str">
        <f ca="1">IF(MOD(COUNTIF($Q$11:Q1435,Q1435),5)=0,OFFSET(装备属性!$H$1083,1+INT(COUNTA($Q$11:Q1435)/5),0),M1435)</f>
        <v>control_dmg_red_rate</v>
      </c>
      <c r="N1436" s="76">
        <f ca="1">IF(MOD(COUNTIF($Q$11:Q1435,Q1435),5)=0,OFFSET(装备属性!$K$1083,1+INT(COUNTA($Q$11:Q1435)/5),0),N1435)</f>
        <v>0.03</v>
      </c>
      <c r="O1436" s="76">
        <f ca="1">IF(MOD(COUNTIF($Q$11:Q1435,Q1435),5)=0,OFFSET(装备属性!$L$1083,1+INT(COUNTA($Q$11:Q1435)/5),0),O1435)</f>
        <v>0.034</v>
      </c>
      <c r="Q1436" s="89" t="str">
        <f ca="1">IF(MOD(COUNTIF($Q$11:Q1435,Q1435),5)=0,OFFSET(装备属性!$M$1083,1+INT(COUNTA($Q$11:Q1435)/5),0),Q1435)</f>
        <v>通用属性</v>
      </c>
      <c r="R1436" s="83">
        <f ca="1">IF(MOD(COUNTIF($Q$11:Q1435,Q1435),5)=0,10000*SUBSTITUTE(SUBSTITUTE(OFFSET(装备属性!$F$1083,1+INT(COUNTA($Q$11:Q1435)/5),0),"[",""),"]","")+_xlfn.XLOOKUP(C1436,$M$3:$M$7,$N$3:$N$7)*100,R1435)</f>
        <v>50700</v>
      </c>
    </row>
    <row r="1437" customHeight="1" spans="1:18">
      <c r="A1437" s="78">
        <f ca="1" t="shared" si="66"/>
        <v>50701</v>
      </c>
      <c r="B1437" s="82">
        <f ca="1">IFERROR(R1437+COUNTIFS($R$11:$R1437,R1437),"")</f>
        <v>50732</v>
      </c>
      <c r="C1437" s="83" t="str">
        <f ca="1">IF(MOD(COUNTIF($Q$11:Q1436,Q1436),5)=0,OFFSET(装备属性!$D$1083,1+INT(COUNTA($Q$11:Q1436)/5),0),C1436)</f>
        <v>粉</v>
      </c>
      <c r="D1437" s="82">
        <f t="shared" si="68"/>
        <v>2500</v>
      </c>
      <c r="F1437" s="82">
        <f ca="1" t="shared" si="67"/>
        <v>50706</v>
      </c>
      <c r="G1437" s="78" t="str">
        <f ca="1">IF(AND(LEFT("[{"&amp;M1437&amp;","&amp;CEILING(N1437*10000+(O1437-N1437)/4*(COUNTIF($F$11:F1437,F1437)-1)*10000,10)&amp;"}]",7)="[{equip",MID("[{"&amp;M1437&amp;","&amp;CEILING(N1437*10000+(O1437-N1437)/4*(COUNTIF($F$11:F1437,F1437)-1)*10000,10)&amp;"}]",8,1)&lt;&gt;"_"),"[{"&amp;M1437&amp;","&amp;1&amp;"}]","[{"&amp;M1437&amp;","&amp;CEILING(N1437*10000+(O1437-N1437)/4*(COUNTIF($F$11:F1437,F1437)-1)*10000,10)&amp;"}]")</f>
        <v>[{control_dmg_red_rate,310}]</v>
      </c>
      <c r="H1437" s="82" t="s">
        <v>563</v>
      </c>
      <c r="J1437" s="78">
        <f ca="1">IF(MOD(COUNTIF($Q$11:Q1436,Q1436),5)=0,OFFSET(装备属性!$P$1083,1+INT(COUNTA($Q$11:Q1436)/5),0),J1436)</f>
        <v>3</v>
      </c>
      <c r="K1437" s="83" t="str">
        <f ca="1">IF(RIGHT(G1437,13)="rune_slot,1}]",_xlfn.XLOOKUP(LEFT(SUBSTITUTE(G1437,"[{",""),FIND(",",SUBSTITUTE(G1437,"[{",""))-1),Sheet2!B:B,Sheet2!C:C)&amp;"+"&amp;1,_xlfn.XLOOKUP(LEFT(SUBSTITUTE(G1437,"[{",""),FIND(",",SUBSTITUTE(G1437,"[{",""))-1),Sheet2!B:B,Sheet2!C:C)&amp;"+"&amp;SUBSTITUTE(RIGHT(G1437,LEN(G1437)-FIND(",",G1437)),"}]","")/100&amp;"%")</f>
        <v>控制伤害减免+3.1%</v>
      </c>
      <c r="L1437" s="83" t="str">
        <f ca="1">IF(MOD(COUNTIF($Q$11:Q1436,Q1436),5)=0,OFFSET(装备属性!$G$1083,1+INT(COUNTA($Q$11:Q1436)/5),0),L1436)</f>
        <v>控场能苟Ⅳ</v>
      </c>
      <c r="M1437" s="89" t="str">
        <f ca="1">IF(MOD(COUNTIF($Q$11:Q1436,Q1436),5)=0,OFFSET(装备属性!$H$1083,1+INT(COUNTA($Q$11:Q1436)/5),0),M1436)</f>
        <v>control_dmg_red_rate</v>
      </c>
      <c r="N1437" s="76">
        <f ca="1">IF(MOD(COUNTIF($Q$11:Q1436,Q1436),5)=0,OFFSET(装备属性!$K$1083,1+INT(COUNTA($Q$11:Q1436)/5),0),N1436)</f>
        <v>0.03</v>
      </c>
      <c r="O1437" s="76">
        <f ca="1">IF(MOD(COUNTIF($Q$11:Q1436,Q1436),5)=0,OFFSET(装备属性!$L$1083,1+INT(COUNTA($Q$11:Q1436)/5),0),O1436)</f>
        <v>0.034</v>
      </c>
      <c r="Q1437" s="89" t="str">
        <f ca="1">IF(MOD(COUNTIF($Q$11:Q1436,Q1436),5)=0,OFFSET(装备属性!$M$1083,1+INT(COUNTA($Q$11:Q1436)/5),0),Q1436)</f>
        <v>通用属性</v>
      </c>
      <c r="R1437" s="83">
        <f ca="1">IF(MOD(COUNTIF($Q$11:Q1436,Q1436),5)=0,10000*SUBSTITUTE(SUBSTITUTE(OFFSET(装备属性!$F$1083,1+INT(COUNTA($Q$11:Q1436)/5),0),"[",""),"]","")+_xlfn.XLOOKUP(C1437,$M$3:$M$7,$N$3:$N$7)*100,R1436)</f>
        <v>50700</v>
      </c>
    </row>
    <row r="1438" customHeight="1" spans="1:18">
      <c r="A1438" s="78">
        <f ca="1" t="shared" si="66"/>
        <v>50701</v>
      </c>
      <c r="B1438" s="82">
        <f ca="1">IFERROR(R1438+COUNTIFS($R$11:$R1438,R1438),"")</f>
        <v>50733</v>
      </c>
      <c r="C1438" s="83" t="str">
        <f ca="1">IF(MOD(COUNTIF($Q$11:Q1437,Q1437),5)=0,OFFSET(装备属性!$D$1083,1+INT(COUNTA($Q$11:Q1437)/5),0),C1437)</f>
        <v>粉</v>
      </c>
      <c r="D1438" s="82">
        <f t="shared" si="68"/>
        <v>2000</v>
      </c>
      <c r="F1438" s="82">
        <f ca="1" t="shared" si="67"/>
        <v>50706</v>
      </c>
      <c r="G1438" s="78" t="str">
        <f ca="1">IF(AND(LEFT("[{"&amp;M1438&amp;","&amp;CEILING(N1438*10000+(O1438-N1438)/4*(COUNTIF($F$11:F1438,F1438)-1)*10000,10)&amp;"}]",7)="[{equip",MID("[{"&amp;M1438&amp;","&amp;CEILING(N1438*10000+(O1438-N1438)/4*(COUNTIF($F$11:F1438,F1438)-1)*10000,10)&amp;"}]",8,1)&lt;&gt;"_"),"[{"&amp;M1438&amp;","&amp;1&amp;"}]","[{"&amp;M1438&amp;","&amp;CEILING(N1438*10000+(O1438-N1438)/4*(COUNTIF($F$11:F1438,F1438)-1)*10000,10)&amp;"}]")</f>
        <v>[{control_dmg_red_rate,320}]</v>
      </c>
      <c r="H1438" s="82" t="s">
        <v>563</v>
      </c>
      <c r="J1438" s="78">
        <f ca="1">IF(MOD(COUNTIF($Q$11:Q1437,Q1437),5)=0,OFFSET(装备属性!$P$1083,1+INT(COUNTA($Q$11:Q1437)/5),0),J1437)</f>
        <v>3</v>
      </c>
      <c r="K1438" s="83" t="str">
        <f ca="1">IF(RIGHT(G1438,13)="rune_slot,1}]",_xlfn.XLOOKUP(LEFT(SUBSTITUTE(G1438,"[{",""),FIND(",",SUBSTITUTE(G1438,"[{",""))-1),Sheet2!B:B,Sheet2!C:C)&amp;"+"&amp;1,_xlfn.XLOOKUP(LEFT(SUBSTITUTE(G1438,"[{",""),FIND(",",SUBSTITUTE(G1438,"[{",""))-1),Sheet2!B:B,Sheet2!C:C)&amp;"+"&amp;SUBSTITUTE(RIGHT(G1438,LEN(G1438)-FIND(",",G1438)),"}]","")/100&amp;"%")</f>
        <v>控制伤害减免+3.2%</v>
      </c>
      <c r="L1438" s="83" t="str">
        <f ca="1">IF(MOD(COUNTIF($Q$11:Q1437,Q1437),5)=0,OFFSET(装备属性!$G$1083,1+INT(COUNTA($Q$11:Q1437)/5),0),L1437)</f>
        <v>控场能苟Ⅳ</v>
      </c>
      <c r="M1438" s="89" t="str">
        <f ca="1">IF(MOD(COUNTIF($Q$11:Q1437,Q1437),5)=0,OFFSET(装备属性!$H$1083,1+INT(COUNTA($Q$11:Q1437)/5),0),M1437)</f>
        <v>control_dmg_red_rate</v>
      </c>
      <c r="N1438" s="76">
        <f ca="1">IF(MOD(COUNTIF($Q$11:Q1437,Q1437),5)=0,OFFSET(装备属性!$K$1083,1+INT(COUNTA($Q$11:Q1437)/5),0),N1437)</f>
        <v>0.03</v>
      </c>
      <c r="O1438" s="76">
        <f ca="1">IF(MOD(COUNTIF($Q$11:Q1437,Q1437),5)=0,OFFSET(装备属性!$L$1083,1+INT(COUNTA($Q$11:Q1437)/5),0),O1437)</f>
        <v>0.034</v>
      </c>
      <c r="Q1438" s="89" t="str">
        <f ca="1">IF(MOD(COUNTIF($Q$11:Q1437,Q1437),5)=0,OFFSET(装备属性!$M$1083,1+INT(COUNTA($Q$11:Q1437)/5),0),Q1437)</f>
        <v>通用属性</v>
      </c>
      <c r="R1438" s="83">
        <f ca="1">IF(MOD(COUNTIF($Q$11:Q1437,Q1437),5)=0,10000*SUBSTITUTE(SUBSTITUTE(OFFSET(装备属性!$F$1083,1+INT(COUNTA($Q$11:Q1437)/5),0),"[",""),"]","")+_xlfn.XLOOKUP(C1438,$M$3:$M$7,$N$3:$N$7)*100,R1437)</f>
        <v>50700</v>
      </c>
    </row>
    <row r="1439" customHeight="1" spans="1:18">
      <c r="A1439" s="78">
        <f ca="1" t="shared" si="66"/>
        <v>50701</v>
      </c>
      <c r="B1439" s="82">
        <f ca="1">IFERROR(R1439+COUNTIFS($R$11:$R1439,R1439),"")</f>
        <v>50734</v>
      </c>
      <c r="C1439" s="83" t="str">
        <f ca="1">IF(MOD(COUNTIF($Q$11:Q1438,Q1438),5)=0,OFFSET(装备属性!$D$1083,1+INT(COUNTA($Q$11:Q1438)/5),0),C1438)</f>
        <v>粉</v>
      </c>
      <c r="D1439" s="82">
        <f t="shared" si="68"/>
        <v>1500</v>
      </c>
      <c r="F1439" s="82">
        <f ca="1" t="shared" si="67"/>
        <v>50706</v>
      </c>
      <c r="G1439" s="78" t="str">
        <f ca="1">IF(AND(LEFT("[{"&amp;M1439&amp;","&amp;CEILING(N1439*10000+(O1439-N1439)/4*(COUNTIF($F$11:F1439,F1439)-1)*10000,10)&amp;"}]",7)="[{equip",MID("[{"&amp;M1439&amp;","&amp;CEILING(N1439*10000+(O1439-N1439)/4*(COUNTIF($F$11:F1439,F1439)-1)*10000,10)&amp;"}]",8,1)&lt;&gt;"_"),"[{"&amp;M1439&amp;","&amp;1&amp;"}]","[{"&amp;M1439&amp;","&amp;CEILING(N1439*10000+(O1439-N1439)/4*(COUNTIF($F$11:F1439,F1439)-1)*10000,10)&amp;"}]")</f>
        <v>[{control_dmg_red_rate,330}]</v>
      </c>
      <c r="H1439" s="82" t="s">
        <v>563</v>
      </c>
      <c r="J1439" s="78">
        <f ca="1">IF(MOD(COUNTIF($Q$11:Q1438,Q1438),5)=0,OFFSET(装备属性!$P$1083,1+INT(COUNTA($Q$11:Q1438)/5),0),J1438)</f>
        <v>3</v>
      </c>
      <c r="K1439" s="83" t="str">
        <f ca="1">IF(RIGHT(G1439,13)="rune_slot,1}]",_xlfn.XLOOKUP(LEFT(SUBSTITUTE(G1439,"[{",""),FIND(",",SUBSTITUTE(G1439,"[{",""))-1),Sheet2!B:B,Sheet2!C:C)&amp;"+"&amp;1,_xlfn.XLOOKUP(LEFT(SUBSTITUTE(G1439,"[{",""),FIND(",",SUBSTITUTE(G1439,"[{",""))-1),Sheet2!B:B,Sheet2!C:C)&amp;"+"&amp;SUBSTITUTE(RIGHT(G1439,LEN(G1439)-FIND(",",G1439)),"}]","")/100&amp;"%")</f>
        <v>控制伤害减免+3.3%</v>
      </c>
      <c r="L1439" s="83" t="str">
        <f ca="1">IF(MOD(COUNTIF($Q$11:Q1438,Q1438),5)=0,OFFSET(装备属性!$G$1083,1+INT(COUNTA($Q$11:Q1438)/5),0),L1438)</f>
        <v>控场能苟Ⅳ</v>
      </c>
      <c r="M1439" s="89" t="str">
        <f ca="1">IF(MOD(COUNTIF($Q$11:Q1438,Q1438),5)=0,OFFSET(装备属性!$H$1083,1+INT(COUNTA($Q$11:Q1438)/5),0),M1438)</f>
        <v>control_dmg_red_rate</v>
      </c>
      <c r="N1439" s="76">
        <f ca="1">IF(MOD(COUNTIF($Q$11:Q1438,Q1438),5)=0,OFFSET(装备属性!$K$1083,1+INT(COUNTA($Q$11:Q1438)/5),0),N1438)</f>
        <v>0.03</v>
      </c>
      <c r="O1439" s="76">
        <f ca="1">IF(MOD(COUNTIF($Q$11:Q1438,Q1438),5)=0,OFFSET(装备属性!$L$1083,1+INT(COUNTA($Q$11:Q1438)/5),0),O1438)</f>
        <v>0.034</v>
      </c>
      <c r="Q1439" s="89" t="str">
        <f ca="1">IF(MOD(COUNTIF($Q$11:Q1438,Q1438),5)=0,OFFSET(装备属性!$M$1083,1+INT(COUNTA($Q$11:Q1438)/5),0),Q1438)</f>
        <v>通用属性</v>
      </c>
      <c r="R1439" s="83">
        <f ca="1">IF(MOD(COUNTIF($Q$11:Q1438,Q1438),5)=0,10000*SUBSTITUTE(SUBSTITUTE(OFFSET(装备属性!$F$1083,1+INT(COUNTA($Q$11:Q1438)/5),0),"[",""),"]","")+_xlfn.XLOOKUP(C1439,$M$3:$M$7,$N$3:$N$7)*100,R1438)</f>
        <v>50700</v>
      </c>
    </row>
    <row r="1440" customHeight="1" spans="1:18">
      <c r="A1440" s="78">
        <f ca="1" t="shared" si="66"/>
        <v>50701</v>
      </c>
      <c r="B1440" s="82">
        <f ca="1">IFERROR(R1440+COUNTIFS($R$11:$R1440,R1440),"")</f>
        <v>50735</v>
      </c>
      <c r="C1440" s="83" t="str">
        <f ca="1">IF(MOD(COUNTIF($Q$11:Q1439,Q1439),5)=0,OFFSET(装备属性!$D$1083,1+INT(COUNTA($Q$11:Q1439)/5),0),C1439)</f>
        <v>粉</v>
      </c>
      <c r="D1440" s="82">
        <f t="shared" si="68"/>
        <v>1000</v>
      </c>
      <c r="F1440" s="82">
        <f ca="1" t="shared" si="67"/>
        <v>50706</v>
      </c>
      <c r="G1440" s="78" t="str">
        <f ca="1">IF(AND(LEFT("[{"&amp;M1440&amp;","&amp;CEILING(N1440*10000+(O1440-N1440)/4*(COUNTIF($F$11:F1440,F1440)-1)*10000,10)&amp;"}]",7)="[{equip",MID("[{"&amp;M1440&amp;","&amp;CEILING(N1440*10000+(O1440-N1440)/4*(COUNTIF($F$11:F1440,F1440)-1)*10000,10)&amp;"}]",8,1)&lt;&gt;"_"),"[{"&amp;M1440&amp;","&amp;1&amp;"}]","[{"&amp;M1440&amp;","&amp;CEILING(N1440*10000+(O1440-N1440)/4*(COUNTIF($F$11:F1440,F1440)-1)*10000,10)&amp;"}]")</f>
        <v>[{control_dmg_red_rate,340}]</v>
      </c>
      <c r="H1440" s="82" t="s">
        <v>563</v>
      </c>
      <c r="J1440" s="78">
        <f ca="1">IF(MOD(COUNTIF($Q$11:Q1439,Q1439),5)=0,OFFSET(装备属性!$P$1083,1+INT(COUNTA($Q$11:Q1439)/5),0),J1439)</f>
        <v>3</v>
      </c>
      <c r="K1440" s="83" t="str">
        <f ca="1">IF(RIGHT(G1440,13)="rune_slot,1}]",_xlfn.XLOOKUP(LEFT(SUBSTITUTE(G1440,"[{",""),FIND(",",SUBSTITUTE(G1440,"[{",""))-1),Sheet2!B:B,Sheet2!C:C)&amp;"+"&amp;1,_xlfn.XLOOKUP(LEFT(SUBSTITUTE(G1440,"[{",""),FIND(",",SUBSTITUTE(G1440,"[{",""))-1),Sheet2!B:B,Sheet2!C:C)&amp;"+"&amp;SUBSTITUTE(RIGHT(G1440,LEN(G1440)-FIND(",",G1440)),"}]","")/100&amp;"%")</f>
        <v>控制伤害减免+3.4%</v>
      </c>
      <c r="L1440" s="83" t="str">
        <f ca="1">IF(MOD(COUNTIF($Q$11:Q1439,Q1439),5)=0,OFFSET(装备属性!$G$1083,1+INT(COUNTA($Q$11:Q1439)/5),0),L1439)</f>
        <v>控场能苟Ⅳ</v>
      </c>
      <c r="M1440" s="89" t="str">
        <f ca="1">IF(MOD(COUNTIF($Q$11:Q1439,Q1439),5)=0,OFFSET(装备属性!$H$1083,1+INT(COUNTA($Q$11:Q1439)/5),0),M1439)</f>
        <v>control_dmg_red_rate</v>
      </c>
      <c r="N1440" s="76">
        <f ca="1">IF(MOD(COUNTIF($Q$11:Q1439,Q1439),5)=0,OFFSET(装备属性!$K$1083,1+INT(COUNTA($Q$11:Q1439)/5),0),N1439)</f>
        <v>0.03</v>
      </c>
      <c r="O1440" s="76">
        <f ca="1">IF(MOD(COUNTIF($Q$11:Q1439,Q1439),5)=0,OFFSET(装备属性!$L$1083,1+INT(COUNTA($Q$11:Q1439)/5),0),O1439)</f>
        <v>0.034</v>
      </c>
      <c r="Q1440" s="89" t="str">
        <f ca="1">IF(MOD(COUNTIF($Q$11:Q1439,Q1439),5)=0,OFFSET(装备属性!$M$1083,1+INT(COUNTA($Q$11:Q1439)/5),0),Q1439)</f>
        <v>通用属性</v>
      </c>
      <c r="R1440" s="83">
        <f ca="1">IF(MOD(COUNTIF($Q$11:Q1439,Q1439),5)=0,10000*SUBSTITUTE(SUBSTITUTE(OFFSET(装备属性!$F$1083,1+INT(COUNTA($Q$11:Q1439)/5),0),"[",""),"]","")+_xlfn.XLOOKUP(C1440,$M$3:$M$7,$N$3:$N$7)*100,R1439)</f>
        <v>50700</v>
      </c>
    </row>
    <row r="1441" customHeight="1" spans="1:18">
      <c r="A1441" s="78">
        <f ca="1" t="shared" si="66"/>
        <v>50701</v>
      </c>
      <c r="B1441" s="82">
        <f ca="1">IFERROR(R1441+COUNTIFS($R$11:$R1441,R1441),"")</f>
        <v>50736</v>
      </c>
      <c r="C1441" s="83" t="str">
        <f ca="1">IF(MOD(COUNTIF($Q$11:Q1440,Q1440),5)=0,OFFSET(装备属性!$D$1083,1+INT(COUNTA($Q$11:Q1440)/5),0),C1440)</f>
        <v>粉</v>
      </c>
      <c r="D1441" s="82">
        <f t="shared" si="68"/>
        <v>3000</v>
      </c>
      <c r="F1441" s="82">
        <f ca="1" t="shared" si="67"/>
        <v>50707</v>
      </c>
      <c r="G1441" s="78" t="str">
        <f ca="1">IF(AND(LEFT("[{"&amp;M1441&amp;","&amp;CEILING(N1441*10000+(O1441-N1441)/4*(COUNTIF($F$11:F1441,F1441)-1)*10000,10)&amp;"}]",7)="[{equip",MID("[{"&amp;M1441&amp;","&amp;CEILING(N1441*10000+(O1441-N1441)/4*(COUNTIF($F$11:F1441,F1441)-1)*10000,10)&amp;"}]",8,1)&lt;&gt;"_"),"[{"&amp;M1441&amp;","&amp;1&amp;"}]","[{"&amp;M1441&amp;","&amp;CEILING(N1441*10000+(O1441-N1441)/4*(COUNTIF($F$11:F1441,F1441)-1)*10000,10)&amp;"}]")</f>
        <v>[{control_class_dmg_rate,1100}]</v>
      </c>
      <c r="H1441" s="82" t="s">
        <v>563</v>
      </c>
      <c r="J1441" s="78">
        <f ca="1">IF(MOD(COUNTIF($Q$11:Q1440,Q1440),5)=0,OFFSET(装备属性!$P$1083,1+INT(COUNTA($Q$11:Q1440)/5),0),J1440)</f>
        <v>4</v>
      </c>
      <c r="K1441" s="83" t="str">
        <f ca="1">IF(RIGHT(G1441,13)="rune_slot,1}]",_xlfn.XLOOKUP(LEFT(SUBSTITUTE(G1441,"[{",""),FIND(",",SUBSTITUTE(G1441,"[{",""))-1),Sheet2!B:B,Sheet2!C:C)&amp;"+"&amp;1,_xlfn.XLOOKUP(LEFT(SUBSTITUTE(G1441,"[{",""),FIND(",",SUBSTITUTE(G1441,"[{",""))-1),Sheet2!B:B,Sheet2!C:C)&amp;"+"&amp;SUBSTITUTE(RIGHT(G1441,LEN(G1441)-FIND(",",G1441)),"}]","")/100&amp;"%")</f>
        <v>上阵两个控制职业增伤+11%</v>
      </c>
      <c r="L1441" s="83" t="str">
        <f ca="1">IF(MOD(COUNTIF($Q$11:Q1440,Q1440),5)=0,OFFSET(装备属性!$G$1083,1+INT(COUNTA($Q$11:Q1440)/5),0),L1440)</f>
        <v>控场小队Ⅳ</v>
      </c>
      <c r="M1441" s="89" t="str">
        <f ca="1">IF(MOD(COUNTIF($Q$11:Q1440,Q1440),5)=0,OFFSET(装备属性!$H$1083,1+INT(COUNTA($Q$11:Q1440)/5),0),M1440)</f>
        <v>control_class_dmg_rate</v>
      </c>
      <c r="N1441" s="76">
        <f ca="1">IF(MOD(COUNTIF($Q$11:Q1440,Q1440),5)=0,OFFSET(装备属性!$K$1083,1+INT(COUNTA($Q$11:Q1440)/5),0),N1440)</f>
        <v>0.11</v>
      </c>
      <c r="O1441" s="76">
        <f ca="1">IF(MOD(COUNTIF($Q$11:Q1440,Q1440),5)=0,OFFSET(装备属性!$L$1083,1+INT(COUNTA($Q$11:Q1440)/5),0),O1440)</f>
        <v>0.13</v>
      </c>
      <c r="Q1441" s="89" t="str">
        <f ca="1">IF(MOD(COUNTIF($Q$11:Q1440,Q1440),5)=0,OFFSET(装备属性!$M$1083,1+INT(COUNTA($Q$11:Q1440)/5),0),Q1440)</f>
        <v>通用属性</v>
      </c>
      <c r="R1441" s="83">
        <f ca="1">IF(MOD(COUNTIF($Q$11:Q1440,Q1440),5)=0,10000*SUBSTITUTE(SUBSTITUTE(OFFSET(装备属性!$F$1083,1+INT(COUNTA($Q$11:Q1440)/5),0),"[",""),"]","")+_xlfn.XLOOKUP(C1441,$M$3:$M$7,$N$3:$N$7)*100,R1440)</f>
        <v>50700</v>
      </c>
    </row>
    <row r="1442" customHeight="1" spans="1:18">
      <c r="A1442" s="78">
        <f ca="1" t="shared" si="66"/>
        <v>50701</v>
      </c>
      <c r="B1442" s="82">
        <f ca="1">IFERROR(R1442+COUNTIFS($R$11:$R1442,R1442),"")</f>
        <v>50737</v>
      </c>
      <c r="C1442" s="83" t="str">
        <f ca="1">IF(MOD(COUNTIF($Q$11:Q1441,Q1441),5)=0,OFFSET(装备属性!$D$1083,1+INT(COUNTA($Q$11:Q1441)/5),0),C1441)</f>
        <v>粉</v>
      </c>
      <c r="D1442" s="82">
        <f t="shared" si="68"/>
        <v>2500</v>
      </c>
      <c r="F1442" s="82">
        <f ca="1" t="shared" si="67"/>
        <v>50707</v>
      </c>
      <c r="G1442" s="78" t="str">
        <f ca="1">IF(AND(LEFT("[{"&amp;M1442&amp;","&amp;CEILING(N1442*10000+(O1442-N1442)/4*(COUNTIF($F$11:F1442,F1442)-1)*10000,10)&amp;"}]",7)="[{equip",MID("[{"&amp;M1442&amp;","&amp;CEILING(N1442*10000+(O1442-N1442)/4*(COUNTIF($F$11:F1442,F1442)-1)*10000,10)&amp;"}]",8,1)&lt;&gt;"_"),"[{"&amp;M1442&amp;","&amp;1&amp;"}]","[{"&amp;M1442&amp;","&amp;CEILING(N1442*10000+(O1442-N1442)/4*(COUNTIF($F$11:F1442,F1442)-1)*10000,10)&amp;"}]")</f>
        <v>[{control_class_dmg_rate,1150}]</v>
      </c>
      <c r="H1442" s="82" t="s">
        <v>563</v>
      </c>
      <c r="J1442" s="78">
        <f ca="1">IF(MOD(COUNTIF($Q$11:Q1441,Q1441),5)=0,OFFSET(装备属性!$P$1083,1+INT(COUNTA($Q$11:Q1441)/5),0),J1441)</f>
        <v>4</v>
      </c>
      <c r="K1442" s="83" t="str">
        <f ca="1">IF(RIGHT(G1442,13)="rune_slot,1}]",_xlfn.XLOOKUP(LEFT(SUBSTITUTE(G1442,"[{",""),FIND(",",SUBSTITUTE(G1442,"[{",""))-1),Sheet2!B:B,Sheet2!C:C)&amp;"+"&amp;1,_xlfn.XLOOKUP(LEFT(SUBSTITUTE(G1442,"[{",""),FIND(",",SUBSTITUTE(G1442,"[{",""))-1),Sheet2!B:B,Sheet2!C:C)&amp;"+"&amp;SUBSTITUTE(RIGHT(G1442,LEN(G1442)-FIND(",",G1442)),"}]","")/100&amp;"%")</f>
        <v>上阵两个控制职业增伤+11.5%</v>
      </c>
      <c r="L1442" s="83" t="str">
        <f ca="1">IF(MOD(COUNTIF($Q$11:Q1441,Q1441),5)=0,OFFSET(装备属性!$G$1083,1+INT(COUNTA($Q$11:Q1441)/5),0),L1441)</f>
        <v>控场小队Ⅳ</v>
      </c>
      <c r="M1442" s="89" t="str">
        <f ca="1">IF(MOD(COUNTIF($Q$11:Q1441,Q1441),5)=0,OFFSET(装备属性!$H$1083,1+INT(COUNTA($Q$11:Q1441)/5),0),M1441)</f>
        <v>control_class_dmg_rate</v>
      </c>
      <c r="N1442" s="76">
        <f ca="1">IF(MOD(COUNTIF($Q$11:Q1441,Q1441),5)=0,OFFSET(装备属性!$K$1083,1+INT(COUNTA($Q$11:Q1441)/5),0),N1441)</f>
        <v>0.11</v>
      </c>
      <c r="O1442" s="76">
        <f ca="1">IF(MOD(COUNTIF($Q$11:Q1441,Q1441),5)=0,OFFSET(装备属性!$L$1083,1+INT(COUNTA($Q$11:Q1441)/5),0),O1441)</f>
        <v>0.13</v>
      </c>
      <c r="Q1442" s="89" t="str">
        <f ca="1">IF(MOD(COUNTIF($Q$11:Q1441,Q1441),5)=0,OFFSET(装备属性!$M$1083,1+INT(COUNTA($Q$11:Q1441)/5),0),Q1441)</f>
        <v>通用属性</v>
      </c>
      <c r="R1442" s="83">
        <f ca="1">IF(MOD(COUNTIF($Q$11:Q1441,Q1441),5)=0,10000*SUBSTITUTE(SUBSTITUTE(OFFSET(装备属性!$F$1083,1+INT(COUNTA($Q$11:Q1441)/5),0),"[",""),"]","")+_xlfn.XLOOKUP(C1442,$M$3:$M$7,$N$3:$N$7)*100,R1441)</f>
        <v>50700</v>
      </c>
    </row>
    <row r="1443" customHeight="1" spans="1:18">
      <c r="A1443" s="78">
        <f ca="1" t="shared" si="66"/>
        <v>50701</v>
      </c>
      <c r="B1443" s="82">
        <f ca="1">IFERROR(R1443+COUNTIFS($R$11:$R1443,R1443),"")</f>
        <v>50738</v>
      </c>
      <c r="C1443" s="83" t="str">
        <f ca="1">IF(MOD(COUNTIF($Q$11:Q1442,Q1442),5)=0,OFFSET(装备属性!$D$1083,1+INT(COUNTA($Q$11:Q1442)/5),0),C1442)</f>
        <v>粉</v>
      </c>
      <c r="D1443" s="82">
        <f t="shared" si="68"/>
        <v>2000</v>
      </c>
      <c r="F1443" s="82">
        <f ca="1" t="shared" si="67"/>
        <v>50707</v>
      </c>
      <c r="G1443" s="78" t="str">
        <f ca="1">IF(AND(LEFT("[{"&amp;M1443&amp;","&amp;CEILING(N1443*10000+(O1443-N1443)/4*(COUNTIF($F$11:F1443,F1443)-1)*10000,10)&amp;"}]",7)="[{equip",MID("[{"&amp;M1443&amp;","&amp;CEILING(N1443*10000+(O1443-N1443)/4*(COUNTIF($F$11:F1443,F1443)-1)*10000,10)&amp;"}]",8,1)&lt;&gt;"_"),"[{"&amp;M1443&amp;","&amp;1&amp;"}]","[{"&amp;M1443&amp;","&amp;CEILING(N1443*10000+(O1443-N1443)/4*(COUNTIF($F$11:F1443,F1443)-1)*10000,10)&amp;"}]")</f>
        <v>[{control_class_dmg_rate,1200}]</v>
      </c>
      <c r="H1443" s="82" t="s">
        <v>563</v>
      </c>
      <c r="J1443" s="78">
        <f ca="1">IF(MOD(COUNTIF($Q$11:Q1442,Q1442),5)=0,OFFSET(装备属性!$P$1083,1+INT(COUNTA($Q$11:Q1442)/5),0),J1442)</f>
        <v>4</v>
      </c>
      <c r="K1443" s="83" t="str">
        <f ca="1">IF(RIGHT(G1443,13)="rune_slot,1}]",_xlfn.XLOOKUP(LEFT(SUBSTITUTE(G1443,"[{",""),FIND(",",SUBSTITUTE(G1443,"[{",""))-1),Sheet2!B:B,Sheet2!C:C)&amp;"+"&amp;1,_xlfn.XLOOKUP(LEFT(SUBSTITUTE(G1443,"[{",""),FIND(",",SUBSTITUTE(G1443,"[{",""))-1),Sheet2!B:B,Sheet2!C:C)&amp;"+"&amp;SUBSTITUTE(RIGHT(G1443,LEN(G1443)-FIND(",",G1443)),"}]","")/100&amp;"%")</f>
        <v>上阵两个控制职业增伤+12%</v>
      </c>
      <c r="L1443" s="83" t="str">
        <f ca="1">IF(MOD(COUNTIF($Q$11:Q1442,Q1442),5)=0,OFFSET(装备属性!$G$1083,1+INT(COUNTA($Q$11:Q1442)/5),0),L1442)</f>
        <v>控场小队Ⅳ</v>
      </c>
      <c r="M1443" s="89" t="str">
        <f ca="1">IF(MOD(COUNTIF($Q$11:Q1442,Q1442),5)=0,OFFSET(装备属性!$H$1083,1+INT(COUNTA($Q$11:Q1442)/5),0),M1442)</f>
        <v>control_class_dmg_rate</v>
      </c>
      <c r="N1443" s="76">
        <f ca="1">IF(MOD(COUNTIF($Q$11:Q1442,Q1442),5)=0,OFFSET(装备属性!$K$1083,1+INT(COUNTA($Q$11:Q1442)/5),0),N1442)</f>
        <v>0.11</v>
      </c>
      <c r="O1443" s="76">
        <f ca="1">IF(MOD(COUNTIF($Q$11:Q1442,Q1442),5)=0,OFFSET(装备属性!$L$1083,1+INT(COUNTA($Q$11:Q1442)/5),0),O1442)</f>
        <v>0.13</v>
      </c>
      <c r="Q1443" s="89" t="str">
        <f ca="1">IF(MOD(COUNTIF($Q$11:Q1442,Q1442),5)=0,OFFSET(装备属性!$M$1083,1+INT(COUNTA($Q$11:Q1442)/5),0),Q1442)</f>
        <v>通用属性</v>
      </c>
      <c r="R1443" s="83">
        <f ca="1">IF(MOD(COUNTIF($Q$11:Q1442,Q1442),5)=0,10000*SUBSTITUTE(SUBSTITUTE(OFFSET(装备属性!$F$1083,1+INT(COUNTA($Q$11:Q1442)/5),0),"[",""),"]","")+_xlfn.XLOOKUP(C1443,$M$3:$M$7,$N$3:$N$7)*100,R1442)</f>
        <v>50700</v>
      </c>
    </row>
    <row r="1444" customHeight="1" spans="1:18">
      <c r="A1444" s="78">
        <f ca="1" t="shared" si="66"/>
        <v>50701</v>
      </c>
      <c r="B1444" s="82">
        <f ca="1">IFERROR(R1444+COUNTIFS($R$11:$R1444,R1444),"")</f>
        <v>50739</v>
      </c>
      <c r="C1444" s="83" t="str">
        <f ca="1">IF(MOD(COUNTIF($Q$11:Q1443,Q1443),5)=0,OFFSET(装备属性!$D$1083,1+INT(COUNTA($Q$11:Q1443)/5),0),C1443)</f>
        <v>粉</v>
      </c>
      <c r="D1444" s="82">
        <f t="shared" si="68"/>
        <v>1500</v>
      </c>
      <c r="F1444" s="82">
        <f ca="1" t="shared" si="67"/>
        <v>50707</v>
      </c>
      <c r="G1444" s="78" t="str">
        <f ca="1">IF(AND(LEFT("[{"&amp;M1444&amp;","&amp;CEILING(N1444*10000+(O1444-N1444)/4*(COUNTIF($F$11:F1444,F1444)-1)*10000,10)&amp;"}]",7)="[{equip",MID("[{"&amp;M1444&amp;","&amp;CEILING(N1444*10000+(O1444-N1444)/4*(COUNTIF($F$11:F1444,F1444)-1)*10000,10)&amp;"}]",8,1)&lt;&gt;"_"),"[{"&amp;M1444&amp;","&amp;1&amp;"}]","[{"&amp;M1444&amp;","&amp;CEILING(N1444*10000+(O1444-N1444)/4*(COUNTIF($F$11:F1444,F1444)-1)*10000,10)&amp;"}]")</f>
        <v>[{control_class_dmg_rate,1250}]</v>
      </c>
      <c r="H1444" s="82" t="s">
        <v>563</v>
      </c>
      <c r="J1444" s="78">
        <f ca="1">IF(MOD(COUNTIF($Q$11:Q1443,Q1443),5)=0,OFFSET(装备属性!$P$1083,1+INT(COUNTA($Q$11:Q1443)/5),0),J1443)</f>
        <v>4</v>
      </c>
      <c r="K1444" s="83" t="str">
        <f ca="1">IF(RIGHT(G1444,13)="rune_slot,1}]",_xlfn.XLOOKUP(LEFT(SUBSTITUTE(G1444,"[{",""),FIND(",",SUBSTITUTE(G1444,"[{",""))-1),Sheet2!B:B,Sheet2!C:C)&amp;"+"&amp;1,_xlfn.XLOOKUP(LEFT(SUBSTITUTE(G1444,"[{",""),FIND(",",SUBSTITUTE(G1444,"[{",""))-1),Sheet2!B:B,Sheet2!C:C)&amp;"+"&amp;SUBSTITUTE(RIGHT(G1444,LEN(G1444)-FIND(",",G1444)),"}]","")/100&amp;"%")</f>
        <v>上阵两个控制职业增伤+12.5%</v>
      </c>
      <c r="L1444" s="83" t="str">
        <f ca="1">IF(MOD(COUNTIF($Q$11:Q1443,Q1443),5)=0,OFFSET(装备属性!$G$1083,1+INT(COUNTA($Q$11:Q1443)/5),0),L1443)</f>
        <v>控场小队Ⅳ</v>
      </c>
      <c r="M1444" s="89" t="str">
        <f ca="1">IF(MOD(COUNTIF($Q$11:Q1443,Q1443),5)=0,OFFSET(装备属性!$H$1083,1+INT(COUNTA($Q$11:Q1443)/5),0),M1443)</f>
        <v>control_class_dmg_rate</v>
      </c>
      <c r="N1444" s="76">
        <f ca="1">IF(MOD(COUNTIF($Q$11:Q1443,Q1443),5)=0,OFFSET(装备属性!$K$1083,1+INT(COUNTA($Q$11:Q1443)/5),0),N1443)</f>
        <v>0.11</v>
      </c>
      <c r="O1444" s="76">
        <f ca="1">IF(MOD(COUNTIF($Q$11:Q1443,Q1443),5)=0,OFFSET(装备属性!$L$1083,1+INT(COUNTA($Q$11:Q1443)/5),0),O1443)</f>
        <v>0.13</v>
      </c>
      <c r="Q1444" s="89" t="str">
        <f ca="1">IF(MOD(COUNTIF($Q$11:Q1443,Q1443),5)=0,OFFSET(装备属性!$M$1083,1+INT(COUNTA($Q$11:Q1443)/5),0),Q1443)</f>
        <v>通用属性</v>
      </c>
      <c r="R1444" s="83">
        <f ca="1">IF(MOD(COUNTIF($Q$11:Q1443,Q1443),5)=0,10000*SUBSTITUTE(SUBSTITUTE(OFFSET(装备属性!$F$1083,1+INT(COUNTA($Q$11:Q1443)/5),0),"[",""),"]","")+_xlfn.XLOOKUP(C1444,$M$3:$M$7,$N$3:$N$7)*100,R1443)</f>
        <v>50700</v>
      </c>
    </row>
    <row r="1445" customHeight="1" spans="1:18">
      <c r="A1445" s="78">
        <f ca="1" t="shared" si="66"/>
        <v>50701</v>
      </c>
      <c r="B1445" s="82">
        <f ca="1">IFERROR(R1445+COUNTIFS($R$11:$R1445,R1445),"")</f>
        <v>50740</v>
      </c>
      <c r="C1445" s="83" t="str">
        <f ca="1">IF(MOD(COUNTIF($Q$11:Q1444,Q1444),5)=0,OFFSET(装备属性!$D$1083,1+INT(COUNTA($Q$11:Q1444)/5),0),C1444)</f>
        <v>粉</v>
      </c>
      <c r="D1445" s="82">
        <f t="shared" si="68"/>
        <v>1000</v>
      </c>
      <c r="F1445" s="82">
        <f ca="1" t="shared" si="67"/>
        <v>50707</v>
      </c>
      <c r="G1445" s="78" t="str">
        <f ca="1">IF(AND(LEFT("[{"&amp;M1445&amp;","&amp;CEILING(N1445*10000+(O1445-N1445)/4*(COUNTIF($F$11:F1445,F1445)-1)*10000,10)&amp;"}]",7)="[{equip",MID("[{"&amp;M1445&amp;","&amp;CEILING(N1445*10000+(O1445-N1445)/4*(COUNTIF($F$11:F1445,F1445)-1)*10000,10)&amp;"}]",8,1)&lt;&gt;"_"),"[{"&amp;M1445&amp;","&amp;1&amp;"}]","[{"&amp;M1445&amp;","&amp;CEILING(N1445*10000+(O1445-N1445)/4*(COUNTIF($F$11:F1445,F1445)-1)*10000,10)&amp;"}]")</f>
        <v>[{control_class_dmg_rate,1300}]</v>
      </c>
      <c r="H1445" s="82" t="s">
        <v>563</v>
      </c>
      <c r="J1445" s="78">
        <f ca="1">IF(MOD(COUNTIF($Q$11:Q1444,Q1444),5)=0,OFFSET(装备属性!$P$1083,1+INT(COUNTA($Q$11:Q1444)/5),0),J1444)</f>
        <v>4</v>
      </c>
      <c r="K1445" s="83" t="str">
        <f ca="1">IF(RIGHT(G1445,13)="rune_slot,1}]",_xlfn.XLOOKUP(LEFT(SUBSTITUTE(G1445,"[{",""),FIND(",",SUBSTITUTE(G1445,"[{",""))-1),Sheet2!B:B,Sheet2!C:C)&amp;"+"&amp;1,_xlfn.XLOOKUP(LEFT(SUBSTITUTE(G1445,"[{",""),FIND(",",SUBSTITUTE(G1445,"[{",""))-1),Sheet2!B:B,Sheet2!C:C)&amp;"+"&amp;SUBSTITUTE(RIGHT(G1445,LEN(G1445)-FIND(",",G1445)),"}]","")/100&amp;"%")</f>
        <v>上阵两个控制职业增伤+13%</v>
      </c>
      <c r="L1445" s="83" t="str">
        <f ca="1">IF(MOD(COUNTIF($Q$11:Q1444,Q1444),5)=0,OFFSET(装备属性!$G$1083,1+INT(COUNTA($Q$11:Q1444)/5),0),L1444)</f>
        <v>控场小队Ⅳ</v>
      </c>
      <c r="M1445" s="89" t="str">
        <f ca="1">IF(MOD(COUNTIF($Q$11:Q1444,Q1444),5)=0,OFFSET(装备属性!$H$1083,1+INT(COUNTA($Q$11:Q1444)/5),0),M1444)</f>
        <v>control_class_dmg_rate</v>
      </c>
      <c r="N1445" s="76">
        <f ca="1">IF(MOD(COUNTIF($Q$11:Q1444,Q1444),5)=0,OFFSET(装备属性!$K$1083,1+INT(COUNTA($Q$11:Q1444)/5),0),N1444)</f>
        <v>0.11</v>
      </c>
      <c r="O1445" s="76">
        <f ca="1">IF(MOD(COUNTIF($Q$11:Q1444,Q1444),5)=0,OFFSET(装备属性!$L$1083,1+INT(COUNTA($Q$11:Q1444)/5),0),O1444)</f>
        <v>0.13</v>
      </c>
      <c r="Q1445" s="89" t="str">
        <f ca="1">IF(MOD(COUNTIF($Q$11:Q1444,Q1444),5)=0,OFFSET(装备属性!$M$1083,1+INT(COUNTA($Q$11:Q1444)/5),0),Q1444)</f>
        <v>通用属性</v>
      </c>
      <c r="R1445" s="83">
        <f ca="1">IF(MOD(COUNTIF($Q$11:Q1444,Q1444),5)=0,10000*SUBSTITUTE(SUBSTITUTE(OFFSET(装备属性!$F$1083,1+INT(COUNTA($Q$11:Q1444)/5),0),"[",""),"]","")+_xlfn.XLOOKUP(C1445,$M$3:$M$7,$N$3:$N$7)*100,R1444)</f>
        <v>50700</v>
      </c>
    </row>
    <row r="1446" customHeight="1" spans="1:18">
      <c r="A1446" s="78">
        <f ca="1" t="shared" si="66"/>
        <v>50701</v>
      </c>
      <c r="B1446" s="82">
        <f ca="1">IFERROR(R1446+COUNTIFS($R$11:$R1446,R1446),"")</f>
        <v>50741</v>
      </c>
      <c r="C1446" s="83" t="str">
        <f ca="1">IF(MOD(COUNTIF($Q$11:Q1445,Q1445),5)=0,OFFSET(装备属性!$D$1083,1+INT(COUNTA($Q$11:Q1445)/5),0),C1445)</f>
        <v>粉</v>
      </c>
      <c r="D1446" s="82">
        <f t="shared" si="68"/>
        <v>3000</v>
      </c>
      <c r="F1446" s="82">
        <f ca="1" t="shared" si="67"/>
        <v>50708</v>
      </c>
      <c r="G1446" s="78" t="str">
        <f ca="1">IF(AND(LEFT("[{"&amp;M1446&amp;","&amp;CEILING(N1446*10000+(O1446-N1446)/4*(COUNTIF($F$11:F1446,F1446)-1)*10000,10)&amp;"}]",7)="[{equip",MID("[{"&amp;M1446&amp;","&amp;CEILING(N1446*10000+(O1446-N1446)/4*(COUNTIF($F$11:F1446,F1446)-1)*10000,10)&amp;"}]",8,1)&lt;&gt;"_"),"[{"&amp;M1446&amp;","&amp;1&amp;"}]","[{"&amp;M1446&amp;","&amp;CEILING(N1446*10000+(O1446-N1446)/4*(COUNTIF($F$11:F1446,F1446)-1)*10000,10)&amp;"}]")</f>
        <v>[{control_crit_dmg,3300}]</v>
      </c>
      <c r="H1446" s="82" t="s">
        <v>563</v>
      </c>
      <c r="J1446" s="78">
        <f ca="1">IF(MOD(COUNTIF($Q$11:Q1445,Q1445),5)=0,OFFSET(装备属性!$P$1083,1+INT(COUNTA($Q$11:Q1445)/5),0),J1445)</f>
        <v>10</v>
      </c>
      <c r="K1446" s="83" t="str">
        <f ca="1">IF(RIGHT(G1446,13)="rune_slot,1}]",_xlfn.XLOOKUP(LEFT(SUBSTITUTE(G1446,"[{",""),FIND(",",SUBSTITUTE(G1446,"[{",""))-1),Sheet2!B:B,Sheet2!C:C)&amp;"+"&amp;1,_xlfn.XLOOKUP(LEFT(SUBSTITUTE(G1446,"[{",""),FIND(",",SUBSTITUTE(G1446,"[{",""))-1),Sheet2!B:B,Sheet2!C:C)&amp;"+"&amp;SUBSTITUTE(RIGHT(G1446,LEN(G1446)-FIND(",",G1446)),"}]","")/100&amp;"%")</f>
        <v>控制暴击伤害+33%</v>
      </c>
      <c r="L1446" s="83" t="str">
        <f ca="1">IF(MOD(COUNTIF($Q$11:Q1445,Q1445),5)=0,OFFSET(装备属性!$G$1083,1+INT(COUNTA($Q$11:Q1445)/5),0),L1445)</f>
        <v>暴走控场Ⅳ</v>
      </c>
      <c r="M1446" s="89" t="str">
        <f ca="1">IF(MOD(COUNTIF($Q$11:Q1445,Q1445),5)=0,OFFSET(装备属性!$H$1083,1+INT(COUNTA($Q$11:Q1445)/5),0),M1445)</f>
        <v>control_crit_dmg</v>
      </c>
      <c r="N1446" s="76">
        <f ca="1">IF(MOD(COUNTIF($Q$11:Q1445,Q1445),5)=0,OFFSET(装备属性!$K$1083,1+INT(COUNTA($Q$11:Q1445)/5),0),N1445)</f>
        <v>0.33</v>
      </c>
      <c r="O1446" s="76">
        <f ca="1">IF(MOD(COUNTIF($Q$11:Q1445,Q1445),5)=0,OFFSET(装备属性!$L$1083,1+INT(COUNTA($Q$11:Q1445)/5),0),O1445)</f>
        <v>0.39</v>
      </c>
      <c r="Q1446" s="89" t="str">
        <f ca="1">IF(MOD(COUNTIF($Q$11:Q1445,Q1445),5)=0,OFFSET(装备属性!$M$1083,1+INT(COUNTA($Q$11:Q1445)/5),0),Q1445)</f>
        <v>通用属性</v>
      </c>
      <c r="R1446" s="83">
        <f ca="1">IF(MOD(COUNTIF($Q$11:Q1445,Q1445),5)=0,10000*SUBSTITUTE(SUBSTITUTE(OFFSET(装备属性!$F$1083,1+INT(COUNTA($Q$11:Q1445)/5),0),"[",""),"]","")+_xlfn.XLOOKUP(C1446,$M$3:$M$7,$N$3:$N$7)*100,R1445)</f>
        <v>50700</v>
      </c>
    </row>
    <row r="1447" customHeight="1" spans="1:18">
      <c r="A1447" s="78">
        <f ca="1" t="shared" si="66"/>
        <v>50701</v>
      </c>
      <c r="B1447" s="82">
        <f ca="1">IFERROR(R1447+COUNTIFS($R$11:$R1447,R1447),"")</f>
        <v>50742</v>
      </c>
      <c r="C1447" s="83" t="str">
        <f ca="1">IF(MOD(COUNTIF($Q$11:Q1446,Q1446),5)=0,OFFSET(装备属性!$D$1083,1+INT(COUNTA($Q$11:Q1446)/5),0),C1446)</f>
        <v>粉</v>
      </c>
      <c r="D1447" s="82">
        <f t="shared" si="68"/>
        <v>2500</v>
      </c>
      <c r="F1447" s="82">
        <f ca="1" t="shared" si="67"/>
        <v>50708</v>
      </c>
      <c r="G1447" s="78" t="str">
        <f ca="1">IF(AND(LEFT("[{"&amp;M1447&amp;","&amp;CEILING(N1447*10000+(O1447-N1447)/4*(COUNTIF($F$11:F1447,F1447)-1)*10000,10)&amp;"}]",7)="[{equip",MID("[{"&amp;M1447&amp;","&amp;CEILING(N1447*10000+(O1447-N1447)/4*(COUNTIF($F$11:F1447,F1447)-1)*10000,10)&amp;"}]",8,1)&lt;&gt;"_"),"[{"&amp;M1447&amp;","&amp;1&amp;"}]","[{"&amp;M1447&amp;","&amp;CEILING(N1447*10000+(O1447-N1447)/4*(COUNTIF($F$11:F1447,F1447)-1)*10000,10)&amp;"}]")</f>
        <v>[{control_crit_dmg,3450}]</v>
      </c>
      <c r="H1447" s="82" t="s">
        <v>563</v>
      </c>
      <c r="J1447" s="78">
        <f ca="1">IF(MOD(COUNTIF($Q$11:Q1446,Q1446),5)=0,OFFSET(装备属性!$P$1083,1+INT(COUNTA($Q$11:Q1446)/5),0),J1446)</f>
        <v>10</v>
      </c>
      <c r="K1447" s="83" t="str">
        <f ca="1">IF(RIGHT(G1447,13)="rune_slot,1}]",_xlfn.XLOOKUP(LEFT(SUBSTITUTE(G1447,"[{",""),FIND(",",SUBSTITUTE(G1447,"[{",""))-1),Sheet2!B:B,Sheet2!C:C)&amp;"+"&amp;1,_xlfn.XLOOKUP(LEFT(SUBSTITUTE(G1447,"[{",""),FIND(",",SUBSTITUTE(G1447,"[{",""))-1),Sheet2!B:B,Sheet2!C:C)&amp;"+"&amp;SUBSTITUTE(RIGHT(G1447,LEN(G1447)-FIND(",",G1447)),"}]","")/100&amp;"%")</f>
        <v>控制暴击伤害+34.5%</v>
      </c>
      <c r="L1447" s="83" t="str">
        <f ca="1">IF(MOD(COUNTIF($Q$11:Q1446,Q1446),5)=0,OFFSET(装备属性!$G$1083,1+INT(COUNTA($Q$11:Q1446)/5),0),L1446)</f>
        <v>暴走控场Ⅳ</v>
      </c>
      <c r="M1447" s="89" t="str">
        <f ca="1">IF(MOD(COUNTIF($Q$11:Q1446,Q1446),5)=0,OFFSET(装备属性!$H$1083,1+INT(COUNTA($Q$11:Q1446)/5),0),M1446)</f>
        <v>control_crit_dmg</v>
      </c>
      <c r="N1447" s="76">
        <f ca="1">IF(MOD(COUNTIF($Q$11:Q1446,Q1446),5)=0,OFFSET(装备属性!$K$1083,1+INT(COUNTA($Q$11:Q1446)/5),0),N1446)</f>
        <v>0.33</v>
      </c>
      <c r="O1447" s="76">
        <f ca="1">IF(MOD(COUNTIF($Q$11:Q1446,Q1446),5)=0,OFFSET(装备属性!$L$1083,1+INT(COUNTA($Q$11:Q1446)/5),0),O1446)</f>
        <v>0.39</v>
      </c>
      <c r="Q1447" s="89" t="str">
        <f ca="1">IF(MOD(COUNTIF($Q$11:Q1446,Q1446),5)=0,OFFSET(装备属性!$M$1083,1+INT(COUNTA($Q$11:Q1446)/5),0),Q1446)</f>
        <v>通用属性</v>
      </c>
      <c r="R1447" s="83">
        <f ca="1">IF(MOD(COUNTIF($Q$11:Q1446,Q1446),5)=0,10000*SUBSTITUTE(SUBSTITUTE(OFFSET(装备属性!$F$1083,1+INT(COUNTA($Q$11:Q1446)/5),0),"[",""),"]","")+_xlfn.XLOOKUP(C1447,$M$3:$M$7,$N$3:$N$7)*100,R1446)</f>
        <v>50700</v>
      </c>
    </row>
    <row r="1448" customHeight="1" spans="1:18">
      <c r="A1448" s="78">
        <f ca="1" t="shared" si="66"/>
        <v>50701</v>
      </c>
      <c r="B1448" s="82">
        <f ca="1">IFERROR(R1448+COUNTIFS($R$11:$R1448,R1448),"")</f>
        <v>50743</v>
      </c>
      <c r="C1448" s="83" t="str">
        <f ca="1">IF(MOD(COUNTIF($Q$11:Q1447,Q1447),5)=0,OFFSET(装备属性!$D$1083,1+INT(COUNTA($Q$11:Q1447)/5),0),C1447)</f>
        <v>粉</v>
      </c>
      <c r="D1448" s="82">
        <f t="shared" si="68"/>
        <v>2000</v>
      </c>
      <c r="F1448" s="82">
        <f ca="1" t="shared" si="67"/>
        <v>50708</v>
      </c>
      <c r="G1448" s="78" t="str">
        <f ca="1">IF(AND(LEFT("[{"&amp;M1448&amp;","&amp;CEILING(N1448*10000+(O1448-N1448)/4*(COUNTIF($F$11:F1448,F1448)-1)*10000,10)&amp;"}]",7)="[{equip",MID("[{"&amp;M1448&amp;","&amp;CEILING(N1448*10000+(O1448-N1448)/4*(COUNTIF($F$11:F1448,F1448)-1)*10000,10)&amp;"}]",8,1)&lt;&gt;"_"),"[{"&amp;M1448&amp;","&amp;1&amp;"}]","[{"&amp;M1448&amp;","&amp;CEILING(N1448*10000+(O1448-N1448)/4*(COUNTIF($F$11:F1448,F1448)-1)*10000,10)&amp;"}]")</f>
        <v>[{control_crit_dmg,3600}]</v>
      </c>
      <c r="H1448" s="82" t="s">
        <v>563</v>
      </c>
      <c r="J1448" s="78">
        <f ca="1">IF(MOD(COUNTIF($Q$11:Q1447,Q1447),5)=0,OFFSET(装备属性!$P$1083,1+INT(COUNTA($Q$11:Q1447)/5),0),J1447)</f>
        <v>10</v>
      </c>
      <c r="K1448" s="83" t="str">
        <f ca="1">IF(RIGHT(G1448,13)="rune_slot,1}]",_xlfn.XLOOKUP(LEFT(SUBSTITUTE(G1448,"[{",""),FIND(",",SUBSTITUTE(G1448,"[{",""))-1),Sheet2!B:B,Sheet2!C:C)&amp;"+"&amp;1,_xlfn.XLOOKUP(LEFT(SUBSTITUTE(G1448,"[{",""),FIND(",",SUBSTITUTE(G1448,"[{",""))-1),Sheet2!B:B,Sheet2!C:C)&amp;"+"&amp;SUBSTITUTE(RIGHT(G1448,LEN(G1448)-FIND(",",G1448)),"}]","")/100&amp;"%")</f>
        <v>控制暴击伤害+36%</v>
      </c>
      <c r="L1448" s="83" t="str">
        <f ca="1">IF(MOD(COUNTIF($Q$11:Q1447,Q1447),5)=0,OFFSET(装备属性!$G$1083,1+INT(COUNTA($Q$11:Q1447)/5),0),L1447)</f>
        <v>暴走控场Ⅳ</v>
      </c>
      <c r="M1448" s="89" t="str">
        <f ca="1">IF(MOD(COUNTIF($Q$11:Q1447,Q1447),5)=0,OFFSET(装备属性!$H$1083,1+INT(COUNTA($Q$11:Q1447)/5),0),M1447)</f>
        <v>control_crit_dmg</v>
      </c>
      <c r="N1448" s="76">
        <f ca="1">IF(MOD(COUNTIF($Q$11:Q1447,Q1447),5)=0,OFFSET(装备属性!$K$1083,1+INT(COUNTA($Q$11:Q1447)/5),0),N1447)</f>
        <v>0.33</v>
      </c>
      <c r="O1448" s="76">
        <f ca="1">IF(MOD(COUNTIF($Q$11:Q1447,Q1447),5)=0,OFFSET(装备属性!$L$1083,1+INT(COUNTA($Q$11:Q1447)/5),0),O1447)</f>
        <v>0.39</v>
      </c>
      <c r="Q1448" s="89" t="str">
        <f ca="1">IF(MOD(COUNTIF($Q$11:Q1447,Q1447),5)=0,OFFSET(装备属性!$M$1083,1+INT(COUNTA($Q$11:Q1447)/5),0),Q1447)</f>
        <v>通用属性</v>
      </c>
      <c r="R1448" s="83">
        <f ca="1">IF(MOD(COUNTIF($Q$11:Q1447,Q1447),5)=0,10000*SUBSTITUTE(SUBSTITUTE(OFFSET(装备属性!$F$1083,1+INT(COUNTA($Q$11:Q1447)/5),0),"[",""),"]","")+_xlfn.XLOOKUP(C1448,$M$3:$M$7,$N$3:$N$7)*100,R1447)</f>
        <v>50700</v>
      </c>
    </row>
    <row r="1449" customHeight="1" spans="1:18">
      <c r="A1449" s="78">
        <f ca="1" t="shared" si="66"/>
        <v>50701</v>
      </c>
      <c r="B1449" s="82">
        <f ca="1">IFERROR(R1449+COUNTIFS($R$11:$R1449,R1449),"")</f>
        <v>50744</v>
      </c>
      <c r="C1449" s="83" t="str">
        <f ca="1">IF(MOD(COUNTIF($Q$11:Q1448,Q1448),5)=0,OFFSET(装备属性!$D$1083,1+INT(COUNTA($Q$11:Q1448)/5),0),C1448)</f>
        <v>粉</v>
      </c>
      <c r="D1449" s="82">
        <f t="shared" si="68"/>
        <v>1500</v>
      </c>
      <c r="F1449" s="82">
        <f ca="1" t="shared" si="67"/>
        <v>50708</v>
      </c>
      <c r="G1449" s="78" t="str">
        <f ca="1">IF(AND(LEFT("[{"&amp;M1449&amp;","&amp;CEILING(N1449*10000+(O1449-N1449)/4*(COUNTIF($F$11:F1449,F1449)-1)*10000,10)&amp;"}]",7)="[{equip",MID("[{"&amp;M1449&amp;","&amp;CEILING(N1449*10000+(O1449-N1449)/4*(COUNTIF($F$11:F1449,F1449)-1)*10000,10)&amp;"}]",8,1)&lt;&gt;"_"),"[{"&amp;M1449&amp;","&amp;1&amp;"}]","[{"&amp;M1449&amp;","&amp;CEILING(N1449*10000+(O1449-N1449)/4*(COUNTIF($F$11:F1449,F1449)-1)*10000,10)&amp;"}]")</f>
        <v>[{control_crit_dmg,3750}]</v>
      </c>
      <c r="H1449" s="82" t="s">
        <v>563</v>
      </c>
      <c r="J1449" s="78">
        <f ca="1">IF(MOD(COUNTIF($Q$11:Q1448,Q1448),5)=0,OFFSET(装备属性!$P$1083,1+INT(COUNTA($Q$11:Q1448)/5),0),J1448)</f>
        <v>10</v>
      </c>
      <c r="K1449" s="83" t="str">
        <f ca="1">IF(RIGHT(G1449,13)="rune_slot,1}]",_xlfn.XLOOKUP(LEFT(SUBSTITUTE(G1449,"[{",""),FIND(",",SUBSTITUTE(G1449,"[{",""))-1),Sheet2!B:B,Sheet2!C:C)&amp;"+"&amp;1,_xlfn.XLOOKUP(LEFT(SUBSTITUTE(G1449,"[{",""),FIND(",",SUBSTITUTE(G1449,"[{",""))-1),Sheet2!B:B,Sheet2!C:C)&amp;"+"&amp;SUBSTITUTE(RIGHT(G1449,LEN(G1449)-FIND(",",G1449)),"}]","")/100&amp;"%")</f>
        <v>控制暴击伤害+37.5%</v>
      </c>
      <c r="L1449" s="83" t="str">
        <f ca="1">IF(MOD(COUNTIF($Q$11:Q1448,Q1448),5)=0,OFFSET(装备属性!$G$1083,1+INT(COUNTA($Q$11:Q1448)/5),0),L1448)</f>
        <v>暴走控场Ⅳ</v>
      </c>
      <c r="M1449" s="89" t="str">
        <f ca="1">IF(MOD(COUNTIF($Q$11:Q1448,Q1448),5)=0,OFFSET(装备属性!$H$1083,1+INT(COUNTA($Q$11:Q1448)/5),0),M1448)</f>
        <v>control_crit_dmg</v>
      </c>
      <c r="N1449" s="76">
        <f ca="1">IF(MOD(COUNTIF($Q$11:Q1448,Q1448),5)=0,OFFSET(装备属性!$K$1083,1+INT(COUNTA($Q$11:Q1448)/5),0),N1448)</f>
        <v>0.33</v>
      </c>
      <c r="O1449" s="76">
        <f ca="1">IF(MOD(COUNTIF($Q$11:Q1448,Q1448),5)=0,OFFSET(装备属性!$L$1083,1+INT(COUNTA($Q$11:Q1448)/5),0),O1448)</f>
        <v>0.39</v>
      </c>
      <c r="Q1449" s="89" t="str">
        <f ca="1">IF(MOD(COUNTIF($Q$11:Q1448,Q1448),5)=0,OFFSET(装备属性!$M$1083,1+INT(COUNTA($Q$11:Q1448)/5),0),Q1448)</f>
        <v>通用属性</v>
      </c>
      <c r="R1449" s="83">
        <f ca="1">IF(MOD(COUNTIF($Q$11:Q1448,Q1448),5)=0,10000*SUBSTITUTE(SUBSTITUTE(OFFSET(装备属性!$F$1083,1+INT(COUNTA($Q$11:Q1448)/5),0),"[",""),"]","")+_xlfn.XLOOKUP(C1449,$M$3:$M$7,$N$3:$N$7)*100,R1448)</f>
        <v>50700</v>
      </c>
    </row>
    <row r="1450" customHeight="1" spans="1:18">
      <c r="A1450" s="78">
        <f ca="1" t="shared" si="66"/>
        <v>50701</v>
      </c>
      <c r="B1450" s="82">
        <f ca="1">IFERROR(R1450+COUNTIFS($R$11:$R1450,R1450),"")</f>
        <v>50745</v>
      </c>
      <c r="C1450" s="83" t="str">
        <f ca="1">IF(MOD(COUNTIF($Q$11:Q1449,Q1449),5)=0,OFFSET(装备属性!$D$1083,1+INT(COUNTA($Q$11:Q1449)/5),0),C1449)</f>
        <v>粉</v>
      </c>
      <c r="D1450" s="82">
        <f t="shared" si="68"/>
        <v>1000</v>
      </c>
      <c r="F1450" s="82">
        <f ca="1" t="shared" si="67"/>
        <v>50708</v>
      </c>
      <c r="G1450" s="78" t="str">
        <f ca="1">IF(AND(LEFT("[{"&amp;M1450&amp;","&amp;CEILING(N1450*10000+(O1450-N1450)/4*(COUNTIF($F$11:F1450,F1450)-1)*10000,10)&amp;"}]",7)="[{equip",MID("[{"&amp;M1450&amp;","&amp;CEILING(N1450*10000+(O1450-N1450)/4*(COUNTIF($F$11:F1450,F1450)-1)*10000,10)&amp;"}]",8,1)&lt;&gt;"_"),"[{"&amp;M1450&amp;","&amp;1&amp;"}]","[{"&amp;M1450&amp;","&amp;CEILING(N1450*10000+(O1450-N1450)/4*(COUNTIF($F$11:F1450,F1450)-1)*10000,10)&amp;"}]")</f>
        <v>[{control_crit_dmg,3900}]</v>
      </c>
      <c r="H1450" s="82" t="s">
        <v>563</v>
      </c>
      <c r="J1450" s="78">
        <f ca="1">IF(MOD(COUNTIF($Q$11:Q1449,Q1449),5)=0,OFFSET(装备属性!$P$1083,1+INT(COUNTA($Q$11:Q1449)/5),0),J1449)</f>
        <v>10</v>
      </c>
      <c r="K1450" s="83" t="str">
        <f ca="1">IF(RIGHT(G1450,13)="rune_slot,1}]",_xlfn.XLOOKUP(LEFT(SUBSTITUTE(G1450,"[{",""),FIND(",",SUBSTITUTE(G1450,"[{",""))-1),Sheet2!B:B,Sheet2!C:C)&amp;"+"&amp;1,_xlfn.XLOOKUP(LEFT(SUBSTITUTE(G1450,"[{",""),FIND(",",SUBSTITUTE(G1450,"[{",""))-1),Sheet2!B:B,Sheet2!C:C)&amp;"+"&amp;SUBSTITUTE(RIGHT(G1450,LEN(G1450)-FIND(",",G1450)),"}]","")/100&amp;"%")</f>
        <v>控制暴击伤害+39%</v>
      </c>
      <c r="L1450" s="83" t="str">
        <f ca="1">IF(MOD(COUNTIF($Q$11:Q1449,Q1449),5)=0,OFFSET(装备属性!$G$1083,1+INT(COUNTA($Q$11:Q1449)/5),0),L1449)</f>
        <v>暴走控场Ⅳ</v>
      </c>
      <c r="M1450" s="89" t="str">
        <f ca="1">IF(MOD(COUNTIF($Q$11:Q1449,Q1449),5)=0,OFFSET(装备属性!$H$1083,1+INT(COUNTA($Q$11:Q1449)/5),0),M1449)</f>
        <v>control_crit_dmg</v>
      </c>
      <c r="N1450" s="76">
        <f ca="1">IF(MOD(COUNTIF($Q$11:Q1449,Q1449),5)=0,OFFSET(装备属性!$K$1083,1+INT(COUNTA($Q$11:Q1449)/5),0),N1449)</f>
        <v>0.33</v>
      </c>
      <c r="O1450" s="76">
        <f ca="1">IF(MOD(COUNTIF($Q$11:Q1449,Q1449),5)=0,OFFSET(装备属性!$L$1083,1+INT(COUNTA($Q$11:Q1449)/5),0),O1449)</f>
        <v>0.39</v>
      </c>
      <c r="Q1450" s="89" t="str">
        <f ca="1">IF(MOD(COUNTIF($Q$11:Q1449,Q1449),5)=0,OFFSET(装备属性!$M$1083,1+INT(COUNTA($Q$11:Q1449)/5),0),Q1449)</f>
        <v>通用属性</v>
      </c>
      <c r="R1450" s="83">
        <f ca="1">IF(MOD(COUNTIF($Q$11:Q1449,Q1449),5)=0,10000*SUBSTITUTE(SUBSTITUTE(OFFSET(装备属性!$F$1083,1+INT(COUNTA($Q$11:Q1449)/5),0),"[",""),"]","")+_xlfn.XLOOKUP(C1450,$M$3:$M$7,$N$3:$N$7)*100,R1449)</f>
        <v>50700</v>
      </c>
    </row>
    <row r="1451" customHeight="1" spans="1:18">
      <c r="A1451" s="78" t="str">
        <f ca="1" t="shared" si="66"/>
        <v/>
      </c>
      <c r="B1451" s="82" t="str">
        <f ca="1">IFERROR(R1451+COUNTIFS($R$11:$R1451,R1451),"")</f>
        <v/>
      </c>
      <c r="C1451" s="83">
        <f ca="1">IF(MOD(COUNTIF($Q$11:Q1450,Q1450),5)=0,OFFSET(装备属性!$D$1083,1+INT(COUNTA($Q$11:Q1450)/5),0),C1450)</f>
        <v>0</v>
      </c>
      <c r="D1451" s="82">
        <f t="shared" si="68"/>
        <v>3000</v>
      </c>
      <c r="F1451" s="82" t="str">
        <f ca="1" t="shared" si="67"/>
        <v/>
      </c>
      <c r="G1451" s="78" t="str">
        <f ca="1">IF(AND(LEFT("[{"&amp;M1451&amp;","&amp;CEILING(N1451*10000+(O1451-N1451)/4*(COUNTIF($F$11:F1451,F1451)-1)*10000,10)&amp;"}]",7)="[{equip",MID("[{"&amp;M1451&amp;","&amp;CEILING(N1451*10000+(O1451-N1451)/4*(COUNTIF($F$11:F1451,F1451)-1)*10000,10)&amp;"}]",8,1)&lt;&gt;"_"),"[{"&amp;M1451&amp;","&amp;1&amp;"}]","[{"&amp;M1451&amp;","&amp;CEILING(N1451*10000+(O1451-N1451)/4*(COUNTIF($F$11:F1451,F1451)-1)*10000,10)&amp;"}]")</f>
        <v>[{global_dmg_rate,21200}]</v>
      </c>
      <c r="H1451" s="82" t="s">
        <v>563</v>
      </c>
      <c r="J1451" s="78">
        <f ca="1">IF(MOD(COUNTIF($Q$11:Q1450,Q1450),5)=0,OFFSET(装备属性!$P$1083,1+INT(COUNTA($Q$11:Q1450)/5),0),J1450)</f>
        <v>2</v>
      </c>
      <c r="K1451" s="83" t="str">
        <f ca="1">IF(RIGHT(G1451,13)="rune_slot,1}]",_xlfn.XLOOKUP(LEFT(SUBSTITUTE(G1451,"[{",""),FIND(",",SUBSTITUTE(G1451,"[{",""))-1),Sheet2!B:B,Sheet2!C:C)&amp;"+"&amp;1,_xlfn.XLOOKUP(LEFT(SUBSTITUTE(G1451,"[{",""),FIND(",",SUBSTITUTE(G1451,"[{",""))-1),Sheet2!B:B,Sheet2!C:C)&amp;"+"&amp;SUBSTITUTE(RIGHT(G1451,LEN(G1451)-FIND(",",G1451)),"}]","")/100&amp;"%")</f>
        <v>伤害加成+212%</v>
      </c>
      <c r="L1451" s="83" t="str">
        <f ca="1">IF(MOD(COUNTIF($Q$11:Q1450,Q1450),5)=0,OFFSET(装备属性!$G$1083,1+INT(COUNTA($Q$11:Q1450)/5),0),L1450)</f>
        <v>全职小队Ⅴ</v>
      </c>
      <c r="M1451" s="89" t="str">
        <f ca="1">IF(MOD(COUNTIF($Q$11:Q1450,Q1450),5)=0,OFFSET(装备属性!$H$1083,1+INT(COUNTA($Q$11:Q1450)/5),0),M1450)</f>
        <v>global_dmg_rate</v>
      </c>
      <c r="N1451" s="76">
        <f ca="1">IF(MOD(COUNTIF($Q$11:Q1450,Q1450),5)=0,OFFSET(装备属性!$K$1083,1+INT(COUNTA($Q$11:Q1450)/5),0),N1450)</f>
        <v>0.072</v>
      </c>
      <c r="O1451" s="76">
        <f ca="1">IF(MOD(COUNTIF($Q$11:Q1450,Q1450),5)=0,OFFSET(装备属性!$L$1083,1+INT(COUNTA($Q$11:Q1450)/5),0),O1450)</f>
        <v>0.086</v>
      </c>
      <c r="Q1451" s="89" t="str">
        <f ca="1">IF(MOD(COUNTIF($Q$11:Q1450,Q1450),5)=0,OFFSET(装备属性!$M$1083,1+INT(COUNTA($Q$11:Q1450)/5),0),Q1450)</f>
        <v>通用属性</v>
      </c>
      <c r="R1451" s="83" t="e">
        <f ca="1">IF(MOD(COUNTIF($Q$11:Q1450,Q1450),5)=0,10000*SUBSTITUTE(SUBSTITUTE(OFFSET(装备属性!$F$1083,1+INT(COUNTA($Q$11:Q1450)/5),0),"[",""),"]","")+_xlfn.XLOOKUP(C1451,$M$3:$M$7,$N$3:$N$7)*100,R1450)</f>
        <v>#N/A</v>
      </c>
    </row>
    <row r="1452" customHeight="1" spans="1:18">
      <c r="A1452" s="78" t="str">
        <f ca="1" t="shared" si="66"/>
        <v/>
      </c>
      <c r="B1452" s="82" t="str">
        <f ca="1">IFERROR(R1452+COUNTIFS($R$11:$R1452,R1452),"")</f>
        <v/>
      </c>
      <c r="C1452" s="83">
        <f ca="1">IF(MOD(COUNTIF($Q$11:Q1451,Q1451),5)=0,OFFSET(装备属性!$D$1083,1+INT(COUNTA($Q$11:Q1451)/5),0),C1451)</f>
        <v>0</v>
      </c>
      <c r="D1452" s="82">
        <f t="shared" si="68"/>
        <v>2500</v>
      </c>
      <c r="F1452" s="82" t="str">
        <f ca="1" t="shared" si="67"/>
        <v/>
      </c>
      <c r="G1452" s="78" t="str">
        <f ca="1">IF(AND(LEFT("[{"&amp;M1452&amp;","&amp;CEILING(N1452*10000+(O1452-N1452)/4*(COUNTIF($F$11:F1452,F1452)-1)*10000,10)&amp;"}]",7)="[{equip",MID("[{"&amp;M1452&amp;","&amp;CEILING(N1452*10000+(O1452-N1452)/4*(COUNTIF($F$11:F1452,F1452)-1)*10000,10)&amp;"}]",8,1)&lt;&gt;"_"),"[{"&amp;M1452&amp;","&amp;1&amp;"}]","[{"&amp;M1452&amp;","&amp;CEILING(N1452*10000+(O1452-N1452)/4*(COUNTIF($F$11:F1452,F1452)-1)*10000,10)&amp;"}]")</f>
        <v>[{global_dmg_rate,21230}]</v>
      </c>
      <c r="H1452" s="82" t="s">
        <v>563</v>
      </c>
      <c r="J1452" s="78">
        <f ca="1">IF(MOD(COUNTIF($Q$11:Q1451,Q1451),5)=0,OFFSET(装备属性!$P$1083,1+INT(COUNTA($Q$11:Q1451)/5),0),J1451)</f>
        <v>2</v>
      </c>
      <c r="K1452" s="83" t="str">
        <f ca="1">IF(RIGHT(G1452,13)="rune_slot,1}]",_xlfn.XLOOKUP(LEFT(SUBSTITUTE(G1452,"[{",""),FIND(",",SUBSTITUTE(G1452,"[{",""))-1),Sheet2!B:B,Sheet2!C:C)&amp;"+"&amp;1,_xlfn.XLOOKUP(LEFT(SUBSTITUTE(G1452,"[{",""),FIND(",",SUBSTITUTE(G1452,"[{",""))-1),Sheet2!B:B,Sheet2!C:C)&amp;"+"&amp;SUBSTITUTE(RIGHT(G1452,LEN(G1452)-FIND(",",G1452)),"}]","")/100&amp;"%")</f>
        <v>伤害加成+212.3%</v>
      </c>
      <c r="L1452" s="83" t="str">
        <f ca="1">IF(MOD(COUNTIF($Q$11:Q1451,Q1451),5)=0,OFFSET(装备属性!$G$1083,1+INT(COUNTA($Q$11:Q1451)/5),0),L1451)</f>
        <v>全职小队Ⅴ</v>
      </c>
      <c r="M1452" s="89" t="str">
        <f ca="1">IF(MOD(COUNTIF($Q$11:Q1451,Q1451),5)=0,OFFSET(装备属性!$H$1083,1+INT(COUNTA($Q$11:Q1451)/5),0),M1451)</f>
        <v>global_dmg_rate</v>
      </c>
      <c r="N1452" s="76">
        <f ca="1">IF(MOD(COUNTIF($Q$11:Q1451,Q1451),5)=0,OFFSET(装备属性!$K$1083,1+INT(COUNTA($Q$11:Q1451)/5),0),N1451)</f>
        <v>0.072</v>
      </c>
      <c r="O1452" s="76">
        <f ca="1">IF(MOD(COUNTIF($Q$11:Q1451,Q1451),5)=0,OFFSET(装备属性!$L$1083,1+INT(COUNTA($Q$11:Q1451)/5),0),O1451)</f>
        <v>0.086</v>
      </c>
      <c r="Q1452" s="89" t="str">
        <f ca="1">IF(MOD(COUNTIF($Q$11:Q1451,Q1451),5)=0,OFFSET(装备属性!$M$1083,1+INT(COUNTA($Q$11:Q1451)/5),0),Q1451)</f>
        <v>通用属性</v>
      </c>
      <c r="R1452" s="83" t="e">
        <f ca="1">IF(MOD(COUNTIF($Q$11:Q1451,Q1451),5)=0,10000*SUBSTITUTE(SUBSTITUTE(OFFSET(装备属性!$F$1083,1+INT(COUNTA($Q$11:Q1451)/5),0),"[",""),"]","")+_xlfn.XLOOKUP(C1452,$M$3:$M$7,$N$3:$N$7)*100,R1451)</f>
        <v>#N/A</v>
      </c>
    </row>
    <row r="1453" customHeight="1" spans="1:18">
      <c r="A1453" s="78" t="str">
        <f ca="1" t="shared" si="66"/>
        <v/>
      </c>
      <c r="B1453" s="82" t="str">
        <f ca="1">IFERROR(R1453+COUNTIFS($R$11:$R1453,R1453),"")</f>
        <v/>
      </c>
      <c r="C1453" s="83">
        <f ca="1">IF(MOD(COUNTIF($Q$11:Q1452,Q1452),5)=0,OFFSET(装备属性!$D$1083,1+INT(COUNTA($Q$11:Q1452)/5),0),C1452)</f>
        <v>0</v>
      </c>
      <c r="D1453" s="82">
        <f t="shared" si="68"/>
        <v>2000</v>
      </c>
      <c r="F1453" s="82" t="str">
        <f ca="1" t="shared" si="67"/>
        <v/>
      </c>
      <c r="G1453" s="78" t="str">
        <f ca="1">IF(AND(LEFT("[{"&amp;M1453&amp;","&amp;CEILING(N1453*10000+(O1453-N1453)/4*(COUNTIF($F$11:F1453,F1453)-1)*10000,10)&amp;"}]",7)="[{equip",MID("[{"&amp;M1453&amp;","&amp;CEILING(N1453*10000+(O1453-N1453)/4*(COUNTIF($F$11:F1453,F1453)-1)*10000,10)&amp;"}]",8,1)&lt;&gt;"_"),"[{"&amp;M1453&amp;","&amp;1&amp;"}]","[{"&amp;M1453&amp;","&amp;CEILING(N1453*10000+(O1453-N1453)/4*(COUNTIF($F$11:F1453,F1453)-1)*10000,10)&amp;"}]")</f>
        <v>[{global_dmg_rate,21270}]</v>
      </c>
      <c r="H1453" s="82" t="s">
        <v>563</v>
      </c>
      <c r="J1453" s="78">
        <f ca="1">IF(MOD(COUNTIF($Q$11:Q1452,Q1452),5)=0,OFFSET(装备属性!$P$1083,1+INT(COUNTA($Q$11:Q1452)/5),0),J1452)</f>
        <v>2</v>
      </c>
      <c r="K1453" s="83" t="str">
        <f ca="1">IF(RIGHT(G1453,13)="rune_slot,1}]",_xlfn.XLOOKUP(LEFT(SUBSTITUTE(G1453,"[{",""),FIND(",",SUBSTITUTE(G1453,"[{",""))-1),Sheet2!B:B,Sheet2!C:C)&amp;"+"&amp;1,_xlfn.XLOOKUP(LEFT(SUBSTITUTE(G1453,"[{",""),FIND(",",SUBSTITUTE(G1453,"[{",""))-1),Sheet2!B:B,Sheet2!C:C)&amp;"+"&amp;SUBSTITUTE(RIGHT(G1453,LEN(G1453)-FIND(",",G1453)),"}]","")/100&amp;"%")</f>
        <v>伤害加成+212.7%</v>
      </c>
      <c r="L1453" s="83" t="str">
        <f ca="1">IF(MOD(COUNTIF($Q$11:Q1452,Q1452),5)=0,OFFSET(装备属性!$G$1083,1+INT(COUNTA($Q$11:Q1452)/5),0),L1452)</f>
        <v>全职小队Ⅴ</v>
      </c>
      <c r="M1453" s="89" t="str">
        <f ca="1">IF(MOD(COUNTIF($Q$11:Q1452,Q1452),5)=0,OFFSET(装备属性!$H$1083,1+INT(COUNTA($Q$11:Q1452)/5),0),M1452)</f>
        <v>global_dmg_rate</v>
      </c>
      <c r="N1453" s="76">
        <f ca="1">IF(MOD(COUNTIF($Q$11:Q1452,Q1452),5)=0,OFFSET(装备属性!$K$1083,1+INT(COUNTA($Q$11:Q1452)/5),0),N1452)</f>
        <v>0.072</v>
      </c>
      <c r="O1453" s="76">
        <f ca="1">IF(MOD(COUNTIF($Q$11:Q1452,Q1452),5)=0,OFFSET(装备属性!$L$1083,1+INT(COUNTA($Q$11:Q1452)/5),0),O1452)</f>
        <v>0.086</v>
      </c>
      <c r="Q1453" s="89" t="str">
        <f ca="1">IF(MOD(COUNTIF($Q$11:Q1452,Q1452),5)=0,OFFSET(装备属性!$M$1083,1+INT(COUNTA($Q$11:Q1452)/5),0),Q1452)</f>
        <v>通用属性</v>
      </c>
      <c r="R1453" s="83" t="e">
        <f ca="1">IF(MOD(COUNTIF($Q$11:Q1452,Q1452),5)=0,10000*SUBSTITUTE(SUBSTITUTE(OFFSET(装备属性!$F$1083,1+INT(COUNTA($Q$11:Q1452)/5),0),"[",""),"]","")+_xlfn.XLOOKUP(C1453,$M$3:$M$7,$N$3:$N$7)*100,R1452)</f>
        <v>#N/A</v>
      </c>
    </row>
    <row r="1454" customHeight="1" spans="1:18">
      <c r="A1454" s="78" t="str">
        <f ca="1" t="shared" si="66"/>
        <v/>
      </c>
      <c r="B1454" s="82" t="str">
        <f ca="1">IFERROR(R1454+COUNTIFS($R$11:$R1454,R1454),"")</f>
        <v/>
      </c>
      <c r="C1454" s="83">
        <f ca="1">IF(MOD(COUNTIF($Q$11:Q1453,Q1453),5)=0,OFFSET(装备属性!$D$1083,1+INT(COUNTA($Q$11:Q1453)/5),0),C1453)</f>
        <v>0</v>
      </c>
      <c r="D1454" s="82">
        <f t="shared" si="68"/>
        <v>1500</v>
      </c>
      <c r="F1454" s="82" t="str">
        <f ca="1" t="shared" si="67"/>
        <v/>
      </c>
      <c r="G1454" s="78" t="str">
        <f ca="1">IF(AND(LEFT("[{"&amp;M1454&amp;","&amp;CEILING(N1454*10000+(O1454-N1454)/4*(COUNTIF($F$11:F1454,F1454)-1)*10000,10)&amp;"}]",7)="[{equip",MID("[{"&amp;M1454&amp;","&amp;CEILING(N1454*10000+(O1454-N1454)/4*(COUNTIF($F$11:F1454,F1454)-1)*10000,10)&amp;"}]",8,1)&lt;&gt;"_"),"[{"&amp;M1454&amp;","&amp;1&amp;"}]","[{"&amp;M1454&amp;","&amp;CEILING(N1454*10000+(O1454-N1454)/4*(COUNTIF($F$11:F1454,F1454)-1)*10000,10)&amp;"}]")</f>
        <v>[{global_dmg_rate,21300}]</v>
      </c>
      <c r="H1454" s="82" t="s">
        <v>563</v>
      </c>
      <c r="J1454" s="78">
        <f ca="1">IF(MOD(COUNTIF($Q$11:Q1453,Q1453),5)=0,OFFSET(装备属性!$P$1083,1+INT(COUNTA($Q$11:Q1453)/5),0),J1453)</f>
        <v>2</v>
      </c>
      <c r="K1454" s="83" t="str">
        <f ca="1">IF(RIGHT(G1454,13)="rune_slot,1}]",_xlfn.XLOOKUP(LEFT(SUBSTITUTE(G1454,"[{",""),FIND(",",SUBSTITUTE(G1454,"[{",""))-1),Sheet2!B:B,Sheet2!C:C)&amp;"+"&amp;1,_xlfn.XLOOKUP(LEFT(SUBSTITUTE(G1454,"[{",""),FIND(",",SUBSTITUTE(G1454,"[{",""))-1),Sheet2!B:B,Sheet2!C:C)&amp;"+"&amp;SUBSTITUTE(RIGHT(G1454,LEN(G1454)-FIND(",",G1454)),"}]","")/100&amp;"%")</f>
        <v>伤害加成+213%</v>
      </c>
      <c r="L1454" s="83" t="str">
        <f ca="1">IF(MOD(COUNTIF($Q$11:Q1453,Q1453),5)=0,OFFSET(装备属性!$G$1083,1+INT(COUNTA($Q$11:Q1453)/5),0),L1453)</f>
        <v>全职小队Ⅴ</v>
      </c>
      <c r="M1454" s="89" t="str">
        <f ca="1">IF(MOD(COUNTIF($Q$11:Q1453,Q1453),5)=0,OFFSET(装备属性!$H$1083,1+INT(COUNTA($Q$11:Q1453)/5),0),M1453)</f>
        <v>global_dmg_rate</v>
      </c>
      <c r="N1454" s="76">
        <f ca="1">IF(MOD(COUNTIF($Q$11:Q1453,Q1453),5)=0,OFFSET(装备属性!$K$1083,1+INT(COUNTA($Q$11:Q1453)/5),0),N1453)</f>
        <v>0.072</v>
      </c>
      <c r="O1454" s="76">
        <f ca="1">IF(MOD(COUNTIF($Q$11:Q1453,Q1453),5)=0,OFFSET(装备属性!$L$1083,1+INT(COUNTA($Q$11:Q1453)/5),0),O1453)</f>
        <v>0.086</v>
      </c>
      <c r="Q1454" s="89" t="str">
        <f ca="1">IF(MOD(COUNTIF($Q$11:Q1453,Q1453),5)=0,OFFSET(装备属性!$M$1083,1+INT(COUNTA($Q$11:Q1453)/5),0),Q1453)</f>
        <v>通用属性</v>
      </c>
      <c r="R1454" s="83" t="e">
        <f ca="1">IF(MOD(COUNTIF($Q$11:Q1453,Q1453),5)=0,10000*SUBSTITUTE(SUBSTITUTE(OFFSET(装备属性!$F$1083,1+INT(COUNTA($Q$11:Q1453)/5),0),"[",""),"]","")+_xlfn.XLOOKUP(C1454,$M$3:$M$7,$N$3:$N$7)*100,R1453)</f>
        <v>#N/A</v>
      </c>
    </row>
    <row r="1455" customHeight="1" spans="1:18">
      <c r="A1455" s="78" t="str">
        <f ca="1" t="shared" si="66"/>
        <v/>
      </c>
      <c r="B1455" s="82" t="str">
        <f ca="1">IFERROR(R1455+COUNTIFS($R$11:$R1455,R1455),"")</f>
        <v/>
      </c>
      <c r="C1455" s="83">
        <f ca="1">IF(MOD(COUNTIF($Q$11:Q1454,Q1454),5)=0,OFFSET(装备属性!$D$1083,1+INT(COUNTA($Q$11:Q1454)/5),0),C1454)</f>
        <v>0</v>
      </c>
      <c r="D1455" s="82">
        <f t="shared" si="68"/>
        <v>1000</v>
      </c>
      <c r="F1455" s="82" t="str">
        <f ca="1" t="shared" si="67"/>
        <v/>
      </c>
      <c r="G1455" s="78" t="str">
        <f ca="1">IF(AND(LEFT("[{"&amp;M1455&amp;","&amp;CEILING(N1455*10000+(O1455-N1455)/4*(COUNTIF($F$11:F1455,F1455)-1)*10000,10)&amp;"}]",7)="[{equip",MID("[{"&amp;M1455&amp;","&amp;CEILING(N1455*10000+(O1455-N1455)/4*(COUNTIF($F$11:F1455,F1455)-1)*10000,10)&amp;"}]",8,1)&lt;&gt;"_"),"[{"&amp;M1455&amp;","&amp;1&amp;"}]","[{"&amp;M1455&amp;","&amp;CEILING(N1455*10000+(O1455-N1455)/4*(COUNTIF($F$11:F1455,F1455)-1)*10000,10)&amp;"}]")</f>
        <v>[{global_dmg_rate,21340}]</v>
      </c>
      <c r="H1455" s="82" t="s">
        <v>563</v>
      </c>
      <c r="J1455" s="78">
        <f ca="1">IF(MOD(COUNTIF($Q$11:Q1454,Q1454),5)=0,OFFSET(装备属性!$P$1083,1+INT(COUNTA($Q$11:Q1454)/5),0),J1454)</f>
        <v>2</v>
      </c>
      <c r="K1455" s="83" t="str">
        <f ca="1">IF(RIGHT(G1455,13)="rune_slot,1}]",_xlfn.XLOOKUP(LEFT(SUBSTITUTE(G1455,"[{",""),FIND(",",SUBSTITUTE(G1455,"[{",""))-1),Sheet2!B:B,Sheet2!C:C)&amp;"+"&amp;1,_xlfn.XLOOKUP(LEFT(SUBSTITUTE(G1455,"[{",""),FIND(",",SUBSTITUTE(G1455,"[{",""))-1),Sheet2!B:B,Sheet2!C:C)&amp;"+"&amp;SUBSTITUTE(RIGHT(G1455,LEN(G1455)-FIND(",",G1455)),"}]","")/100&amp;"%")</f>
        <v>伤害加成+213.4%</v>
      </c>
      <c r="L1455" s="83" t="str">
        <f ca="1">IF(MOD(COUNTIF($Q$11:Q1454,Q1454),5)=0,OFFSET(装备属性!$G$1083,1+INT(COUNTA($Q$11:Q1454)/5),0),L1454)</f>
        <v>全职小队Ⅴ</v>
      </c>
      <c r="M1455" s="89" t="str">
        <f ca="1">IF(MOD(COUNTIF($Q$11:Q1454,Q1454),5)=0,OFFSET(装备属性!$H$1083,1+INT(COUNTA($Q$11:Q1454)/5),0),M1454)</f>
        <v>global_dmg_rate</v>
      </c>
      <c r="N1455" s="76">
        <f ca="1">IF(MOD(COUNTIF($Q$11:Q1454,Q1454),5)=0,OFFSET(装备属性!$K$1083,1+INT(COUNTA($Q$11:Q1454)/5),0),N1454)</f>
        <v>0.072</v>
      </c>
      <c r="O1455" s="76">
        <f ca="1">IF(MOD(COUNTIF($Q$11:Q1454,Q1454),5)=0,OFFSET(装备属性!$L$1083,1+INT(COUNTA($Q$11:Q1454)/5),0),O1454)</f>
        <v>0.086</v>
      </c>
      <c r="Q1455" s="89" t="str">
        <f ca="1">IF(MOD(COUNTIF($Q$11:Q1454,Q1454),5)=0,OFFSET(装备属性!$M$1083,1+INT(COUNTA($Q$11:Q1454)/5),0),Q1454)</f>
        <v>通用属性</v>
      </c>
      <c r="R1455" s="83" t="e">
        <f ca="1">IF(MOD(COUNTIF($Q$11:Q1454,Q1454),5)=0,10000*SUBSTITUTE(SUBSTITUTE(OFFSET(装备属性!$F$1083,1+INT(COUNTA($Q$11:Q1454)/5),0),"[",""),"]","")+_xlfn.XLOOKUP(C1455,$M$3:$M$7,$N$3:$N$7)*100,R1454)</f>
        <v>#N/A</v>
      </c>
    </row>
    <row r="1456" customHeight="1" spans="1:18">
      <c r="A1456" s="78">
        <f ca="1" t="shared" si="66"/>
        <v>50801</v>
      </c>
      <c r="B1456" s="82">
        <f ca="1">IFERROR(R1456+COUNTIFS($R$11:$R1456,R1456),"")</f>
        <v>50801</v>
      </c>
      <c r="C1456" s="83" t="str">
        <f ca="1">IF(MOD(COUNTIF($Q$11:Q1455,Q1455),5)=0,OFFSET(装备属性!$D$1083,1+INT(COUNTA($Q$11:Q1455)/5),0),C1455)</f>
        <v>彩</v>
      </c>
      <c r="D1456" s="82">
        <f t="shared" si="68"/>
        <v>3000</v>
      </c>
      <c r="F1456" s="82">
        <f ca="1" t="shared" si="67"/>
        <v>50800</v>
      </c>
      <c r="G1456" s="78" t="str">
        <f ca="1">IF(AND(LEFT("[{"&amp;M1456&amp;","&amp;CEILING(N1456*10000+(O1456-N1456)/4*(COUNTIF($F$11:F1456,F1456)-1)*10000,10)&amp;"}]",7)="[{equip",MID("[{"&amp;M1456&amp;","&amp;CEILING(N1456*10000+(O1456-N1456)/4*(COUNTIF($F$11:F1456,F1456)-1)*10000,10)&amp;"}]",8,1)&lt;&gt;"_"),"[{"&amp;M1456&amp;","&amp;1&amp;"}]","[{"&amp;M1456&amp;","&amp;CEILING(N1456*10000+(O1456-N1456)/4*(COUNTIF($F$11:F1456,F1456)-1)*10000,10)&amp;"}]")</f>
        <v>[{dmg_red_rate,300}]</v>
      </c>
      <c r="H1456" s="82" t="s">
        <v>563</v>
      </c>
      <c r="J1456" s="78">
        <f ca="1">IF(MOD(COUNTIF($Q$11:Q1455,Q1455),5)=0,OFFSET(装备属性!$P$1083,1+INT(COUNTA($Q$11:Q1455)/5),0),J1455)</f>
        <v>6</v>
      </c>
      <c r="K1456" s="83" t="str">
        <f ca="1">IF(RIGHT(G1456,13)="rune_slot,1}]",_xlfn.XLOOKUP(LEFT(SUBSTITUTE(G1456,"[{",""),FIND(",",SUBSTITUTE(G1456,"[{",""))-1),Sheet2!B:B,Sheet2!C:C)&amp;"+"&amp;1,_xlfn.XLOOKUP(LEFT(SUBSTITUTE(G1456,"[{",""),FIND(",",SUBSTITUTE(G1456,"[{",""))-1),Sheet2!B:B,Sheet2!C:C)&amp;"+"&amp;SUBSTITUTE(RIGHT(G1456,LEN(G1456)-FIND(",",G1456)),"}]","")/100&amp;"%")</f>
        <v>伤害减免+3%</v>
      </c>
      <c r="L1456" s="83" t="str">
        <f ca="1">IF(MOD(COUNTIF($Q$11:Q1455,Q1455),5)=0,OFFSET(装备属性!$G$1083,1+INT(COUNTA($Q$11:Q1455)/5),0),L1455)</f>
        <v>全员抗揍Ⅴ</v>
      </c>
      <c r="M1456" s="89" t="str">
        <f ca="1">IF(MOD(COUNTIF($Q$11:Q1455,Q1455),5)=0,OFFSET(装备属性!$H$1083,1+INT(COUNTA($Q$11:Q1455)/5),0),M1455)</f>
        <v>dmg_red_rate</v>
      </c>
      <c r="N1456" s="76">
        <f ca="1">IF(MOD(COUNTIF($Q$11:Q1455,Q1455),5)=0,OFFSET(装备属性!$K$1083,1+INT(COUNTA($Q$11:Q1455)/5),0),N1455)</f>
        <v>0.03</v>
      </c>
      <c r="O1456" s="76">
        <f ca="1">IF(MOD(COUNTIF($Q$11:Q1455,Q1455),5)=0,OFFSET(装备属性!$L$1083,1+INT(COUNTA($Q$11:Q1455)/5),0),O1455)</f>
        <v>0.034</v>
      </c>
      <c r="Q1456" s="89" t="str">
        <f ca="1">IF(MOD(COUNTIF($Q$11:Q1455,Q1455),5)=0,OFFSET(装备属性!$M$1083,1+INT(COUNTA($Q$11:Q1455)/5),0),Q1455)</f>
        <v>通用属性</v>
      </c>
      <c r="R1456" s="83">
        <f ca="1">IF(MOD(COUNTIF($Q$11:Q1455,Q1455),5)=0,10000*SUBSTITUTE(SUBSTITUTE(OFFSET(装备属性!$F$1083,1+INT(COUNTA($Q$11:Q1455)/5),0),"[",""),"]","")+_xlfn.XLOOKUP(C1456,$M$3:$M$7,$N$3:$N$7)*100,R1455)</f>
        <v>50800</v>
      </c>
    </row>
    <row r="1457" customHeight="1" spans="1:18">
      <c r="A1457" s="78">
        <f ca="1" t="shared" si="66"/>
        <v>50801</v>
      </c>
      <c r="B1457" s="82">
        <f ca="1">IFERROR(R1457+COUNTIFS($R$11:$R1457,R1457),"")</f>
        <v>50802</v>
      </c>
      <c r="C1457" s="83" t="str">
        <f ca="1">IF(MOD(COUNTIF($Q$11:Q1456,Q1456),5)=0,OFFSET(装备属性!$D$1083,1+INT(COUNTA($Q$11:Q1456)/5),0),C1456)</f>
        <v>彩</v>
      </c>
      <c r="D1457" s="82">
        <f t="shared" si="68"/>
        <v>2500</v>
      </c>
      <c r="F1457" s="82">
        <f ca="1" t="shared" si="67"/>
        <v>50800</v>
      </c>
      <c r="G1457" s="78" t="str">
        <f ca="1">IF(AND(LEFT("[{"&amp;M1457&amp;","&amp;CEILING(N1457*10000+(O1457-N1457)/4*(COUNTIF($F$11:F1457,F1457)-1)*10000,10)&amp;"}]",7)="[{equip",MID("[{"&amp;M1457&amp;","&amp;CEILING(N1457*10000+(O1457-N1457)/4*(COUNTIF($F$11:F1457,F1457)-1)*10000,10)&amp;"}]",8,1)&lt;&gt;"_"),"[{"&amp;M1457&amp;","&amp;1&amp;"}]","[{"&amp;M1457&amp;","&amp;CEILING(N1457*10000+(O1457-N1457)/4*(COUNTIF($F$11:F1457,F1457)-1)*10000,10)&amp;"}]")</f>
        <v>[{dmg_red_rate,310}]</v>
      </c>
      <c r="H1457" s="82" t="s">
        <v>563</v>
      </c>
      <c r="J1457" s="78">
        <f ca="1">IF(MOD(COUNTIF($Q$11:Q1456,Q1456),5)=0,OFFSET(装备属性!$P$1083,1+INT(COUNTA($Q$11:Q1456)/5),0),J1456)</f>
        <v>6</v>
      </c>
      <c r="K1457" s="83" t="str">
        <f ca="1">IF(RIGHT(G1457,13)="rune_slot,1}]",_xlfn.XLOOKUP(LEFT(SUBSTITUTE(G1457,"[{",""),FIND(",",SUBSTITUTE(G1457,"[{",""))-1),Sheet2!B:B,Sheet2!C:C)&amp;"+"&amp;1,_xlfn.XLOOKUP(LEFT(SUBSTITUTE(G1457,"[{",""),FIND(",",SUBSTITUTE(G1457,"[{",""))-1),Sheet2!B:B,Sheet2!C:C)&amp;"+"&amp;SUBSTITUTE(RIGHT(G1457,LEN(G1457)-FIND(",",G1457)),"}]","")/100&amp;"%")</f>
        <v>伤害减免+3.1%</v>
      </c>
      <c r="L1457" s="83" t="str">
        <f ca="1">IF(MOD(COUNTIF($Q$11:Q1456,Q1456),5)=0,OFFSET(装备属性!$G$1083,1+INT(COUNTA($Q$11:Q1456)/5),0),L1456)</f>
        <v>全员抗揍Ⅴ</v>
      </c>
      <c r="M1457" s="89" t="str">
        <f ca="1">IF(MOD(COUNTIF($Q$11:Q1456,Q1456),5)=0,OFFSET(装备属性!$H$1083,1+INT(COUNTA($Q$11:Q1456)/5),0),M1456)</f>
        <v>dmg_red_rate</v>
      </c>
      <c r="N1457" s="76">
        <f ca="1">IF(MOD(COUNTIF($Q$11:Q1456,Q1456),5)=0,OFFSET(装备属性!$K$1083,1+INT(COUNTA($Q$11:Q1456)/5),0),N1456)</f>
        <v>0.03</v>
      </c>
      <c r="O1457" s="76">
        <f ca="1">IF(MOD(COUNTIF($Q$11:Q1456,Q1456),5)=0,OFFSET(装备属性!$L$1083,1+INT(COUNTA($Q$11:Q1456)/5),0),O1456)</f>
        <v>0.034</v>
      </c>
      <c r="Q1457" s="89" t="str">
        <f ca="1">IF(MOD(COUNTIF($Q$11:Q1456,Q1456),5)=0,OFFSET(装备属性!$M$1083,1+INT(COUNTA($Q$11:Q1456)/5),0),Q1456)</f>
        <v>通用属性</v>
      </c>
      <c r="R1457" s="83">
        <f ca="1">IF(MOD(COUNTIF($Q$11:Q1456,Q1456),5)=0,10000*SUBSTITUTE(SUBSTITUTE(OFFSET(装备属性!$F$1083,1+INT(COUNTA($Q$11:Q1456)/5),0),"[",""),"]","")+_xlfn.XLOOKUP(C1457,$M$3:$M$7,$N$3:$N$7)*100,R1456)</f>
        <v>50800</v>
      </c>
    </row>
    <row r="1458" customHeight="1" spans="1:18">
      <c r="A1458" s="78">
        <f ca="1" t="shared" si="66"/>
        <v>50801</v>
      </c>
      <c r="B1458" s="82">
        <f ca="1">IFERROR(R1458+COUNTIFS($R$11:$R1458,R1458),"")</f>
        <v>50803</v>
      </c>
      <c r="C1458" s="83" t="str">
        <f ca="1">IF(MOD(COUNTIF($Q$11:Q1457,Q1457),5)=0,OFFSET(装备属性!$D$1083,1+INT(COUNTA($Q$11:Q1457)/5),0),C1457)</f>
        <v>彩</v>
      </c>
      <c r="D1458" s="82">
        <f t="shared" si="68"/>
        <v>2000</v>
      </c>
      <c r="F1458" s="82">
        <f ca="1" t="shared" si="67"/>
        <v>50800</v>
      </c>
      <c r="G1458" s="78" t="str">
        <f ca="1">IF(AND(LEFT("[{"&amp;M1458&amp;","&amp;CEILING(N1458*10000+(O1458-N1458)/4*(COUNTIF($F$11:F1458,F1458)-1)*10000,10)&amp;"}]",7)="[{equip",MID("[{"&amp;M1458&amp;","&amp;CEILING(N1458*10000+(O1458-N1458)/4*(COUNTIF($F$11:F1458,F1458)-1)*10000,10)&amp;"}]",8,1)&lt;&gt;"_"),"[{"&amp;M1458&amp;","&amp;1&amp;"}]","[{"&amp;M1458&amp;","&amp;CEILING(N1458*10000+(O1458-N1458)/4*(COUNTIF($F$11:F1458,F1458)-1)*10000,10)&amp;"}]")</f>
        <v>[{dmg_red_rate,320}]</v>
      </c>
      <c r="H1458" s="82" t="s">
        <v>563</v>
      </c>
      <c r="J1458" s="78">
        <f ca="1">IF(MOD(COUNTIF($Q$11:Q1457,Q1457),5)=0,OFFSET(装备属性!$P$1083,1+INT(COUNTA($Q$11:Q1457)/5),0),J1457)</f>
        <v>6</v>
      </c>
      <c r="K1458" s="83" t="str">
        <f ca="1">IF(RIGHT(G1458,13)="rune_slot,1}]",_xlfn.XLOOKUP(LEFT(SUBSTITUTE(G1458,"[{",""),FIND(",",SUBSTITUTE(G1458,"[{",""))-1),Sheet2!B:B,Sheet2!C:C)&amp;"+"&amp;1,_xlfn.XLOOKUP(LEFT(SUBSTITUTE(G1458,"[{",""),FIND(",",SUBSTITUTE(G1458,"[{",""))-1),Sheet2!B:B,Sheet2!C:C)&amp;"+"&amp;SUBSTITUTE(RIGHT(G1458,LEN(G1458)-FIND(",",G1458)),"}]","")/100&amp;"%")</f>
        <v>伤害减免+3.2%</v>
      </c>
      <c r="L1458" s="83" t="str">
        <f ca="1">IF(MOD(COUNTIF($Q$11:Q1457,Q1457),5)=0,OFFSET(装备属性!$G$1083,1+INT(COUNTA($Q$11:Q1457)/5),0),L1457)</f>
        <v>全员抗揍Ⅴ</v>
      </c>
      <c r="M1458" s="89" t="str">
        <f ca="1">IF(MOD(COUNTIF($Q$11:Q1457,Q1457),5)=0,OFFSET(装备属性!$H$1083,1+INT(COUNTA($Q$11:Q1457)/5),0),M1457)</f>
        <v>dmg_red_rate</v>
      </c>
      <c r="N1458" s="76">
        <f ca="1">IF(MOD(COUNTIF($Q$11:Q1457,Q1457),5)=0,OFFSET(装备属性!$K$1083,1+INT(COUNTA($Q$11:Q1457)/5),0),N1457)</f>
        <v>0.03</v>
      </c>
      <c r="O1458" s="76">
        <f ca="1">IF(MOD(COUNTIF($Q$11:Q1457,Q1457),5)=0,OFFSET(装备属性!$L$1083,1+INT(COUNTA($Q$11:Q1457)/5),0),O1457)</f>
        <v>0.034</v>
      </c>
      <c r="Q1458" s="89" t="str">
        <f ca="1">IF(MOD(COUNTIF($Q$11:Q1457,Q1457),5)=0,OFFSET(装备属性!$M$1083,1+INT(COUNTA($Q$11:Q1457)/5),0),Q1457)</f>
        <v>通用属性</v>
      </c>
      <c r="R1458" s="83">
        <f ca="1">IF(MOD(COUNTIF($Q$11:Q1457,Q1457),5)=0,10000*SUBSTITUTE(SUBSTITUTE(OFFSET(装备属性!$F$1083,1+INT(COUNTA($Q$11:Q1457)/5),0),"[",""),"]","")+_xlfn.XLOOKUP(C1458,$M$3:$M$7,$N$3:$N$7)*100,R1457)</f>
        <v>50800</v>
      </c>
    </row>
    <row r="1459" customHeight="1" spans="1:18">
      <c r="A1459" s="78">
        <f ca="1" t="shared" si="66"/>
        <v>50801</v>
      </c>
      <c r="B1459" s="82">
        <f ca="1">IFERROR(R1459+COUNTIFS($R$11:$R1459,R1459),"")</f>
        <v>50804</v>
      </c>
      <c r="C1459" s="83" t="str">
        <f ca="1">IF(MOD(COUNTIF($Q$11:Q1458,Q1458),5)=0,OFFSET(装备属性!$D$1083,1+INT(COUNTA($Q$11:Q1458)/5),0),C1458)</f>
        <v>彩</v>
      </c>
      <c r="D1459" s="82">
        <f t="shared" si="68"/>
        <v>1500</v>
      </c>
      <c r="F1459" s="82">
        <f ca="1" t="shared" si="67"/>
        <v>50800</v>
      </c>
      <c r="G1459" s="78" t="str">
        <f ca="1">IF(AND(LEFT("[{"&amp;M1459&amp;","&amp;CEILING(N1459*10000+(O1459-N1459)/4*(COUNTIF($F$11:F1459,F1459)-1)*10000,10)&amp;"}]",7)="[{equip",MID("[{"&amp;M1459&amp;","&amp;CEILING(N1459*10000+(O1459-N1459)/4*(COUNTIF($F$11:F1459,F1459)-1)*10000,10)&amp;"}]",8,1)&lt;&gt;"_"),"[{"&amp;M1459&amp;","&amp;1&amp;"}]","[{"&amp;M1459&amp;","&amp;CEILING(N1459*10000+(O1459-N1459)/4*(COUNTIF($F$11:F1459,F1459)-1)*10000,10)&amp;"}]")</f>
        <v>[{dmg_red_rate,330}]</v>
      </c>
      <c r="H1459" s="82" t="s">
        <v>563</v>
      </c>
      <c r="J1459" s="78">
        <f ca="1">IF(MOD(COUNTIF($Q$11:Q1458,Q1458),5)=0,OFFSET(装备属性!$P$1083,1+INT(COUNTA($Q$11:Q1458)/5),0),J1458)</f>
        <v>6</v>
      </c>
      <c r="K1459" s="83" t="str">
        <f ca="1">IF(RIGHT(G1459,13)="rune_slot,1}]",_xlfn.XLOOKUP(LEFT(SUBSTITUTE(G1459,"[{",""),FIND(",",SUBSTITUTE(G1459,"[{",""))-1),Sheet2!B:B,Sheet2!C:C)&amp;"+"&amp;1,_xlfn.XLOOKUP(LEFT(SUBSTITUTE(G1459,"[{",""),FIND(",",SUBSTITUTE(G1459,"[{",""))-1),Sheet2!B:B,Sheet2!C:C)&amp;"+"&amp;SUBSTITUTE(RIGHT(G1459,LEN(G1459)-FIND(",",G1459)),"}]","")/100&amp;"%")</f>
        <v>伤害减免+3.3%</v>
      </c>
      <c r="L1459" s="83" t="str">
        <f ca="1">IF(MOD(COUNTIF($Q$11:Q1458,Q1458),5)=0,OFFSET(装备属性!$G$1083,1+INT(COUNTA($Q$11:Q1458)/5),0),L1458)</f>
        <v>全员抗揍Ⅴ</v>
      </c>
      <c r="M1459" s="89" t="str">
        <f ca="1">IF(MOD(COUNTIF($Q$11:Q1458,Q1458),5)=0,OFFSET(装备属性!$H$1083,1+INT(COUNTA($Q$11:Q1458)/5),0),M1458)</f>
        <v>dmg_red_rate</v>
      </c>
      <c r="N1459" s="76">
        <f ca="1">IF(MOD(COUNTIF($Q$11:Q1458,Q1458),5)=0,OFFSET(装备属性!$K$1083,1+INT(COUNTA($Q$11:Q1458)/5),0),N1458)</f>
        <v>0.03</v>
      </c>
      <c r="O1459" s="76">
        <f ca="1">IF(MOD(COUNTIF($Q$11:Q1458,Q1458),5)=0,OFFSET(装备属性!$L$1083,1+INT(COUNTA($Q$11:Q1458)/5),0),O1458)</f>
        <v>0.034</v>
      </c>
      <c r="Q1459" s="89" t="str">
        <f ca="1">IF(MOD(COUNTIF($Q$11:Q1458,Q1458),5)=0,OFFSET(装备属性!$M$1083,1+INT(COUNTA($Q$11:Q1458)/5),0),Q1458)</f>
        <v>通用属性</v>
      </c>
      <c r="R1459" s="83">
        <f ca="1">IF(MOD(COUNTIF($Q$11:Q1458,Q1458),5)=0,10000*SUBSTITUTE(SUBSTITUTE(OFFSET(装备属性!$F$1083,1+INT(COUNTA($Q$11:Q1458)/5),0),"[",""),"]","")+_xlfn.XLOOKUP(C1459,$M$3:$M$7,$N$3:$N$7)*100,R1458)</f>
        <v>50800</v>
      </c>
    </row>
    <row r="1460" customHeight="1" spans="1:18">
      <c r="A1460" s="78">
        <f ca="1" t="shared" si="66"/>
        <v>50801</v>
      </c>
      <c r="B1460" s="82">
        <f ca="1">IFERROR(R1460+COUNTIFS($R$11:$R1460,R1460),"")</f>
        <v>50805</v>
      </c>
      <c r="C1460" s="83" t="str">
        <f ca="1">IF(MOD(COUNTIF($Q$11:Q1459,Q1459),5)=0,OFFSET(装备属性!$D$1083,1+INT(COUNTA($Q$11:Q1459)/5),0),C1459)</f>
        <v>彩</v>
      </c>
      <c r="D1460" s="82">
        <f t="shared" si="68"/>
        <v>1000</v>
      </c>
      <c r="F1460" s="82">
        <f ca="1" t="shared" si="67"/>
        <v>50800</v>
      </c>
      <c r="G1460" s="78" t="str">
        <f ca="1">IF(AND(LEFT("[{"&amp;M1460&amp;","&amp;CEILING(N1460*10000+(O1460-N1460)/4*(COUNTIF($F$11:F1460,F1460)-1)*10000,10)&amp;"}]",7)="[{equip",MID("[{"&amp;M1460&amp;","&amp;CEILING(N1460*10000+(O1460-N1460)/4*(COUNTIF($F$11:F1460,F1460)-1)*10000,10)&amp;"}]",8,1)&lt;&gt;"_"),"[{"&amp;M1460&amp;","&amp;1&amp;"}]","[{"&amp;M1460&amp;","&amp;CEILING(N1460*10000+(O1460-N1460)/4*(COUNTIF($F$11:F1460,F1460)-1)*10000,10)&amp;"}]")</f>
        <v>[{dmg_red_rate,340}]</v>
      </c>
      <c r="H1460" s="82" t="s">
        <v>563</v>
      </c>
      <c r="J1460" s="78">
        <f ca="1">IF(MOD(COUNTIF($Q$11:Q1459,Q1459),5)=0,OFFSET(装备属性!$P$1083,1+INT(COUNTA($Q$11:Q1459)/5),0),J1459)</f>
        <v>6</v>
      </c>
      <c r="K1460" s="83" t="str">
        <f ca="1">IF(RIGHT(G1460,13)="rune_slot,1}]",_xlfn.XLOOKUP(LEFT(SUBSTITUTE(G1460,"[{",""),FIND(",",SUBSTITUTE(G1460,"[{",""))-1),Sheet2!B:B,Sheet2!C:C)&amp;"+"&amp;1,_xlfn.XLOOKUP(LEFT(SUBSTITUTE(G1460,"[{",""),FIND(",",SUBSTITUTE(G1460,"[{",""))-1),Sheet2!B:B,Sheet2!C:C)&amp;"+"&amp;SUBSTITUTE(RIGHT(G1460,LEN(G1460)-FIND(",",G1460)),"}]","")/100&amp;"%")</f>
        <v>伤害减免+3.4%</v>
      </c>
      <c r="L1460" s="83" t="str">
        <f ca="1">IF(MOD(COUNTIF($Q$11:Q1459,Q1459),5)=0,OFFSET(装备属性!$G$1083,1+INT(COUNTA($Q$11:Q1459)/5),0),L1459)</f>
        <v>全员抗揍Ⅴ</v>
      </c>
      <c r="M1460" s="89" t="str">
        <f ca="1">IF(MOD(COUNTIF($Q$11:Q1459,Q1459),5)=0,OFFSET(装备属性!$H$1083,1+INT(COUNTA($Q$11:Q1459)/5),0),M1459)</f>
        <v>dmg_red_rate</v>
      </c>
      <c r="N1460" s="76">
        <f ca="1">IF(MOD(COUNTIF($Q$11:Q1459,Q1459),5)=0,OFFSET(装备属性!$K$1083,1+INT(COUNTA($Q$11:Q1459)/5),0),N1459)</f>
        <v>0.03</v>
      </c>
      <c r="O1460" s="76">
        <f ca="1">IF(MOD(COUNTIF($Q$11:Q1459,Q1459),5)=0,OFFSET(装备属性!$L$1083,1+INT(COUNTA($Q$11:Q1459)/5),0),O1459)</f>
        <v>0.034</v>
      </c>
      <c r="Q1460" s="89" t="str">
        <f ca="1">IF(MOD(COUNTIF($Q$11:Q1459,Q1459),5)=0,OFFSET(装备属性!$M$1083,1+INT(COUNTA($Q$11:Q1459)/5),0),Q1459)</f>
        <v>通用属性</v>
      </c>
      <c r="R1460" s="83">
        <f ca="1">IF(MOD(COUNTIF($Q$11:Q1459,Q1459),5)=0,10000*SUBSTITUTE(SUBSTITUTE(OFFSET(装备属性!$F$1083,1+INT(COUNTA($Q$11:Q1459)/5),0),"[",""),"]","")+_xlfn.XLOOKUP(C1460,$M$3:$M$7,$N$3:$N$7)*100,R1459)</f>
        <v>50800</v>
      </c>
    </row>
    <row r="1461" customHeight="1" spans="1:18">
      <c r="A1461" s="78">
        <f ca="1" t="shared" si="66"/>
        <v>50801</v>
      </c>
      <c r="B1461" s="82">
        <f ca="1">IFERROR(R1461+COUNTIFS($R$11:$R1461,R1461),"")</f>
        <v>50806</v>
      </c>
      <c r="C1461" s="83" t="str">
        <f ca="1">IF(MOD(COUNTIF($Q$11:Q1460,Q1460),5)=0,OFFSET(装备属性!$D$1083,1+INT(COUNTA($Q$11:Q1460)/5),0),C1460)</f>
        <v>彩</v>
      </c>
      <c r="D1461" s="82">
        <f t="shared" si="68"/>
        <v>3000</v>
      </c>
      <c r="F1461" s="82">
        <f ca="1" t="shared" si="67"/>
        <v>50801</v>
      </c>
      <c r="G1461" s="78" t="str">
        <f ca="1">IF(AND(LEFT("[{"&amp;M1461&amp;","&amp;CEILING(N1461*10000+(O1461-N1461)/4*(COUNTIF($F$11:F1461,F1461)-1)*10000,10)&amp;"}]",7)="[{equip",MID("[{"&amp;M1461&amp;","&amp;CEILING(N1461*10000+(O1461-N1461)/4*(COUNTIF($F$11:F1461,F1461)-1)*10000,10)&amp;"}]",8,1)&lt;&gt;"_"),"[{"&amp;M1461&amp;","&amp;1&amp;"}]","[{"&amp;M1461&amp;","&amp;CEILING(N1461*10000+(O1461-N1461)/4*(COUNTIF($F$11:F1461,F1461)-1)*10000,10)&amp;"}]")</f>
        <v>[{all_class_dmg,720}]</v>
      </c>
      <c r="H1461" s="82" t="s">
        <v>563</v>
      </c>
      <c r="J1461" s="78">
        <f ca="1">IF(MOD(COUNTIF($Q$11:Q1460,Q1460),5)=0,OFFSET(装备属性!$P$1083,1+INT(COUNTA($Q$11:Q1460)/5),0),J1460)</f>
        <v>2</v>
      </c>
      <c r="K1461" s="83" t="str">
        <f ca="1">IF(RIGHT(G1461,13)="rune_slot,1}]",_xlfn.XLOOKUP(LEFT(SUBSTITUTE(G1461,"[{",""),FIND(",",SUBSTITUTE(G1461,"[{",""))-1),Sheet2!B:B,Sheet2!C:C)&amp;"+"&amp;1,_xlfn.XLOOKUP(LEFT(SUBSTITUTE(G1461,"[{",""),FIND(",",SUBSTITUTE(G1461,"[{",""))-1),Sheet2!B:B,Sheet2!C:C)&amp;"+"&amp;SUBSTITUTE(RIGHT(G1461,LEN(G1461)-FIND(",",G1461)),"}]","")/100&amp;"%")</f>
        <v>上阵五个不同职业增伤+7.2%</v>
      </c>
      <c r="L1461" s="83" t="str">
        <f ca="1">IF(MOD(COUNTIF($Q$11:Q1460,Q1460),5)=0,OFFSET(装备属性!$G$1083,1+INT(COUNTA($Q$11:Q1460)/5),0),L1460)</f>
        <v>全员出力Ⅴ</v>
      </c>
      <c r="M1461" s="89" t="str">
        <f ca="1">IF(MOD(COUNTIF($Q$11:Q1460,Q1460),5)=0,OFFSET(装备属性!$H$1083,1+INT(COUNTA($Q$11:Q1460)/5),0),M1460)</f>
        <v>all_class_dmg</v>
      </c>
      <c r="N1461" s="76">
        <f ca="1">IF(MOD(COUNTIF($Q$11:Q1460,Q1460),5)=0,OFFSET(装备属性!$K$1083,1+INT(COUNTA($Q$11:Q1460)/5),0),N1460)</f>
        <v>0.072</v>
      </c>
      <c r="O1461" s="76">
        <f ca="1">IF(MOD(COUNTIF($Q$11:Q1460,Q1460),5)=0,OFFSET(装备属性!$L$1083,1+INT(COUNTA($Q$11:Q1460)/5),0),O1460)</f>
        <v>0.086</v>
      </c>
      <c r="Q1461" s="89" t="str">
        <f ca="1">IF(MOD(COUNTIF($Q$11:Q1460,Q1460),5)=0,OFFSET(装备属性!$M$1083,1+INT(COUNTA($Q$11:Q1460)/5),0),Q1460)</f>
        <v>通用属性</v>
      </c>
      <c r="R1461" s="83">
        <f ca="1">IF(MOD(COUNTIF($Q$11:Q1460,Q1460),5)=0,10000*SUBSTITUTE(SUBSTITUTE(OFFSET(装备属性!$F$1083,1+INT(COUNTA($Q$11:Q1460)/5),0),"[",""),"]","")+_xlfn.XLOOKUP(C1461,$M$3:$M$7,$N$3:$N$7)*100,R1460)</f>
        <v>50800</v>
      </c>
    </row>
    <row r="1462" customHeight="1" spans="1:18">
      <c r="A1462" s="78">
        <f ca="1" t="shared" si="66"/>
        <v>50801</v>
      </c>
      <c r="B1462" s="82">
        <f ca="1">IFERROR(R1462+COUNTIFS($R$11:$R1462,R1462),"")</f>
        <v>50807</v>
      </c>
      <c r="C1462" s="83" t="str">
        <f ca="1">IF(MOD(COUNTIF($Q$11:Q1461,Q1461),5)=0,OFFSET(装备属性!$D$1083,1+INT(COUNTA($Q$11:Q1461)/5),0),C1461)</f>
        <v>彩</v>
      </c>
      <c r="D1462" s="82">
        <f t="shared" si="68"/>
        <v>2500</v>
      </c>
      <c r="F1462" s="82">
        <f ca="1" t="shared" si="67"/>
        <v>50801</v>
      </c>
      <c r="G1462" s="78" t="str">
        <f ca="1">IF(AND(LEFT("[{"&amp;M1462&amp;","&amp;CEILING(N1462*10000+(O1462-N1462)/4*(COUNTIF($F$11:F1462,F1462)-1)*10000,10)&amp;"}]",7)="[{equip",MID("[{"&amp;M1462&amp;","&amp;CEILING(N1462*10000+(O1462-N1462)/4*(COUNTIF($F$11:F1462,F1462)-1)*10000,10)&amp;"}]",8,1)&lt;&gt;"_"),"[{"&amp;M1462&amp;","&amp;1&amp;"}]","[{"&amp;M1462&amp;","&amp;CEILING(N1462*10000+(O1462-N1462)/4*(COUNTIF($F$11:F1462,F1462)-1)*10000,10)&amp;"}]")</f>
        <v>[{all_class_dmg,760}]</v>
      </c>
      <c r="H1462" s="82" t="s">
        <v>563</v>
      </c>
      <c r="J1462" s="78">
        <f ca="1">IF(MOD(COUNTIF($Q$11:Q1461,Q1461),5)=0,OFFSET(装备属性!$P$1083,1+INT(COUNTA($Q$11:Q1461)/5),0),J1461)</f>
        <v>2</v>
      </c>
      <c r="K1462" s="83" t="str">
        <f ca="1">IF(RIGHT(G1462,13)="rune_slot,1}]",_xlfn.XLOOKUP(LEFT(SUBSTITUTE(G1462,"[{",""),FIND(",",SUBSTITUTE(G1462,"[{",""))-1),Sheet2!B:B,Sheet2!C:C)&amp;"+"&amp;1,_xlfn.XLOOKUP(LEFT(SUBSTITUTE(G1462,"[{",""),FIND(",",SUBSTITUTE(G1462,"[{",""))-1),Sheet2!B:B,Sheet2!C:C)&amp;"+"&amp;SUBSTITUTE(RIGHT(G1462,LEN(G1462)-FIND(",",G1462)),"}]","")/100&amp;"%")</f>
        <v>上阵五个不同职业增伤+7.6%</v>
      </c>
      <c r="L1462" s="83" t="str">
        <f ca="1">IF(MOD(COUNTIF($Q$11:Q1461,Q1461),5)=0,OFFSET(装备属性!$G$1083,1+INT(COUNTA($Q$11:Q1461)/5),0),L1461)</f>
        <v>全员出力Ⅴ</v>
      </c>
      <c r="M1462" s="89" t="str">
        <f ca="1">IF(MOD(COUNTIF($Q$11:Q1461,Q1461),5)=0,OFFSET(装备属性!$H$1083,1+INT(COUNTA($Q$11:Q1461)/5),0),M1461)</f>
        <v>all_class_dmg</v>
      </c>
      <c r="N1462" s="76">
        <f ca="1">IF(MOD(COUNTIF($Q$11:Q1461,Q1461),5)=0,OFFSET(装备属性!$K$1083,1+INT(COUNTA($Q$11:Q1461)/5),0),N1461)</f>
        <v>0.072</v>
      </c>
      <c r="O1462" s="76">
        <f ca="1">IF(MOD(COUNTIF($Q$11:Q1461,Q1461),5)=0,OFFSET(装备属性!$L$1083,1+INT(COUNTA($Q$11:Q1461)/5),0),O1461)</f>
        <v>0.086</v>
      </c>
      <c r="Q1462" s="89" t="str">
        <f ca="1">IF(MOD(COUNTIF($Q$11:Q1461,Q1461),5)=0,OFFSET(装备属性!$M$1083,1+INT(COUNTA($Q$11:Q1461)/5),0),Q1461)</f>
        <v>通用属性</v>
      </c>
      <c r="R1462" s="83">
        <f ca="1">IF(MOD(COUNTIF($Q$11:Q1461,Q1461),5)=0,10000*SUBSTITUTE(SUBSTITUTE(OFFSET(装备属性!$F$1083,1+INT(COUNTA($Q$11:Q1461)/5),0),"[",""),"]","")+_xlfn.XLOOKUP(C1462,$M$3:$M$7,$N$3:$N$7)*100,R1461)</f>
        <v>50800</v>
      </c>
    </row>
    <row r="1463" customHeight="1" spans="1:18">
      <c r="A1463" s="78">
        <f ca="1" t="shared" si="66"/>
        <v>50801</v>
      </c>
      <c r="B1463" s="82">
        <f ca="1">IFERROR(R1463+COUNTIFS($R$11:$R1463,R1463),"")</f>
        <v>50808</v>
      </c>
      <c r="C1463" s="83" t="str">
        <f ca="1">IF(MOD(COUNTIF($Q$11:Q1462,Q1462),5)=0,OFFSET(装备属性!$D$1083,1+INT(COUNTA($Q$11:Q1462)/5),0),C1462)</f>
        <v>彩</v>
      </c>
      <c r="D1463" s="82">
        <f t="shared" si="68"/>
        <v>2000</v>
      </c>
      <c r="F1463" s="82">
        <f ca="1" t="shared" si="67"/>
        <v>50801</v>
      </c>
      <c r="G1463" s="78" t="str">
        <f ca="1">IF(AND(LEFT("[{"&amp;M1463&amp;","&amp;CEILING(N1463*10000+(O1463-N1463)/4*(COUNTIF($F$11:F1463,F1463)-1)*10000,10)&amp;"}]",7)="[{equip",MID("[{"&amp;M1463&amp;","&amp;CEILING(N1463*10000+(O1463-N1463)/4*(COUNTIF($F$11:F1463,F1463)-1)*10000,10)&amp;"}]",8,1)&lt;&gt;"_"),"[{"&amp;M1463&amp;","&amp;1&amp;"}]","[{"&amp;M1463&amp;","&amp;CEILING(N1463*10000+(O1463-N1463)/4*(COUNTIF($F$11:F1463,F1463)-1)*10000,10)&amp;"}]")</f>
        <v>[{all_class_dmg,790}]</v>
      </c>
      <c r="H1463" s="82" t="s">
        <v>563</v>
      </c>
      <c r="J1463" s="78">
        <f ca="1">IF(MOD(COUNTIF($Q$11:Q1462,Q1462),5)=0,OFFSET(装备属性!$P$1083,1+INT(COUNTA($Q$11:Q1462)/5),0),J1462)</f>
        <v>2</v>
      </c>
      <c r="K1463" s="83" t="str">
        <f ca="1">IF(RIGHT(G1463,13)="rune_slot,1}]",_xlfn.XLOOKUP(LEFT(SUBSTITUTE(G1463,"[{",""),FIND(",",SUBSTITUTE(G1463,"[{",""))-1),Sheet2!B:B,Sheet2!C:C)&amp;"+"&amp;1,_xlfn.XLOOKUP(LEFT(SUBSTITUTE(G1463,"[{",""),FIND(",",SUBSTITUTE(G1463,"[{",""))-1),Sheet2!B:B,Sheet2!C:C)&amp;"+"&amp;SUBSTITUTE(RIGHT(G1463,LEN(G1463)-FIND(",",G1463)),"}]","")/100&amp;"%")</f>
        <v>上阵五个不同职业增伤+7.9%</v>
      </c>
      <c r="L1463" s="83" t="str">
        <f ca="1">IF(MOD(COUNTIF($Q$11:Q1462,Q1462),5)=0,OFFSET(装备属性!$G$1083,1+INT(COUNTA($Q$11:Q1462)/5),0),L1462)</f>
        <v>全员出力Ⅴ</v>
      </c>
      <c r="M1463" s="89" t="str">
        <f ca="1">IF(MOD(COUNTIF($Q$11:Q1462,Q1462),5)=0,OFFSET(装备属性!$H$1083,1+INT(COUNTA($Q$11:Q1462)/5),0),M1462)</f>
        <v>all_class_dmg</v>
      </c>
      <c r="N1463" s="76">
        <f ca="1">IF(MOD(COUNTIF($Q$11:Q1462,Q1462),5)=0,OFFSET(装备属性!$K$1083,1+INT(COUNTA($Q$11:Q1462)/5),0),N1462)</f>
        <v>0.072</v>
      </c>
      <c r="O1463" s="76">
        <f ca="1">IF(MOD(COUNTIF($Q$11:Q1462,Q1462),5)=0,OFFSET(装备属性!$L$1083,1+INT(COUNTA($Q$11:Q1462)/5),0),O1462)</f>
        <v>0.086</v>
      </c>
      <c r="Q1463" s="89" t="str">
        <f ca="1">IF(MOD(COUNTIF($Q$11:Q1462,Q1462),5)=0,OFFSET(装备属性!$M$1083,1+INT(COUNTA($Q$11:Q1462)/5),0),Q1462)</f>
        <v>通用属性</v>
      </c>
      <c r="R1463" s="83">
        <f ca="1">IF(MOD(COUNTIF($Q$11:Q1462,Q1462),5)=0,10000*SUBSTITUTE(SUBSTITUTE(OFFSET(装备属性!$F$1083,1+INT(COUNTA($Q$11:Q1462)/5),0),"[",""),"]","")+_xlfn.XLOOKUP(C1463,$M$3:$M$7,$N$3:$N$7)*100,R1462)</f>
        <v>50800</v>
      </c>
    </row>
    <row r="1464" customHeight="1" spans="1:18">
      <c r="A1464" s="78">
        <f ca="1" t="shared" si="66"/>
        <v>50801</v>
      </c>
      <c r="B1464" s="82">
        <f ca="1">IFERROR(R1464+COUNTIFS($R$11:$R1464,R1464),"")</f>
        <v>50809</v>
      </c>
      <c r="C1464" s="83" t="str">
        <f ca="1">IF(MOD(COUNTIF($Q$11:Q1463,Q1463),5)=0,OFFSET(装备属性!$D$1083,1+INT(COUNTA($Q$11:Q1463)/5),0),C1463)</f>
        <v>彩</v>
      </c>
      <c r="D1464" s="82">
        <f t="shared" si="68"/>
        <v>1500</v>
      </c>
      <c r="F1464" s="82">
        <f ca="1" t="shared" si="67"/>
        <v>50801</v>
      </c>
      <c r="G1464" s="78" t="str">
        <f ca="1">IF(AND(LEFT("[{"&amp;M1464&amp;","&amp;CEILING(N1464*10000+(O1464-N1464)/4*(COUNTIF($F$11:F1464,F1464)-1)*10000,10)&amp;"}]",7)="[{equip",MID("[{"&amp;M1464&amp;","&amp;CEILING(N1464*10000+(O1464-N1464)/4*(COUNTIF($F$11:F1464,F1464)-1)*10000,10)&amp;"}]",8,1)&lt;&gt;"_"),"[{"&amp;M1464&amp;","&amp;1&amp;"}]","[{"&amp;M1464&amp;","&amp;CEILING(N1464*10000+(O1464-N1464)/4*(COUNTIF($F$11:F1464,F1464)-1)*10000,10)&amp;"}]")</f>
        <v>[{all_class_dmg,830}]</v>
      </c>
      <c r="H1464" s="82" t="s">
        <v>563</v>
      </c>
      <c r="J1464" s="78">
        <f ca="1">IF(MOD(COUNTIF($Q$11:Q1463,Q1463),5)=0,OFFSET(装备属性!$P$1083,1+INT(COUNTA($Q$11:Q1463)/5),0),J1463)</f>
        <v>2</v>
      </c>
      <c r="K1464" s="83" t="str">
        <f ca="1">IF(RIGHT(G1464,13)="rune_slot,1}]",_xlfn.XLOOKUP(LEFT(SUBSTITUTE(G1464,"[{",""),FIND(",",SUBSTITUTE(G1464,"[{",""))-1),Sheet2!B:B,Sheet2!C:C)&amp;"+"&amp;1,_xlfn.XLOOKUP(LEFT(SUBSTITUTE(G1464,"[{",""),FIND(",",SUBSTITUTE(G1464,"[{",""))-1),Sheet2!B:B,Sheet2!C:C)&amp;"+"&amp;SUBSTITUTE(RIGHT(G1464,LEN(G1464)-FIND(",",G1464)),"}]","")/100&amp;"%")</f>
        <v>上阵五个不同职业增伤+8.3%</v>
      </c>
      <c r="L1464" s="83" t="str">
        <f ca="1">IF(MOD(COUNTIF($Q$11:Q1463,Q1463),5)=0,OFFSET(装备属性!$G$1083,1+INT(COUNTA($Q$11:Q1463)/5),0),L1463)</f>
        <v>全员出力Ⅴ</v>
      </c>
      <c r="M1464" s="89" t="str">
        <f ca="1">IF(MOD(COUNTIF($Q$11:Q1463,Q1463),5)=0,OFFSET(装备属性!$H$1083,1+INT(COUNTA($Q$11:Q1463)/5),0),M1463)</f>
        <v>all_class_dmg</v>
      </c>
      <c r="N1464" s="76">
        <f ca="1">IF(MOD(COUNTIF($Q$11:Q1463,Q1463),5)=0,OFFSET(装备属性!$K$1083,1+INT(COUNTA($Q$11:Q1463)/5),0),N1463)</f>
        <v>0.072</v>
      </c>
      <c r="O1464" s="76">
        <f ca="1">IF(MOD(COUNTIF($Q$11:Q1463,Q1463),5)=0,OFFSET(装备属性!$L$1083,1+INT(COUNTA($Q$11:Q1463)/5),0),O1463)</f>
        <v>0.086</v>
      </c>
      <c r="Q1464" s="89" t="str">
        <f ca="1">IF(MOD(COUNTIF($Q$11:Q1463,Q1463),5)=0,OFFSET(装备属性!$M$1083,1+INT(COUNTA($Q$11:Q1463)/5),0),Q1463)</f>
        <v>通用属性</v>
      </c>
      <c r="R1464" s="83">
        <f ca="1">IF(MOD(COUNTIF($Q$11:Q1463,Q1463),5)=0,10000*SUBSTITUTE(SUBSTITUTE(OFFSET(装备属性!$F$1083,1+INT(COUNTA($Q$11:Q1463)/5),0),"[",""),"]","")+_xlfn.XLOOKUP(C1464,$M$3:$M$7,$N$3:$N$7)*100,R1463)</f>
        <v>50800</v>
      </c>
    </row>
    <row r="1465" customHeight="1" spans="1:18">
      <c r="A1465" s="78">
        <f ca="1" t="shared" si="66"/>
        <v>50801</v>
      </c>
      <c r="B1465" s="82">
        <f ca="1">IFERROR(R1465+COUNTIFS($R$11:$R1465,R1465),"")</f>
        <v>50810</v>
      </c>
      <c r="C1465" s="83" t="str">
        <f ca="1">IF(MOD(COUNTIF($Q$11:Q1464,Q1464),5)=0,OFFSET(装备属性!$D$1083,1+INT(COUNTA($Q$11:Q1464)/5),0),C1464)</f>
        <v>彩</v>
      </c>
      <c r="D1465" s="82">
        <f t="shared" si="68"/>
        <v>1000</v>
      </c>
      <c r="F1465" s="82">
        <f ca="1" t="shared" si="67"/>
        <v>50801</v>
      </c>
      <c r="G1465" s="78" t="str">
        <f ca="1">IF(AND(LEFT("[{"&amp;M1465&amp;","&amp;CEILING(N1465*10000+(O1465-N1465)/4*(COUNTIF($F$11:F1465,F1465)-1)*10000,10)&amp;"}]",7)="[{equip",MID("[{"&amp;M1465&amp;","&amp;CEILING(N1465*10000+(O1465-N1465)/4*(COUNTIF($F$11:F1465,F1465)-1)*10000,10)&amp;"}]",8,1)&lt;&gt;"_"),"[{"&amp;M1465&amp;","&amp;1&amp;"}]","[{"&amp;M1465&amp;","&amp;CEILING(N1465*10000+(O1465-N1465)/4*(COUNTIF($F$11:F1465,F1465)-1)*10000,10)&amp;"}]")</f>
        <v>[{all_class_dmg,860}]</v>
      </c>
      <c r="H1465" s="82" t="s">
        <v>563</v>
      </c>
      <c r="J1465" s="78">
        <f ca="1">IF(MOD(COUNTIF($Q$11:Q1464,Q1464),5)=0,OFFSET(装备属性!$P$1083,1+INT(COUNTA($Q$11:Q1464)/5),0),J1464)</f>
        <v>2</v>
      </c>
      <c r="K1465" s="83" t="str">
        <f ca="1">IF(RIGHT(G1465,13)="rune_slot,1}]",_xlfn.XLOOKUP(LEFT(SUBSTITUTE(G1465,"[{",""),FIND(",",SUBSTITUTE(G1465,"[{",""))-1),Sheet2!B:B,Sheet2!C:C)&amp;"+"&amp;1,_xlfn.XLOOKUP(LEFT(SUBSTITUTE(G1465,"[{",""),FIND(",",SUBSTITUTE(G1465,"[{",""))-1),Sheet2!B:B,Sheet2!C:C)&amp;"+"&amp;SUBSTITUTE(RIGHT(G1465,LEN(G1465)-FIND(",",G1465)),"}]","")/100&amp;"%")</f>
        <v>上阵五个不同职业增伤+8.6%</v>
      </c>
      <c r="L1465" s="83" t="str">
        <f ca="1">IF(MOD(COUNTIF($Q$11:Q1464,Q1464),5)=0,OFFSET(装备属性!$G$1083,1+INT(COUNTA($Q$11:Q1464)/5),0),L1464)</f>
        <v>全员出力Ⅴ</v>
      </c>
      <c r="M1465" s="89" t="str">
        <f ca="1">IF(MOD(COUNTIF($Q$11:Q1464,Q1464),5)=0,OFFSET(装备属性!$H$1083,1+INT(COUNTA($Q$11:Q1464)/5),0),M1464)</f>
        <v>all_class_dmg</v>
      </c>
      <c r="N1465" s="76">
        <f ca="1">IF(MOD(COUNTIF($Q$11:Q1464,Q1464),5)=0,OFFSET(装备属性!$K$1083,1+INT(COUNTA($Q$11:Q1464)/5),0),N1464)</f>
        <v>0.072</v>
      </c>
      <c r="O1465" s="76">
        <f ca="1">IF(MOD(COUNTIF($Q$11:Q1464,Q1464),5)=0,OFFSET(装备属性!$L$1083,1+INT(COUNTA($Q$11:Q1464)/5),0),O1464)</f>
        <v>0.086</v>
      </c>
      <c r="Q1465" s="89" t="str">
        <f ca="1">IF(MOD(COUNTIF($Q$11:Q1464,Q1464),5)=0,OFFSET(装备属性!$M$1083,1+INT(COUNTA($Q$11:Q1464)/5),0),Q1464)</f>
        <v>通用属性</v>
      </c>
      <c r="R1465" s="83">
        <f ca="1">IF(MOD(COUNTIF($Q$11:Q1464,Q1464),5)=0,10000*SUBSTITUTE(SUBSTITUTE(OFFSET(装备属性!$F$1083,1+INT(COUNTA($Q$11:Q1464)/5),0),"[",""),"]","")+_xlfn.XLOOKUP(C1465,$M$3:$M$7,$N$3:$N$7)*100,R1464)</f>
        <v>50800</v>
      </c>
    </row>
    <row r="1466" customHeight="1" spans="1:18">
      <c r="A1466" s="78">
        <f ca="1" t="shared" si="66"/>
        <v>50803</v>
      </c>
      <c r="B1466" s="82">
        <f ca="1">IFERROR(R1466+COUNTIFS($R$11:$R1466,R1466),"")</f>
        <v>50811</v>
      </c>
      <c r="C1466" s="83" t="str">
        <f ca="1">IF(MOD(COUNTIF($Q$11:Q1465,Q1465),5)=0,OFFSET(装备属性!$D$1083,1+INT(COUNTA($Q$11:Q1465)/5),0),C1465)</f>
        <v>彩</v>
      </c>
      <c r="D1466" s="82">
        <f t="shared" si="68"/>
        <v>3000</v>
      </c>
      <c r="F1466" s="82">
        <f ca="1" t="shared" si="67"/>
        <v>50802</v>
      </c>
      <c r="G1466" s="78" t="str">
        <f ca="1">IF(AND(LEFT("[{"&amp;M1466&amp;","&amp;CEILING(N1466*10000+(O1466-N1466)/4*(COUNTIF($F$11:F1466,F1466)-1)*10000,10)&amp;"}]",7)="[{equip",MID("[{"&amp;M1466&amp;","&amp;CEILING(N1466*10000+(O1466-N1466)/4*(COUNTIF($F$11:F1466,F1466)-1)*10000,10)&amp;"}]",8,1)&lt;&gt;"_"),"[{"&amp;M1466&amp;","&amp;1&amp;"}]","[{"&amp;M1466&amp;","&amp;CEILING(N1466*10000+(O1466-N1466)/4*(COUNTIF($F$11:F1466,F1466)-1)*10000,10)&amp;"}]")</f>
        <v>[{exp_boost,2000}]</v>
      </c>
      <c r="H1466" s="82" t="s">
        <v>563</v>
      </c>
      <c r="J1466" s="78">
        <f ca="1">IF(MOD(COUNTIF($Q$11:Q1465,Q1465),5)=0,OFFSET(装备属性!$P$1083,1+INT(COUNTA($Q$11:Q1465)/5),0),J1465)</f>
        <v>9</v>
      </c>
      <c r="K1466" s="83" t="str">
        <f ca="1">IF(RIGHT(G1466,13)="rune_slot,1}]",_xlfn.XLOOKUP(LEFT(SUBSTITUTE(G1466,"[{",""),FIND(",",SUBSTITUTE(G1466,"[{",""))-1),Sheet2!B:B,Sheet2!C:C)&amp;"+"&amp;1,_xlfn.XLOOKUP(LEFT(SUBSTITUTE(G1466,"[{",""),FIND(",",SUBSTITUTE(G1466,"[{",""))-1),Sheet2!B:B,Sheet2!C:C)&amp;"+"&amp;SUBSTITUTE(RIGHT(G1466,LEN(G1466)-FIND(",",G1466)),"}]","")/100&amp;"%")</f>
        <v>经验加成+20%</v>
      </c>
      <c r="L1466" s="83" t="str">
        <f ca="1">IF(MOD(COUNTIF($Q$11:Q1465,Q1465),5)=0,OFFSET(装备属性!$G$1083,1+INT(COUNTA($Q$11:Q1465)/5),0),L1465)</f>
        <v>涨见识</v>
      </c>
      <c r="M1466" s="89" t="str">
        <f ca="1">IF(MOD(COUNTIF($Q$11:Q1465,Q1465),5)=0,OFFSET(装备属性!$H$1083,1+INT(COUNTA($Q$11:Q1465)/5),0),M1465)</f>
        <v>exp_boost</v>
      </c>
      <c r="N1466" s="76">
        <f ca="1">IF(MOD(COUNTIF($Q$11:Q1465,Q1465),5)=0,OFFSET(装备属性!$K$1083,1+INT(COUNTA($Q$11:Q1465)/5),0),N1465)</f>
        <v>0.2</v>
      </c>
      <c r="O1466" s="76">
        <f ca="1">IF(MOD(COUNTIF($Q$11:Q1465,Q1465),5)=0,OFFSET(装备属性!$L$1083,1+INT(COUNTA($Q$11:Q1465)/5),0),O1465)</f>
        <v>0.2</v>
      </c>
      <c r="Q1466" s="89" t="str">
        <f ca="1">IF(MOD(COUNTIF($Q$11:Q1465,Q1465),5)=0,OFFSET(装备属性!$M$1083,1+INT(COUNTA($Q$11:Q1465)/5),0),Q1465)</f>
        <v>稀有词条</v>
      </c>
      <c r="R1466" s="83">
        <f ca="1">IF(MOD(COUNTIF($Q$11:Q1465,Q1465),5)=0,10000*SUBSTITUTE(SUBSTITUTE(OFFSET(装备属性!$F$1083,1+INT(COUNTA($Q$11:Q1465)/5),0),"[",""),"]","")+_xlfn.XLOOKUP(C1466,$M$3:$M$7,$N$3:$N$7)*100,R1465)</f>
        <v>50800</v>
      </c>
    </row>
    <row r="1467" customHeight="1" spans="1:18">
      <c r="A1467" s="78">
        <f ca="1" t="shared" si="66"/>
        <v>50803</v>
      </c>
      <c r="B1467" s="82">
        <f ca="1">IFERROR(R1467+COUNTIFS($R$11:$R1467,R1467),"")</f>
        <v>50812</v>
      </c>
      <c r="C1467" s="83" t="str">
        <f ca="1">IF(MOD(COUNTIF($Q$11:Q1466,Q1466),5)=0,OFFSET(装备属性!$D$1083,1+INT(COUNTA($Q$11:Q1466)/5),0),C1466)</f>
        <v>彩</v>
      </c>
      <c r="D1467" s="82">
        <f t="shared" si="68"/>
        <v>2500</v>
      </c>
      <c r="F1467" s="82">
        <f ca="1" t="shared" si="67"/>
        <v>50802</v>
      </c>
      <c r="G1467" s="78" t="str">
        <f ca="1">IF(AND(LEFT("[{"&amp;M1467&amp;","&amp;CEILING(N1467*10000+(O1467-N1467)/4*(COUNTIF($F$11:F1467,F1467)-1)*10000,10)&amp;"}]",7)="[{equip",MID("[{"&amp;M1467&amp;","&amp;CEILING(N1467*10000+(O1467-N1467)/4*(COUNTIF($F$11:F1467,F1467)-1)*10000,10)&amp;"}]",8,1)&lt;&gt;"_"),"[{"&amp;M1467&amp;","&amp;1&amp;"}]","[{"&amp;M1467&amp;","&amp;CEILING(N1467*10000+(O1467-N1467)/4*(COUNTIF($F$11:F1467,F1467)-1)*10000,10)&amp;"}]")</f>
        <v>[{exp_boost,2000}]</v>
      </c>
      <c r="H1467" s="82" t="s">
        <v>563</v>
      </c>
      <c r="J1467" s="78">
        <f ca="1">IF(MOD(COUNTIF($Q$11:Q1466,Q1466),5)=0,OFFSET(装备属性!$P$1083,1+INT(COUNTA($Q$11:Q1466)/5),0),J1466)</f>
        <v>9</v>
      </c>
      <c r="K1467" s="83" t="str">
        <f ca="1">IF(RIGHT(G1467,13)="rune_slot,1}]",_xlfn.XLOOKUP(LEFT(SUBSTITUTE(G1467,"[{",""),FIND(",",SUBSTITUTE(G1467,"[{",""))-1),Sheet2!B:B,Sheet2!C:C)&amp;"+"&amp;1,_xlfn.XLOOKUP(LEFT(SUBSTITUTE(G1467,"[{",""),FIND(",",SUBSTITUTE(G1467,"[{",""))-1),Sheet2!B:B,Sheet2!C:C)&amp;"+"&amp;SUBSTITUTE(RIGHT(G1467,LEN(G1467)-FIND(",",G1467)),"}]","")/100&amp;"%")</f>
        <v>经验加成+20%</v>
      </c>
      <c r="L1467" s="83" t="str">
        <f ca="1">IF(MOD(COUNTIF($Q$11:Q1466,Q1466),5)=0,OFFSET(装备属性!$G$1083,1+INT(COUNTA($Q$11:Q1466)/5),0),L1466)</f>
        <v>涨见识</v>
      </c>
      <c r="M1467" s="89" t="str">
        <f ca="1">IF(MOD(COUNTIF($Q$11:Q1466,Q1466),5)=0,OFFSET(装备属性!$H$1083,1+INT(COUNTA($Q$11:Q1466)/5),0),M1466)</f>
        <v>exp_boost</v>
      </c>
      <c r="N1467" s="76">
        <f ca="1">IF(MOD(COUNTIF($Q$11:Q1466,Q1466),5)=0,OFFSET(装备属性!$K$1083,1+INT(COUNTA($Q$11:Q1466)/5),0),N1466)</f>
        <v>0.2</v>
      </c>
      <c r="O1467" s="76">
        <f ca="1">IF(MOD(COUNTIF($Q$11:Q1466,Q1466),5)=0,OFFSET(装备属性!$L$1083,1+INT(COUNTA($Q$11:Q1466)/5),0),O1466)</f>
        <v>0.2</v>
      </c>
      <c r="Q1467" s="89" t="str">
        <f ca="1">IF(MOD(COUNTIF($Q$11:Q1466,Q1466),5)=0,OFFSET(装备属性!$M$1083,1+INT(COUNTA($Q$11:Q1466)/5),0),Q1466)</f>
        <v>稀有词条</v>
      </c>
      <c r="R1467" s="83">
        <f ca="1">IF(MOD(COUNTIF($Q$11:Q1466,Q1466),5)=0,10000*SUBSTITUTE(SUBSTITUTE(OFFSET(装备属性!$F$1083,1+INT(COUNTA($Q$11:Q1466)/5),0),"[",""),"]","")+_xlfn.XLOOKUP(C1467,$M$3:$M$7,$N$3:$N$7)*100,R1466)</f>
        <v>50800</v>
      </c>
    </row>
    <row r="1468" customHeight="1" spans="1:18">
      <c r="A1468" s="78">
        <f ca="1" t="shared" si="66"/>
        <v>50803</v>
      </c>
      <c r="B1468" s="82">
        <f ca="1">IFERROR(R1468+COUNTIFS($R$11:$R1468,R1468),"")</f>
        <v>50813</v>
      </c>
      <c r="C1468" s="83" t="str">
        <f ca="1">IF(MOD(COUNTIF($Q$11:Q1467,Q1467),5)=0,OFFSET(装备属性!$D$1083,1+INT(COUNTA($Q$11:Q1467)/5),0),C1467)</f>
        <v>彩</v>
      </c>
      <c r="D1468" s="82">
        <f t="shared" si="68"/>
        <v>2000</v>
      </c>
      <c r="F1468" s="82">
        <f ca="1" t="shared" si="67"/>
        <v>50802</v>
      </c>
      <c r="G1468" s="78" t="str">
        <f ca="1">IF(AND(LEFT("[{"&amp;M1468&amp;","&amp;CEILING(N1468*10000+(O1468-N1468)/4*(COUNTIF($F$11:F1468,F1468)-1)*10000,10)&amp;"}]",7)="[{equip",MID("[{"&amp;M1468&amp;","&amp;CEILING(N1468*10000+(O1468-N1468)/4*(COUNTIF($F$11:F1468,F1468)-1)*10000,10)&amp;"}]",8,1)&lt;&gt;"_"),"[{"&amp;M1468&amp;","&amp;1&amp;"}]","[{"&amp;M1468&amp;","&amp;CEILING(N1468*10000+(O1468-N1468)/4*(COUNTIF($F$11:F1468,F1468)-1)*10000,10)&amp;"}]")</f>
        <v>[{exp_boost,2000}]</v>
      </c>
      <c r="H1468" s="82" t="s">
        <v>563</v>
      </c>
      <c r="J1468" s="78">
        <f ca="1">IF(MOD(COUNTIF($Q$11:Q1467,Q1467),5)=0,OFFSET(装备属性!$P$1083,1+INT(COUNTA($Q$11:Q1467)/5),0),J1467)</f>
        <v>9</v>
      </c>
      <c r="K1468" s="83" t="str">
        <f ca="1">IF(RIGHT(G1468,13)="rune_slot,1}]",_xlfn.XLOOKUP(LEFT(SUBSTITUTE(G1468,"[{",""),FIND(",",SUBSTITUTE(G1468,"[{",""))-1),Sheet2!B:B,Sheet2!C:C)&amp;"+"&amp;1,_xlfn.XLOOKUP(LEFT(SUBSTITUTE(G1468,"[{",""),FIND(",",SUBSTITUTE(G1468,"[{",""))-1),Sheet2!B:B,Sheet2!C:C)&amp;"+"&amp;SUBSTITUTE(RIGHT(G1468,LEN(G1468)-FIND(",",G1468)),"}]","")/100&amp;"%")</f>
        <v>经验加成+20%</v>
      </c>
      <c r="L1468" s="83" t="str">
        <f ca="1">IF(MOD(COUNTIF($Q$11:Q1467,Q1467),5)=0,OFFSET(装备属性!$G$1083,1+INT(COUNTA($Q$11:Q1467)/5),0),L1467)</f>
        <v>涨见识</v>
      </c>
      <c r="M1468" s="89" t="str">
        <f ca="1">IF(MOD(COUNTIF($Q$11:Q1467,Q1467),5)=0,OFFSET(装备属性!$H$1083,1+INT(COUNTA($Q$11:Q1467)/5),0),M1467)</f>
        <v>exp_boost</v>
      </c>
      <c r="N1468" s="76">
        <f ca="1">IF(MOD(COUNTIF($Q$11:Q1467,Q1467),5)=0,OFFSET(装备属性!$K$1083,1+INT(COUNTA($Q$11:Q1467)/5),0),N1467)</f>
        <v>0.2</v>
      </c>
      <c r="O1468" s="76">
        <f ca="1">IF(MOD(COUNTIF($Q$11:Q1467,Q1467),5)=0,OFFSET(装备属性!$L$1083,1+INT(COUNTA($Q$11:Q1467)/5),0),O1467)</f>
        <v>0.2</v>
      </c>
      <c r="Q1468" s="89" t="str">
        <f ca="1">IF(MOD(COUNTIF($Q$11:Q1467,Q1467),5)=0,OFFSET(装备属性!$M$1083,1+INT(COUNTA($Q$11:Q1467)/5),0),Q1467)</f>
        <v>稀有词条</v>
      </c>
      <c r="R1468" s="83">
        <f ca="1">IF(MOD(COUNTIF($Q$11:Q1467,Q1467),5)=0,10000*SUBSTITUTE(SUBSTITUTE(OFFSET(装备属性!$F$1083,1+INT(COUNTA($Q$11:Q1467)/5),0),"[",""),"]","")+_xlfn.XLOOKUP(C1468,$M$3:$M$7,$N$3:$N$7)*100,R1467)</f>
        <v>50800</v>
      </c>
    </row>
    <row r="1469" customHeight="1" spans="1:18">
      <c r="A1469" s="78">
        <f ca="1" t="shared" si="66"/>
        <v>50803</v>
      </c>
      <c r="B1469" s="82">
        <f ca="1">IFERROR(R1469+COUNTIFS($R$11:$R1469,R1469),"")</f>
        <v>50814</v>
      </c>
      <c r="C1469" s="83" t="str">
        <f ca="1">IF(MOD(COUNTIF($Q$11:Q1468,Q1468),5)=0,OFFSET(装备属性!$D$1083,1+INT(COUNTA($Q$11:Q1468)/5),0),C1468)</f>
        <v>彩</v>
      </c>
      <c r="D1469" s="82">
        <f t="shared" si="68"/>
        <v>1500</v>
      </c>
      <c r="F1469" s="82">
        <f ca="1" t="shared" si="67"/>
        <v>50802</v>
      </c>
      <c r="G1469" s="78" t="str">
        <f ca="1">IF(AND(LEFT("[{"&amp;M1469&amp;","&amp;CEILING(N1469*10000+(O1469-N1469)/4*(COUNTIF($F$11:F1469,F1469)-1)*10000,10)&amp;"}]",7)="[{equip",MID("[{"&amp;M1469&amp;","&amp;CEILING(N1469*10000+(O1469-N1469)/4*(COUNTIF($F$11:F1469,F1469)-1)*10000,10)&amp;"}]",8,1)&lt;&gt;"_"),"[{"&amp;M1469&amp;","&amp;1&amp;"}]","[{"&amp;M1469&amp;","&amp;CEILING(N1469*10000+(O1469-N1469)/4*(COUNTIF($F$11:F1469,F1469)-1)*10000,10)&amp;"}]")</f>
        <v>[{exp_boost,2000}]</v>
      </c>
      <c r="H1469" s="82" t="s">
        <v>563</v>
      </c>
      <c r="J1469" s="78">
        <f ca="1">IF(MOD(COUNTIF($Q$11:Q1468,Q1468),5)=0,OFFSET(装备属性!$P$1083,1+INT(COUNTA($Q$11:Q1468)/5),0),J1468)</f>
        <v>9</v>
      </c>
      <c r="K1469" s="83" t="str">
        <f ca="1">IF(RIGHT(G1469,13)="rune_slot,1}]",_xlfn.XLOOKUP(LEFT(SUBSTITUTE(G1469,"[{",""),FIND(",",SUBSTITUTE(G1469,"[{",""))-1),Sheet2!B:B,Sheet2!C:C)&amp;"+"&amp;1,_xlfn.XLOOKUP(LEFT(SUBSTITUTE(G1469,"[{",""),FIND(",",SUBSTITUTE(G1469,"[{",""))-1),Sheet2!B:B,Sheet2!C:C)&amp;"+"&amp;SUBSTITUTE(RIGHT(G1469,LEN(G1469)-FIND(",",G1469)),"}]","")/100&amp;"%")</f>
        <v>经验加成+20%</v>
      </c>
      <c r="L1469" s="83" t="str">
        <f ca="1">IF(MOD(COUNTIF($Q$11:Q1468,Q1468),5)=0,OFFSET(装备属性!$G$1083,1+INT(COUNTA($Q$11:Q1468)/5),0),L1468)</f>
        <v>涨见识</v>
      </c>
      <c r="M1469" s="89" t="str">
        <f ca="1">IF(MOD(COUNTIF($Q$11:Q1468,Q1468),5)=0,OFFSET(装备属性!$H$1083,1+INT(COUNTA($Q$11:Q1468)/5),0),M1468)</f>
        <v>exp_boost</v>
      </c>
      <c r="N1469" s="76">
        <f ca="1">IF(MOD(COUNTIF($Q$11:Q1468,Q1468),5)=0,OFFSET(装备属性!$K$1083,1+INT(COUNTA($Q$11:Q1468)/5),0),N1468)</f>
        <v>0.2</v>
      </c>
      <c r="O1469" s="76">
        <f ca="1">IF(MOD(COUNTIF($Q$11:Q1468,Q1468),5)=0,OFFSET(装备属性!$L$1083,1+INT(COUNTA($Q$11:Q1468)/5),0),O1468)</f>
        <v>0.2</v>
      </c>
      <c r="Q1469" s="89" t="str">
        <f ca="1">IF(MOD(COUNTIF($Q$11:Q1468,Q1468),5)=0,OFFSET(装备属性!$M$1083,1+INT(COUNTA($Q$11:Q1468)/5),0),Q1468)</f>
        <v>稀有词条</v>
      </c>
      <c r="R1469" s="83">
        <f ca="1">IF(MOD(COUNTIF($Q$11:Q1468,Q1468),5)=0,10000*SUBSTITUTE(SUBSTITUTE(OFFSET(装备属性!$F$1083,1+INT(COUNTA($Q$11:Q1468)/5),0),"[",""),"]","")+_xlfn.XLOOKUP(C1469,$M$3:$M$7,$N$3:$N$7)*100,R1468)</f>
        <v>50800</v>
      </c>
    </row>
    <row r="1470" customHeight="1" spans="1:18">
      <c r="A1470" s="78">
        <f ca="1" t="shared" si="66"/>
        <v>50803</v>
      </c>
      <c r="B1470" s="82">
        <f ca="1">IFERROR(R1470+COUNTIFS($R$11:$R1470,R1470),"")</f>
        <v>50815</v>
      </c>
      <c r="C1470" s="83" t="str">
        <f ca="1">IF(MOD(COUNTIF($Q$11:Q1469,Q1469),5)=0,OFFSET(装备属性!$D$1083,1+INT(COUNTA($Q$11:Q1469)/5),0),C1469)</f>
        <v>彩</v>
      </c>
      <c r="D1470" s="82">
        <f t="shared" si="68"/>
        <v>1000</v>
      </c>
      <c r="F1470" s="82">
        <f ca="1" t="shared" si="67"/>
        <v>50802</v>
      </c>
      <c r="G1470" s="78" t="str">
        <f ca="1">IF(AND(LEFT("[{"&amp;M1470&amp;","&amp;CEILING(N1470*10000+(O1470-N1470)/4*(COUNTIF($F$11:F1470,F1470)-1)*10000,10)&amp;"}]",7)="[{equip",MID("[{"&amp;M1470&amp;","&amp;CEILING(N1470*10000+(O1470-N1470)/4*(COUNTIF($F$11:F1470,F1470)-1)*10000,10)&amp;"}]",8,1)&lt;&gt;"_"),"[{"&amp;M1470&amp;","&amp;1&amp;"}]","[{"&amp;M1470&amp;","&amp;CEILING(N1470*10000+(O1470-N1470)/4*(COUNTIF($F$11:F1470,F1470)-1)*10000,10)&amp;"}]")</f>
        <v>[{exp_boost,2000}]</v>
      </c>
      <c r="H1470" s="82" t="s">
        <v>563</v>
      </c>
      <c r="J1470" s="78">
        <f ca="1">IF(MOD(COUNTIF($Q$11:Q1469,Q1469),5)=0,OFFSET(装备属性!$P$1083,1+INT(COUNTA($Q$11:Q1469)/5),0),J1469)</f>
        <v>9</v>
      </c>
      <c r="K1470" s="83" t="str">
        <f ca="1">IF(RIGHT(G1470,13)="rune_slot,1}]",_xlfn.XLOOKUP(LEFT(SUBSTITUTE(G1470,"[{",""),FIND(",",SUBSTITUTE(G1470,"[{",""))-1),Sheet2!B:B,Sheet2!C:C)&amp;"+"&amp;1,_xlfn.XLOOKUP(LEFT(SUBSTITUTE(G1470,"[{",""),FIND(",",SUBSTITUTE(G1470,"[{",""))-1),Sheet2!B:B,Sheet2!C:C)&amp;"+"&amp;SUBSTITUTE(RIGHT(G1470,LEN(G1470)-FIND(",",G1470)),"}]","")/100&amp;"%")</f>
        <v>经验加成+20%</v>
      </c>
      <c r="L1470" s="83" t="str">
        <f ca="1">IF(MOD(COUNTIF($Q$11:Q1469,Q1469),5)=0,OFFSET(装备属性!$G$1083,1+INT(COUNTA($Q$11:Q1469)/5),0),L1469)</f>
        <v>涨见识</v>
      </c>
      <c r="M1470" s="89" t="str">
        <f ca="1">IF(MOD(COUNTIF($Q$11:Q1469,Q1469),5)=0,OFFSET(装备属性!$H$1083,1+INT(COUNTA($Q$11:Q1469)/5),0),M1469)</f>
        <v>exp_boost</v>
      </c>
      <c r="N1470" s="76">
        <f ca="1">IF(MOD(COUNTIF($Q$11:Q1469,Q1469),5)=0,OFFSET(装备属性!$K$1083,1+INT(COUNTA($Q$11:Q1469)/5),0),N1469)</f>
        <v>0.2</v>
      </c>
      <c r="O1470" s="76">
        <f ca="1">IF(MOD(COUNTIF($Q$11:Q1469,Q1469),5)=0,OFFSET(装备属性!$L$1083,1+INT(COUNTA($Q$11:Q1469)/5),0),O1469)</f>
        <v>0.2</v>
      </c>
      <c r="Q1470" s="89" t="str">
        <f ca="1">IF(MOD(COUNTIF($Q$11:Q1469,Q1469),5)=0,OFFSET(装备属性!$M$1083,1+INT(COUNTA($Q$11:Q1469)/5),0),Q1469)</f>
        <v>稀有词条</v>
      </c>
      <c r="R1470" s="83">
        <f ca="1">IF(MOD(COUNTIF($Q$11:Q1469,Q1469),5)=0,10000*SUBSTITUTE(SUBSTITUTE(OFFSET(装备属性!$F$1083,1+INT(COUNTA($Q$11:Q1469)/5),0),"[",""),"]","")+_xlfn.XLOOKUP(C1470,$M$3:$M$7,$N$3:$N$7)*100,R1469)</f>
        <v>50800</v>
      </c>
    </row>
    <row r="1471" customHeight="1" spans="1:18">
      <c r="A1471" s="78">
        <f ca="1" t="shared" si="66"/>
        <v>50803</v>
      </c>
      <c r="B1471" s="82">
        <f ca="1">IFERROR(R1471+COUNTIFS($R$11:$R1471,R1471),"")</f>
        <v>50816</v>
      </c>
      <c r="C1471" s="83" t="str">
        <f ca="1">IF(MOD(COUNTIF($Q$11:Q1470,Q1470),5)=0,OFFSET(装备属性!$D$1083,1+INT(COUNTA($Q$11:Q1470)/5),0),C1470)</f>
        <v>彩</v>
      </c>
      <c r="D1471" s="82">
        <f t="shared" si="68"/>
        <v>3000</v>
      </c>
      <c r="F1471" s="82">
        <f ca="1" t="shared" si="67"/>
        <v>50803</v>
      </c>
      <c r="G1471" s="78" t="str">
        <f ca="1">IF(AND(LEFT("[{"&amp;M1471&amp;","&amp;CEILING(N1471*10000+(O1471-N1471)/4*(COUNTIF($F$11:F1471,F1471)-1)*10000,10)&amp;"}]",7)="[{equip",MID("[{"&amp;M1471&amp;","&amp;CEILING(N1471*10000+(O1471-N1471)/4*(COUNTIF($F$11:F1471,F1471)-1)*10000,10)&amp;"}]",8,1)&lt;&gt;"_"),"[{"&amp;M1471&amp;","&amp;1&amp;"}]","[{"&amp;M1471&amp;","&amp;CEILING(N1471*10000+(O1471-N1471)/4*(COUNTIF($F$11:F1471,F1471)-1)*10000,10)&amp;"}]")</f>
        <v>[{equip_base_attr,2500}]</v>
      </c>
      <c r="H1471" s="82" t="s">
        <v>563</v>
      </c>
      <c r="J1471" s="78">
        <f ca="1">IF(MOD(COUNTIF($Q$11:Q1470,Q1470),5)=0,OFFSET(装备属性!$P$1083,1+INT(COUNTA($Q$11:Q1470)/5),0),J1470)</f>
        <v>7</v>
      </c>
      <c r="K1471" s="83" t="str">
        <f ca="1">IF(RIGHT(G1471,13)="rune_slot,1}]",_xlfn.XLOOKUP(LEFT(SUBSTITUTE(G1471,"[{",""),FIND(",",SUBSTITUTE(G1471,"[{",""))-1),Sheet2!B:B,Sheet2!C:C)&amp;"+"&amp;1,_xlfn.XLOOKUP(LEFT(SUBSTITUTE(G1471,"[{",""),FIND(",",SUBSTITUTE(G1471,"[{",""))-1),Sheet2!B:B,Sheet2!C:C)&amp;"+"&amp;SUBSTITUTE(RIGHT(G1471,LEN(G1471)-FIND(",",G1471)),"}]","")/100&amp;"%")</f>
        <v>装备基础属性加成+25%</v>
      </c>
      <c r="L1471" s="83" t="str">
        <f ca="1">IF(MOD(COUNTIF($Q$11:Q1470,Q1470),5)=0,OFFSET(装备属性!$G$1083,1+INT(COUNTA($Q$11:Q1470)/5),0),L1470)</f>
        <v>厚底子</v>
      </c>
      <c r="M1471" s="89" t="str">
        <f ca="1">IF(MOD(COUNTIF($Q$11:Q1470,Q1470),5)=0,OFFSET(装备属性!$H$1083,1+INT(COUNTA($Q$11:Q1470)/5),0),M1470)</f>
        <v>equip_base_attr</v>
      </c>
      <c r="N1471" s="76">
        <f ca="1">IF(MOD(COUNTIF($Q$11:Q1470,Q1470),5)=0,OFFSET(装备属性!$K$1083,1+INT(COUNTA($Q$11:Q1470)/5),0),N1470)</f>
        <v>0.25</v>
      </c>
      <c r="O1471" s="76">
        <f ca="1">IF(MOD(COUNTIF($Q$11:Q1470,Q1470),5)=0,OFFSET(装备属性!$L$1083,1+INT(COUNTA($Q$11:Q1470)/5),0),O1470)</f>
        <v>0.25</v>
      </c>
      <c r="Q1471" s="89" t="str">
        <f ca="1">IF(MOD(COUNTIF($Q$11:Q1470,Q1470),5)=0,OFFSET(装备属性!$M$1083,1+INT(COUNTA($Q$11:Q1470)/5),0),Q1470)</f>
        <v>稀有词条</v>
      </c>
      <c r="R1471" s="83">
        <f ca="1">IF(MOD(COUNTIF($Q$11:Q1470,Q1470),5)=0,10000*SUBSTITUTE(SUBSTITUTE(OFFSET(装备属性!$F$1083,1+INT(COUNTA($Q$11:Q1470)/5),0),"[",""),"]","")+_xlfn.XLOOKUP(C1471,$M$3:$M$7,$N$3:$N$7)*100,R1470)</f>
        <v>50800</v>
      </c>
    </row>
    <row r="1472" customHeight="1" spans="1:18">
      <c r="A1472" s="78">
        <f ca="1" t="shared" si="66"/>
        <v>50803</v>
      </c>
      <c r="B1472" s="82">
        <f ca="1">IFERROR(R1472+COUNTIFS($R$11:$R1472,R1472),"")</f>
        <v>50817</v>
      </c>
      <c r="C1472" s="83" t="str">
        <f ca="1">IF(MOD(COUNTIF($Q$11:Q1471,Q1471),5)=0,OFFSET(装备属性!$D$1083,1+INT(COUNTA($Q$11:Q1471)/5),0),C1471)</f>
        <v>彩</v>
      </c>
      <c r="D1472" s="82">
        <f t="shared" si="68"/>
        <v>2500</v>
      </c>
      <c r="F1472" s="82">
        <f ca="1" t="shared" si="67"/>
        <v>50803</v>
      </c>
      <c r="G1472" s="78" t="str">
        <f ca="1">IF(AND(LEFT("[{"&amp;M1472&amp;","&amp;CEILING(N1472*10000+(O1472-N1472)/4*(COUNTIF($F$11:F1472,F1472)-1)*10000,10)&amp;"}]",7)="[{equip",MID("[{"&amp;M1472&amp;","&amp;CEILING(N1472*10000+(O1472-N1472)/4*(COUNTIF($F$11:F1472,F1472)-1)*10000,10)&amp;"}]",8,1)&lt;&gt;"_"),"[{"&amp;M1472&amp;","&amp;1&amp;"}]","[{"&amp;M1472&amp;","&amp;CEILING(N1472*10000+(O1472-N1472)/4*(COUNTIF($F$11:F1472,F1472)-1)*10000,10)&amp;"}]")</f>
        <v>[{equip_base_attr,2500}]</v>
      </c>
      <c r="H1472" s="82" t="s">
        <v>563</v>
      </c>
      <c r="J1472" s="78">
        <f ca="1">IF(MOD(COUNTIF($Q$11:Q1471,Q1471),5)=0,OFFSET(装备属性!$P$1083,1+INT(COUNTA($Q$11:Q1471)/5),0),J1471)</f>
        <v>7</v>
      </c>
      <c r="K1472" s="83" t="str">
        <f ca="1">IF(RIGHT(G1472,13)="rune_slot,1}]",_xlfn.XLOOKUP(LEFT(SUBSTITUTE(G1472,"[{",""),FIND(",",SUBSTITUTE(G1472,"[{",""))-1),Sheet2!B:B,Sheet2!C:C)&amp;"+"&amp;1,_xlfn.XLOOKUP(LEFT(SUBSTITUTE(G1472,"[{",""),FIND(",",SUBSTITUTE(G1472,"[{",""))-1),Sheet2!B:B,Sheet2!C:C)&amp;"+"&amp;SUBSTITUTE(RIGHT(G1472,LEN(G1472)-FIND(",",G1472)),"}]","")/100&amp;"%")</f>
        <v>装备基础属性加成+25%</v>
      </c>
      <c r="L1472" s="83" t="str">
        <f ca="1">IF(MOD(COUNTIF($Q$11:Q1471,Q1471),5)=0,OFFSET(装备属性!$G$1083,1+INT(COUNTA($Q$11:Q1471)/5),0),L1471)</f>
        <v>厚底子</v>
      </c>
      <c r="M1472" s="89" t="str">
        <f ca="1">IF(MOD(COUNTIF($Q$11:Q1471,Q1471),5)=0,OFFSET(装备属性!$H$1083,1+INT(COUNTA($Q$11:Q1471)/5),0),M1471)</f>
        <v>equip_base_attr</v>
      </c>
      <c r="N1472" s="76">
        <f ca="1">IF(MOD(COUNTIF($Q$11:Q1471,Q1471),5)=0,OFFSET(装备属性!$K$1083,1+INT(COUNTA($Q$11:Q1471)/5),0),N1471)</f>
        <v>0.25</v>
      </c>
      <c r="O1472" s="76">
        <f ca="1">IF(MOD(COUNTIF($Q$11:Q1471,Q1471),5)=0,OFFSET(装备属性!$L$1083,1+INT(COUNTA($Q$11:Q1471)/5),0),O1471)</f>
        <v>0.25</v>
      </c>
      <c r="Q1472" s="89" t="str">
        <f ca="1">IF(MOD(COUNTIF($Q$11:Q1471,Q1471),5)=0,OFFSET(装备属性!$M$1083,1+INT(COUNTA($Q$11:Q1471)/5),0),Q1471)</f>
        <v>稀有词条</v>
      </c>
      <c r="R1472" s="83">
        <f ca="1">IF(MOD(COUNTIF($Q$11:Q1471,Q1471),5)=0,10000*SUBSTITUTE(SUBSTITUTE(OFFSET(装备属性!$F$1083,1+INT(COUNTA($Q$11:Q1471)/5),0),"[",""),"]","")+_xlfn.XLOOKUP(C1472,$M$3:$M$7,$N$3:$N$7)*100,R1471)</f>
        <v>50800</v>
      </c>
    </row>
    <row r="1473" customHeight="1" spans="1:18">
      <c r="A1473" s="78">
        <f ca="1" t="shared" si="66"/>
        <v>50803</v>
      </c>
      <c r="B1473" s="82">
        <f ca="1">IFERROR(R1473+COUNTIFS($R$11:$R1473,R1473),"")</f>
        <v>50818</v>
      </c>
      <c r="C1473" s="83" t="str">
        <f ca="1">IF(MOD(COUNTIF($Q$11:Q1472,Q1472),5)=0,OFFSET(装备属性!$D$1083,1+INT(COUNTA($Q$11:Q1472)/5),0),C1472)</f>
        <v>彩</v>
      </c>
      <c r="D1473" s="82">
        <f t="shared" si="68"/>
        <v>2000</v>
      </c>
      <c r="F1473" s="82">
        <f ca="1" t="shared" si="67"/>
        <v>50803</v>
      </c>
      <c r="G1473" s="78" t="str">
        <f ca="1">IF(AND(LEFT("[{"&amp;M1473&amp;","&amp;CEILING(N1473*10000+(O1473-N1473)/4*(COUNTIF($F$11:F1473,F1473)-1)*10000,10)&amp;"}]",7)="[{equip",MID("[{"&amp;M1473&amp;","&amp;CEILING(N1473*10000+(O1473-N1473)/4*(COUNTIF($F$11:F1473,F1473)-1)*10000,10)&amp;"}]",8,1)&lt;&gt;"_"),"[{"&amp;M1473&amp;","&amp;1&amp;"}]","[{"&amp;M1473&amp;","&amp;CEILING(N1473*10000+(O1473-N1473)/4*(COUNTIF($F$11:F1473,F1473)-1)*10000,10)&amp;"}]")</f>
        <v>[{equip_base_attr,2500}]</v>
      </c>
      <c r="H1473" s="82" t="s">
        <v>563</v>
      </c>
      <c r="J1473" s="78">
        <f ca="1">IF(MOD(COUNTIF($Q$11:Q1472,Q1472),5)=0,OFFSET(装备属性!$P$1083,1+INT(COUNTA($Q$11:Q1472)/5),0),J1472)</f>
        <v>7</v>
      </c>
      <c r="K1473" s="83" t="str">
        <f ca="1">IF(RIGHT(G1473,13)="rune_slot,1}]",_xlfn.XLOOKUP(LEFT(SUBSTITUTE(G1473,"[{",""),FIND(",",SUBSTITUTE(G1473,"[{",""))-1),Sheet2!B:B,Sheet2!C:C)&amp;"+"&amp;1,_xlfn.XLOOKUP(LEFT(SUBSTITUTE(G1473,"[{",""),FIND(",",SUBSTITUTE(G1473,"[{",""))-1),Sheet2!B:B,Sheet2!C:C)&amp;"+"&amp;SUBSTITUTE(RIGHT(G1473,LEN(G1473)-FIND(",",G1473)),"}]","")/100&amp;"%")</f>
        <v>装备基础属性加成+25%</v>
      </c>
      <c r="L1473" s="83" t="str">
        <f ca="1">IF(MOD(COUNTIF($Q$11:Q1472,Q1472),5)=0,OFFSET(装备属性!$G$1083,1+INT(COUNTA($Q$11:Q1472)/5),0),L1472)</f>
        <v>厚底子</v>
      </c>
      <c r="M1473" s="89" t="str">
        <f ca="1">IF(MOD(COUNTIF($Q$11:Q1472,Q1472),5)=0,OFFSET(装备属性!$H$1083,1+INT(COUNTA($Q$11:Q1472)/5),0),M1472)</f>
        <v>equip_base_attr</v>
      </c>
      <c r="N1473" s="76">
        <f ca="1">IF(MOD(COUNTIF($Q$11:Q1472,Q1472),5)=0,OFFSET(装备属性!$K$1083,1+INT(COUNTA($Q$11:Q1472)/5),0),N1472)</f>
        <v>0.25</v>
      </c>
      <c r="O1473" s="76">
        <f ca="1">IF(MOD(COUNTIF($Q$11:Q1472,Q1472),5)=0,OFFSET(装备属性!$L$1083,1+INT(COUNTA($Q$11:Q1472)/5),0),O1472)</f>
        <v>0.25</v>
      </c>
      <c r="Q1473" s="89" t="str">
        <f ca="1">IF(MOD(COUNTIF($Q$11:Q1472,Q1472),5)=0,OFFSET(装备属性!$M$1083,1+INT(COUNTA($Q$11:Q1472)/5),0),Q1472)</f>
        <v>稀有词条</v>
      </c>
      <c r="R1473" s="83">
        <f ca="1">IF(MOD(COUNTIF($Q$11:Q1472,Q1472),5)=0,10000*SUBSTITUTE(SUBSTITUTE(OFFSET(装备属性!$F$1083,1+INT(COUNTA($Q$11:Q1472)/5),0),"[",""),"]","")+_xlfn.XLOOKUP(C1473,$M$3:$M$7,$N$3:$N$7)*100,R1472)</f>
        <v>50800</v>
      </c>
    </row>
    <row r="1474" customHeight="1" spans="1:18">
      <c r="A1474" s="78">
        <f ca="1" t="shared" si="66"/>
        <v>50803</v>
      </c>
      <c r="B1474" s="82">
        <f ca="1">IFERROR(R1474+COUNTIFS($R$11:$R1474,R1474),"")</f>
        <v>50819</v>
      </c>
      <c r="C1474" s="83" t="str">
        <f ca="1">IF(MOD(COUNTIF($Q$11:Q1473,Q1473),5)=0,OFFSET(装备属性!$D$1083,1+INT(COUNTA($Q$11:Q1473)/5),0),C1473)</f>
        <v>彩</v>
      </c>
      <c r="D1474" s="82">
        <f t="shared" si="68"/>
        <v>1500</v>
      </c>
      <c r="F1474" s="82">
        <f ca="1" t="shared" si="67"/>
        <v>50803</v>
      </c>
      <c r="G1474" s="78" t="str">
        <f ca="1">IF(AND(LEFT("[{"&amp;M1474&amp;","&amp;CEILING(N1474*10000+(O1474-N1474)/4*(COUNTIF($F$11:F1474,F1474)-1)*10000,10)&amp;"}]",7)="[{equip",MID("[{"&amp;M1474&amp;","&amp;CEILING(N1474*10000+(O1474-N1474)/4*(COUNTIF($F$11:F1474,F1474)-1)*10000,10)&amp;"}]",8,1)&lt;&gt;"_"),"[{"&amp;M1474&amp;","&amp;1&amp;"}]","[{"&amp;M1474&amp;","&amp;CEILING(N1474*10000+(O1474-N1474)/4*(COUNTIF($F$11:F1474,F1474)-1)*10000,10)&amp;"}]")</f>
        <v>[{equip_base_attr,2500}]</v>
      </c>
      <c r="H1474" s="82" t="s">
        <v>563</v>
      </c>
      <c r="J1474" s="78">
        <f ca="1">IF(MOD(COUNTIF($Q$11:Q1473,Q1473),5)=0,OFFSET(装备属性!$P$1083,1+INT(COUNTA($Q$11:Q1473)/5),0),J1473)</f>
        <v>7</v>
      </c>
      <c r="K1474" s="83" t="str">
        <f ca="1">IF(RIGHT(G1474,13)="rune_slot,1}]",_xlfn.XLOOKUP(LEFT(SUBSTITUTE(G1474,"[{",""),FIND(",",SUBSTITUTE(G1474,"[{",""))-1),Sheet2!B:B,Sheet2!C:C)&amp;"+"&amp;1,_xlfn.XLOOKUP(LEFT(SUBSTITUTE(G1474,"[{",""),FIND(",",SUBSTITUTE(G1474,"[{",""))-1),Sheet2!B:B,Sheet2!C:C)&amp;"+"&amp;SUBSTITUTE(RIGHT(G1474,LEN(G1474)-FIND(",",G1474)),"}]","")/100&amp;"%")</f>
        <v>装备基础属性加成+25%</v>
      </c>
      <c r="L1474" s="83" t="str">
        <f ca="1">IF(MOD(COUNTIF($Q$11:Q1473,Q1473),5)=0,OFFSET(装备属性!$G$1083,1+INT(COUNTA($Q$11:Q1473)/5),0),L1473)</f>
        <v>厚底子</v>
      </c>
      <c r="M1474" s="89" t="str">
        <f ca="1">IF(MOD(COUNTIF($Q$11:Q1473,Q1473),5)=0,OFFSET(装备属性!$H$1083,1+INT(COUNTA($Q$11:Q1473)/5),0),M1473)</f>
        <v>equip_base_attr</v>
      </c>
      <c r="N1474" s="76">
        <f ca="1">IF(MOD(COUNTIF($Q$11:Q1473,Q1473),5)=0,OFFSET(装备属性!$K$1083,1+INT(COUNTA($Q$11:Q1473)/5),0),N1473)</f>
        <v>0.25</v>
      </c>
      <c r="O1474" s="76">
        <f ca="1">IF(MOD(COUNTIF($Q$11:Q1473,Q1473),5)=0,OFFSET(装备属性!$L$1083,1+INT(COUNTA($Q$11:Q1473)/5),0),O1473)</f>
        <v>0.25</v>
      </c>
      <c r="Q1474" s="89" t="str">
        <f ca="1">IF(MOD(COUNTIF($Q$11:Q1473,Q1473),5)=0,OFFSET(装备属性!$M$1083,1+INT(COUNTA($Q$11:Q1473)/5),0),Q1473)</f>
        <v>稀有词条</v>
      </c>
      <c r="R1474" s="83">
        <f ca="1">IF(MOD(COUNTIF($Q$11:Q1473,Q1473),5)=0,10000*SUBSTITUTE(SUBSTITUTE(OFFSET(装备属性!$F$1083,1+INT(COUNTA($Q$11:Q1473)/5),0),"[",""),"]","")+_xlfn.XLOOKUP(C1474,$M$3:$M$7,$N$3:$N$7)*100,R1473)</f>
        <v>50800</v>
      </c>
    </row>
    <row r="1475" customHeight="1" spans="1:18">
      <c r="A1475" s="78">
        <f ca="1" t="shared" si="66"/>
        <v>50803</v>
      </c>
      <c r="B1475" s="82">
        <f ca="1">IFERROR(R1475+COUNTIFS($R$11:$R1475,R1475),"")</f>
        <v>50820</v>
      </c>
      <c r="C1475" s="83" t="str">
        <f ca="1">IF(MOD(COUNTIF($Q$11:Q1474,Q1474),5)=0,OFFSET(装备属性!$D$1083,1+INT(COUNTA($Q$11:Q1474)/5),0),C1474)</f>
        <v>彩</v>
      </c>
      <c r="D1475" s="82">
        <f t="shared" si="68"/>
        <v>1000</v>
      </c>
      <c r="F1475" s="82">
        <f ca="1" t="shared" si="67"/>
        <v>50803</v>
      </c>
      <c r="G1475" s="78" t="str">
        <f ca="1">IF(AND(LEFT("[{"&amp;M1475&amp;","&amp;CEILING(N1475*10000+(O1475-N1475)/4*(COUNTIF($F$11:F1475,F1475)-1)*10000,10)&amp;"}]",7)="[{equip",MID("[{"&amp;M1475&amp;","&amp;CEILING(N1475*10000+(O1475-N1475)/4*(COUNTIF($F$11:F1475,F1475)-1)*10000,10)&amp;"}]",8,1)&lt;&gt;"_"),"[{"&amp;M1475&amp;","&amp;1&amp;"}]","[{"&amp;M1475&amp;","&amp;CEILING(N1475*10000+(O1475-N1475)/4*(COUNTIF($F$11:F1475,F1475)-1)*10000,10)&amp;"}]")</f>
        <v>[{equip_base_attr,2500}]</v>
      </c>
      <c r="H1475" s="82" t="s">
        <v>563</v>
      </c>
      <c r="J1475" s="78">
        <f ca="1">IF(MOD(COUNTIF($Q$11:Q1474,Q1474),5)=0,OFFSET(装备属性!$P$1083,1+INT(COUNTA($Q$11:Q1474)/5),0),J1474)</f>
        <v>7</v>
      </c>
      <c r="K1475" s="83" t="str">
        <f ca="1">IF(RIGHT(G1475,13)="rune_slot,1}]",_xlfn.XLOOKUP(LEFT(SUBSTITUTE(G1475,"[{",""),FIND(",",SUBSTITUTE(G1475,"[{",""))-1),Sheet2!B:B,Sheet2!C:C)&amp;"+"&amp;1,_xlfn.XLOOKUP(LEFT(SUBSTITUTE(G1475,"[{",""),FIND(",",SUBSTITUTE(G1475,"[{",""))-1),Sheet2!B:B,Sheet2!C:C)&amp;"+"&amp;SUBSTITUTE(RIGHT(G1475,LEN(G1475)-FIND(",",G1475)),"}]","")/100&amp;"%")</f>
        <v>装备基础属性加成+25%</v>
      </c>
      <c r="L1475" s="83" t="str">
        <f ca="1">IF(MOD(COUNTIF($Q$11:Q1474,Q1474),5)=0,OFFSET(装备属性!$G$1083,1+INT(COUNTA($Q$11:Q1474)/5),0),L1474)</f>
        <v>厚底子</v>
      </c>
      <c r="M1475" s="89" t="str">
        <f ca="1">IF(MOD(COUNTIF($Q$11:Q1474,Q1474),5)=0,OFFSET(装备属性!$H$1083,1+INT(COUNTA($Q$11:Q1474)/5),0),M1474)</f>
        <v>equip_base_attr</v>
      </c>
      <c r="N1475" s="76">
        <f ca="1">IF(MOD(COUNTIF($Q$11:Q1474,Q1474),5)=0,OFFSET(装备属性!$K$1083,1+INT(COUNTA($Q$11:Q1474)/5),0),N1474)</f>
        <v>0.25</v>
      </c>
      <c r="O1475" s="76">
        <f ca="1">IF(MOD(COUNTIF($Q$11:Q1474,Q1474),5)=0,OFFSET(装备属性!$L$1083,1+INT(COUNTA($Q$11:Q1474)/5),0),O1474)</f>
        <v>0.25</v>
      </c>
      <c r="Q1475" s="89" t="str">
        <f ca="1">IF(MOD(COUNTIF($Q$11:Q1474,Q1474),5)=0,OFFSET(装备属性!$M$1083,1+INT(COUNTA($Q$11:Q1474)/5),0),Q1474)</f>
        <v>稀有词条</v>
      </c>
      <c r="R1475" s="83">
        <f ca="1">IF(MOD(COUNTIF($Q$11:Q1474,Q1474),5)=0,10000*SUBSTITUTE(SUBSTITUTE(OFFSET(装备属性!$F$1083,1+INT(COUNTA($Q$11:Q1474)/5),0),"[",""),"]","")+_xlfn.XLOOKUP(C1475,$M$3:$M$7,$N$3:$N$7)*100,R1474)</f>
        <v>50800</v>
      </c>
    </row>
    <row r="1476" customHeight="1" spans="1:18">
      <c r="A1476" s="78">
        <f ca="1" t="shared" si="66"/>
        <v>50803</v>
      </c>
      <c r="B1476" s="82">
        <f ca="1">IFERROR(R1476+COUNTIFS($R$11:$R1476,R1476),"")</f>
        <v>50821</v>
      </c>
      <c r="C1476" s="83" t="str">
        <f ca="1">IF(MOD(COUNTIF($Q$11:Q1475,Q1475),5)=0,OFFSET(装备属性!$D$1083,1+INT(COUNTA($Q$11:Q1475)/5),0),C1475)</f>
        <v>彩</v>
      </c>
      <c r="D1476" s="82">
        <f t="shared" si="68"/>
        <v>3000</v>
      </c>
      <c r="F1476" s="82">
        <f ca="1" t="shared" si="67"/>
        <v>50804</v>
      </c>
      <c r="G1476" s="78" t="str">
        <f ca="1">IF(AND(LEFT("[{"&amp;M1476&amp;","&amp;CEILING(N1476*10000+(O1476-N1476)/4*(COUNTIF($F$11:F1476,F1476)-1)*10000,10)&amp;"}]",7)="[{equip",MID("[{"&amp;M1476&amp;","&amp;CEILING(N1476*10000+(O1476-N1476)/4*(COUNTIF($F$11:F1476,F1476)-1)*10000,10)&amp;"}]",8,1)&lt;&gt;"_"),"[{"&amp;M1476&amp;","&amp;1&amp;"}]","[{"&amp;M1476&amp;","&amp;CEILING(N1476*10000+(O1476-N1476)/4*(COUNTIF($F$11:F1476,F1476)-1)*10000,10)&amp;"}]")</f>
        <v>[{equip_extra_attr,5000}]</v>
      </c>
      <c r="H1476" s="82" t="s">
        <v>563</v>
      </c>
      <c r="J1476" s="78">
        <f ca="1">IF(MOD(COUNTIF($Q$11:Q1475,Q1475),5)=0,OFFSET(装备属性!$P$1083,1+INT(COUNTA($Q$11:Q1475)/5),0),J1475)</f>
        <v>8</v>
      </c>
      <c r="K1476" s="83" t="str">
        <f ca="1">IF(RIGHT(G1476,13)="rune_slot,1}]",_xlfn.XLOOKUP(LEFT(SUBSTITUTE(G1476,"[{",""),FIND(",",SUBSTITUTE(G1476,"[{",""))-1),Sheet2!B:B,Sheet2!C:C)&amp;"+"&amp;1,_xlfn.XLOOKUP(LEFT(SUBSTITUTE(G1476,"[{",""),FIND(",",SUBSTITUTE(G1476,"[{",""))-1),Sheet2!B:B,Sheet2!C:C)&amp;"+"&amp;SUBSTITUTE(RIGHT(G1476,LEN(G1476)-FIND(",",G1476)),"}]","")/100&amp;"%")</f>
        <v>装备附加属性加成+50%</v>
      </c>
      <c r="L1476" s="83" t="str">
        <f ca="1">IF(MOD(COUNTIF($Q$11:Q1475,Q1475),5)=0,OFFSET(装备属性!$G$1083,1+INT(COUNTA($Q$11:Q1475)/5),0),L1475)</f>
        <v>提成色</v>
      </c>
      <c r="M1476" s="89" t="str">
        <f ca="1">IF(MOD(COUNTIF($Q$11:Q1475,Q1475),5)=0,OFFSET(装备属性!$H$1083,1+INT(COUNTA($Q$11:Q1475)/5),0),M1475)</f>
        <v>equip_extra_attr</v>
      </c>
      <c r="N1476" s="76">
        <f ca="1">IF(MOD(COUNTIF($Q$11:Q1475,Q1475),5)=0,OFFSET(装备属性!$K$1083,1+INT(COUNTA($Q$11:Q1475)/5),0),N1475)</f>
        <v>0.5</v>
      </c>
      <c r="O1476" s="76">
        <f ca="1">IF(MOD(COUNTIF($Q$11:Q1475,Q1475),5)=0,OFFSET(装备属性!$L$1083,1+INT(COUNTA($Q$11:Q1475)/5),0),O1475)</f>
        <v>0.5</v>
      </c>
      <c r="Q1476" s="89" t="str">
        <f ca="1">IF(MOD(COUNTIF($Q$11:Q1475,Q1475),5)=0,OFFSET(装备属性!$M$1083,1+INT(COUNTA($Q$11:Q1475)/5),0),Q1475)</f>
        <v>稀有词条</v>
      </c>
      <c r="R1476" s="83">
        <f ca="1">IF(MOD(COUNTIF($Q$11:Q1475,Q1475),5)=0,10000*SUBSTITUTE(SUBSTITUTE(OFFSET(装备属性!$F$1083,1+INT(COUNTA($Q$11:Q1475)/5),0),"[",""),"]","")+_xlfn.XLOOKUP(C1476,$M$3:$M$7,$N$3:$N$7)*100,R1475)</f>
        <v>50800</v>
      </c>
    </row>
    <row r="1477" customHeight="1" spans="1:18">
      <c r="A1477" s="78">
        <f ca="1" t="shared" si="66"/>
        <v>50803</v>
      </c>
      <c r="B1477" s="82">
        <f ca="1">IFERROR(R1477+COUNTIFS($R$11:$R1477,R1477),"")</f>
        <v>50822</v>
      </c>
      <c r="C1477" s="83" t="str">
        <f ca="1">IF(MOD(COUNTIF($Q$11:Q1476,Q1476),5)=0,OFFSET(装备属性!$D$1083,1+INT(COUNTA($Q$11:Q1476)/5),0),C1476)</f>
        <v>彩</v>
      </c>
      <c r="D1477" s="82">
        <f t="shared" si="68"/>
        <v>2500</v>
      </c>
      <c r="F1477" s="82">
        <f ca="1" t="shared" si="67"/>
        <v>50804</v>
      </c>
      <c r="G1477" s="78" t="str">
        <f ca="1">IF(AND(LEFT("[{"&amp;M1477&amp;","&amp;CEILING(N1477*10000+(O1477-N1477)/4*(COUNTIF($F$11:F1477,F1477)-1)*10000,10)&amp;"}]",7)="[{equip",MID("[{"&amp;M1477&amp;","&amp;CEILING(N1477*10000+(O1477-N1477)/4*(COUNTIF($F$11:F1477,F1477)-1)*10000,10)&amp;"}]",8,1)&lt;&gt;"_"),"[{"&amp;M1477&amp;","&amp;1&amp;"}]","[{"&amp;M1477&amp;","&amp;CEILING(N1477*10000+(O1477-N1477)/4*(COUNTIF($F$11:F1477,F1477)-1)*10000,10)&amp;"}]")</f>
        <v>[{equip_extra_attr,5000}]</v>
      </c>
      <c r="H1477" s="82" t="s">
        <v>563</v>
      </c>
      <c r="J1477" s="78">
        <f ca="1">IF(MOD(COUNTIF($Q$11:Q1476,Q1476),5)=0,OFFSET(装备属性!$P$1083,1+INT(COUNTA($Q$11:Q1476)/5),0),J1476)</f>
        <v>8</v>
      </c>
      <c r="K1477" s="83" t="str">
        <f ca="1">IF(RIGHT(G1477,13)="rune_slot,1}]",_xlfn.XLOOKUP(LEFT(SUBSTITUTE(G1477,"[{",""),FIND(",",SUBSTITUTE(G1477,"[{",""))-1),Sheet2!B:B,Sheet2!C:C)&amp;"+"&amp;1,_xlfn.XLOOKUP(LEFT(SUBSTITUTE(G1477,"[{",""),FIND(",",SUBSTITUTE(G1477,"[{",""))-1),Sheet2!B:B,Sheet2!C:C)&amp;"+"&amp;SUBSTITUTE(RIGHT(G1477,LEN(G1477)-FIND(",",G1477)),"}]","")/100&amp;"%")</f>
        <v>装备附加属性加成+50%</v>
      </c>
      <c r="L1477" s="83" t="str">
        <f ca="1">IF(MOD(COUNTIF($Q$11:Q1476,Q1476),5)=0,OFFSET(装备属性!$G$1083,1+INT(COUNTA($Q$11:Q1476)/5),0),L1476)</f>
        <v>提成色</v>
      </c>
      <c r="M1477" s="89" t="str">
        <f ca="1">IF(MOD(COUNTIF($Q$11:Q1476,Q1476),5)=0,OFFSET(装备属性!$H$1083,1+INT(COUNTA($Q$11:Q1476)/5),0),M1476)</f>
        <v>equip_extra_attr</v>
      </c>
      <c r="N1477" s="76">
        <f ca="1">IF(MOD(COUNTIF($Q$11:Q1476,Q1476),5)=0,OFFSET(装备属性!$K$1083,1+INT(COUNTA($Q$11:Q1476)/5),0),N1476)</f>
        <v>0.5</v>
      </c>
      <c r="O1477" s="76">
        <f ca="1">IF(MOD(COUNTIF($Q$11:Q1476,Q1476),5)=0,OFFSET(装备属性!$L$1083,1+INT(COUNTA($Q$11:Q1476)/5),0),O1476)</f>
        <v>0.5</v>
      </c>
      <c r="Q1477" s="89" t="str">
        <f ca="1">IF(MOD(COUNTIF($Q$11:Q1476,Q1476),5)=0,OFFSET(装备属性!$M$1083,1+INT(COUNTA($Q$11:Q1476)/5),0),Q1476)</f>
        <v>稀有词条</v>
      </c>
      <c r="R1477" s="83">
        <f ca="1">IF(MOD(COUNTIF($Q$11:Q1476,Q1476),5)=0,10000*SUBSTITUTE(SUBSTITUTE(OFFSET(装备属性!$F$1083,1+INT(COUNTA($Q$11:Q1476)/5),0),"[",""),"]","")+_xlfn.XLOOKUP(C1477,$M$3:$M$7,$N$3:$N$7)*100,R1476)</f>
        <v>50800</v>
      </c>
    </row>
    <row r="1478" customHeight="1" spans="1:18">
      <c r="A1478" s="78">
        <f ca="1" t="shared" si="66"/>
        <v>50803</v>
      </c>
      <c r="B1478" s="82">
        <f ca="1">IFERROR(R1478+COUNTIFS($R$11:$R1478,R1478),"")</f>
        <v>50823</v>
      </c>
      <c r="C1478" s="83" t="str">
        <f ca="1">IF(MOD(COUNTIF($Q$11:Q1477,Q1477),5)=0,OFFSET(装备属性!$D$1083,1+INT(COUNTA($Q$11:Q1477)/5),0),C1477)</f>
        <v>彩</v>
      </c>
      <c r="D1478" s="82">
        <f t="shared" si="68"/>
        <v>2000</v>
      </c>
      <c r="F1478" s="82">
        <f ca="1" t="shared" si="67"/>
        <v>50804</v>
      </c>
      <c r="G1478" s="78" t="str">
        <f ca="1">IF(AND(LEFT("[{"&amp;M1478&amp;","&amp;CEILING(N1478*10000+(O1478-N1478)/4*(COUNTIF($F$11:F1478,F1478)-1)*10000,10)&amp;"}]",7)="[{equip",MID("[{"&amp;M1478&amp;","&amp;CEILING(N1478*10000+(O1478-N1478)/4*(COUNTIF($F$11:F1478,F1478)-1)*10000,10)&amp;"}]",8,1)&lt;&gt;"_"),"[{"&amp;M1478&amp;","&amp;1&amp;"}]","[{"&amp;M1478&amp;","&amp;CEILING(N1478*10000+(O1478-N1478)/4*(COUNTIF($F$11:F1478,F1478)-1)*10000,10)&amp;"}]")</f>
        <v>[{equip_extra_attr,5000}]</v>
      </c>
      <c r="H1478" s="82" t="s">
        <v>563</v>
      </c>
      <c r="J1478" s="78">
        <f ca="1">IF(MOD(COUNTIF($Q$11:Q1477,Q1477),5)=0,OFFSET(装备属性!$P$1083,1+INT(COUNTA($Q$11:Q1477)/5),0),J1477)</f>
        <v>8</v>
      </c>
      <c r="K1478" s="83" t="str">
        <f ca="1">IF(RIGHT(G1478,13)="rune_slot,1}]",_xlfn.XLOOKUP(LEFT(SUBSTITUTE(G1478,"[{",""),FIND(",",SUBSTITUTE(G1478,"[{",""))-1),Sheet2!B:B,Sheet2!C:C)&amp;"+"&amp;1,_xlfn.XLOOKUP(LEFT(SUBSTITUTE(G1478,"[{",""),FIND(",",SUBSTITUTE(G1478,"[{",""))-1),Sheet2!B:B,Sheet2!C:C)&amp;"+"&amp;SUBSTITUTE(RIGHT(G1478,LEN(G1478)-FIND(",",G1478)),"}]","")/100&amp;"%")</f>
        <v>装备附加属性加成+50%</v>
      </c>
      <c r="L1478" s="83" t="str">
        <f ca="1">IF(MOD(COUNTIF($Q$11:Q1477,Q1477),5)=0,OFFSET(装备属性!$G$1083,1+INT(COUNTA($Q$11:Q1477)/5),0),L1477)</f>
        <v>提成色</v>
      </c>
      <c r="M1478" s="89" t="str">
        <f ca="1">IF(MOD(COUNTIF($Q$11:Q1477,Q1477),5)=0,OFFSET(装备属性!$H$1083,1+INT(COUNTA($Q$11:Q1477)/5),0),M1477)</f>
        <v>equip_extra_attr</v>
      </c>
      <c r="N1478" s="76">
        <f ca="1">IF(MOD(COUNTIF($Q$11:Q1477,Q1477),5)=0,OFFSET(装备属性!$K$1083,1+INT(COUNTA($Q$11:Q1477)/5),0),N1477)</f>
        <v>0.5</v>
      </c>
      <c r="O1478" s="76">
        <f ca="1">IF(MOD(COUNTIF($Q$11:Q1477,Q1477),5)=0,OFFSET(装备属性!$L$1083,1+INT(COUNTA($Q$11:Q1477)/5),0),O1477)</f>
        <v>0.5</v>
      </c>
      <c r="Q1478" s="89" t="str">
        <f ca="1">IF(MOD(COUNTIF($Q$11:Q1477,Q1477),5)=0,OFFSET(装备属性!$M$1083,1+INT(COUNTA($Q$11:Q1477)/5),0),Q1477)</f>
        <v>稀有词条</v>
      </c>
      <c r="R1478" s="83">
        <f ca="1">IF(MOD(COUNTIF($Q$11:Q1477,Q1477),5)=0,10000*SUBSTITUTE(SUBSTITUTE(OFFSET(装备属性!$F$1083,1+INT(COUNTA($Q$11:Q1477)/5),0),"[",""),"]","")+_xlfn.XLOOKUP(C1478,$M$3:$M$7,$N$3:$N$7)*100,R1477)</f>
        <v>50800</v>
      </c>
    </row>
    <row r="1479" customHeight="1" spans="1:18">
      <c r="A1479" s="78">
        <f ca="1" t="shared" si="66"/>
        <v>50803</v>
      </c>
      <c r="B1479" s="82">
        <f ca="1">IFERROR(R1479+COUNTIFS($R$11:$R1479,R1479),"")</f>
        <v>50824</v>
      </c>
      <c r="C1479" s="83" t="str">
        <f ca="1">IF(MOD(COUNTIF($Q$11:Q1478,Q1478),5)=0,OFFSET(装备属性!$D$1083,1+INT(COUNTA($Q$11:Q1478)/5),0),C1478)</f>
        <v>彩</v>
      </c>
      <c r="D1479" s="82">
        <f t="shared" si="68"/>
        <v>1500</v>
      </c>
      <c r="F1479" s="82">
        <f ca="1" t="shared" si="67"/>
        <v>50804</v>
      </c>
      <c r="G1479" s="78" t="str">
        <f ca="1">IF(AND(LEFT("[{"&amp;M1479&amp;","&amp;CEILING(N1479*10000+(O1479-N1479)/4*(COUNTIF($F$11:F1479,F1479)-1)*10000,10)&amp;"}]",7)="[{equip",MID("[{"&amp;M1479&amp;","&amp;CEILING(N1479*10000+(O1479-N1479)/4*(COUNTIF($F$11:F1479,F1479)-1)*10000,10)&amp;"}]",8,1)&lt;&gt;"_"),"[{"&amp;M1479&amp;","&amp;1&amp;"}]","[{"&amp;M1479&amp;","&amp;CEILING(N1479*10000+(O1479-N1479)/4*(COUNTIF($F$11:F1479,F1479)-1)*10000,10)&amp;"}]")</f>
        <v>[{equip_extra_attr,5000}]</v>
      </c>
      <c r="H1479" s="82" t="s">
        <v>563</v>
      </c>
      <c r="J1479" s="78">
        <f ca="1">IF(MOD(COUNTIF($Q$11:Q1478,Q1478),5)=0,OFFSET(装备属性!$P$1083,1+INT(COUNTA($Q$11:Q1478)/5),0),J1478)</f>
        <v>8</v>
      </c>
      <c r="K1479" s="83" t="str">
        <f ca="1">IF(RIGHT(G1479,13)="rune_slot,1}]",_xlfn.XLOOKUP(LEFT(SUBSTITUTE(G1479,"[{",""),FIND(",",SUBSTITUTE(G1479,"[{",""))-1),Sheet2!B:B,Sheet2!C:C)&amp;"+"&amp;1,_xlfn.XLOOKUP(LEFT(SUBSTITUTE(G1479,"[{",""),FIND(",",SUBSTITUTE(G1479,"[{",""))-1),Sheet2!B:B,Sheet2!C:C)&amp;"+"&amp;SUBSTITUTE(RIGHT(G1479,LEN(G1479)-FIND(",",G1479)),"}]","")/100&amp;"%")</f>
        <v>装备附加属性加成+50%</v>
      </c>
      <c r="L1479" s="83" t="str">
        <f ca="1">IF(MOD(COUNTIF($Q$11:Q1478,Q1478),5)=0,OFFSET(装备属性!$G$1083,1+INT(COUNTA($Q$11:Q1478)/5),0),L1478)</f>
        <v>提成色</v>
      </c>
      <c r="M1479" s="89" t="str">
        <f ca="1">IF(MOD(COUNTIF($Q$11:Q1478,Q1478),5)=0,OFFSET(装备属性!$H$1083,1+INT(COUNTA($Q$11:Q1478)/5),0),M1478)</f>
        <v>equip_extra_attr</v>
      </c>
      <c r="N1479" s="76">
        <f ca="1">IF(MOD(COUNTIF($Q$11:Q1478,Q1478),5)=0,OFFSET(装备属性!$K$1083,1+INT(COUNTA($Q$11:Q1478)/5),0),N1478)</f>
        <v>0.5</v>
      </c>
      <c r="O1479" s="76">
        <f ca="1">IF(MOD(COUNTIF($Q$11:Q1478,Q1478),5)=0,OFFSET(装备属性!$L$1083,1+INT(COUNTA($Q$11:Q1478)/5),0),O1478)</f>
        <v>0.5</v>
      </c>
      <c r="Q1479" s="89" t="str">
        <f ca="1">IF(MOD(COUNTIF($Q$11:Q1478,Q1478),5)=0,OFFSET(装备属性!$M$1083,1+INT(COUNTA($Q$11:Q1478)/5),0),Q1478)</f>
        <v>稀有词条</v>
      </c>
      <c r="R1479" s="83">
        <f ca="1">IF(MOD(COUNTIF($Q$11:Q1478,Q1478),5)=0,10000*SUBSTITUTE(SUBSTITUTE(OFFSET(装备属性!$F$1083,1+INT(COUNTA($Q$11:Q1478)/5),0),"[",""),"]","")+_xlfn.XLOOKUP(C1479,$M$3:$M$7,$N$3:$N$7)*100,R1478)</f>
        <v>50800</v>
      </c>
    </row>
    <row r="1480" customHeight="1" spans="1:18">
      <c r="A1480" s="78">
        <f ca="1" t="shared" si="66"/>
        <v>50803</v>
      </c>
      <c r="B1480" s="82">
        <f ca="1">IFERROR(R1480+COUNTIFS($R$11:$R1480,R1480),"")</f>
        <v>50825</v>
      </c>
      <c r="C1480" s="83" t="str">
        <f ca="1">IF(MOD(COUNTIF($Q$11:Q1479,Q1479),5)=0,OFFSET(装备属性!$D$1083,1+INT(COUNTA($Q$11:Q1479)/5),0),C1479)</f>
        <v>彩</v>
      </c>
      <c r="D1480" s="82">
        <f t="shared" si="68"/>
        <v>1000</v>
      </c>
      <c r="F1480" s="82">
        <f ca="1" t="shared" si="67"/>
        <v>50804</v>
      </c>
      <c r="G1480" s="78" t="str">
        <f ca="1">IF(AND(LEFT("[{"&amp;M1480&amp;","&amp;CEILING(N1480*10000+(O1480-N1480)/4*(COUNTIF($F$11:F1480,F1480)-1)*10000,10)&amp;"}]",7)="[{equip",MID("[{"&amp;M1480&amp;","&amp;CEILING(N1480*10000+(O1480-N1480)/4*(COUNTIF($F$11:F1480,F1480)-1)*10000,10)&amp;"}]",8,1)&lt;&gt;"_"),"[{"&amp;M1480&amp;","&amp;1&amp;"}]","[{"&amp;M1480&amp;","&amp;CEILING(N1480*10000+(O1480-N1480)/4*(COUNTIF($F$11:F1480,F1480)-1)*10000,10)&amp;"}]")</f>
        <v>[{equip_extra_attr,5000}]</v>
      </c>
      <c r="H1480" s="82" t="s">
        <v>563</v>
      </c>
      <c r="J1480" s="78">
        <f ca="1">IF(MOD(COUNTIF($Q$11:Q1479,Q1479),5)=0,OFFSET(装备属性!$P$1083,1+INT(COUNTA($Q$11:Q1479)/5),0),J1479)</f>
        <v>8</v>
      </c>
      <c r="K1480" s="83" t="str">
        <f ca="1">IF(RIGHT(G1480,13)="rune_slot,1}]",_xlfn.XLOOKUP(LEFT(SUBSTITUTE(G1480,"[{",""),FIND(",",SUBSTITUTE(G1480,"[{",""))-1),Sheet2!B:B,Sheet2!C:C)&amp;"+"&amp;1,_xlfn.XLOOKUP(LEFT(SUBSTITUTE(G1480,"[{",""),FIND(",",SUBSTITUTE(G1480,"[{",""))-1),Sheet2!B:B,Sheet2!C:C)&amp;"+"&amp;SUBSTITUTE(RIGHT(G1480,LEN(G1480)-FIND(",",G1480)),"}]","")/100&amp;"%")</f>
        <v>装备附加属性加成+50%</v>
      </c>
      <c r="L1480" s="83" t="str">
        <f ca="1">IF(MOD(COUNTIF($Q$11:Q1479,Q1479),5)=0,OFFSET(装备属性!$G$1083,1+INT(COUNTA($Q$11:Q1479)/5),0),L1479)</f>
        <v>提成色</v>
      </c>
      <c r="M1480" s="89" t="str">
        <f ca="1">IF(MOD(COUNTIF($Q$11:Q1479,Q1479),5)=0,OFFSET(装备属性!$H$1083,1+INT(COUNTA($Q$11:Q1479)/5),0),M1479)</f>
        <v>equip_extra_attr</v>
      </c>
      <c r="N1480" s="76">
        <f ca="1">IF(MOD(COUNTIF($Q$11:Q1479,Q1479),5)=0,OFFSET(装备属性!$K$1083,1+INT(COUNTA($Q$11:Q1479)/5),0),N1479)</f>
        <v>0.5</v>
      </c>
      <c r="O1480" s="76">
        <f ca="1">IF(MOD(COUNTIF($Q$11:Q1479,Q1479),5)=0,OFFSET(装备属性!$L$1083,1+INT(COUNTA($Q$11:Q1479)/5),0),O1479)</f>
        <v>0.5</v>
      </c>
      <c r="Q1480" s="89" t="str">
        <f ca="1">IF(MOD(COUNTIF($Q$11:Q1479,Q1479),5)=0,OFFSET(装备属性!$M$1083,1+INT(COUNTA($Q$11:Q1479)/5),0),Q1479)</f>
        <v>稀有词条</v>
      </c>
      <c r="R1480" s="83">
        <f ca="1">IF(MOD(COUNTIF($Q$11:Q1479,Q1479),5)=0,10000*SUBSTITUTE(SUBSTITUTE(OFFSET(装备属性!$F$1083,1+INT(COUNTA($Q$11:Q1479)/5),0),"[",""),"]","")+_xlfn.XLOOKUP(C1480,$M$3:$M$7,$N$3:$N$7)*100,R1479)</f>
        <v>50800</v>
      </c>
    </row>
    <row r="1481" customHeight="1" spans="1:18">
      <c r="A1481" s="78" t="str">
        <f ca="1" t="shared" si="66"/>
        <v/>
      </c>
      <c r="B1481" s="82" t="str">
        <f ca="1">IFERROR(R1481+COUNTIFS($R$11:$R1481,R1481),"")</f>
        <v/>
      </c>
      <c r="C1481" s="83">
        <f ca="1">IF(MOD(COUNTIF($Q$11:Q1480,Q1480),5)=0,OFFSET(装备属性!$D$1083,1+INT(COUNTA($Q$11:Q1480)/5),0),C1480)</f>
        <v>0</v>
      </c>
      <c r="D1481" s="82">
        <f t="shared" si="68"/>
        <v>3000</v>
      </c>
      <c r="F1481" s="82" t="str">
        <f ca="1" t="shared" si="67"/>
        <v/>
      </c>
      <c r="G1481" s="78" t="str">
        <f ca="1">IF(AND(LEFT("[{"&amp;M1481&amp;","&amp;CEILING(N1481*10000+(O1481-N1481)/4*(COUNTIF($F$11:F1481,F1481)-1)*10000,10)&amp;"}]",7)="[{equip",MID("[{"&amp;M1481&amp;","&amp;CEILING(N1481*10000+(O1481-N1481)/4*(COUNTIF($F$11:F1481,F1481)-1)*10000,10)&amp;"}]",8,1)&lt;&gt;"_"),"[{"&amp;M1481&amp;","&amp;1&amp;"}]","[{"&amp;M1481&amp;","&amp;CEILING(N1481*10000+(O1481-N1481)/4*(COUNTIF($F$11:F1481,F1481)-1)*10000,10)&amp;"}]")</f>
        <v>[{equip5_rune_slot,1}]</v>
      </c>
      <c r="H1481" s="82" t="s">
        <v>563</v>
      </c>
      <c r="J1481" s="78">
        <f ca="1">IF(MOD(COUNTIF($Q$11:Q1480,Q1480),5)=0,OFFSET(装备属性!$P$1083,1+INT(COUNTA($Q$11:Q1480)/5),0),J1480)</f>
        <v>1</v>
      </c>
      <c r="K1481" s="83" t="str">
        <f ca="1">IF(RIGHT(G1481,13)="rune_slot,1}]",_xlfn.XLOOKUP(LEFT(SUBSTITUTE(G1481,"[{",""),FIND(",",SUBSTITUTE(G1481,"[{",""))-1),Sheet2!B:B,Sheet2!C:C)&amp;"+"&amp;1,_xlfn.XLOOKUP(LEFT(SUBSTITUTE(G1481,"[{",""),FIND(",",SUBSTITUTE(G1481,"[{",""))-1),Sheet2!B:B,Sheet2!C:C)&amp;"+"&amp;SUBSTITUTE(RIGHT(G1481,LEN(G1481)-FIND(",",G1481)),"}]","")/100&amp;"%")</f>
        <v>鞋子符文孔位+1</v>
      </c>
      <c r="L1481" s="83" t="str">
        <f ca="1">IF(MOD(COUNTIF($Q$11:Q1480,Q1480),5)=0,OFFSET(装备属性!$G$1083,1+INT(COUNTA($Q$11:Q1480)/5),0),L1480)</f>
        <v>扩符槽</v>
      </c>
      <c r="M1481" s="89" t="str">
        <f ca="1">IF(MOD(COUNTIF($Q$11:Q1480,Q1480),5)=0,OFFSET(装备属性!$H$1083,1+INT(COUNTA($Q$11:Q1480)/5),0),M1480)</f>
        <v>equip5_rune_slot</v>
      </c>
      <c r="N1481" s="76">
        <f ca="1">IF(MOD(COUNTIF($Q$11:Q1480,Q1480),5)=0,OFFSET(装备属性!$K$1083,1+INT(COUNTA($Q$11:Q1480)/5),0),N1480)</f>
        <v>1</v>
      </c>
      <c r="O1481" s="76">
        <f ca="1">IF(MOD(COUNTIF($Q$11:Q1480,Q1480),5)=0,OFFSET(装备属性!$L$1083,1+INT(COUNTA($Q$11:Q1480)/5),0),O1480)</f>
        <v>1</v>
      </c>
      <c r="Q1481" s="89" t="str">
        <f ca="1">IF(MOD(COUNTIF($Q$11:Q1480,Q1480),5)=0,OFFSET(装备属性!$M$1083,1+INT(COUNTA($Q$11:Q1480)/5),0),Q1480)</f>
        <v>稀有词条</v>
      </c>
      <c r="R1481" s="83" t="e">
        <f ca="1">IF(MOD(COUNTIF($Q$11:Q1480,Q1480),5)=0,10000*SUBSTITUTE(SUBSTITUTE(OFFSET(装备属性!$F$1083,1+INT(COUNTA($Q$11:Q1480)/5),0),"[",""),"]","")+_xlfn.XLOOKUP(C1481,$M$3:$M$7,$N$3:$N$7)*100,R1480)</f>
        <v>#N/A</v>
      </c>
    </row>
    <row r="1482" customHeight="1" spans="1:18">
      <c r="A1482" s="78" t="str">
        <f ca="1" t="shared" si="66"/>
        <v/>
      </c>
      <c r="B1482" s="82" t="str">
        <f ca="1">IFERROR(R1482+COUNTIFS($R$11:$R1482,R1482),"")</f>
        <v/>
      </c>
      <c r="C1482" s="83">
        <f ca="1">IF(MOD(COUNTIF($Q$11:Q1481,Q1481),5)=0,OFFSET(装备属性!$D$1083,1+INT(COUNTA($Q$11:Q1481)/5),0),C1481)</f>
        <v>0</v>
      </c>
      <c r="D1482" s="82">
        <f t="shared" si="68"/>
        <v>2500</v>
      </c>
      <c r="F1482" s="82" t="str">
        <f ca="1" t="shared" si="67"/>
        <v/>
      </c>
      <c r="G1482" s="78" t="str">
        <f ca="1">IF(AND(LEFT("[{"&amp;M1482&amp;","&amp;CEILING(N1482*10000+(O1482-N1482)/4*(COUNTIF($F$11:F1482,F1482)-1)*10000,10)&amp;"}]",7)="[{equip",MID("[{"&amp;M1482&amp;","&amp;CEILING(N1482*10000+(O1482-N1482)/4*(COUNTIF($F$11:F1482,F1482)-1)*10000,10)&amp;"}]",8,1)&lt;&gt;"_"),"[{"&amp;M1482&amp;","&amp;1&amp;"}]","[{"&amp;M1482&amp;","&amp;CEILING(N1482*10000+(O1482-N1482)/4*(COUNTIF($F$11:F1482,F1482)-1)*10000,10)&amp;"}]")</f>
        <v>[{equip5_rune_slot,1}]</v>
      </c>
      <c r="H1482" s="82" t="s">
        <v>563</v>
      </c>
      <c r="J1482" s="78">
        <f ca="1">IF(MOD(COUNTIF($Q$11:Q1481,Q1481),5)=0,OFFSET(装备属性!$P$1083,1+INT(COUNTA($Q$11:Q1481)/5),0),J1481)</f>
        <v>1</v>
      </c>
      <c r="K1482" s="83" t="str">
        <f ca="1">IF(RIGHT(G1482,13)="rune_slot,1}]",_xlfn.XLOOKUP(LEFT(SUBSTITUTE(G1482,"[{",""),FIND(",",SUBSTITUTE(G1482,"[{",""))-1),Sheet2!B:B,Sheet2!C:C)&amp;"+"&amp;1,_xlfn.XLOOKUP(LEFT(SUBSTITUTE(G1482,"[{",""),FIND(",",SUBSTITUTE(G1482,"[{",""))-1),Sheet2!B:B,Sheet2!C:C)&amp;"+"&amp;SUBSTITUTE(RIGHT(G1482,LEN(G1482)-FIND(",",G1482)),"}]","")/100&amp;"%")</f>
        <v>鞋子符文孔位+1</v>
      </c>
      <c r="L1482" s="83" t="str">
        <f ca="1">IF(MOD(COUNTIF($Q$11:Q1481,Q1481),5)=0,OFFSET(装备属性!$G$1083,1+INT(COUNTA($Q$11:Q1481)/5),0),L1481)</f>
        <v>扩符槽</v>
      </c>
      <c r="M1482" s="89" t="str">
        <f ca="1">IF(MOD(COUNTIF($Q$11:Q1481,Q1481),5)=0,OFFSET(装备属性!$H$1083,1+INT(COUNTA($Q$11:Q1481)/5),0),M1481)</f>
        <v>equip5_rune_slot</v>
      </c>
      <c r="N1482" s="76">
        <f ca="1">IF(MOD(COUNTIF($Q$11:Q1481,Q1481),5)=0,OFFSET(装备属性!$K$1083,1+INT(COUNTA($Q$11:Q1481)/5),0),N1481)</f>
        <v>1</v>
      </c>
      <c r="O1482" s="76">
        <f ca="1">IF(MOD(COUNTIF($Q$11:Q1481,Q1481),5)=0,OFFSET(装备属性!$L$1083,1+INT(COUNTA($Q$11:Q1481)/5),0),O1481)</f>
        <v>1</v>
      </c>
      <c r="Q1482" s="89" t="str">
        <f ca="1">IF(MOD(COUNTIF($Q$11:Q1481,Q1481),5)=0,OFFSET(装备属性!$M$1083,1+INT(COUNTA($Q$11:Q1481)/5),0),Q1481)</f>
        <v>稀有词条</v>
      </c>
      <c r="R1482" s="83" t="e">
        <f ca="1">IF(MOD(COUNTIF($Q$11:Q1481,Q1481),5)=0,10000*SUBSTITUTE(SUBSTITUTE(OFFSET(装备属性!$F$1083,1+INT(COUNTA($Q$11:Q1481)/5),0),"[",""),"]","")+_xlfn.XLOOKUP(C1482,$M$3:$M$7,$N$3:$N$7)*100,R1481)</f>
        <v>#N/A</v>
      </c>
    </row>
    <row r="1483" customHeight="1" spans="1:18">
      <c r="A1483" s="78" t="str">
        <f ca="1" t="shared" si="66"/>
        <v/>
      </c>
      <c r="B1483" s="82" t="str">
        <f ca="1">IFERROR(R1483+COUNTIFS($R$11:$R1483,R1483),"")</f>
        <v/>
      </c>
      <c r="C1483" s="83">
        <f ca="1">IF(MOD(COUNTIF($Q$11:Q1482,Q1482),5)=0,OFFSET(装备属性!$D$1083,1+INT(COUNTA($Q$11:Q1482)/5),0),C1482)</f>
        <v>0</v>
      </c>
      <c r="D1483" s="82">
        <f t="shared" si="68"/>
        <v>2000</v>
      </c>
      <c r="F1483" s="82" t="str">
        <f ca="1" t="shared" si="67"/>
        <v/>
      </c>
      <c r="G1483" s="78" t="str">
        <f ca="1">IF(AND(LEFT("[{"&amp;M1483&amp;","&amp;CEILING(N1483*10000+(O1483-N1483)/4*(COUNTIF($F$11:F1483,F1483)-1)*10000,10)&amp;"}]",7)="[{equip",MID("[{"&amp;M1483&amp;","&amp;CEILING(N1483*10000+(O1483-N1483)/4*(COUNTIF($F$11:F1483,F1483)-1)*10000,10)&amp;"}]",8,1)&lt;&gt;"_"),"[{"&amp;M1483&amp;","&amp;1&amp;"}]","[{"&amp;M1483&amp;","&amp;CEILING(N1483*10000+(O1483-N1483)/4*(COUNTIF($F$11:F1483,F1483)-1)*10000,10)&amp;"}]")</f>
        <v>[{equip5_rune_slot,1}]</v>
      </c>
      <c r="H1483" s="82" t="s">
        <v>563</v>
      </c>
      <c r="J1483" s="78">
        <f ca="1">IF(MOD(COUNTIF($Q$11:Q1482,Q1482),5)=0,OFFSET(装备属性!$P$1083,1+INT(COUNTA($Q$11:Q1482)/5),0),J1482)</f>
        <v>1</v>
      </c>
      <c r="K1483" s="83" t="str">
        <f ca="1">IF(RIGHT(G1483,13)="rune_slot,1}]",_xlfn.XLOOKUP(LEFT(SUBSTITUTE(G1483,"[{",""),FIND(",",SUBSTITUTE(G1483,"[{",""))-1),Sheet2!B:B,Sheet2!C:C)&amp;"+"&amp;1,_xlfn.XLOOKUP(LEFT(SUBSTITUTE(G1483,"[{",""),FIND(",",SUBSTITUTE(G1483,"[{",""))-1),Sheet2!B:B,Sheet2!C:C)&amp;"+"&amp;SUBSTITUTE(RIGHT(G1483,LEN(G1483)-FIND(",",G1483)),"}]","")/100&amp;"%")</f>
        <v>鞋子符文孔位+1</v>
      </c>
      <c r="L1483" s="83" t="str">
        <f ca="1">IF(MOD(COUNTIF($Q$11:Q1482,Q1482),5)=0,OFFSET(装备属性!$G$1083,1+INT(COUNTA($Q$11:Q1482)/5),0),L1482)</f>
        <v>扩符槽</v>
      </c>
      <c r="M1483" s="89" t="str">
        <f ca="1">IF(MOD(COUNTIF($Q$11:Q1482,Q1482),5)=0,OFFSET(装备属性!$H$1083,1+INT(COUNTA($Q$11:Q1482)/5),0),M1482)</f>
        <v>equip5_rune_slot</v>
      </c>
      <c r="N1483" s="76">
        <f ca="1">IF(MOD(COUNTIF($Q$11:Q1482,Q1482),5)=0,OFFSET(装备属性!$K$1083,1+INT(COUNTA($Q$11:Q1482)/5),0),N1482)</f>
        <v>1</v>
      </c>
      <c r="O1483" s="76">
        <f ca="1">IF(MOD(COUNTIF($Q$11:Q1482,Q1482),5)=0,OFFSET(装备属性!$L$1083,1+INT(COUNTA($Q$11:Q1482)/5),0),O1482)</f>
        <v>1</v>
      </c>
      <c r="Q1483" s="89" t="str">
        <f ca="1">IF(MOD(COUNTIF($Q$11:Q1482,Q1482),5)=0,OFFSET(装备属性!$M$1083,1+INT(COUNTA($Q$11:Q1482)/5),0),Q1482)</f>
        <v>稀有词条</v>
      </c>
      <c r="R1483" s="83" t="e">
        <f ca="1">IF(MOD(COUNTIF($Q$11:Q1482,Q1482),5)=0,10000*SUBSTITUTE(SUBSTITUTE(OFFSET(装备属性!$F$1083,1+INT(COUNTA($Q$11:Q1482)/5),0),"[",""),"]","")+_xlfn.XLOOKUP(C1483,$M$3:$M$7,$N$3:$N$7)*100,R1482)</f>
        <v>#N/A</v>
      </c>
    </row>
    <row r="1484" customHeight="1" spans="1:18">
      <c r="A1484" s="78" t="str">
        <f ca="1" t="shared" ref="A1484:A1547" si="69">IFERROR(R1484+IF(Q1484="通用属性",1,IF(Q1484="玩法类",2,IF(Q1484="稀有词条",3,0))),"")</f>
        <v/>
      </c>
      <c r="B1484" s="82" t="str">
        <f ca="1">IFERROR(R1484+COUNTIFS($R$11:$R1484,R1484),"")</f>
        <v/>
      </c>
      <c r="C1484" s="83">
        <f ca="1">IF(MOD(COUNTIF($Q$11:Q1483,Q1483),5)=0,OFFSET(装备属性!$D$1083,1+INT(COUNTA($Q$11:Q1483)/5),0),C1483)</f>
        <v>0</v>
      </c>
      <c r="D1484" s="82">
        <f t="shared" si="68"/>
        <v>1500</v>
      </c>
      <c r="F1484" s="82" t="str">
        <f ca="1" t="shared" ref="F1484:F1547" si="70">IFERROR(R1484+INT((B1484-R1484-1)/5),"")</f>
        <v/>
      </c>
      <c r="G1484" s="78" t="str">
        <f ca="1">IF(AND(LEFT("[{"&amp;M1484&amp;","&amp;CEILING(N1484*10000+(O1484-N1484)/4*(COUNTIF($F$11:F1484,F1484)-1)*10000,10)&amp;"}]",7)="[{equip",MID("[{"&amp;M1484&amp;","&amp;CEILING(N1484*10000+(O1484-N1484)/4*(COUNTIF($F$11:F1484,F1484)-1)*10000,10)&amp;"}]",8,1)&lt;&gt;"_"),"[{"&amp;M1484&amp;","&amp;1&amp;"}]","[{"&amp;M1484&amp;","&amp;CEILING(N1484*10000+(O1484-N1484)/4*(COUNTIF($F$11:F1484,F1484)-1)*10000,10)&amp;"}]")</f>
        <v>[{equip5_rune_slot,1}]</v>
      </c>
      <c r="H1484" s="82" t="s">
        <v>563</v>
      </c>
      <c r="J1484" s="78">
        <f ca="1">IF(MOD(COUNTIF($Q$11:Q1483,Q1483),5)=0,OFFSET(装备属性!$P$1083,1+INT(COUNTA($Q$11:Q1483)/5),0),J1483)</f>
        <v>1</v>
      </c>
      <c r="K1484" s="83" t="str">
        <f ca="1">IF(RIGHT(G1484,13)="rune_slot,1}]",_xlfn.XLOOKUP(LEFT(SUBSTITUTE(G1484,"[{",""),FIND(",",SUBSTITUTE(G1484,"[{",""))-1),Sheet2!B:B,Sheet2!C:C)&amp;"+"&amp;1,_xlfn.XLOOKUP(LEFT(SUBSTITUTE(G1484,"[{",""),FIND(",",SUBSTITUTE(G1484,"[{",""))-1),Sheet2!B:B,Sheet2!C:C)&amp;"+"&amp;SUBSTITUTE(RIGHT(G1484,LEN(G1484)-FIND(",",G1484)),"}]","")/100&amp;"%")</f>
        <v>鞋子符文孔位+1</v>
      </c>
      <c r="L1484" s="83" t="str">
        <f ca="1">IF(MOD(COUNTIF($Q$11:Q1483,Q1483),5)=0,OFFSET(装备属性!$G$1083,1+INT(COUNTA($Q$11:Q1483)/5),0),L1483)</f>
        <v>扩符槽</v>
      </c>
      <c r="M1484" s="89" t="str">
        <f ca="1">IF(MOD(COUNTIF($Q$11:Q1483,Q1483),5)=0,OFFSET(装备属性!$H$1083,1+INT(COUNTA($Q$11:Q1483)/5),0),M1483)</f>
        <v>equip5_rune_slot</v>
      </c>
      <c r="N1484" s="76">
        <f ca="1">IF(MOD(COUNTIF($Q$11:Q1483,Q1483),5)=0,OFFSET(装备属性!$K$1083,1+INT(COUNTA($Q$11:Q1483)/5),0),N1483)</f>
        <v>1</v>
      </c>
      <c r="O1484" s="76">
        <f ca="1">IF(MOD(COUNTIF($Q$11:Q1483,Q1483),5)=0,OFFSET(装备属性!$L$1083,1+INT(COUNTA($Q$11:Q1483)/5),0),O1483)</f>
        <v>1</v>
      </c>
      <c r="Q1484" s="89" t="str">
        <f ca="1">IF(MOD(COUNTIF($Q$11:Q1483,Q1483),5)=0,OFFSET(装备属性!$M$1083,1+INT(COUNTA($Q$11:Q1483)/5),0),Q1483)</f>
        <v>稀有词条</v>
      </c>
      <c r="R1484" s="83" t="e">
        <f ca="1">IF(MOD(COUNTIF($Q$11:Q1483,Q1483),5)=0,10000*SUBSTITUTE(SUBSTITUTE(OFFSET(装备属性!$F$1083,1+INT(COUNTA($Q$11:Q1483)/5),0),"[",""),"]","")+_xlfn.XLOOKUP(C1484,$M$3:$M$7,$N$3:$N$7)*100,R1483)</f>
        <v>#N/A</v>
      </c>
    </row>
    <row r="1485" customHeight="1" spans="1:18">
      <c r="A1485" s="78" t="str">
        <f ca="1" t="shared" si="69"/>
        <v/>
      </c>
      <c r="B1485" s="82" t="str">
        <f ca="1">IFERROR(R1485+COUNTIFS($R$11:$R1485,R1485),"")</f>
        <v/>
      </c>
      <c r="C1485" s="83">
        <f ca="1">IF(MOD(COUNTIF($Q$11:Q1484,Q1484),5)=0,OFFSET(装备属性!$D$1083,1+INT(COUNTA($Q$11:Q1484)/5),0),C1484)</f>
        <v>0</v>
      </c>
      <c r="D1485" s="82">
        <f t="shared" si="68"/>
        <v>1000</v>
      </c>
      <c r="F1485" s="82" t="str">
        <f ca="1" t="shared" si="70"/>
        <v/>
      </c>
      <c r="G1485" s="78" t="str">
        <f ca="1">IF(AND(LEFT("[{"&amp;M1485&amp;","&amp;CEILING(N1485*10000+(O1485-N1485)/4*(COUNTIF($F$11:F1485,F1485)-1)*10000,10)&amp;"}]",7)="[{equip",MID("[{"&amp;M1485&amp;","&amp;CEILING(N1485*10000+(O1485-N1485)/4*(COUNTIF($F$11:F1485,F1485)-1)*10000,10)&amp;"}]",8,1)&lt;&gt;"_"),"[{"&amp;M1485&amp;","&amp;1&amp;"}]","[{"&amp;M1485&amp;","&amp;CEILING(N1485*10000+(O1485-N1485)/4*(COUNTIF($F$11:F1485,F1485)-1)*10000,10)&amp;"}]")</f>
        <v>[{equip5_rune_slot,1}]</v>
      </c>
      <c r="H1485" s="82" t="s">
        <v>563</v>
      </c>
      <c r="J1485" s="78">
        <f ca="1">IF(MOD(COUNTIF($Q$11:Q1484,Q1484),5)=0,OFFSET(装备属性!$P$1083,1+INT(COUNTA($Q$11:Q1484)/5),0),J1484)</f>
        <v>1</v>
      </c>
      <c r="K1485" s="83" t="str">
        <f ca="1">IF(RIGHT(G1485,13)="rune_slot,1}]",_xlfn.XLOOKUP(LEFT(SUBSTITUTE(G1485,"[{",""),FIND(",",SUBSTITUTE(G1485,"[{",""))-1),Sheet2!B:B,Sheet2!C:C)&amp;"+"&amp;1,_xlfn.XLOOKUP(LEFT(SUBSTITUTE(G1485,"[{",""),FIND(",",SUBSTITUTE(G1485,"[{",""))-1),Sheet2!B:B,Sheet2!C:C)&amp;"+"&amp;SUBSTITUTE(RIGHT(G1485,LEN(G1485)-FIND(",",G1485)),"}]","")/100&amp;"%")</f>
        <v>鞋子符文孔位+1</v>
      </c>
      <c r="L1485" s="83" t="str">
        <f ca="1">IF(MOD(COUNTIF($Q$11:Q1484,Q1484),5)=0,OFFSET(装备属性!$G$1083,1+INT(COUNTA($Q$11:Q1484)/5),0),L1484)</f>
        <v>扩符槽</v>
      </c>
      <c r="M1485" s="89" t="str">
        <f ca="1">IF(MOD(COUNTIF($Q$11:Q1484,Q1484),5)=0,OFFSET(装备属性!$H$1083,1+INT(COUNTA($Q$11:Q1484)/5),0),M1484)</f>
        <v>equip5_rune_slot</v>
      </c>
      <c r="N1485" s="76">
        <f ca="1">IF(MOD(COUNTIF($Q$11:Q1484,Q1484),5)=0,OFFSET(装备属性!$K$1083,1+INT(COUNTA($Q$11:Q1484)/5),0),N1484)</f>
        <v>1</v>
      </c>
      <c r="O1485" s="76">
        <f ca="1">IF(MOD(COUNTIF($Q$11:Q1484,Q1484),5)=0,OFFSET(装备属性!$L$1083,1+INT(COUNTA($Q$11:Q1484)/5),0),O1484)</f>
        <v>1</v>
      </c>
      <c r="Q1485" s="89" t="str">
        <f ca="1">IF(MOD(COUNTIF($Q$11:Q1484,Q1484),5)=0,OFFSET(装备属性!$M$1083,1+INT(COUNTA($Q$11:Q1484)/5),0),Q1484)</f>
        <v>稀有词条</v>
      </c>
      <c r="R1485" s="83" t="e">
        <f ca="1">IF(MOD(COUNTIF($Q$11:Q1484,Q1484),5)=0,10000*SUBSTITUTE(SUBSTITUTE(OFFSET(装备属性!$F$1083,1+INT(COUNTA($Q$11:Q1484)/5),0),"[",""),"]","")+_xlfn.XLOOKUP(C1485,$M$3:$M$7,$N$3:$N$7)*100,R1484)</f>
        <v>#N/A</v>
      </c>
    </row>
    <row r="1486" customHeight="1" spans="1:18">
      <c r="A1486" s="78">
        <f ca="1" t="shared" si="69"/>
        <v>50802</v>
      </c>
      <c r="B1486" s="82">
        <f ca="1">IFERROR(R1486+COUNTIFS($R$11:$R1486,R1486),"")</f>
        <v>50826</v>
      </c>
      <c r="C1486" s="83" t="str">
        <f ca="1">IF(MOD(COUNTIF($Q$11:Q1485,Q1485),5)=0,OFFSET(装备属性!$D$1083,1+INT(COUNTA($Q$11:Q1485)/5),0),C1485)</f>
        <v>彩</v>
      </c>
      <c r="D1486" s="82">
        <f t="shared" si="68"/>
        <v>3000</v>
      </c>
      <c r="F1486" s="82">
        <f ca="1" t="shared" si="70"/>
        <v>50805</v>
      </c>
      <c r="G1486" s="78" t="str">
        <f ca="1">IF(AND(LEFT("[{"&amp;M1486&amp;","&amp;CEILING(N1486*10000+(O1486-N1486)/4*(COUNTIF($F$11:F1486,F1486)-1)*10000,10)&amp;"}]",7)="[{equip",MID("[{"&amp;M1486&amp;","&amp;CEILING(N1486*10000+(O1486-N1486)/4*(COUNTIF($F$11:F1486,F1486)-1)*10000,10)&amp;"}]",8,1)&lt;&gt;"_"),"[{"&amp;M1486&amp;","&amp;1&amp;"}]","[{"&amp;M1486&amp;","&amp;CEILING(N1486*10000+(O1486-N1486)/4*(COUNTIF($F$11:F1486,F1486)-1)*10000,10)&amp;"}]")</f>
        <v>[{elitist_monster_hit_rate,1100}]</v>
      </c>
      <c r="H1486" s="82" t="s">
        <v>563</v>
      </c>
      <c r="J1486" s="78">
        <f ca="1">IF(MOD(COUNTIF($Q$11:Q1485,Q1485),5)=0,OFFSET(装备属性!$P$1083,1+INT(COUNTA($Q$11:Q1485)/5),0),J1485)</f>
        <v>6</v>
      </c>
      <c r="K1486" s="83" t="str">
        <f ca="1">IF(RIGHT(G1486,13)="rune_slot,1}]",_xlfn.XLOOKUP(LEFT(SUBSTITUTE(G1486,"[{",""),FIND(",",SUBSTITUTE(G1486,"[{",""))-1),Sheet2!B:B,Sheet2!C:C)&amp;"+"&amp;1,_xlfn.XLOOKUP(LEFT(SUBSTITUTE(G1486,"[{",""),FIND(",",SUBSTITUTE(G1486,"[{",""))-1),Sheet2!B:B,Sheet2!C:C)&amp;"+"&amp;SUBSTITUTE(RIGHT(G1486,LEN(G1486)-FIND(",",G1486)),"}]","")/100&amp;"%")</f>
        <v>对精英增伤+11%</v>
      </c>
      <c r="L1486" s="83" t="str">
        <f ca="1">IF(MOD(COUNTIF($Q$11:Q1485,Q1485),5)=0,OFFSET(装备属性!$G$1083,1+INT(COUNTA($Q$11:Q1485)/5),0),L1485)</f>
        <v>Boss加餐Ⅴ</v>
      </c>
      <c r="M1486" s="89" t="str">
        <f ca="1">IF(MOD(COUNTIF($Q$11:Q1485,Q1485),5)=0,OFFSET(装备属性!$H$1083,1+INT(COUNTA($Q$11:Q1485)/5),0),M1485)</f>
        <v>elitist_monster_hit_rate</v>
      </c>
      <c r="N1486" s="76">
        <f ca="1">IF(MOD(COUNTIF($Q$11:Q1485,Q1485),5)=0,OFFSET(装备属性!$K$1083,1+INT(COUNTA($Q$11:Q1485)/5),0),N1485)</f>
        <v>0.11</v>
      </c>
      <c r="O1486" s="76">
        <f ca="1">IF(MOD(COUNTIF($Q$11:Q1485,Q1485),5)=0,OFFSET(装备属性!$L$1083,1+INT(COUNTA($Q$11:Q1485)/5),0),O1485)</f>
        <v>0.12</v>
      </c>
      <c r="Q1486" s="89" t="str">
        <f ca="1">IF(MOD(COUNTIF($Q$11:Q1485,Q1485),5)=0,OFFSET(装备属性!$M$1083,1+INT(COUNTA($Q$11:Q1485)/5),0),Q1485)</f>
        <v>玩法类</v>
      </c>
      <c r="R1486" s="83">
        <f ca="1">IF(MOD(COUNTIF($Q$11:Q1485,Q1485),5)=0,10000*SUBSTITUTE(SUBSTITUTE(OFFSET(装备属性!$F$1083,1+INT(COUNTA($Q$11:Q1485)/5),0),"[",""),"]","")+_xlfn.XLOOKUP(C1486,$M$3:$M$7,$N$3:$N$7)*100,R1485)</f>
        <v>50800</v>
      </c>
    </row>
    <row r="1487" customHeight="1" spans="1:18">
      <c r="A1487" s="78">
        <f ca="1" t="shared" si="69"/>
        <v>50802</v>
      </c>
      <c r="B1487" s="82">
        <f ca="1">IFERROR(R1487+COUNTIFS($R$11:$R1487,R1487),"")</f>
        <v>50827</v>
      </c>
      <c r="C1487" s="83" t="str">
        <f ca="1">IF(MOD(COUNTIF($Q$11:Q1486,Q1486),5)=0,OFFSET(装备属性!$D$1083,1+INT(COUNTA($Q$11:Q1486)/5),0),C1486)</f>
        <v>彩</v>
      </c>
      <c r="D1487" s="82">
        <f t="shared" si="68"/>
        <v>2500</v>
      </c>
      <c r="F1487" s="82">
        <f ca="1" t="shared" si="70"/>
        <v>50805</v>
      </c>
      <c r="G1487" s="78" t="str">
        <f ca="1">IF(AND(LEFT("[{"&amp;M1487&amp;","&amp;CEILING(N1487*10000+(O1487-N1487)/4*(COUNTIF($F$11:F1487,F1487)-1)*10000,10)&amp;"}]",7)="[{equip",MID("[{"&amp;M1487&amp;","&amp;CEILING(N1487*10000+(O1487-N1487)/4*(COUNTIF($F$11:F1487,F1487)-1)*10000,10)&amp;"}]",8,1)&lt;&gt;"_"),"[{"&amp;M1487&amp;","&amp;1&amp;"}]","[{"&amp;M1487&amp;","&amp;CEILING(N1487*10000+(O1487-N1487)/4*(COUNTIF($F$11:F1487,F1487)-1)*10000,10)&amp;"}]")</f>
        <v>[{elitist_monster_hit_rate,1130}]</v>
      </c>
      <c r="H1487" s="82" t="s">
        <v>563</v>
      </c>
      <c r="J1487" s="78">
        <f ca="1">IF(MOD(COUNTIF($Q$11:Q1486,Q1486),5)=0,OFFSET(装备属性!$P$1083,1+INT(COUNTA($Q$11:Q1486)/5),0),J1486)</f>
        <v>6</v>
      </c>
      <c r="K1487" s="83" t="str">
        <f ca="1">IF(RIGHT(G1487,13)="rune_slot,1}]",_xlfn.XLOOKUP(LEFT(SUBSTITUTE(G1487,"[{",""),FIND(",",SUBSTITUTE(G1487,"[{",""))-1),Sheet2!B:B,Sheet2!C:C)&amp;"+"&amp;1,_xlfn.XLOOKUP(LEFT(SUBSTITUTE(G1487,"[{",""),FIND(",",SUBSTITUTE(G1487,"[{",""))-1),Sheet2!B:B,Sheet2!C:C)&amp;"+"&amp;SUBSTITUTE(RIGHT(G1487,LEN(G1487)-FIND(",",G1487)),"}]","")/100&amp;"%")</f>
        <v>对精英增伤+11.3%</v>
      </c>
      <c r="L1487" s="83" t="str">
        <f ca="1">IF(MOD(COUNTIF($Q$11:Q1486,Q1486),5)=0,OFFSET(装备属性!$G$1083,1+INT(COUNTA($Q$11:Q1486)/5),0),L1486)</f>
        <v>Boss加餐Ⅴ</v>
      </c>
      <c r="M1487" s="89" t="str">
        <f ca="1">IF(MOD(COUNTIF($Q$11:Q1486,Q1486),5)=0,OFFSET(装备属性!$H$1083,1+INT(COUNTA($Q$11:Q1486)/5),0),M1486)</f>
        <v>elitist_monster_hit_rate</v>
      </c>
      <c r="N1487" s="76">
        <f ca="1">IF(MOD(COUNTIF($Q$11:Q1486,Q1486),5)=0,OFFSET(装备属性!$K$1083,1+INT(COUNTA($Q$11:Q1486)/5),0),N1486)</f>
        <v>0.11</v>
      </c>
      <c r="O1487" s="76">
        <f ca="1">IF(MOD(COUNTIF($Q$11:Q1486,Q1486),5)=0,OFFSET(装备属性!$L$1083,1+INT(COUNTA($Q$11:Q1486)/5),0),O1486)</f>
        <v>0.12</v>
      </c>
      <c r="Q1487" s="89" t="str">
        <f ca="1">IF(MOD(COUNTIF($Q$11:Q1486,Q1486),5)=0,OFFSET(装备属性!$M$1083,1+INT(COUNTA($Q$11:Q1486)/5),0),Q1486)</f>
        <v>玩法类</v>
      </c>
      <c r="R1487" s="83">
        <f ca="1">IF(MOD(COUNTIF($Q$11:Q1486,Q1486),5)=0,10000*SUBSTITUTE(SUBSTITUTE(OFFSET(装备属性!$F$1083,1+INT(COUNTA($Q$11:Q1486)/5),0),"[",""),"]","")+_xlfn.XLOOKUP(C1487,$M$3:$M$7,$N$3:$N$7)*100,R1486)</f>
        <v>50800</v>
      </c>
    </row>
    <row r="1488" customHeight="1" spans="1:18">
      <c r="A1488" s="78">
        <f ca="1" t="shared" si="69"/>
        <v>50802</v>
      </c>
      <c r="B1488" s="82">
        <f ca="1">IFERROR(R1488+COUNTIFS($R$11:$R1488,R1488),"")</f>
        <v>50828</v>
      </c>
      <c r="C1488" s="83" t="str">
        <f ca="1">IF(MOD(COUNTIF($Q$11:Q1487,Q1487),5)=0,OFFSET(装备属性!$D$1083,1+INT(COUNTA($Q$11:Q1487)/5),0),C1487)</f>
        <v>彩</v>
      </c>
      <c r="D1488" s="82">
        <f t="shared" si="68"/>
        <v>2000</v>
      </c>
      <c r="F1488" s="82">
        <f ca="1" t="shared" si="70"/>
        <v>50805</v>
      </c>
      <c r="G1488" s="78" t="str">
        <f ca="1">IF(AND(LEFT("[{"&amp;M1488&amp;","&amp;CEILING(N1488*10000+(O1488-N1488)/4*(COUNTIF($F$11:F1488,F1488)-1)*10000,10)&amp;"}]",7)="[{equip",MID("[{"&amp;M1488&amp;","&amp;CEILING(N1488*10000+(O1488-N1488)/4*(COUNTIF($F$11:F1488,F1488)-1)*10000,10)&amp;"}]",8,1)&lt;&gt;"_"),"[{"&amp;M1488&amp;","&amp;1&amp;"}]","[{"&amp;M1488&amp;","&amp;CEILING(N1488*10000+(O1488-N1488)/4*(COUNTIF($F$11:F1488,F1488)-1)*10000,10)&amp;"}]")</f>
        <v>[{elitist_monster_hit_rate,1150}]</v>
      </c>
      <c r="H1488" s="82" t="s">
        <v>563</v>
      </c>
      <c r="J1488" s="78">
        <f ca="1">IF(MOD(COUNTIF($Q$11:Q1487,Q1487),5)=0,OFFSET(装备属性!$P$1083,1+INT(COUNTA($Q$11:Q1487)/5),0),J1487)</f>
        <v>6</v>
      </c>
      <c r="K1488" s="83" t="str">
        <f ca="1">IF(RIGHT(G1488,13)="rune_slot,1}]",_xlfn.XLOOKUP(LEFT(SUBSTITUTE(G1488,"[{",""),FIND(",",SUBSTITUTE(G1488,"[{",""))-1),Sheet2!B:B,Sheet2!C:C)&amp;"+"&amp;1,_xlfn.XLOOKUP(LEFT(SUBSTITUTE(G1488,"[{",""),FIND(",",SUBSTITUTE(G1488,"[{",""))-1),Sheet2!B:B,Sheet2!C:C)&amp;"+"&amp;SUBSTITUTE(RIGHT(G1488,LEN(G1488)-FIND(",",G1488)),"}]","")/100&amp;"%")</f>
        <v>对精英增伤+11.5%</v>
      </c>
      <c r="L1488" s="83" t="str">
        <f ca="1">IF(MOD(COUNTIF($Q$11:Q1487,Q1487),5)=0,OFFSET(装备属性!$G$1083,1+INT(COUNTA($Q$11:Q1487)/5),0),L1487)</f>
        <v>Boss加餐Ⅴ</v>
      </c>
      <c r="M1488" s="89" t="str">
        <f ca="1">IF(MOD(COUNTIF($Q$11:Q1487,Q1487),5)=0,OFFSET(装备属性!$H$1083,1+INT(COUNTA($Q$11:Q1487)/5),0),M1487)</f>
        <v>elitist_monster_hit_rate</v>
      </c>
      <c r="N1488" s="76">
        <f ca="1">IF(MOD(COUNTIF($Q$11:Q1487,Q1487),5)=0,OFFSET(装备属性!$K$1083,1+INT(COUNTA($Q$11:Q1487)/5),0),N1487)</f>
        <v>0.11</v>
      </c>
      <c r="O1488" s="76">
        <f ca="1">IF(MOD(COUNTIF($Q$11:Q1487,Q1487),5)=0,OFFSET(装备属性!$L$1083,1+INT(COUNTA($Q$11:Q1487)/5),0),O1487)</f>
        <v>0.12</v>
      </c>
      <c r="Q1488" s="89" t="str">
        <f ca="1">IF(MOD(COUNTIF($Q$11:Q1487,Q1487),5)=0,OFFSET(装备属性!$M$1083,1+INT(COUNTA($Q$11:Q1487)/5),0),Q1487)</f>
        <v>玩法类</v>
      </c>
      <c r="R1488" s="83">
        <f ca="1">IF(MOD(COUNTIF($Q$11:Q1487,Q1487),5)=0,10000*SUBSTITUTE(SUBSTITUTE(OFFSET(装备属性!$F$1083,1+INT(COUNTA($Q$11:Q1487)/5),0),"[",""),"]","")+_xlfn.XLOOKUP(C1488,$M$3:$M$7,$N$3:$N$7)*100,R1487)</f>
        <v>50800</v>
      </c>
    </row>
    <row r="1489" customHeight="1" spans="1:18">
      <c r="A1489" s="78">
        <f ca="1" t="shared" si="69"/>
        <v>50802</v>
      </c>
      <c r="B1489" s="82">
        <f ca="1">IFERROR(R1489+COUNTIFS($R$11:$R1489,R1489),"")</f>
        <v>50829</v>
      </c>
      <c r="C1489" s="83" t="str">
        <f ca="1">IF(MOD(COUNTIF($Q$11:Q1488,Q1488),5)=0,OFFSET(装备属性!$D$1083,1+INT(COUNTA($Q$11:Q1488)/5),0),C1488)</f>
        <v>彩</v>
      </c>
      <c r="D1489" s="82">
        <f t="shared" ref="D1489:D1552" si="71">D1484</f>
        <v>1500</v>
      </c>
      <c r="F1489" s="82">
        <f ca="1" t="shared" si="70"/>
        <v>50805</v>
      </c>
      <c r="G1489" s="78" t="str">
        <f ca="1">IF(AND(LEFT("[{"&amp;M1489&amp;","&amp;CEILING(N1489*10000+(O1489-N1489)/4*(COUNTIF($F$11:F1489,F1489)-1)*10000,10)&amp;"}]",7)="[{equip",MID("[{"&amp;M1489&amp;","&amp;CEILING(N1489*10000+(O1489-N1489)/4*(COUNTIF($F$11:F1489,F1489)-1)*10000,10)&amp;"}]",8,1)&lt;&gt;"_"),"[{"&amp;M1489&amp;","&amp;1&amp;"}]","[{"&amp;M1489&amp;","&amp;CEILING(N1489*10000+(O1489-N1489)/4*(COUNTIF($F$11:F1489,F1489)-1)*10000,10)&amp;"}]")</f>
        <v>[{elitist_monster_hit_rate,1180}]</v>
      </c>
      <c r="H1489" s="82" t="s">
        <v>563</v>
      </c>
      <c r="J1489" s="78">
        <f ca="1">IF(MOD(COUNTIF($Q$11:Q1488,Q1488),5)=0,OFFSET(装备属性!$P$1083,1+INT(COUNTA($Q$11:Q1488)/5),0),J1488)</f>
        <v>6</v>
      </c>
      <c r="K1489" s="83" t="str">
        <f ca="1">IF(RIGHT(G1489,13)="rune_slot,1}]",_xlfn.XLOOKUP(LEFT(SUBSTITUTE(G1489,"[{",""),FIND(",",SUBSTITUTE(G1489,"[{",""))-1),Sheet2!B:B,Sheet2!C:C)&amp;"+"&amp;1,_xlfn.XLOOKUP(LEFT(SUBSTITUTE(G1489,"[{",""),FIND(",",SUBSTITUTE(G1489,"[{",""))-1),Sheet2!B:B,Sheet2!C:C)&amp;"+"&amp;SUBSTITUTE(RIGHT(G1489,LEN(G1489)-FIND(",",G1489)),"}]","")/100&amp;"%")</f>
        <v>对精英增伤+11.8%</v>
      </c>
      <c r="L1489" s="83" t="str">
        <f ca="1">IF(MOD(COUNTIF($Q$11:Q1488,Q1488),5)=0,OFFSET(装备属性!$G$1083,1+INT(COUNTA($Q$11:Q1488)/5),0),L1488)</f>
        <v>Boss加餐Ⅴ</v>
      </c>
      <c r="M1489" s="89" t="str">
        <f ca="1">IF(MOD(COUNTIF($Q$11:Q1488,Q1488),5)=0,OFFSET(装备属性!$H$1083,1+INT(COUNTA($Q$11:Q1488)/5),0),M1488)</f>
        <v>elitist_monster_hit_rate</v>
      </c>
      <c r="N1489" s="76">
        <f ca="1">IF(MOD(COUNTIF($Q$11:Q1488,Q1488),5)=0,OFFSET(装备属性!$K$1083,1+INT(COUNTA($Q$11:Q1488)/5),0),N1488)</f>
        <v>0.11</v>
      </c>
      <c r="O1489" s="76">
        <f ca="1">IF(MOD(COUNTIF($Q$11:Q1488,Q1488),5)=0,OFFSET(装备属性!$L$1083,1+INT(COUNTA($Q$11:Q1488)/5),0),O1488)</f>
        <v>0.12</v>
      </c>
      <c r="Q1489" s="89" t="str">
        <f ca="1">IF(MOD(COUNTIF($Q$11:Q1488,Q1488),5)=0,OFFSET(装备属性!$M$1083,1+INT(COUNTA($Q$11:Q1488)/5),0),Q1488)</f>
        <v>玩法类</v>
      </c>
      <c r="R1489" s="83">
        <f ca="1">IF(MOD(COUNTIF($Q$11:Q1488,Q1488),5)=0,10000*SUBSTITUTE(SUBSTITUTE(OFFSET(装备属性!$F$1083,1+INT(COUNTA($Q$11:Q1488)/5),0),"[",""),"]","")+_xlfn.XLOOKUP(C1489,$M$3:$M$7,$N$3:$N$7)*100,R1488)</f>
        <v>50800</v>
      </c>
    </row>
    <row r="1490" customHeight="1" spans="1:18">
      <c r="A1490" s="78">
        <f ca="1" t="shared" si="69"/>
        <v>50802</v>
      </c>
      <c r="B1490" s="82">
        <f ca="1">IFERROR(R1490+COUNTIFS($R$11:$R1490,R1490),"")</f>
        <v>50830</v>
      </c>
      <c r="C1490" s="83" t="str">
        <f ca="1">IF(MOD(COUNTIF($Q$11:Q1489,Q1489),5)=0,OFFSET(装备属性!$D$1083,1+INT(COUNTA($Q$11:Q1489)/5),0),C1489)</f>
        <v>彩</v>
      </c>
      <c r="D1490" s="82">
        <f t="shared" si="71"/>
        <v>1000</v>
      </c>
      <c r="F1490" s="82">
        <f ca="1" t="shared" si="70"/>
        <v>50805</v>
      </c>
      <c r="G1490" s="78" t="str">
        <f ca="1">IF(AND(LEFT("[{"&amp;M1490&amp;","&amp;CEILING(N1490*10000+(O1490-N1490)/4*(COUNTIF($F$11:F1490,F1490)-1)*10000,10)&amp;"}]",7)="[{equip",MID("[{"&amp;M1490&amp;","&amp;CEILING(N1490*10000+(O1490-N1490)/4*(COUNTIF($F$11:F1490,F1490)-1)*10000,10)&amp;"}]",8,1)&lt;&gt;"_"),"[{"&amp;M1490&amp;","&amp;1&amp;"}]","[{"&amp;M1490&amp;","&amp;CEILING(N1490*10000+(O1490-N1490)/4*(COUNTIF($F$11:F1490,F1490)-1)*10000,10)&amp;"}]")</f>
        <v>[{elitist_monster_hit_rate,1200}]</v>
      </c>
      <c r="H1490" s="82" t="s">
        <v>563</v>
      </c>
      <c r="J1490" s="78">
        <f ca="1">IF(MOD(COUNTIF($Q$11:Q1489,Q1489),5)=0,OFFSET(装备属性!$P$1083,1+INT(COUNTA($Q$11:Q1489)/5),0),J1489)</f>
        <v>6</v>
      </c>
      <c r="K1490" s="83" t="str">
        <f ca="1">IF(RIGHT(G1490,13)="rune_slot,1}]",_xlfn.XLOOKUP(LEFT(SUBSTITUTE(G1490,"[{",""),FIND(",",SUBSTITUTE(G1490,"[{",""))-1),Sheet2!B:B,Sheet2!C:C)&amp;"+"&amp;1,_xlfn.XLOOKUP(LEFT(SUBSTITUTE(G1490,"[{",""),FIND(",",SUBSTITUTE(G1490,"[{",""))-1),Sheet2!B:B,Sheet2!C:C)&amp;"+"&amp;SUBSTITUTE(RIGHT(G1490,LEN(G1490)-FIND(",",G1490)),"}]","")/100&amp;"%")</f>
        <v>对精英增伤+12%</v>
      </c>
      <c r="L1490" s="83" t="str">
        <f ca="1">IF(MOD(COUNTIF($Q$11:Q1489,Q1489),5)=0,OFFSET(装备属性!$G$1083,1+INT(COUNTA($Q$11:Q1489)/5),0),L1489)</f>
        <v>Boss加餐Ⅴ</v>
      </c>
      <c r="M1490" s="89" t="str">
        <f ca="1">IF(MOD(COUNTIF($Q$11:Q1489,Q1489),5)=0,OFFSET(装备属性!$H$1083,1+INT(COUNTA($Q$11:Q1489)/5),0),M1489)</f>
        <v>elitist_monster_hit_rate</v>
      </c>
      <c r="N1490" s="76">
        <f ca="1">IF(MOD(COUNTIF($Q$11:Q1489,Q1489),5)=0,OFFSET(装备属性!$K$1083,1+INT(COUNTA($Q$11:Q1489)/5),0),N1489)</f>
        <v>0.11</v>
      </c>
      <c r="O1490" s="76">
        <f ca="1">IF(MOD(COUNTIF($Q$11:Q1489,Q1489),5)=0,OFFSET(装备属性!$L$1083,1+INT(COUNTA($Q$11:Q1489)/5),0),O1489)</f>
        <v>0.12</v>
      </c>
      <c r="Q1490" s="89" t="str">
        <f ca="1">IF(MOD(COUNTIF($Q$11:Q1489,Q1489),5)=0,OFFSET(装备属性!$M$1083,1+INT(COUNTA($Q$11:Q1489)/5),0),Q1489)</f>
        <v>玩法类</v>
      </c>
      <c r="R1490" s="83">
        <f ca="1">IF(MOD(COUNTIF($Q$11:Q1489,Q1489),5)=0,10000*SUBSTITUTE(SUBSTITUTE(OFFSET(装备属性!$F$1083,1+INT(COUNTA($Q$11:Q1489)/5),0),"[",""),"]","")+_xlfn.XLOOKUP(C1490,$M$3:$M$7,$N$3:$N$7)*100,R1489)</f>
        <v>50800</v>
      </c>
    </row>
    <row r="1491" customHeight="1" spans="1:18">
      <c r="A1491" s="78">
        <f ca="1" t="shared" si="69"/>
        <v>50801</v>
      </c>
      <c r="B1491" s="82">
        <f ca="1">IFERROR(R1491+COUNTIFS($R$11:$R1491,R1491),"")</f>
        <v>50831</v>
      </c>
      <c r="C1491" s="83" t="str">
        <f ca="1">IF(MOD(COUNTIF($Q$11:Q1490,Q1490),5)=0,OFFSET(装备属性!$D$1083,1+INT(COUNTA($Q$11:Q1490)/5),0),C1490)</f>
        <v>彩</v>
      </c>
      <c r="D1491" s="82">
        <f t="shared" si="71"/>
        <v>3000</v>
      </c>
      <c r="F1491" s="82">
        <f ca="1" t="shared" si="70"/>
        <v>50806</v>
      </c>
      <c r="G1491" s="78" t="str">
        <f ca="1">IF(AND(LEFT("[{"&amp;M1491&amp;","&amp;CEILING(N1491*10000+(O1491-N1491)/4*(COUNTIF($F$11:F1491,F1491)-1)*10000,10)&amp;"}]",7)="[{equip",MID("[{"&amp;M1491&amp;","&amp;CEILING(N1491*10000+(O1491-N1491)/4*(COUNTIF($F$11:F1491,F1491)-1)*10000,10)&amp;"}]",8,1)&lt;&gt;"_"),"[{"&amp;M1491&amp;","&amp;1&amp;"}]","[{"&amp;M1491&amp;","&amp;CEILING(N1491*10000+(O1491-N1491)/4*(COUNTIF($F$11:F1491,F1491)-1)*10000,10)&amp;"}]")</f>
        <v>[{control_dmg_rate,900}]</v>
      </c>
      <c r="H1491" s="82" t="s">
        <v>563</v>
      </c>
      <c r="J1491" s="78">
        <f ca="1">IF(MOD(COUNTIF($Q$11:Q1490,Q1490),5)=0,OFFSET(装备属性!$P$1083,1+INT(COUNTA($Q$11:Q1490)/5),0),J1490)</f>
        <v>5</v>
      </c>
      <c r="K1491" s="83" t="str">
        <f ca="1">IF(RIGHT(G1491,13)="rune_slot,1}]",_xlfn.XLOOKUP(LEFT(SUBSTITUTE(G1491,"[{",""),FIND(",",SUBSTITUTE(G1491,"[{",""))-1),Sheet2!B:B,Sheet2!C:C)&amp;"+"&amp;1,_xlfn.XLOOKUP(LEFT(SUBSTITUTE(G1491,"[{",""),FIND(",",SUBSTITUTE(G1491,"[{",""))-1),Sheet2!B:B,Sheet2!C:C)&amp;"+"&amp;SUBSTITUTE(RIGHT(G1491,LEN(G1491)-FIND(",",G1491)),"}]","")/100&amp;"%")</f>
        <v>控制伤害+9%</v>
      </c>
      <c r="L1491" s="83" t="str">
        <f ca="1">IF(MOD(COUNTIF($Q$11:Q1490,Q1490),5)=0,OFFSET(装备属性!$G$1083,1+INT(COUNTA($Q$11:Q1490)/5),0),L1490)</f>
        <v>控场添力Ⅴ</v>
      </c>
      <c r="M1491" s="89" t="str">
        <f ca="1">IF(MOD(COUNTIF($Q$11:Q1490,Q1490),5)=0,OFFSET(装备属性!$H$1083,1+INT(COUNTA($Q$11:Q1490)/5),0),M1490)</f>
        <v>control_dmg_rate</v>
      </c>
      <c r="N1491" s="76">
        <f ca="1">IF(MOD(COUNTIF($Q$11:Q1490,Q1490),5)=0,OFFSET(装备属性!$K$1083,1+INT(COUNTA($Q$11:Q1490)/5),0),N1490)</f>
        <v>0.09</v>
      </c>
      <c r="O1491" s="76">
        <f ca="1">IF(MOD(COUNTIF($Q$11:Q1490,Q1490),5)=0,OFFSET(装备属性!$L$1083,1+INT(COUNTA($Q$11:Q1490)/5),0),O1490)</f>
        <v>0.1</v>
      </c>
      <c r="Q1491" s="89" t="str">
        <f ca="1">IF(MOD(COUNTIF($Q$11:Q1490,Q1490),5)=0,OFFSET(装备属性!$M$1083,1+INT(COUNTA($Q$11:Q1490)/5),0),Q1490)</f>
        <v>通用属性</v>
      </c>
      <c r="R1491" s="83">
        <f ca="1">IF(MOD(COUNTIF($Q$11:Q1490,Q1490),5)=0,10000*SUBSTITUTE(SUBSTITUTE(OFFSET(装备属性!$F$1083,1+INT(COUNTA($Q$11:Q1490)/5),0),"[",""),"]","")+_xlfn.XLOOKUP(C1491,$M$3:$M$7,$N$3:$N$7)*100,R1490)</f>
        <v>50800</v>
      </c>
    </row>
    <row r="1492" customHeight="1" spans="1:18">
      <c r="A1492" s="78">
        <f ca="1" t="shared" si="69"/>
        <v>50801</v>
      </c>
      <c r="B1492" s="82">
        <f ca="1">IFERROR(R1492+COUNTIFS($R$11:$R1492,R1492),"")</f>
        <v>50832</v>
      </c>
      <c r="C1492" s="83" t="str">
        <f ca="1">IF(MOD(COUNTIF($Q$11:Q1491,Q1491),5)=0,OFFSET(装备属性!$D$1083,1+INT(COUNTA($Q$11:Q1491)/5),0),C1491)</f>
        <v>彩</v>
      </c>
      <c r="D1492" s="82">
        <f t="shared" si="71"/>
        <v>2500</v>
      </c>
      <c r="F1492" s="82">
        <f ca="1" t="shared" si="70"/>
        <v>50806</v>
      </c>
      <c r="G1492" s="78" t="str">
        <f ca="1">IF(AND(LEFT("[{"&amp;M1492&amp;","&amp;CEILING(N1492*10000+(O1492-N1492)/4*(COUNTIF($F$11:F1492,F1492)-1)*10000,10)&amp;"}]",7)="[{equip",MID("[{"&amp;M1492&amp;","&amp;CEILING(N1492*10000+(O1492-N1492)/4*(COUNTIF($F$11:F1492,F1492)-1)*10000,10)&amp;"}]",8,1)&lt;&gt;"_"),"[{"&amp;M1492&amp;","&amp;1&amp;"}]","[{"&amp;M1492&amp;","&amp;CEILING(N1492*10000+(O1492-N1492)/4*(COUNTIF($F$11:F1492,F1492)-1)*10000,10)&amp;"}]")</f>
        <v>[{control_dmg_rate,930}]</v>
      </c>
      <c r="H1492" s="82" t="s">
        <v>563</v>
      </c>
      <c r="J1492" s="78">
        <f ca="1">IF(MOD(COUNTIF($Q$11:Q1491,Q1491),5)=0,OFFSET(装备属性!$P$1083,1+INT(COUNTA($Q$11:Q1491)/5),0),J1491)</f>
        <v>5</v>
      </c>
      <c r="K1492" s="83" t="str">
        <f ca="1">IF(RIGHT(G1492,13)="rune_slot,1}]",_xlfn.XLOOKUP(LEFT(SUBSTITUTE(G1492,"[{",""),FIND(",",SUBSTITUTE(G1492,"[{",""))-1),Sheet2!B:B,Sheet2!C:C)&amp;"+"&amp;1,_xlfn.XLOOKUP(LEFT(SUBSTITUTE(G1492,"[{",""),FIND(",",SUBSTITUTE(G1492,"[{",""))-1),Sheet2!B:B,Sheet2!C:C)&amp;"+"&amp;SUBSTITUTE(RIGHT(G1492,LEN(G1492)-FIND(",",G1492)),"}]","")/100&amp;"%")</f>
        <v>控制伤害+9.3%</v>
      </c>
      <c r="L1492" s="83" t="str">
        <f ca="1">IF(MOD(COUNTIF($Q$11:Q1491,Q1491),5)=0,OFFSET(装备属性!$G$1083,1+INT(COUNTA($Q$11:Q1491)/5),0),L1491)</f>
        <v>控场添力Ⅴ</v>
      </c>
      <c r="M1492" s="89" t="str">
        <f ca="1">IF(MOD(COUNTIF($Q$11:Q1491,Q1491),5)=0,OFFSET(装备属性!$H$1083,1+INT(COUNTA($Q$11:Q1491)/5),0),M1491)</f>
        <v>control_dmg_rate</v>
      </c>
      <c r="N1492" s="76">
        <f ca="1">IF(MOD(COUNTIF($Q$11:Q1491,Q1491),5)=0,OFFSET(装备属性!$K$1083,1+INT(COUNTA($Q$11:Q1491)/5),0),N1491)</f>
        <v>0.09</v>
      </c>
      <c r="O1492" s="76">
        <f ca="1">IF(MOD(COUNTIF($Q$11:Q1491,Q1491),5)=0,OFFSET(装备属性!$L$1083,1+INT(COUNTA($Q$11:Q1491)/5),0),O1491)</f>
        <v>0.1</v>
      </c>
      <c r="Q1492" s="89" t="str">
        <f ca="1">IF(MOD(COUNTIF($Q$11:Q1491,Q1491),5)=0,OFFSET(装备属性!$M$1083,1+INT(COUNTA($Q$11:Q1491)/5),0),Q1491)</f>
        <v>通用属性</v>
      </c>
      <c r="R1492" s="83">
        <f ca="1">IF(MOD(COUNTIF($Q$11:Q1491,Q1491),5)=0,10000*SUBSTITUTE(SUBSTITUTE(OFFSET(装备属性!$F$1083,1+INT(COUNTA($Q$11:Q1491)/5),0),"[",""),"]","")+_xlfn.XLOOKUP(C1492,$M$3:$M$7,$N$3:$N$7)*100,R1491)</f>
        <v>50800</v>
      </c>
    </row>
    <row r="1493" customHeight="1" spans="1:18">
      <c r="A1493" s="78">
        <f ca="1" t="shared" si="69"/>
        <v>50801</v>
      </c>
      <c r="B1493" s="82">
        <f ca="1">IFERROR(R1493+COUNTIFS($R$11:$R1493,R1493),"")</f>
        <v>50833</v>
      </c>
      <c r="C1493" s="83" t="str">
        <f ca="1">IF(MOD(COUNTIF($Q$11:Q1492,Q1492),5)=0,OFFSET(装备属性!$D$1083,1+INT(COUNTA($Q$11:Q1492)/5),0),C1492)</f>
        <v>彩</v>
      </c>
      <c r="D1493" s="82">
        <f t="shared" si="71"/>
        <v>2000</v>
      </c>
      <c r="F1493" s="82">
        <f ca="1" t="shared" si="70"/>
        <v>50806</v>
      </c>
      <c r="G1493" s="78" t="str">
        <f ca="1">IF(AND(LEFT("[{"&amp;M1493&amp;","&amp;CEILING(N1493*10000+(O1493-N1493)/4*(COUNTIF($F$11:F1493,F1493)-1)*10000,10)&amp;"}]",7)="[{equip",MID("[{"&amp;M1493&amp;","&amp;CEILING(N1493*10000+(O1493-N1493)/4*(COUNTIF($F$11:F1493,F1493)-1)*10000,10)&amp;"}]",8,1)&lt;&gt;"_"),"[{"&amp;M1493&amp;","&amp;1&amp;"}]","[{"&amp;M1493&amp;","&amp;CEILING(N1493*10000+(O1493-N1493)/4*(COUNTIF($F$11:F1493,F1493)-1)*10000,10)&amp;"}]")</f>
        <v>[{control_dmg_rate,950}]</v>
      </c>
      <c r="H1493" s="82" t="s">
        <v>563</v>
      </c>
      <c r="J1493" s="78">
        <f ca="1">IF(MOD(COUNTIF($Q$11:Q1492,Q1492),5)=0,OFFSET(装备属性!$P$1083,1+INT(COUNTA($Q$11:Q1492)/5),0),J1492)</f>
        <v>5</v>
      </c>
      <c r="K1493" s="83" t="str">
        <f ca="1">IF(RIGHT(G1493,13)="rune_slot,1}]",_xlfn.XLOOKUP(LEFT(SUBSTITUTE(G1493,"[{",""),FIND(",",SUBSTITUTE(G1493,"[{",""))-1),Sheet2!B:B,Sheet2!C:C)&amp;"+"&amp;1,_xlfn.XLOOKUP(LEFT(SUBSTITUTE(G1493,"[{",""),FIND(",",SUBSTITUTE(G1493,"[{",""))-1),Sheet2!B:B,Sheet2!C:C)&amp;"+"&amp;SUBSTITUTE(RIGHT(G1493,LEN(G1493)-FIND(",",G1493)),"}]","")/100&amp;"%")</f>
        <v>控制伤害+9.5%</v>
      </c>
      <c r="L1493" s="83" t="str">
        <f ca="1">IF(MOD(COUNTIF($Q$11:Q1492,Q1492),5)=0,OFFSET(装备属性!$G$1083,1+INT(COUNTA($Q$11:Q1492)/5),0),L1492)</f>
        <v>控场添力Ⅴ</v>
      </c>
      <c r="M1493" s="89" t="str">
        <f ca="1">IF(MOD(COUNTIF($Q$11:Q1492,Q1492),5)=0,OFFSET(装备属性!$H$1083,1+INT(COUNTA($Q$11:Q1492)/5),0),M1492)</f>
        <v>control_dmg_rate</v>
      </c>
      <c r="N1493" s="76">
        <f ca="1">IF(MOD(COUNTIF($Q$11:Q1492,Q1492),5)=0,OFFSET(装备属性!$K$1083,1+INT(COUNTA($Q$11:Q1492)/5),0),N1492)</f>
        <v>0.09</v>
      </c>
      <c r="O1493" s="76">
        <f ca="1">IF(MOD(COUNTIF($Q$11:Q1492,Q1492),5)=0,OFFSET(装备属性!$L$1083,1+INT(COUNTA($Q$11:Q1492)/5),0),O1492)</f>
        <v>0.1</v>
      </c>
      <c r="Q1493" s="89" t="str">
        <f ca="1">IF(MOD(COUNTIF($Q$11:Q1492,Q1492),5)=0,OFFSET(装备属性!$M$1083,1+INT(COUNTA($Q$11:Q1492)/5),0),Q1492)</f>
        <v>通用属性</v>
      </c>
      <c r="R1493" s="83">
        <f ca="1">IF(MOD(COUNTIF($Q$11:Q1492,Q1492),5)=0,10000*SUBSTITUTE(SUBSTITUTE(OFFSET(装备属性!$F$1083,1+INT(COUNTA($Q$11:Q1492)/5),0),"[",""),"]","")+_xlfn.XLOOKUP(C1493,$M$3:$M$7,$N$3:$N$7)*100,R1492)</f>
        <v>50800</v>
      </c>
    </row>
    <row r="1494" customHeight="1" spans="1:18">
      <c r="A1494" s="78">
        <f ca="1" t="shared" si="69"/>
        <v>50801</v>
      </c>
      <c r="B1494" s="82">
        <f ca="1">IFERROR(R1494+COUNTIFS($R$11:$R1494,R1494),"")</f>
        <v>50834</v>
      </c>
      <c r="C1494" s="83" t="str">
        <f ca="1">IF(MOD(COUNTIF($Q$11:Q1493,Q1493),5)=0,OFFSET(装备属性!$D$1083,1+INT(COUNTA($Q$11:Q1493)/5),0),C1493)</f>
        <v>彩</v>
      </c>
      <c r="D1494" s="82">
        <f t="shared" si="71"/>
        <v>1500</v>
      </c>
      <c r="F1494" s="82">
        <f ca="1" t="shared" si="70"/>
        <v>50806</v>
      </c>
      <c r="G1494" s="78" t="str">
        <f ca="1">IF(AND(LEFT("[{"&amp;M1494&amp;","&amp;CEILING(N1494*10000+(O1494-N1494)/4*(COUNTIF($F$11:F1494,F1494)-1)*10000,10)&amp;"}]",7)="[{equip",MID("[{"&amp;M1494&amp;","&amp;CEILING(N1494*10000+(O1494-N1494)/4*(COUNTIF($F$11:F1494,F1494)-1)*10000,10)&amp;"}]",8,1)&lt;&gt;"_"),"[{"&amp;M1494&amp;","&amp;1&amp;"}]","[{"&amp;M1494&amp;","&amp;CEILING(N1494*10000+(O1494-N1494)/4*(COUNTIF($F$11:F1494,F1494)-1)*10000,10)&amp;"}]")</f>
        <v>[{control_dmg_rate,980}]</v>
      </c>
      <c r="H1494" s="82" t="s">
        <v>563</v>
      </c>
      <c r="J1494" s="78">
        <f ca="1">IF(MOD(COUNTIF($Q$11:Q1493,Q1493),5)=0,OFFSET(装备属性!$P$1083,1+INT(COUNTA($Q$11:Q1493)/5),0),J1493)</f>
        <v>5</v>
      </c>
      <c r="K1494" s="83" t="str">
        <f ca="1">IF(RIGHT(G1494,13)="rune_slot,1}]",_xlfn.XLOOKUP(LEFT(SUBSTITUTE(G1494,"[{",""),FIND(",",SUBSTITUTE(G1494,"[{",""))-1),Sheet2!B:B,Sheet2!C:C)&amp;"+"&amp;1,_xlfn.XLOOKUP(LEFT(SUBSTITUTE(G1494,"[{",""),FIND(",",SUBSTITUTE(G1494,"[{",""))-1),Sheet2!B:B,Sheet2!C:C)&amp;"+"&amp;SUBSTITUTE(RIGHT(G1494,LEN(G1494)-FIND(",",G1494)),"}]","")/100&amp;"%")</f>
        <v>控制伤害+9.8%</v>
      </c>
      <c r="L1494" s="83" t="str">
        <f ca="1">IF(MOD(COUNTIF($Q$11:Q1493,Q1493),5)=0,OFFSET(装备属性!$G$1083,1+INT(COUNTA($Q$11:Q1493)/5),0),L1493)</f>
        <v>控场添力Ⅴ</v>
      </c>
      <c r="M1494" s="89" t="str">
        <f ca="1">IF(MOD(COUNTIF($Q$11:Q1493,Q1493),5)=0,OFFSET(装备属性!$H$1083,1+INT(COUNTA($Q$11:Q1493)/5),0),M1493)</f>
        <v>control_dmg_rate</v>
      </c>
      <c r="N1494" s="76">
        <f ca="1">IF(MOD(COUNTIF($Q$11:Q1493,Q1493),5)=0,OFFSET(装备属性!$K$1083,1+INT(COUNTA($Q$11:Q1493)/5),0),N1493)</f>
        <v>0.09</v>
      </c>
      <c r="O1494" s="76">
        <f ca="1">IF(MOD(COUNTIF($Q$11:Q1493,Q1493),5)=0,OFFSET(装备属性!$L$1083,1+INT(COUNTA($Q$11:Q1493)/5),0),O1493)</f>
        <v>0.1</v>
      </c>
      <c r="Q1494" s="89" t="str">
        <f ca="1">IF(MOD(COUNTIF($Q$11:Q1493,Q1493),5)=0,OFFSET(装备属性!$M$1083,1+INT(COUNTA($Q$11:Q1493)/5),0),Q1493)</f>
        <v>通用属性</v>
      </c>
      <c r="R1494" s="83">
        <f ca="1">IF(MOD(COUNTIF($Q$11:Q1493,Q1493),5)=0,10000*SUBSTITUTE(SUBSTITUTE(OFFSET(装备属性!$F$1083,1+INT(COUNTA($Q$11:Q1493)/5),0),"[",""),"]","")+_xlfn.XLOOKUP(C1494,$M$3:$M$7,$N$3:$N$7)*100,R1493)</f>
        <v>50800</v>
      </c>
    </row>
    <row r="1495" customHeight="1" spans="1:18">
      <c r="A1495" s="78">
        <f ca="1" t="shared" si="69"/>
        <v>50801</v>
      </c>
      <c r="B1495" s="82">
        <f ca="1">IFERROR(R1495+COUNTIFS($R$11:$R1495,R1495),"")</f>
        <v>50835</v>
      </c>
      <c r="C1495" s="83" t="str">
        <f ca="1">IF(MOD(COUNTIF($Q$11:Q1494,Q1494),5)=0,OFFSET(装备属性!$D$1083,1+INT(COUNTA($Q$11:Q1494)/5),0),C1494)</f>
        <v>彩</v>
      </c>
      <c r="D1495" s="82">
        <f t="shared" si="71"/>
        <v>1000</v>
      </c>
      <c r="F1495" s="82">
        <f ca="1" t="shared" si="70"/>
        <v>50806</v>
      </c>
      <c r="G1495" s="78" t="str">
        <f ca="1">IF(AND(LEFT("[{"&amp;M1495&amp;","&amp;CEILING(N1495*10000+(O1495-N1495)/4*(COUNTIF($F$11:F1495,F1495)-1)*10000,10)&amp;"}]",7)="[{equip",MID("[{"&amp;M1495&amp;","&amp;CEILING(N1495*10000+(O1495-N1495)/4*(COUNTIF($F$11:F1495,F1495)-1)*10000,10)&amp;"}]",8,1)&lt;&gt;"_"),"[{"&amp;M1495&amp;","&amp;1&amp;"}]","[{"&amp;M1495&amp;","&amp;CEILING(N1495*10000+(O1495-N1495)/4*(COUNTIF($F$11:F1495,F1495)-1)*10000,10)&amp;"}]")</f>
        <v>[{control_dmg_rate,1000}]</v>
      </c>
      <c r="H1495" s="82" t="s">
        <v>563</v>
      </c>
      <c r="J1495" s="78">
        <f ca="1">IF(MOD(COUNTIF($Q$11:Q1494,Q1494),5)=0,OFFSET(装备属性!$P$1083,1+INT(COUNTA($Q$11:Q1494)/5),0),J1494)</f>
        <v>5</v>
      </c>
      <c r="K1495" s="83" t="str">
        <f ca="1">IF(RIGHT(G1495,13)="rune_slot,1}]",_xlfn.XLOOKUP(LEFT(SUBSTITUTE(G1495,"[{",""),FIND(",",SUBSTITUTE(G1495,"[{",""))-1),Sheet2!B:B,Sheet2!C:C)&amp;"+"&amp;1,_xlfn.XLOOKUP(LEFT(SUBSTITUTE(G1495,"[{",""),FIND(",",SUBSTITUTE(G1495,"[{",""))-1),Sheet2!B:B,Sheet2!C:C)&amp;"+"&amp;SUBSTITUTE(RIGHT(G1495,LEN(G1495)-FIND(",",G1495)),"}]","")/100&amp;"%")</f>
        <v>控制伤害+10%</v>
      </c>
      <c r="L1495" s="83" t="str">
        <f ca="1">IF(MOD(COUNTIF($Q$11:Q1494,Q1494),5)=0,OFFSET(装备属性!$G$1083,1+INT(COUNTA($Q$11:Q1494)/5),0),L1494)</f>
        <v>控场添力Ⅴ</v>
      </c>
      <c r="M1495" s="89" t="str">
        <f ca="1">IF(MOD(COUNTIF($Q$11:Q1494,Q1494),5)=0,OFFSET(装备属性!$H$1083,1+INT(COUNTA($Q$11:Q1494)/5),0),M1494)</f>
        <v>control_dmg_rate</v>
      </c>
      <c r="N1495" s="76">
        <f ca="1">IF(MOD(COUNTIF($Q$11:Q1494,Q1494),5)=0,OFFSET(装备属性!$K$1083,1+INT(COUNTA($Q$11:Q1494)/5),0),N1494)</f>
        <v>0.09</v>
      </c>
      <c r="O1495" s="76">
        <f ca="1">IF(MOD(COUNTIF($Q$11:Q1494,Q1494),5)=0,OFFSET(装备属性!$L$1083,1+INT(COUNTA($Q$11:Q1494)/5),0),O1494)</f>
        <v>0.1</v>
      </c>
      <c r="Q1495" s="89" t="str">
        <f ca="1">IF(MOD(COUNTIF($Q$11:Q1494,Q1494),5)=0,OFFSET(装备属性!$M$1083,1+INT(COUNTA($Q$11:Q1494)/5),0),Q1494)</f>
        <v>通用属性</v>
      </c>
      <c r="R1495" s="83">
        <f ca="1">IF(MOD(COUNTIF($Q$11:Q1494,Q1494),5)=0,10000*SUBSTITUTE(SUBSTITUTE(OFFSET(装备属性!$F$1083,1+INT(COUNTA($Q$11:Q1494)/5),0),"[",""),"]","")+_xlfn.XLOOKUP(C1495,$M$3:$M$7,$N$3:$N$7)*100,R1494)</f>
        <v>50800</v>
      </c>
    </row>
    <row r="1496" customHeight="1" spans="1:18">
      <c r="A1496" s="78">
        <f ca="1" t="shared" si="69"/>
        <v>50801</v>
      </c>
      <c r="B1496" s="82">
        <f ca="1">IFERROR(R1496+COUNTIFS($R$11:$R1496,R1496),"")</f>
        <v>50836</v>
      </c>
      <c r="C1496" s="83" t="str">
        <f ca="1">IF(MOD(COUNTIF($Q$11:Q1495,Q1495),5)=0,OFFSET(装备属性!$D$1083,1+INT(COUNTA($Q$11:Q1495)/5),0),C1495)</f>
        <v>彩</v>
      </c>
      <c r="D1496" s="82">
        <f t="shared" si="71"/>
        <v>3000</v>
      </c>
      <c r="F1496" s="82">
        <f ca="1" t="shared" si="70"/>
        <v>50807</v>
      </c>
      <c r="G1496" s="78" t="str">
        <f ca="1">IF(AND(LEFT("[{"&amp;M1496&amp;","&amp;CEILING(N1496*10000+(O1496-N1496)/4*(COUNTIF($F$11:F1496,F1496)-1)*10000,10)&amp;"}]",7)="[{equip",MID("[{"&amp;M1496&amp;","&amp;CEILING(N1496*10000+(O1496-N1496)/4*(COUNTIF($F$11:F1496,F1496)-1)*10000,10)&amp;"}]",8,1)&lt;&gt;"_"),"[{"&amp;M1496&amp;","&amp;1&amp;"}]","[{"&amp;M1496&amp;","&amp;CEILING(N1496*10000+(O1496-N1496)/4*(COUNTIF($F$11:F1496,F1496)-1)*10000,10)&amp;"}]")</f>
        <v>[{control_dmg_red_rate,350}]</v>
      </c>
      <c r="H1496" s="82" t="s">
        <v>563</v>
      </c>
      <c r="J1496" s="78">
        <f ca="1">IF(MOD(COUNTIF($Q$11:Q1495,Q1495),5)=0,OFFSET(装备属性!$P$1083,1+INT(COUNTA($Q$11:Q1495)/5),0),J1495)</f>
        <v>3</v>
      </c>
      <c r="K1496" s="83" t="str">
        <f ca="1">IF(RIGHT(G1496,13)="rune_slot,1}]",_xlfn.XLOOKUP(LEFT(SUBSTITUTE(G1496,"[{",""),FIND(",",SUBSTITUTE(G1496,"[{",""))-1),Sheet2!B:B,Sheet2!C:C)&amp;"+"&amp;1,_xlfn.XLOOKUP(LEFT(SUBSTITUTE(G1496,"[{",""),FIND(",",SUBSTITUTE(G1496,"[{",""))-1),Sheet2!B:B,Sheet2!C:C)&amp;"+"&amp;SUBSTITUTE(RIGHT(G1496,LEN(G1496)-FIND(",",G1496)),"}]","")/100&amp;"%")</f>
        <v>控制伤害减免+3.5%</v>
      </c>
      <c r="L1496" s="83" t="str">
        <f ca="1">IF(MOD(COUNTIF($Q$11:Q1495,Q1495),5)=0,OFFSET(装备属性!$G$1083,1+INT(COUNTA($Q$11:Q1495)/5),0),L1495)</f>
        <v>控场能苟Ⅴ</v>
      </c>
      <c r="M1496" s="89" t="str">
        <f ca="1">IF(MOD(COUNTIF($Q$11:Q1495,Q1495),5)=0,OFFSET(装备属性!$H$1083,1+INT(COUNTA($Q$11:Q1495)/5),0),M1495)</f>
        <v>control_dmg_red_rate</v>
      </c>
      <c r="N1496" s="76">
        <f ca="1">IF(MOD(COUNTIF($Q$11:Q1495,Q1495),5)=0,OFFSET(装备属性!$K$1083,1+INT(COUNTA($Q$11:Q1495)/5),0),N1495)</f>
        <v>0.035</v>
      </c>
      <c r="O1496" s="76">
        <f ca="1">IF(MOD(COUNTIF($Q$11:Q1495,Q1495),5)=0,OFFSET(装备属性!$L$1083,1+INT(COUNTA($Q$11:Q1495)/5),0),O1495)</f>
        <v>0.039</v>
      </c>
      <c r="Q1496" s="89" t="str">
        <f ca="1">IF(MOD(COUNTIF($Q$11:Q1495,Q1495),5)=0,OFFSET(装备属性!$M$1083,1+INT(COUNTA($Q$11:Q1495)/5),0),Q1495)</f>
        <v>通用属性</v>
      </c>
      <c r="R1496" s="83">
        <f ca="1">IF(MOD(COUNTIF($Q$11:Q1495,Q1495),5)=0,10000*SUBSTITUTE(SUBSTITUTE(OFFSET(装备属性!$F$1083,1+INT(COUNTA($Q$11:Q1495)/5),0),"[",""),"]","")+_xlfn.XLOOKUP(C1496,$M$3:$M$7,$N$3:$N$7)*100,R1495)</f>
        <v>50800</v>
      </c>
    </row>
    <row r="1497" customHeight="1" spans="1:18">
      <c r="A1497" s="78">
        <f ca="1" t="shared" si="69"/>
        <v>50801</v>
      </c>
      <c r="B1497" s="82">
        <f ca="1">IFERROR(R1497+COUNTIFS($R$11:$R1497,R1497),"")</f>
        <v>50837</v>
      </c>
      <c r="C1497" s="83" t="str">
        <f ca="1">IF(MOD(COUNTIF($Q$11:Q1496,Q1496),5)=0,OFFSET(装备属性!$D$1083,1+INT(COUNTA($Q$11:Q1496)/5),0),C1496)</f>
        <v>彩</v>
      </c>
      <c r="D1497" s="82">
        <f t="shared" si="71"/>
        <v>2500</v>
      </c>
      <c r="F1497" s="82">
        <f ca="1" t="shared" si="70"/>
        <v>50807</v>
      </c>
      <c r="G1497" s="78" t="str">
        <f ca="1">IF(AND(LEFT("[{"&amp;M1497&amp;","&amp;CEILING(N1497*10000+(O1497-N1497)/4*(COUNTIF($F$11:F1497,F1497)-1)*10000,10)&amp;"}]",7)="[{equip",MID("[{"&amp;M1497&amp;","&amp;CEILING(N1497*10000+(O1497-N1497)/4*(COUNTIF($F$11:F1497,F1497)-1)*10000,10)&amp;"}]",8,1)&lt;&gt;"_"),"[{"&amp;M1497&amp;","&amp;1&amp;"}]","[{"&amp;M1497&amp;","&amp;CEILING(N1497*10000+(O1497-N1497)/4*(COUNTIF($F$11:F1497,F1497)-1)*10000,10)&amp;"}]")</f>
        <v>[{control_dmg_red_rate,360}]</v>
      </c>
      <c r="H1497" s="82" t="s">
        <v>563</v>
      </c>
      <c r="J1497" s="78">
        <f ca="1">IF(MOD(COUNTIF($Q$11:Q1496,Q1496),5)=0,OFFSET(装备属性!$P$1083,1+INT(COUNTA($Q$11:Q1496)/5),0),J1496)</f>
        <v>3</v>
      </c>
      <c r="K1497" s="83" t="str">
        <f ca="1">IF(RIGHT(G1497,13)="rune_slot,1}]",_xlfn.XLOOKUP(LEFT(SUBSTITUTE(G1497,"[{",""),FIND(",",SUBSTITUTE(G1497,"[{",""))-1),Sheet2!B:B,Sheet2!C:C)&amp;"+"&amp;1,_xlfn.XLOOKUP(LEFT(SUBSTITUTE(G1497,"[{",""),FIND(",",SUBSTITUTE(G1497,"[{",""))-1),Sheet2!B:B,Sheet2!C:C)&amp;"+"&amp;SUBSTITUTE(RIGHT(G1497,LEN(G1497)-FIND(",",G1497)),"}]","")/100&amp;"%")</f>
        <v>控制伤害减免+3.6%</v>
      </c>
      <c r="L1497" s="83" t="str">
        <f ca="1">IF(MOD(COUNTIF($Q$11:Q1496,Q1496),5)=0,OFFSET(装备属性!$G$1083,1+INT(COUNTA($Q$11:Q1496)/5),0),L1496)</f>
        <v>控场能苟Ⅴ</v>
      </c>
      <c r="M1497" s="89" t="str">
        <f ca="1">IF(MOD(COUNTIF($Q$11:Q1496,Q1496),5)=0,OFFSET(装备属性!$H$1083,1+INT(COUNTA($Q$11:Q1496)/5),0),M1496)</f>
        <v>control_dmg_red_rate</v>
      </c>
      <c r="N1497" s="76">
        <f ca="1">IF(MOD(COUNTIF($Q$11:Q1496,Q1496),5)=0,OFFSET(装备属性!$K$1083,1+INT(COUNTA($Q$11:Q1496)/5),0),N1496)</f>
        <v>0.035</v>
      </c>
      <c r="O1497" s="76">
        <f ca="1">IF(MOD(COUNTIF($Q$11:Q1496,Q1496),5)=0,OFFSET(装备属性!$L$1083,1+INT(COUNTA($Q$11:Q1496)/5),0),O1496)</f>
        <v>0.039</v>
      </c>
      <c r="Q1497" s="89" t="str">
        <f ca="1">IF(MOD(COUNTIF($Q$11:Q1496,Q1496),5)=0,OFFSET(装备属性!$M$1083,1+INT(COUNTA($Q$11:Q1496)/5),0),Q1496)</f>
        <v>通用属性</v>
      </c>
      <c r="R1497" s="83">
        <f ca="1">IF(MOD(COUNTIF($Q$11:Q1496,Q1496),5)=0,10000*SUBSTITUTE(SUBSTITUTE(OFFSET(装备属性!$F$1083,1+INT(COUNTA($Q$11:Q1496)/5),0),"[",""),"]","")+_xlfn.XLOOKUP(C1497,$M$3:$M$7,$N$3:$N$7)*100,R1496)</f>
        <v>50800</v>
      </c>
    </row>
    <row r="1498" customHeight="1" spans="1:18">
      <c r="A1498" s="78">
        <f ca="1" t="shared" si="69"/>
        <v>50801</v>
      </c>
      <c r="B1498" s="82">
        <f ca="1">IFERROR(R1498+COUNTIFS($R$11:$R1498,R1498),"")</f>
        <v>50838</v>
      </c>
      <c r="C1498" s="83" t="str">
        <f ca="1">IF(MOD(COUNTIF($Q$11:Q1497,Q1497),5)=0,OFFSET(装备属性!$D$1083,1+INT(COUNTA($Q$11:Q1497)/5),0),C1497)</f>
        <v>彩</v>
      </c>
      <c r="D1498" s="82">
        <f t="shared" si="71"/>
        <v>2000</v>
      </c>
      <c r="F1498" s="82">
        <f ca="1" t="shared" si="70"/>
        <v>50807</v>
      </c>
      <c r="G1498" s="78" t="str">
        <f ca="1">IF(AND(LEFT("[{"&amp;M1498&amp;","&amp;CEILING(N1498*10000+(O1498-N1498)/4*(COUNTIF($F$11:F1498,F1498)-1)*10000,10)&amp;"}]",7)="[{equip",MID("[{"&amp;M1498&amp;","&amp;CEILING(N1498*10000+(O1498-N1498)/4*(COUNTIF($F$11:F1498,F1498)-1)*10000,10)&amp;"}]",8,1)&lt;&gt;"_"),"[{"&amp;M1498&amp;","&amp;1&amp;"}]","[{"&amp;M1498&amp;","&amp;CEILING(N1498*10000+(O1498-N1498)/4*(COUNTIF($F$11:F1498,F1498)-1)*10000,10)&amp;"}]")</f>
        <v>[{control_dmg_red_rate,370}]</v>
      </c>
      <c r="H1498" s="82" t="s">
        <v>563</v>
      </c>
      <c r="J1498" s="78">
        <f ca="1">IF(MOD(COUNTIF($Q$11:Q1497,Q1497),5)=0,OFFSET(装备属性!$P$1083,1+INT(COUNTA($Q$11:Q1497)/5),0),J1497)</f>
        <v>3</v>
      </c>
      <c r="K1498" s="83" t="str">
        <f ca="1">IF(RIGHT(G1498,13)="rune_slot,1}]",_xlfn.XLOOKUP(LEFT(SUBSTITUTE(G1498,"[{",""),FIND(",",SUBSTITUTE(G1498,"[{",""))-1),Sheet2!B:B,Sheet2!C:C)&amp;"+"&amp;1,_xlfn.XLOOKUP(LEFT(SUBSTITUTE(G1498,"[{",""),FIND(",",SUBSTITUTE(G1498,"[{",""))-1),Sheet2!B:B,Sheet2!C:C)&amp;"+"&amp;SUBSTITUTE(RIGHT(G1498,LEN(G1498)-FIND(",",G1498)),"}]","")/100&amp;"%")</f>
        <v>控制伤害减免+3.7%</v>
      </c>
      <c r="L1498" s="83" t="str">
        <f ca="1">IF(MOD(COUNTIF($Q$11:Q1497,Q1497),5)=0,OFFSET(装备属性!$G$1083,1+INT(COUNTA($Q$11:Q1497)/5),0),L1497)</f>
        <v>控场能苟Ⅴ</v>
      </c>
      <c r="M1498" s="89" t="str">
        <f ca="1">IF(MOD(COUNTIF($Q$11:Q1497,Q1497),5)=0,OFFSET(装备属性!$H$1083,1+INT(COUNTA($Q$11:Q1497)/5),0),M1497)</f>
        <v>control_dmg_red_rate</v>
      </c>
      <c r="N1498" s="76">
        <f ca="1">IF(MOD(COUNTIF($Q$11:Q1497,Q1497),5)=0,OFFSET(装备属性!$K$1083,1+INT(COUNTA($Q$11:Q1497)/5),0),N1497)</f>
        <v>0.035</v>
      </c>
      <c r="O1498" s="76">
        <f ca="1">IF(MOD(COUNTIF($Q$11:Q1497,Q1497),5)=0,OFFSET(装备属性!$L$1083,1+INT(COUNTA($Q$11:Q1497)/5),0),O1497)</f>
        <v>0.039</v>
      </c>
      <c r="Q1498" s="89" t="str">
        <f ca="1">IF(MOD(COUNTIF($Q$11:Q1497,Q1497),5)=0,OFFSET(装备属性!$M$1083,1+INT(COUNTA($Q$11:Q1497)/5),0),Q1497)</f>
        <v>通用属性</v>
      </c>
      <c r="R1498" s="83">
        <f ca="1">IF(MOD(COUNTIF($Q$11:Q1497,Q1497),5)=0,10000*SUBSTITUTE(SUBSTITUTE(OFFSET(装备属性!$F$1083,1+INT(COUNTA($Q$11:Q1497)/5),0),"[",""),"]","")+_xlfn.XLOOKUP(C1498,$M$3:$M$7,$N$3:$N$7)*100,R1497)</f>
        <v>50800</v>
      </c>
    </row>
    <row r="1499" customHeight="1" spans="1:18">
      <c r="A1499" s="78">
        <f ca="1" t="shared" si="69"/>
        <v>50801</v>
      </c>
      <c r="B1499" s="82">
        <f ca="1">IFERROR(R1499+COUNTIFS($R$11:$R1499,R1499),"")</f>
        <v>50839</v>
      </c>
      <c r="C1499" s="83" t="str">
        <f ca="1">IF(MOD(COUNTIF($Q$11:Q1498,Q1498),5)=0,OFFSET(装备属性!$D$1083,1+INT(COUNTA($Q$11:Q1498)/5),0),C1498)</f>
        <v>彩</v>
      </c>
      <c r="D1499" s="82">
        <f t="shared" si="71"/>
        <v>1500</v>
      </c>
      <c r="F1499" s="82">
        <f ca="1" t="shared" si="70"/>
        <v>50807</v>
      </c>
      <c r="G1499" s="78" t="str">
        <f ca="1">IF(AND(LEFT("[{"&amp;M1499&amp;","&amp;CEILING(N1499*10000+(O1499-N1499)/4*(COUNTIF($F$11:F1499,F1499)-1)*10000,10)&amp;"}]",7)="[{equip",MID("[{"&amp;M1499&amp;","&amp;CEILING(N1499*10000+(O1499-N1499)/4*(COUNTIF($F$11:F1499,F1499)-1)*10000,10)&amp;"}]",8,1)&lt;&gt;"_"),"[{"&amp;M1499&amp;","&amp;1&amp;"}]","[{"&amp;M1499&amp;","&amp;CEILING(N1499*10000+(O1499-N1499)/4*(COUNTIF($F$11:F1499,F1499)-1)*10000,10)&amp;"}]")</f>
        <v>[{control_dmg_red_rate,380}]</v>
      </c>
      <c r="H1499" s="82" t="s">
        <v>563</v>
      </c>
      <c r="J1499" s="78">
        <f ca="1">IF(MOD(COUNTIF($Q$11:Q1498,Q1498),5)=0,OFFSET(装备属性!$P$1083,1+INT(COUNTA($Q$11:Q1498)/5),0),J1498)</f>
        <v>3</v>
      </c>
      <c r="K1499" s="83" t="str">
        <f ca="1">IF(RIGHT(G1499,13)="rune_slot,1}]",_xlfn.XLOOKUP(LEFT(SUBSTITUTE(G1499,"[{",""),FIND(",",SUBSTITUTE(G1499,"[{",""))-1),Sheet2!B:B,Sheet2!C:C)&amp;"+"&amp;1,_xlfn.XLOOKUP(LEFT(SUBSTITUTE(G1499,"[{",""),FIND(",",SUBSTITUTE(G1499,"[{",""))-1),Sheet2!B:B,Sheet2!C:C)&amp;"+"&amp;SUBSTITUTE(RIGHT(G1499,LEN(G1499)-FIND(",",G1499)),"}]","")/100&amp;"%")</f>
        <v>控制伤害减免+3.8%</v>
      </c>
      <c r="L1499" s="83" t="str">
        <f ca="1">IF(MOD(COUNTIF($Q$11:Q1498,Q1498),5)=0,OFFSET(装备属性!$G$1083,1+INT(COUNTA($Q$11:Q1498)/5),0),L1498)</f>
        <v>控场能苟Ⅴ</v>
      </c>
      <c r="M1499" s="89" t="str">
        <f ca="1">IF(MOD(COUNTIF($Q$11:Q1498,Q1498),5)=0,OFFSET(装备属性!$H$1083,1+INT(COUNTA($Q$11:Q1498)/5),0),M1498)</f>
        <v>control_dmg_red_rate</v>
      </c>
      <c r="N1499" s="76">
        <f ca="1">IF(MOD(COUNTIF($Q$11:Q1498,Q1498),5)=0,OFFSET(装备属性!$K$1083,1+INT(COUNTA($Q$11:Q1498)/5),0),N1498)</f>
        <v>0.035</v>
      </c>
      <c r="O1499" s="76">
        <f ca="1">IF(MOD(COUNTIF($Q$11:Q1498,Q1498),5)=0,OFFSET(装备属性!$L$1083,1+INT(COUNTA($Q$11:Q1498)/5),0),O1498)</f>
        <v>0.039</v>
      </c>
      <c r="Q1499" s="89" t="str">
        <f ca="1">IF(MOD(COUNTIF($Q$11:Q1498,Q1498),5)=0,OFFSET(装备属性!$M$1083,1+INT(COUNTA($Q$11:Q1498)/5),0),Q1498)</f>
        <v>通用属性</v>
      </c>
      <c r="R1499" s="83">
        <f ca="1">IF(MOD(COUNTIF($Q$11:Q1498,Q1498),5)=0,10000*SUBSTITUTE(SUBSTITUTE(OFFSET(装备属性!$F$1083,1+INT(COUNTA($Q$11:Q1498)/5),0),"[",""),"]","")+_xlfn.XLOOKUP(C1499,$M$3:$M$7,$N$3:$N$7)*100,R1498)</f>
        <v>50800</v>
      </c>
    </row>
    <row r="1500" customHeight="1" spans="1:18">
      <c r="A1500" s="78">
        <f ca="1" t="shared" si="69"/>
        <v>50801</v>
      </c>
      <c r="B1500" s="82">
        <f ca="1">IFERROR(R1500+COUNTIFS($R$11:$R1500,R1500),"")</f>
        <v>50840</v>
      </c>
      <c r="C1500" s="83" t="str">
        <f ca="1">IF(MOD(COUNTIF($Q$11:Q1499,Q1499),5)=0,OFFSET(装备属性!$D$1083,1+INT(COUNTA($Q$11:Q1499)/5),0),C1499)</f>
        <v>彩</v>
      </c>
      <c r="D1500" s="82">
        <f t="shared" si="71"/>
        <v>1000</v>
      </c>
      <c r="F1500" s="82">
        <f ca="1" t="shared" si="70"/>
        <v>50807</v>
      </c>
      <c r="G1500" s="78" t="str">
        <f ca="1">IF(AND(LEFT("[{"&amp;M1500&amp;","&amp;CEILING(N1500*10000+(O1500-N1500)/4*(COUNTIF($F$11:F1500,F1500)-1)*10000,10)&amp;"}]",7)="[{equip",MID("[{"&amp;M1500&amp;","&amp;CEILING(N1500*10000+(O1500-N1500)/4*(COUNTIF($F$11:F1500,F1500)-1)*10000,10)&amp;"}]",8,1)&lt;&gt;"_"),"[{"&amp;M1500&amp;","&amp;1&amp;"}]","[{"&amp;M1500&amp;","&amp;CEILING(N1500*10000+(O1500-N1500)/4*(COUNTIF($F$11:F1500,F1500)-1)*10000,10)&amp;"}]")</f>
        <v>[{control_dmg_red_rate,390}]</v>
      </c>
      <c r="H1500" s="82" t="s">
        <v>563</v>
      </c>
      <c r="J1500" s="78">
        <f ca="1">IF(MOD(COUNTIF($Q$11:Q1499,Q1499),5)=0,OFFSET(装备属性!$P$1083,1+INT(COUNTA($Q$11:Q1499)/5),0),J1499)</f>
        <v>3</v>
      </c>
      <c r="K1500" s="83" t="str">
        <f ca="1">IF(RIGHT(G1500,13)="rune_slot,1}]",_xlfn.XLOOKUP(LEFT(SUBSTITUTE(G1500,"[{",""),FIND(",",SUBSTITUTE(G1500,"[{",""))-1),Sheet2!B:B,Sheet2!C:C)&amp;"+"&amp;1,_xlfn.XLOOKUP(LEFT(SUBSTITUTE(G1500,"[{",""),FIND(",",SUBSTITUTE(G1500,"[{",""))-1),Sheet2!B:B,Sheet2!C:C)&amp;"+"&amp;SUBSTITUTE(RIGHT(G1500,LEN(G1500)-FIND(",",G1500)),"}]","")/100&amp;"%")</f>
        <v>控制伤害减免+3.9%</v>
      </c>
      <c r="L1500" s="83" t="str">
        <f ca="1">IF(MOD(COUNTIF($Q$11:Q1499,Q1499),5)=0,OFFSET(装备属性!$G$1083,1+INT(COUNTA($Q$11:Q1499)/5),0),L1499)</f>
        <v>控场能苟Ⅴ</v>
      </c>
      <c r="M1500" s="89" t="str">
        <f ca="1">IF(MOD(COUNTIF($Q$11:Q1499,Q1499),5)=0,OFFSET(装备属性!$H$1083,1+INT(COUNTA($Q$11:Q1499)/5),0),M1499)</f>
        <v>control_dmg_red_rate</v>
      </c>
      <c r="N1500" s="76">
        <f ca="1">IF(MOD(COUNTIF($Q$11:Q1499,Q1499),5)=0,OFFSET(装备属性!$K$1083,1+INT(COUNTA($Q$11:Q1499)/5),0),N1499)</f>
        <v>0.035</v>
      </c>
      <c r="O1500" s="76">
        <f ca="1">IF(MOD(COUNTIF($Q$11:Q1499,Q1499),5)=0,OFFSET(装备属性!$L$1083,1+INT(COUNTA($Q$11:Q1499)/5),0),O1499)</f>
        <v>0.039</v>
      </c>
      <c r="Q1500" s="89" t="str">
        <f ca="1">IF(MOD(COUNTIF($Q$11:Q1499,Q1499),5)=0,OFFSET(装备属性!$M$1083,1+INT(COUNTA($Q$11:Q1499)/5),0),Q1499)</f>
        <v>通用属性</v>
      </c>
      <c r="R1500" s="83">
        <f ca="1">IF(MOD(COUNTIF($Q$11:Q1499,Q1499),5)=0,10000*SUBSTITUTE(SUBSTITUTE(OFFSET(装备属性!$F$1083,1+INT(COUNTA($Q$11:Q1499)/5),0),"[",""),"]","")+_xlfn.XLOOKUP(C1500,$M$3:$M$7,$N$3:$N$7)*100,R1499)</f>
        <v>50800</v>
      </c>
    </row>
    <row r="1501" customHeight="1" spans="1:18">
      <c r="A1501" s="78">
        <f ca="1" t="shared" si="69"/>
        <v>50801</v>
      </c>
      <c r="B1501" s="82">
        <f ca="1">IFERROR(R1501+COUNTIFS($R$11:$R1501,R1501),"")</f>
        <v>50841</v>
      </c>
      <c r="C1501" s="83" t="str">
        <f ca="1">IF(MOD(COUNTIF($Q$11:Q1500,Q1500),5)=0,OFFSET(装备属性!$D$1083,1+INT(COUNTA($Q$11:Q1500)/5),0),C1500)</f>
        <v>彩</v>
      </c>
      <c r="D1501" s="82">
        <f t="shared" si="71"/>
        <v>3000</v>
      </c>
      <c r="F1501" s="82">
        <f ca="1" t="shared" si="70"/>
        <v>50808</v>
      </c>
      <c r="G1501" s="78" t="str">
        <f ca="1">IF(AND(LEFT("[{"&amp;M1501&amp;","&amp;CEILING(N1501*10000+(O1501-N1501)/4*(COUNTIF($F$11:F1501,F1501)-1)*10000,10)&amp;"}]",7)="[{equip",MID("[{"&amp;M1501&amp;","&amp;CEILING(N1501*10000+(O1501-N1501)/4*(COUNTIF($F$11:F1501,F1501)-1)*10000,10)&amp;"}]",8,1)&lt;&gt;"_"),"[{"&amp;M1501&amp;","&amp;1&amp;"}]","[{"&amp;M1501&amp;","&amp;CEILING(N1501*10000+(O1501-N1501)/4*(COUNTIF($F$11:F1501,F1501)-1)*10000,10)&amp;"}]")</f>
        <v>[{control_class_dmg_rate,1300}]</v>
      </c>
      <c r="H1501" s="82" t="s">
        <v>563</v>
      </c>
      <c r="J1501" s="78">
        <f ca="1">IF(MOD(COUNTIF($Q$11:Q1500,Q1500),5)=0,OFFSET(装备属性!$P$1083,1+INT(COUNTA($Q$11:Q1500)/5),0),J1500)</f>
        <v>4</v>
      </c>
      <c r="K1501" s="83" t="str">
        <f ca="1">IF(RIGHT(G1501,13)="rune_slot,1}]",_xlfn.XLOOKUP(LEFT(SUBSTITUTE(G1501,"[{",""),FIND(",",SUBSTITUTE(G1501,"[{",""))-1),Sheet2!B:B,Sheet2!C:C)&amp;"+"&amp;1,_xlfn.XLOOKUP(LEFT(SUBSTITUTE(G1501,"[{",""),FIND(",",SUBSTITUTE(G1501,"[{",""))-1),Sheet2!B:B,Sheet2!C:C)&amp;"+"&amp;SUBSTITUTE(RIGHT(G1501,LEN(G1501)-FIND(",",G1501)),"}]","")/100&amp;"%")</f>
        <v>上阵两个控制职业增伤+13%</v>
      </c>
      <c r="L1501" s="83" t="str">
        <f ca="1">IF(MOD(COUNTIF($Q$11:Q1500,Q1500),5)=0,OFFSET(装备属性!$G$1083,1+INT(COUNTA($Q$11:Q1500)/5),0),L1500)</f>
        <v>控场小队Ⅴ</v>
      </c>
      <c r="M1501" s="89" t="str">
        <f ca="1">IF(MOD(COUNTIF($Q$11:Q1500,Q1500),5)=0,OFFSET(装备属性!$H$1083,1+INT(COUNTA($Q$11:Q1500)/5),0),M1500)</f>
        <v>control_class_dmg_rate</v>
      </c>
      <c r="N1501" s="76">
        <f ca="1">IF(MOD(COUNTIF($Q$11:Q1500,Q1500),5)=0,OFFSET(装备属性!$K$1083,1+INT(COUNTA($Q$11:Q1500)/5),0),N1500)</f>
        <v>0.13</v>
      </c>
      <c r="O1501" s="76">
        <f ca="1">IF(MOD(COUNTIF($Q$11:Q1500,Q1500),5)=0,OFFSET(装备属性!$L$1083,1+INT(COUNTA($Q$11:Q1500)/5),0),O1500)</f>
        <v>0.15</v>
      </c>
      <c r="Q1501" s="89" t="str">
        <f ca="1">IF(MOD(COUNTIF($Q$11:Q1500,Q1500),5)=0,OFFSET(装备属性!$M$1083,1+INT(COUNTA($Q$11:Q1500)/5),0),Q1500)</f>
        <v>通用属性</v>
      </c>
      <c r="R1501" s="83">
        <f ca="1">IF(MOD(COUNTIF($Q$11:Q1500,Q1500),5)=0,10000*SUBSTITUTE(SUBSTITUTE(OFFSET(装备属性!$F$1083,1+INT(COUNTA($Q$11:Q1500)/5),0),"[",""),"]","")+_xlfn.XLOOKUP(C1501,$M$3:$M$7,$N$3:$N$7)*100,R1500)</f>
        <v>50800</v>
      </c>
    </row>
    <row r="1502" customHeight="1" spans="1:18">
      <c r="A1502" s="78">
        <f ca="1" t="shared" si="69"/>
        <v>50801</v>
      </c>
      <c r="B1502" s="82">
        <f ca="1">IFERROR(R1502+COUNTIFS($R$11:$R1502,R1502),"")</f>
        <v>50842</v>
      </c>
      <c r="C1502" s="83" t="str">
        <f ca="1">IF(MOD(COUNTIF($Q$11:Q1501,Q1501),5)=0,OFFSET(装备属性!$D$1083,1+INT(COUNTA($Q$11:Q1501)/5),0),C1501)</f>
        <v>彩</v>
      </c>
      <c r="D1502" s="82">
        <f t="shared" si="71"/>
        <v>2500</v>
      </c>
      <c r="F1502" s="82">
        <f ca="1" t="shared" si="70"/>
        <v>50808</v>
      </c>
      <c r="G1502" s="78" t="str">
        <f ca="1">IF(AND(LEFT("[{"&amp;M1502&amp;","&amp;CEILING(N1502*10000+(O1502-N1502)/4*(COUNTIF($F$11:F1502,F1502)-1)*10000,10)&amp;"}]",7)="[{equip",MID("[{"&amp;M1502&amp;","&amp;CEILING(N1502*10000+(O1502-N1502)/4*(COUNTIF($F$11:F1502,F1502)-1)*10000,10)&amp;"}]",8,1)&lt;&gt;"_"),"[{"&amp;M1502&amp;","&amp;1&amp;"}]","[{"&amp;M1502&amp;","&amp;CEILING(N1502*10000+(O1502-N1502)/4*(COUNTIF($F$11:F1502,F1502)-1)*10000,10)&amp;"}]")</f>
        <v>[{control_class_dmg_rate,1350}]</v>
      </c>
      <c r="H1502" s="82" t="s">
        <v>563</v>
      </c>
      <c r="J1502" s="78">
        <f ca="1">IF(MOD(COUNTIF($Q$11:Q1501,Q1501),5)=0,OFFSET(装备属性!$P$1083,1+INT(COUNTA($Q$11:Q1501)/5),0),J1501)</f>
        <v>4</v>
      </c>
      <c r="K1502" s="83" t="str">
        <f ca="1">IF(RIGHT(G1502,13)="rune_slot,1}]",_xlfn.XLOOKUP(LEFT(SUBSTITUTE(G1502,"[{",""),FIND(",",SUBSTITUTE(G1502,"[{",""))-1),Sheet2!B:B,Sheet2!C:C)&amp;"+"&amp;1,_xlfn.XLOOKUP(LEFT(SUBSTITUTE(G1502,"[{",""),FIND(",",SUBSTITUTE(G1502,"[{",""))-1),Sheet2!B:B,Sheet2!C:C)&amp;"+"&amp;SUBSTITUTE(RIGHT(G1502,LEN(G1502)-FIND(",",G1502)),"}]","")/100&amp;"%")</f>
        <v>上阵两个控制职业增伤+13.5%</v>
      </c>
      <c r="L1502" s="83" t="str">
        <f ca="1">IF(MOD(COUNTIF($Q$11:Q1501,Q1501),5)=0,OFFSET(装备属性!$G$1083,1+INT(COUNTA($Q$11:Q1501)/5),0),L1501)</f>
        <v>控场小队Ⅴ</v>
      </c>
      <c r="M1502" s="89" t="str">
        <f ca="1">IF(MOD(COUNTIF($Q$11:Q1501,Q1501),5)=0,OFFSET(装备属性!$H$1083,1+INT(COUNTA($Q$11:Q1501)/5),0),M1501)</f>
        <v>control_class_dmg_rate</v>
      </c>
      <c r="N1502" s="76">
        <f ca="1">IF(MOD(COUNTIF($Q$11:Q1501,Q1501),5)=0,OFFSET(装备属性!$K$1083,1+INT(COUNTA($Q$11:Q1501)/5),0),N1501)</f>
        <v>0.13</v>
      </c>
      <c r="O1502" s="76">
        <f ca="1">IF(MOD(COUNTIF($Q$11:Q1501,Q1501),5)=0,OFFSET(装备属性!$L$1083,1+INT(COUNTA($Q$11:Q1501)/5),0),O1501)</f>
        <v>0.15</v>
      </c>
      <c r="Q1502" s="89" t="str">
        <f ca="1">IF(MOD(COUNTIF($Q$11:Q1501,Q1501),5)=0,OFFSET(装备属性!$M$1083,1+INT(COUNTA($Q$11:Q1501)/5),0),Q1501)</f>
        <v>通用属性</v>
      </c>
      <c r="R1502" s="83">
        <f ca="1">IF(MOD(COUNTIF($Q$11:Q1501,Q1501),5)=0,10000*SUBSTITUTE(SUBSTITUTE(OFFSET(装备属性!$F$1083,1+INT(COUNTA($Q$11:Q1501)/5),0),"[",""),"]","")+_xlfn.XLOOKUP(C1502,$M$3:$M$7,$N$3:$N$7)*100,R1501)</f>
        <v>50800</v>
      </c>
    </row>
    <row r="1503" customHeight="1" spans="1:18">
      <c r="A1503" s="78">
        <f ca="1" t="shared" si="69"/>
        <v>50801</v>
      </c>
      <c r="B1503" s="82">
        <f ca="1">IFERROR(R1503+COUNTIFS($R$11:$R1503,R1503),"")</f>
        <v>50843</v>
      </c>
      <c r="C1503" s="83" t="str">
        <f ca="1">IF(MOD(COUNTIF($Q$11:Q1502,Q1502),5)=0,OFFSET(装备属性!$D$1083,1+INT(COUNTA($Q$11:Q1502)/5),0),C1502)</f>
        <v>彩</v>
      </c>
      <c r="D1503" s="82">
        <f t="shared" si="71"/>
        <v>2000</v>
      </c>
      <c r="F1503" s="82">
        <f ca="1" t="shared" si="70"/>
        <v>50808</v>
      </c>
      <c r="G1503" s="78" t="str">
        <f ca="1">IF(AND(LEFT("[{"&amp;M1503&amp;","&amp;CEILING(N1503*10000+(O1503-N1503)/4*(COUNTIF($F$11:F1503,F1503)-1)*10000,10)&amp;"}]",7)="[{equip",MID("[{"&amp;M1503&amp;","&amp;CEILING(N1503*10000+(O1503-N1503)/4*(COUNTIF($F$11:F1503,F1503)-1)*10000,10)&amp;"}]",8,1)&lt;&gt;"_"),"[{"&amp;M1503&amp;","&amp;1&amp;"}]","[{"&amp;M1503&amp;","&amp;CEILING(N1503*10000+(O1503-N1503)/4*(COUNTIF($F$11:F1503,F1503)-1)*10000,10)&amp;"}]")</f>
        <v>[{control_class_dmg_rate,1400}]</v>
      </c>
      <c r="H1503" s="82" t="s">
        <v>563</v>
      </c>
      <c r="J1503" s="78">
        <f ca="1">IF(MOD(COUNTIF($Q$11:Q1502,Q1502),5)=0,OFFSET(装备属性!$P$1083,1+INT(COUNTA($Q$11:Q1502)/5),0),J1502)</f>
        <v>4</v>
      </c>
      <c r="K1503" s="83" t="str">
        <f ca="1">IF(RIGHT(G1503,13)="rune_slot,1}]",_xlfn.XLOOKUP(LEFT(SUBSTITUTE(G1503,"[{",""),FIND(",",SUBSTITUTE(G1503,"[{",""))-1),Sheet2!B:B,Sheet2!C:C)&amp;"+"&amp;1,_xlfn.XLOOKUP(LEFT(SUBSTITUTE(G1503,"[{",""),FIND(",",SUBSTITUTE(G1503,"[{",""))-1),Sheet2!B:B,Sheet2!C:C)&amp;"+"&amp;SUBSTITUTE(RIGHT(G1503,LEN(G1503)-FIND(",",G1503)),"}]","")/100&amp;"%")</f>
        <v>上阵两个控制职业增伤+14%</v>
      </c>
      <c r="L1503" s="83" t="str">
        <f ca="1">IF(MOD(COUNTIF($Q$11:Q1502,Q1502),5)=0,OFFSET(装备属性!$G$1083,1+INT(COUNTA($Q$11:Q1502)/5),0),L1502)</f>
        <v>控场小队Ⅴ</v>
      </c>
      <c r="M1503" s="89" t="str">
        <f ca="1">IF(MOD(COUNTIF($Q$11:Q1502,Q1502),5)=0,OFFSET(装备属性!$H$1083,1+INT(COUNTA($Q$11:Q1502)/5),0),M1502)</f>
        <v>control_class_dmg_rate</v>
      </c>
      <c r="N1503" s="76">
        <f ca="1">IF(MOD(COUNTIF($Q$11:Q1502,Q1502),5)=0,OFFSET(装备属性!$K$1083,1+INT(COUNTA($Q$11:Q1502)/5),0),N1502)</f>
        <v>0.13</v>
      </c>
      <c r="O1503" s="76">
        <f ca="1">IF(MOD(COUNTIF($Q$11:Q1502,Q1502),5)=0,OFFSET(装备属性!$L$1083,1+INT(COUNTA($Q$11:Q1502)/5),0),O1502)</f>
        <v>0.15</v>
      </c>
      <c r="Q1503" s="89" t="str">
        <f ca="1">IF(MOD(COUNTIF($Q$11:Q1502,Q1502),5)=0,OFFSET(装备属性!$M$1083,1+INT(COUNTA($Q$11:Q1502)/5),0),Q1502)</f>
        <v>通用属性</v>
      </c>
      <c r="R1503" s="83">
        <f ca="1">IF(MOD(COUNTIF($Q$11:Q1502,Q1502),5)=0,10000*SUBSTITUTE(SUBSTITUTE(OFFSET(装备属性!$F$1083,1+INT(COUNTA($Q$11:Q1502)/5),0),"[",""),"]","")+_xlfn.XLOOKUP(C1503,$M$3:$M$7,$N$3:$N$7)*100,R1502)</f>
        <v>50800</v>
      </c>
    </row>
    <row r="1504" customHeight="1" spans="1:18">
      <c r="A1504" s="78">
        <f ca="1" t="shared" si="69"/>
        <v>50801</v>
      </c>
      <c r="B1504" s="82">
        <f ca="1">IFERROR(R1504+COUNTIFS($R$11:$R1504,R1504),"")</f>
        <v>50844</v>
      </c>
      <c r="C1504" s="83" t="str">
        <f ca="1">IF(MOD(COUNTIF($Q$11:Q1503,Q1503),5)=0,OFFSET(装备属性!$D$1083,1+INT(COUNTA($Q$11:Q1503)/5),0),C1503)</f>
        <v>彩</v>
      </c>
      <c r="D1504" s="82">
        <f t="shared" si="71"/>
        <v>1500</v>
      </c>
      <c r="F1504" s="82">
        <f ca="1" t="shared" si="70"/>
        <v>50808</v>
      </c>
      <c r="G1504" s="78" t="str">
        <f ca="1">IF(AND(LEFT("[{"&amp;M1504&amp;","&amp;CEILING(N1504*10000+(O1504-N1504)/4*(COUNTIF($F$11:F1504,F1504)-1)*10000,10)&amp;"}]",7)="[{equip",MID("[{"&amp;M1504&amp;","&amp;CEILING(N1504*10000+(O1504-N1504)/4*(COUNTIF($F$11:F1504,F1504)-1)*10000,10)&amp;"}]",8,1)&lt;&gt;"_"),"[{"&amp;M1504&amp;","&amp;1&amp;"}]","[{"&amp;M1504&amp;","&amp;CEILING(N1504*10000+(O1504-N1504)/4*(COUNTIF($F$11:F1504,F1504)-1)*10000,10)&amp;"}]")</f>
        <v>[{control_class_dmg_rate,1450}]</v>
      </c>
      <c r="H1504" s="82" t="s">
        <v>563</v>
      </c>
      <c r="J1504" s="78">
        <f ca="1">IF(MOD(COUNTIF($Q$11:Q1503,Q1503),5)=0,OFFSET(装备属性!$P$1083,1+INT(COUNTA($Q$11:Q1503)/5),0),J1503)</f>
        <v>4</v>
      </c>
      <c r="K1504" s="83" t="str">
        <f ca="1">IF(RIGHT(G1504,13)="rune_slot,1}]",_xlfn.XLOOKUP(LEFT(SUBSTITUTE(G1504,"[{",""),FIND(",",SUBSTITUTE(G1504,"[{",""))-1),Sheet2!B:B,Sheet2!C:C)&amp;"+"&amp;1,_xlfn.XLOOKUP(LEFT(SUBSTITUTE(G1504,"[{",""),FIND(",",SUBSTITUTE(G1504,"[{",""))-1),Sheet2!B:B,Sheet2!C:C)&amp;"+"&amp;SUBSTITUTE(RIGHT(G1504,LEN(G1504)-FIND(",",G1504)),"}]","")/100&amp;"%")</f>
        <v>上阵两个控制职业增伤+14.5%</v>
      </c>
      <c r="L1504" s="83" t="str">
        <f ca="1">IF(MOD(COUNTIF($Q$11:Q1503,Q1503),5)=0,OFFSET(装备属性!$G$1083,1+INT(COUNTA($Q$11:Q1503)/5),0),L1503)</f>
        <v>控场小队Ⅴ</v>
      </c>
      <c r="M1504" s="89" t="str">
        <f ca="1">IF(MOD(COUNTIF($Q$11:Q1503,Q1503),5)=0,OFFSET(装备属性!$H$1083,1+INT(COUNTA($Q$11:Q1503)/5),0),M1503)</f>
        <v>control_class_dmg_rate</v>
      </c>
      <c r="N1504" s="76">
        <f ca="1">IF(MOD(COUNTIF($Q$11:Q1503,Q1503),5)=0,OFFSET(装备属性!$K$1083,1+INT(COUNTA($Q$11:Q1503)/5),0),N1503)</f>
        <v>0.13</v>
      </c>
      <c r="O1504" s="76">
        <f ca="1">IF(MOD(COUNTIF($Q$11:Q1503,Q1503),5)=0,OFFSET(装备属性!$L$1083,1+INT(COUNTA($Q$11:Q1503)/5),0),O1503)</f>
        <v>0.15</v>
      </c>
      <c r="Q1504" s="89" t="str">
        <f ca="1">IF(MOD(COUNTIF($Q$11:Q1503,Q1503),5)=0,OFFSET(装备属性!$M$1083,1+INT(COUNTA($Q$11:Q1503)/5),0),Q1503)</f>
        <v>通用属性</v>
      </c>
      <c r="R1504" s="83">
        <f ca="1">IF(MOD(COUNTIF($Q$11:Q1503,Q1503),5)=0,10000*SUBSTITUTE(SUBSTITUTE(OFFSET(装备属性!$F$1083,1+INT(COUNTA($Q$11:Q1503)/5),0),"[",""),"]","")+_xlfn.XLOOKUP(C1504,$M$3:$M$7,$N$3:$N$7)*100,R1503)</f>
        <v>50800</v>
      </c>
    </row>
    <row r="1505" customHeight="1" spans="1:18">
      <c r="A1505" s="78">
        <f ca="1" t="shared" si="69"/>
        <v>50801</v>
      </c>
      <c r="B1505" s="82">
        <f ca="1">IFERROR(R1505+COUNTIFS($R$11:$R1505,R1505),"")</f>
        <v>50845</v>
      </c>
      <c r="C1505" s="83" t="str">
        <f ca="1">IF(MOD(COUNTIF($Q$11:Q1504,Q1504),5)=0,OFFSET(装备属性!$D$1083,1+INT(COUNTA($Q$11:Q1504)/5),0),C1504)</f>
        <v>彩</v>
      </c>
      <c r="D1505" s="82">
        <f t="shared" si="71"/>
        <v>1000</v>
      </c>
      <c r="F1505" s="82">
        <f ca="1" t="shared" si="70"/>
        <v>50808</v>
      </c>
      <c r="G1505" s="78" t="str">
        <f ca="1">IF(AND(LEFT("[{"&amp;M1505&amp;","&amp;CEILING(N1505*10000+(O1505-N1505)/4*(COUNTIF($F$11:F1505,F1505)-1)*10000,10)&amp;"}]",7)="[{equip",MID("[{"&amp;M1505&amp;","&amp;CEILING(N1505*10000+(O1505-N1505)/4*(COUNTIF($F$11:F1505,F1505)-1)*10000,10)&amp;"}]",8,1)&lt;&gt;"_"),"[{"&amp;M1505&amp;","&amp;1&amp;"}]","[{"&amp;M1505&amp;","&amp;CEILING(N1505*10000+(O1505-N1505)/4*(COUNTIF($F$11:F1505,F1505)-1)*10000,10)&amp;"}]")</f>
        <v>[{control_class_dmg_rate,1500}]</v>
      </c>
      <c r="H1505" s="82" t="s">
        <v>563</v>
      </c>
      <c r="J1505" s="78">
        <f ca="1">IF(MOD(COUNTIF($Q$11:Q1504,Q1504),5)=0,OFFSET(装备属性!$P$1083,1+INT(COUNTA($Q$11:Q1504)/5),0),J1504)</f>
        <v>4</v>
      </c>
      <c r="K1505" s="83" t="str">
        <f ca="1">IF(RIGHT(G1505,13)="rune_slot,1}]",_xlfn.XLOOKUP(LEFT(SUBSTITUTE(G1505,"[{",""),FIND(",",SUBSTITUTE(G1505,"[{",""))-1),Sheet2!B:B,Sheet2!C:C)&amp;"+"&amp;1,_xlfn.XLOOKUP(LEFT(SUBSTITUTE(G1505,"[{",""),FIND(",",SUBSTITUTE(G1505,"[{",""))-1),Sheet2!B:B,Sheet2!C:C)&amp;"+"&amp;SUBSTITUTE(RIGHT(G1505,LEN(G1505)-FIND(",",G1505)),"}]","")/100&amp;"%")</f>
        <v>上阵两个控制职业增伤+15%</v>
      </c>
      <c r="L1505" s="83" t="str">
        <f ca="1">IF(MOD(COUNTIF($Q$11:Q1504,Q1504),5)=0,OFFSET(装备属性!$G$1083,1+INT(COUNTA($Q$11:Q1504)/5),0),L1504)</f>
        <v>控场小队Ⅴ</v>
      </c>
      <c r="M1505" s="89" t="str">
        <f ca="1">IF(MOD(COUNTIF($Q$11:Q1504,Q1504),5)=0,OFFSET(装备属性!$H$1083,1+INT(COUNTA($Q$11:Q1504)/5),0),M1504)</f>
        <v>control_class_dmg_rate</v>
      </c>
      <c r="N1505" s="76">
        <f ca="1">IF(MOD(COUNTIF($Q$11:Q1504,Q1504),5)=0,OFFSET(装备属性!$K$1083,1+INT(COUNTA($Q$11:Q1504)/5),0),N1504)</f>
        <v>0.13</v>
      </c>
      <c r="O1505" s="76">
        <f ca="1">IF(MOD(COUNTIF($Q$11:Q1504,Q1504),5)=0,OFFSET(装备属性!$L$1083,1+INT(COUNTA($Q$11:Q1504)/5),0),O1504)</f>
        <v>0.15</v>
      </c>
      <c r="Q1505" s="89" t="str">
        <f ca="1">IF(MOD(COUNTIF($Q$11:Q1504,Q1504),5)=0,OFFSET(装备属性!$M$1083,1+INT(COUNTA($Q$11:Q1504)/5),0),Q1504)</f>
        <v>通用属性</v>
      </c>
      <c r="R1505" s="83">
        <f ca="1">IF(MOD(COUNTIF($Q$11:Q1504,Q1504),5)=0,10000*SUBSTITUTE(SUBSTITUTE(OFFSET(装备属性!$F$1083,1+INT(COUNTA($Q$11:Q1504)/5),0),"[",""),"]","")+_xlfn.XLOOKUP(C1505,$M$3:$M$7,$N$3:$N$7)*100,R1504)</f>
        <v>50800</v>
      </c>
    </row>
    <row r="1506" customHeight="1" spans="1:18">
      <c r="A1506" s="78">
        <f ca="1" t="shared" si="69"/>
        <v>50801</v>
      </c>
      <c r="B1506" s="82">
        <f ca="1">IFERROR(R1506+COUNTIFS($R$11:$R1506,R1506),"")</f>
        <v>50846</v>
      </c>
      <c r="C1506" s="83" t="str">
        <f ca="1">IF(MOD(COUNTIF($Q$11:Q1505,Q1505),5)=0,OFFSET(装备属性!$D$1083,1+INT(COUNTA($Q$11:Q1505)/5),0),C1505)</f>
        <v>彩</v>
      </c>
      <c r="D1506" s="82">
        <f t="shared" si="71"/>
        <v>3000</v>
      </c>
      <c r="F1506" s="82">
        <f ca="1" t="shared" si="70"/>
        <v>50809</v>
      </c>
      <c r="G1506" s="78" t="str">
        <f ca="1">IF(AND(LEFT("[{"&amp;M1506&amp;","&amp;CEILING(N1506*10000+(O1506-N1506)/4*(COUNTIF($F$11:F1506,F1506)-1)*10000,10)&amp;"}]",7)="[{equip",MID("[{"&amp;M1506&amp;","&amp;CEILING(N1506*10000+(O1506-N1506)/4*(COUNTIF($F$11:F1506,F1506)-1)*10000,10)&amp;"}]",8,1)&lt;&gt;"_"),"[{"&amp;M1506&amp;","&amp;1&amp;"}]","[{"&amp;M1506&amp;","&amp;CEILING(N1506*10000+(O1506-N1506)/4*(COUNTIF($F$11:F1506,F1506)-1)*10000,10)&amp;"}]")</f>
        <v>[{control_crit_dmg,3900}]</v>
      </c>
      <c r="H1506" s="82" t="s">
        <v>563</v>
      </c>
      <c r="J1506" s="78">
        <f ca="1">IF(MOD(COUNTIF($Q$11:Q1505,Q1505),5)=0,OFFSET(装备属性!$P$1083,1+INT(COUNTA($Q$11:Q1505)/5),0),J1505)</f>
        <v>10</v>
      </c>
      <c r="K1506" s="83" t="str">
        <f ca="1">IF(RIGHT(G1506,13)="rune_slot,1}]",_xlfn.XLOOKUP(LEFT(SUBSTITUTE(G1506,"[{",""),FIND(",",SUBSTITUTE(G1506,"[{",""))-1),Sheet2!B:B,Sheet2!C:C)&amp;"+"&amp;1,_xlfn.XLOOKUP(LEFT(SUBSTITUTE(G1506,"[{",""),FIND(",",SUBSTITUTE(G1506,"[{",""))-1),Sheet2!B:B,Sheet2!C:C)&amp;"+"&amp;SUBSTITUTE(RIGHT(G1506,LEN(G1506)-FIND(",",G1506)),"}]","")/100&amp;"%")</f>
        <v>控制暴击伤害+39%</v>
      </c>
      <c r="L1506" s="83" t="str">
        <f ca="1">IF(MOD(COUNTIF($Q$11:Q1505,Q1505),5)=0,OFFSET(装备属性!$G$1083,1+INT(COUNTA($Q$11:Q1505)/5),0),L1505)</f>
        <v>暴走控场Ⅴ</v>
      </c>
      <c r="M1506" s="89" t="str">
        <f ca="1">IF(MOD(COUNTIF($Q$11:Q1505,Q1505),5)=0,OFFSET(装备属性!$H$1083,1+INT(COUNTA($Q$11:Q1505)/5),0),M1505)</f>
        <v>control_crit_dmg</v>
      </c>
      <c r="N1506" s="76">
        <f ca="1">IF(MOD(COUNTIF($Q$11:Q1505,Q1505),5)=0,OFFSET(装备属性!$K$1083,1+INT(COUNTA($Q$11:Q1505)/5),0),N1505)</f>
        <v>0.39</v>
      </c>
      <c r="O1506" s="76">
        <f ca="1">IF(MOD(COUNTIF($Q$11:Q1505,Q1505),5)=0,OFFSET(装备属性!$L$1083,1+INT(COUNTA($Q$11:Q1505)/5),0),O1505)</f>
        <v>0.45</v>
      </c>
      <c r="Q1506" s="89" t="str">
        <f ca="1">IF(MOD(COUNTIF($Q$11:Q1505,Q1505),5)=0,OFFSET(装备属性!$M$1083,1+INT(COUNTA($Q$11:Q1505)/5),0),Q1505)</f>
        <v>通用属性</v>
      </c>
      <c r="R1506" s="83">
        <f ca="1">IF(MOD(COUNTIF($Q$11:Q1505,Q1505),5)=0,10000*SUBSTITUTE(SUBSTITUTE(OFFSET(装备属性!$F$1083,1+INT(COUNTA($Q$11:Q1505)/5),0),"[",""),"]","")+_xlfn.XLOOKUP(C1506,$M$3:$M$7,$N$3:$N$7)*100,R1505)</f>
        <v>50800</v>
      </c>
    </row>
    <row r="1507" customHeight="1" spans="1:18">
      <c r="A1507" s="78">
        <f ca="1" t="shared" si="69"/>
        <v>50801</v>
      </c>
      <c r="B1507" s="82">
        <f ca="1">IFERROR(R1507+COUNTIFS($R$11:$R1507,R1507),"")</f>
        <v>50847</v>
      </c>
      <c r="C1507" s="83" t="str">
        <f ca="1">IF(MOD(COUNTIF($Q$11:Q1506,Q1506),5)=0,OFFSET(装备属性!$D$1083,1+INT(COUNTA($Q$11:Q1506)/5),0),C1506)</f>
        <v>彩</v>
      </c>
      <c r="D1507" s="82">
        <f t="shared" si="71"/>
        <v>2500</v>
      </c>
      <c r="F1507" s="82">
        <f ca="1" t="shared" si="70"/>
        <v>50809</v>
      </c>
      <c r="G1507" s="78" t="str">
        <f ca="1">IF(AND(LEFT("[{"&amp;M1507&amp;","&amp;CEILING(N1507*10000+(O1507-N1507)/4*(COUNTIF($F$11:F1507,F1507)-1)*10000,10)&amp;"}]",7)="[{equip",MID("[{"&amp;M1507&amp;","&amp;CEILING(N1507*10000+(O1507-N1507)/4*(COUNTIF($F$11:F1507,F1507)-1)*10000,10)&amp;"}]",8,1)&lt;&gt;"_"),"[{"&amp;M1507&amp;","&amp;1&amp;"}]","[{"&amp;M1507&amp;","&amp;CEILING(N1507*10000+(O1507-N1507)/4*(COUNTIF($F$11:F1507,F1507)-1)*10000,10)&amp;"}]")</f>
        <v>[{control_crit_dmg,4050}]</v>
      </c>
      <c r="H1507" s="82" t="s">
        <v>563</v>
      </c>
      <c r="J1507" s="78">
        <f ca="1">IF(MOD(COUNTIF($Q$11:Q1506,Q1506),5)=0,OFFSET(装备属性!$P$1083,1+INT(COUNTA($Q$11:Q1506)/5),0),J1506)</f>
        <v>10</v>
      </c>
      <c r="K1507" s="83" t="str">
        <f ca="1">IF(RIGHT(G1507,13)="rune_slot,1}]",_xlfn.XLOOKUP(LEFT(SUBSTITUTE(G1507,"[{",""),FIND(",",SUBSTITUTE(G1507,"[{",""))-1),Sheet2!B:B,Sheet2!C:C)&amp;"+"&amp;1,_xlfn.XLOOKUP(LEFT(SUBSTITUTE(G1507,"[{",""),FIND(",",SUBSTITUTE(G1507,"[{",""))-1),Sheet2!B:B,Sheet2!C:C)&amp;"+"&amp;SUBSTITUTE(RIGHT(G1507,LEN(G1507)-FIND(",",G1507)),"}]","")/100&amp;"%")</f>
        <v>控制暴击伤害+40.5%</v>
      </c>
      <c r="L1507" s="83" t="str">
        <f ca="1">IF(MOD(COUNTIF($Q$11:Q1506,Q1506),5)=0,OFFSET(装备属性!$G$1083,1+INT(COUNTA($Q$11:Q1506)/5),0),L1506)</f>
        <v>暴走控场Ⅴ</v>
      </c>
      <c r="M1507" s="89" t="str">
        <f ca="1">IF(MOD(COUNTIF($Q$11:Q1506,Q1506),5)=0,OFFSET(装备属性!$H$1083,1+INT(COUNTA($Q$11:Q1506)/5),0),M1506)</f>
        <v>control_crit_dmg</v>
      </c>
      <c r="N1507" s="76">
        <f ca="1">IF(MOD(COUNTIF($Q$11:Q1506,Q1506),5)=0,OFFSET(装备属性!$K$1083,1+INT(COUNTA($Q$11:Q1506)/5),0),N1506)</f>
        <v>0.39</v>
      </c>
      <c r="O1507" s="76">
        <f ca="1">IF(MOD(COUNTIF($Q$11:Q1506,Q1506),5)=0,OFFSET(装备属性!$L$1083,1+INT(COUNTA($Q$11:Q1506)/5),0),O1506)</f>
        <v>0.45</v>
      </c>
      <c r="Q1507" s="89" t="str">
        <f ca="1">IF(MOD(COUNTIF($Q$11:Q1506,Q1506),5)=0,OFFSET(装备属性!$M$1083,1+INT(COUNTA($Q$11:Q1506)/5),0),Q1506)</f>
        <v>通用属性</v>
      </c>
      <c r="R1507" s="83">
        <f ca="1">IF(MOD(COUNTIF($Q$11:Q1506,Q1506),5)=0,10000*SUBSTITUTE(SUBSTITUTE(OFFSET(装备属性!$F$1083,1+INT(COUNTA($Q$11:Q1506)/5),0),"[",""),"]","")+_xlfn.XLOOKUP(C1507,$M$3:$M$7,$N$3:$N$7)*100,R1506)</f>
        <v>50800</v>
      </c>
    </row>
    <row r="1508" customHeight="1" spans="1:18">
      <c r="A1508" s="78">
        <f ca="1" t="shared" si="69"/>
        <v>50801</v>
      </c>
      <c r="B1508" s="82">
        <f ca="1">IFERROR(R1508+COUNTIFS($R$11:$R1508,R1508),"")</f>
        <v>50848</v>
      </c>
      <c r="C1508" s="83" t="str">
        <f ca="1">IF(MOD(COUNTIF($Q$11:Q1507,Q1507),5)=0,OFFSET(装备属性!$D$1083,1+INT(COUNTA($Q$11:Q1507)/5),0),C1507)</f>
        <v>彩</v>
      </c>
      <c r="D1508" s="82">
        <f t="shared" si="71"/>
        <v>2000</v>
      </c>
      <c r="F1508" s="82">
        <f ca="1" t="shared" si="70"/>
        <v>50809</v>
      </c>
      <c r="G1508" s="78" t="str">
        <f ca="1">IF(AND(LEFT("[{"&amp;M1508&amp;","&amp;CEILING(N1508*10000+(O1508-N1508)/4*(COUNTIF($F$11:F1508,F1508)-1)*10000,10)&amp;"}]",7)="[{equip",MID("[{"&amp;M1508&amp;","&amp;CEILING(N1508*10000+(O1508-N1508)/4*(COUNTIF($F$11:F1508,F1508)-1)*10000,10)&amp;"}]",8,1)&lt;&gt;"_"),"[{"&amp;M1508&amp;","&amp;1&amp;"}]","[{"&amp;M1508&amp;","&amp;CEILING(N1508*10000+(O1508-N1508)/4*(COUNTIF($F$11:F1508,F1508)-1)*10000,10)&amp;"}]")</f>
        <v>[{control_crit_dmg,4200}]</v>
      </c>
      <c r="H1508" s="82" t="s">
        <v>563</v>
      </c>
      <c r="J1508" s="78">
        <f ca="1">IF(MOD(COUNTIF($Q$11:Q1507,Q1507),5)=0,OFFSET(装备属性!$P$1083,1+INT(COUNTA($Q$11:Q1507)/5),0),J1507)</f>
        <v>10</v>
      </c>
      <c r="K1508" s="83" t="str">
        <f ca="1">IF(RIGHT(G1508,13)="rune_slot,1}]",_xlfn.XLOOKUP(LEFT(SUBSTITUTE(G1508,"[{",""),FIND(",",SUBSTITUTE(G1508,"[{",""))-1),Sheet2!B:B,Sheet2!C:C)&amp;"+"&amp;1,_xlfn.XLOOKUP(LEFT(SUBSTITUTE(G1508,"[{",""),FIND(",",SUBSTITUTE(G1508,"[{",""))-1),Sheet2!B:B,Sheet2!C:C)&amp;"+"&amp;SUBSTITUTE(RIGHT(G1508,LEN(G1508)-FIND(",",G1508)),"}]","")/100&amp;"%")</f>
        <v>控制暴击伤害+42%</v>
      </c>
      <c r="L1508" s="83" t="str">
        <f ca="1">IF(MOD(COUNTIF($Q$11:Q1507,Q1507),5)=0,OFFSET(装备属性!$G$1083,1+INT(COUNTA($Q$11:Q1507)/5),0),L1507)</f>
        <v>暴走控场Ⅴ</v>
      </c>
      <c r="M1508" s="89" t="str">
        <f ca="1">IF(MOD(COUNTIF($Q$11:Q1507,Q1507),5)=0,OFFSET(装备属性!$H$1083,1+INT(COUNTA($Q$11:Q1507)/5),0),M1507)</f>
        <v>control_crit_dmg</v>
      </c>
      <c r="N1508" s="76">
        <f ca="1">IF(MOD(COUNTIF($Q$11:Q1507,Q1507),5)=0,OFFSET(装备属性!$K$1083,1+INT(COUNTA($Q$11:Q1507)/5),0),N1507)</f>
        <v>0.39</v>
      </c>
      <c r="O1508" s="76">
        <f ca="1">IF(MOD(COUNTIF($Q$11:Q1507,Q1507),5)=0,OFFSET(装备属性!$L$1083,1+INT(COUNTA($Q$11:Q1507)/5),0),O1507)</f>
        <v>0.45</v>
      </c>
      <c r="Q1508" s="89" t="str">
        <f ca="1">IF(MOD(COUNTIF($Q$11:Q1507,Q1507),5)=0,OFFSET(装备属性!$M$1083,1+INT(COUNTA($Q$11:Q1507)/5),0),Q1507)</f>
        <v>通用属性</v>
      </c>
      <c r="R1508" s="83">
        <f ca="1">IF(MOD(COUNTIF($Q$11:Q1507,Q1507),5)=0,10000*SUBSTITUTE(SUBSTITUTE(OFFSET(装备属性!$F$1083,1+INT(COUNTA($Q$11:Q1507)/5),0),"[",""),"]","")+_xlfn.XLOOKUP(C1508,$M$3:$M$7,$N$3:$N$7)*100,R1507)</f>
        <v>50800</v>
      </c>
    </row>
    <row r="1509" customHeight="1" spans="1:18">
      <c r="A1509" s="78">
        <f ca="1" t="shared" si="69"/>
        <v>50801</v>
      </c>
      <c r="B1509" s="82">
        <f ca="1">IFERROR(R1509+COUNTIFS($R$11:$R1509,R1509),"")</f>
        <v>50849</v>
      </c>
      <c r="C1509" s="83" t="str">
        <f ca="1">IF(MOD(COUNTIF($Q$11:Q1508,Q1508),5)=0,OFFSET(装备属性!$D$1083,1+INT(COUNTA($Q$11:Q1508)/5),0),C1508)</f>
        <v>彩</v>
      </c>
      <c r="D1509" s="82">
        <f t="shared" si="71"/>
        <v>1500</v>
      </c>
      <c r="F1509" s="82">
        <f ca="1" t="shared" si="70"/>
        <v>50809</v>
      </c>
      <c r="G1509" s="78" t="str">
        <f ca="1">IF(AND(LEFT("[{"&amp;M1509&amp;","&amp;CEILING(N1509*10000+(O1509-N1509)/4*(COUNTIF($F$11:F1509,F1509)-1)*10000,10)&amp;"}]",7)="[{equip",MID("[{"&amp;M1509&amp;","&amp;CEILING(N1509*10000+(O1509-N1509)/4*(COUNTIF($F$11:F1509,F1509)-1)*10000,10)&amp;"}]",8,1)&lt;&gt;"_"),"[{"&amp;M1509&amp;","&amp;1&amp;"}]","[{"&amp;M1509&amp;","&amp;CEILING(N1509*10000+(O1509-N1509)/4*(COUNTIF($F$11:F1509,F1509)-1)*10000,10)&amp;"}]")</f>
        <v>[{control_crit_dmg,4350}]</v>
      </c>
      <c r="H1509" s="82" t="s">
        <v>563</v>
      </c>
      <c r="J1509" s="78">
        <f ca="1">IF(MOD(COUNTIF($Q$11:Q1508,Q1508),5)=0,OFFSET(装备属性!$P$1083,1+INT(COUNTA($Q$11:Q1508)/5),0),J1508)</f>
        <v>10</v>
      </c>
      <c r="K1509" s="83" t="str">
        <f ca="1">IF(RIGHT(G1509,13)="rune_slot,1}]",_xlfn.XLOOKUP(LEFT(SUBSTITUTE(G1509,"[{",""),FIND(",",SUBSTITUTE(G1509,"[{",""))-1),Sheet2!B:B,Sheet2!C:C)&amp;"+"&amp;1,_xlfn.XLOOKUP(LEFT(SUBSTITUTE(G1509,"[{",""),FIND(",",SUBSTITUTE(G1509,"[{",""))-1),Sheet2!B:B,Sheet2!C:C)&amp;"+"&amp;SUBSTITUTE(RIGHT(G1509,LEN(G1509)-FIND(",",G1509)),"}]","")/100&amp;"%")</f>
        <v>控制暴击伤害+43.5%</v>
      </c>
      <c r="L1509" s="83" t="str">
        <f ca="1">IF(MOD(COUNTIF($Q$11:Q1508,Q1508),5)=0,OFFSET(装备属性!$G$1083,1+INT(COUNTA($Q$11:Q1508)/5),0),L1508)</f>
        <v>暴走控场Ⅴ</v>
      </c>
      <c r="M1509" s="89" t="str">
        <f ca="1">IF(MOD(COUNTIF($Q$11:Q1508,Q1508),5)=0,OFFSET(装备属性!$H$1083,1+INT(COUNTA($Q$11:Q1508)/5),0),M1508)</f>
        <v>control_crit_dmg</v>
      </c>
      <c r="N1509" s="76">
        <f ca="1">IF(MOD(COUNTIF($Q$11:Q1508,Q1508),5)=0,OFFSET(装备属性!$K$1083,1+INT(COUNTA($Q$11:Q1508)/5),0),N1508)</f>
        <v>0.39</v>
      </c>
      <c r="O1509" s="76">
        <f ca="1">IF(MOD(COUNTIF($Q$11:Q1508,Q1508),5)=0,OFFSET(装备属性!$L$1083,1+INT(COUNTA($Q$11:Q1508)/5),0),O1508)</f>
        <v>0.45</v>
      </c>
      <c r="Q1509" s="89" t="str">
        <f ca="1">IF(MOD(COUNTIF($Q$11:Q1508,Q1508),5)=0,OFFSET(装备属性!$M$1083,1+INT(COUNTA($Q$11:Q1508)/5),0),Q1508)</f>
        <v>通用属性</v>
      </c>
      <c r="R1509" s="83">
        <f ca="1">IF(MOD(COUNTIF($Q$11:Q1508,Q1508),5)=0,10000*SUBSTITUTE(SUBSTITUTE(OFFSET(装备属性!$F$1083,1+INT(COUNTA($Q$11:Q1508)/5),0),"[",""),"]","")+_xlfn.XLOOKUP(C1509,$M$3:$M$7,$N$3:$N$7)*100,R1508)</f>
        <v>50800</v>
      </c>
    </row>
    <row r="1510" customHeight="1" spans="1:18">
      <c r="A1510" s="78">
        <f ca="1" t="shared" si="69"/>
        <v>50801</v>
      </c>
      <c r="B1510" s="82">
        <f ca="1">IFERROR(R1510+COUNTIFS($R$11:$R1510,R1510),"")</f>
        <v>50850</v>
      </c>
      <c r="C1510" s="83" t="str">
        <f ca="1">IF(MOD(COUNTIF($Q$11:Q1509,Q1509),5)=0,OFFSET(装备属性!$D$1083,1+INT(COUNTA($Q$11:Q1509)/5),0),C1509)</f>
        <v>彩</v>
      </c>
      <c r="D1510" s="82">
        <f t="shared" si="71"/>
        <v>1000</v>
      </c>
      <c r="F1510" s="82">
        <f ca="1" t="shared" si="70"/>
        <v>50809</v>
      </c>
      <c r="G1510" s="78" t="str">
        <f ca="1">IF(AND(LEFT("[{"&amp;M1510&amp;","&amp;CEILING(N1510*10000+(O1510-N1510)/4*(COUNTIF($F$11:F1510,F1510)-1)*10000,10)&amp;"}]",7)="[{equip",MID("[{"&amp;M1510&amp;","&amp;CEILING(N1510*10000+(O1510-N1510)/4*(COUNTIF($F$11:F1510,F1510)-1)*10000,10)&amp;"}]",8,1)&lt;&gt;"_"),"[{"&amp;M1510&amp;","&amp;1&amp;"}]","[{"&amp;M1510&amp;","&amp;CEILING(N1510*10000+(O1510-N1510)/4*(COUNTIF($F$11:F1510,F1510)-1)*10000,10)&amp;"}]")</f>
        <v>[{control_crit_dmg,4500}]</v>
      </c>
      <c r="H1510" s="82" t="s">
        <v>563</v>
      </c>
      <c r="J1510" s="78">
        <f ca="1">IF(MOD(COUNTIF($Q$11:Q1509,Q1509),5)=0,OFFSET(装备属性!$P$1083,1+INT(COUNTA($Q$11:Q1509)/5),0),J1509)</f>
        <v>10</v>
      </c>
      <c r="K1510" s="83" t="str">
        <f ca="1">IF(RIGHT(G1510,13)="rune_slot,1}]",_xlfn.XLOOKUP(LEFT(SUBSTITUTE(G1510,"[{",""),FIND(",",SUBSTITUTE(G1510,"[{",""))-1),Sheet2!B:B,Sheet2!C:C)&amp;"+"&amp;1,_xlfn.XLOOKUP(LEFT(SUBSTITUTE(G1510,"[{",""),FIND(",",SUBSTITUTE(G1510,"[{",""))-1),Sheet2!B:B,Sheet2!C:C)&amp;"+"&amp;SUBSTITUTE(RIGHT(G1510,LEN(G1510)-FIND(",",G1510)),"}]","")/100&amp;"%")</f>
        <v>控制暴击伤害+45%</v>
      </c>
      <c r="L1510" s="83" t="str">
        <f ca="1">IF(MOD(COUNTIF($Q$11:Q1509,Q1509),5)=0,OFFSET(装备属性!$G$1083,1+INT(COUNTA($Q$11:Q1509)/5),0),L1509)</f>
        <v>暴走控场Ⅴ</v>
      </c>
      <c r="M1510" s="89" t="str">
        <f ca="1">IF(MOD(COUNTIF($Q$11:Q1509,Q1509),5)=0,OFFSET(装备属性!$H$1083,1+INT(COUNTA($Q$11:Q1509)/5),0),M1509)</f>
        <v>control_crit_dmg</v>
      </c>
      <c r="N1510" s="76">
        <f ca="1">IF(MOD(COUNTIF($Q$11:Q1509,Q1509),5)=0,OFFSET(装备属性!$K$1083,1+INT(COUNTA($Q$11:Q1509)/5),0),N1509)</f>
        <v>0.39</v>
      </c>
      <c r="O1510" s="76">
        <f ca="1">IF(MOD(COUNTIF($Q$11:Q1509,Q1509),5)=0,OFFSET(装备属性!$L$1083,1+INT(COUNTA($Q$11:Q1509)/5),0),O1509)</f>
        <v>0.45</v>
      </c>
      <c r="Q1510" s="89" t="str">
        <f ca="1">IF(MOD(COUNTIF($Q$11:Q1509,Q1509),5)=0,OFFSET(装备属性!$M$1083,1+INT(COUNTA($Q$11:Q1509)/5),0),Q1509)</f>
        <v>通用属性</v>
      </c>
      <c r="R1510" s="83">
        <f ca="1">IF(MOD(COUNTIF($Q$11:Q1509,Q1509),5)=0,10000*SUBSTITUTE(SUBSTITUTE(OFFSET(装备属性!$F$1083,1+INT(COUNTA($Q$11:Q1509)/5),0),"[",""),"]","")+_xlfn.XLOOKUP(C1510,$M$3:$M$7,$N$3:$N$7)*100,R1509)</f>
        <v>50800</v>
      </c>
    </row>
    <row r="1511" customHeight="1" spans="1:18">
      <c r="A1511" s="78" t="str">
        <f ca="1" t="shared" si="69"/>
        <v/>
      </c>
      <c r="B1511" s="82" t="str">
        <f ca="1">IFERROR(R1511+COUNTIFS($R$11:$R1511,R1511),"")</f>
        <v/>
      </c>
      <c r="C1511" s="83">
        <f ca="1">IF(MOD(COUNTIF($Q$11:Q1510,Q1510),5)=0,OFFSET(装备属性!$D$1083,1+INT(COUNTA($Q$11:Q1510)/5),0),C1510)</f>
        <v>0</v>
      </c>
      <c r="D1511" s="82">
        <f t="shared" si="71"/>
        <v>3000</v>
      </c>
      <c r="F1511" s="82" t="str">
        <f ca="1" t="shared" si="70"/>
        <v/>
      </c>
      <c r="G1511" s="78" t="str">
        <f ca="1">IF(AND(LEFT("[{"&amp;M1511&amp;","&amp;CEILING(N1511*10000+(O1511-N1511)/4*(COUNTIF($F$11:F1511,F1511)-1)*10000,10)&amp;"}]",7)="[{equip",MID("[{"&amp;M1511&amp;","&amp;CEILING(N1511*10000+(O1511-N1511)/4*(COUNTIF($F$11:F1511,F1511)-1)*10000,10)&amp;"}]",8,1)&lt;&gt;"_"),"[{"&amp;M1511&amp;","&amp;1&amp;"}]","[{"&amp;M1511&amp;","&amp;CEILING(N1511*10000+(O1511-N1511)/4*(COUNTIF($F$11:F1511,F1511)-1)*10000,10)&amp;"}]")</f>
        <v>[{global_dmg_rate,18150}]</v>
      </c>
      <c r="H1511" s="82" t="s">
        <v>563</v>
      </c>
      <c r="J1511" s="78">
        <f ca="1">IF(MOD(COUNTIF($Q$11:Q1510,Q1510),5)=0,OFFSET(装备属性!$P$1083,1+INT(COUNTA($Q$11:Q1510)/5),0),J1510)</f>
        <v>2</v>
      </c>
      <c r="K1511" s="83" t="str">
        <f ca="1">IF(RIGHT(G1511,13)="rune_slot,1}]",_xlfn.XLOOKUP(LEFT(SUBSTITUTE(G1511,"[{",""),FIND(",",SUBSTITUTE(G1511,"[{",""))-1),Sheet2!B:B,Sheet2!C:C)&amp;"+"&amp;1,_xlfn.XLOOKUP(LEFT(SUBSTITUTE(G1511,"[{",""),FIND(",",SUBSTITUTE(G1511,"[{",""))-1),Sheet2!B:B,Sheet2!C:C)&amp;"+"&amp;SUBSTITUTE(RIGHT(G1511,LEN(G1511)-FIND(",",G1511)),"}]","")/100&amp;"%")</f>
        <v>伤害加成+181.5%</v>
      </c>
      <c r="L1511" s="83" t="str">
        <f ca="1">IF(MOD(COUNTIF($Q$11:Q1510,Q1510),5)=0,OFFSET(装备属性!$G$1083,1+INT(COUNTA($Q$11:Q1510)/5),0),L1510)</f>
        <v>全职小队Ⅰ</v>
      </c>
      <c r="M1511" s="89" t="str">
        <f ca="1">IF(MOD(COUNTIF($Q$11:Q1510,Q1510),5)=0,OFFSET(装备属性!$H$1083,1+INT(COUNTA($Q$11:Q1510)/5),0),M1510)</f>
        <v>global_dmg_rate</v>
      </c>
      <c r="N1511" s="76">
        <f ca="1">IF(MOD(COUNTIF($Q$11:Q1510,Q1510),5)=0,OFFSET(装备属性!$K$1083,1+INT(COUNTA($Q$11:Q1510)/5),0),N1510)</f>
        <v>0.03</v>
      </c>
      <c r="O1511" s="76">
        <f ca="1">IF(MOD(COUNTIF($Q$11:Q1510,Q1510),5)=0,OFFSET(装备属性!$L$1083,1+INT(COUNTA($Q$11:Q1510)/5),0),O1510)</f>
        <v>0.042</v>
      </c>
      <c r="Q1511" s="89" t="str">
        <f ca="1">IF(MOD(COUNTIF($Q$11:Q1510,Q1510),5)=0,OFFSET(装备属性!$M$1083,1+INT(COUNTA($Q$11:Q1510)/5),0),Q1510)</f>
        <v>通用属性</v>
      </c>
      <c r="R1511" s="83" t="e">
        <f ca="1">IF(MOD(COUNTIF($Q$11:Q1510,Q1510),5)=0,10000*SUBSTITUTE(SUBSTITUTE(OFFSET(装备属性!$F$1083,1+INT(COUNTA($Q$11:Q1510)/5),0),"[",""),"]","")+_xlfn.XLOOKUP(C1511,$M$3:$M$7,$N$3:$N$7)*100,R1510)</f>
        <v>#N/A</v>
      </c>
    </row>
    <row r="1512" customHeight="1" spans="1:18">
      <c r="A1512" s="78" t="str">
        <f ca="1" t="shared" si="69"/>
        <v/>
      </c>
      <c r="B1512" s="82" t="str">
        <f ca="1">IFERROR(R1512+COUNTIFS($R$11:$R1512,R1512),"")</f>
        <v/>
      </c>
      <c r="C1512" s="83">
        <f ca="1">IF(MOD(COUNTIF($Q$11:Q1511,Q1511),5)=0,OFFSET(装备属性!$D$1083,1+INT(COUNTA($Q$11:Q1511)/5),0),C1511)</f>
        <v>0</v>
      </c>
      <c r="D1512" s="82">
        <f t="shared" si="71"/>
        <v>2500</v>
      </c>
      <c r="F1512" s="82" t="str">
        <f ca="1" t="shared" si="70"/>
        <v/>
      </c>
      <c r="G1512" s="78" t="str">
        <f ca="1">IF(AND(LEFT("[{"&amp;M1512&amp;","&amp;CEILING(N1512*10000+(O1512-N1512)/4*(COUNTIF($F$11:F1512,F1512)-1)*10000,10)&amp;"}]",7)="[{equip",MID("[{"&amp;M1512&amp;","&amp;CEILING(N1512*10000+(O1512-N1512)/4*(COUNTIF($F$11:F1512,F1512)-1)*10000,10)&amp;"}]",8,1)&lt;&gt;"_"),"[{"&amp;M1512&amp;","&amp;1&amp;"}]","[{"&amp;M1512&amp;","&amp;CEILING(N1512*10000+(O1512-N1512)/4*(COUNTIF($F$11:F1512,F1512)-1)*10000,10)&amp;"}]")</f>
        <v>[{global_dmg_rate,18180}]</v>
      </c>
      <c r="H1512" s="82" t="s">
        <v>563</v>
      </c>
      <c r="J1512" s="78">
        <f ca="1">IF(MOD(COUNTIF($Q$11:Q1511,Q1511),5)=0,OFFSET(装备属性!$P$1083,1+INT(COUNTA($Q$11:Q1511)/5),0),J1511)</f>
        <v>2</v>
      </c>
      <c r="K1512" s="83" t="str">
        <f ca="1">IF(RIGHT(G1512,13)="rune_slot,1}]",_xlfn.XLOOKUP(LEFT(SUBSTITUTE(G1512,"[{",""),FIND(",",SUBSTITUTE(G1512,"[{",""))-1),Sheet2!B:B,Sheet2!C:C)&amp;"+"&amp;1,_xlfn.XLOOKUP(LEFT(SUBSTITUTE(G1512,"[{",""),FIND(",",SUBSTITUTE(G1512,"[{",""))-1),Sheet2!B:B,Sheet2!C:C)&amp;"+"&amp;SUBSTITUTE(RIGHT(G1512,LEN(G1512)-FIND(",",G1512)),"}]","")/100&amp;"%")</f>
        <v>伤害加成+181.8%</v>
      </c>
      <c r="L1512" s="83" t="str">
        <f ca="1">IF(MOD(COUNTIF($Q$11:Q1511,Q1511),5)=0,OFFSET(装备属性!$G$1083,1+INT(COUNTA($Q$11:Q1511)/5),0),L1511)</f>
        <v>全职小队Ⅰ</v>
      </c>
      <c r="M1512" s="89" t="str">
        <f ca="1">IF(MOD(COUNTIF($Q$11:Q1511,Q1511),5)=0,OFFSET(装备属性!$H$1083,1+INT(COUNTA($Q$11:Q1511)/5),0),M1511)</f>
        <v>global_dmg_rate</v>
      </c>
      <c r="N1512" s="76">
        <f ca="1">IF(MOD(COUNTIF($Q$11:Q1511,Q1511),5)=0,OFFSET(装备属性!$K$1083,1+INT(COUNTA($Q$11:Q1511)/5),0),N1511)</f>
        <v>0.03</v>
      </c>
      <c r="O1512" s="76">
        <f ca="1">IF(MOD(COUNTIF($Q$11:Q1511,Q1511),5)=0,OFFSET(装备属性!$L$1083,1+INT(COUNTA($Q$11:Q1511)/5),0),O1511)</f>
        <v>0.042</v>
      </c>
      <c r="Q1512" s="89" t="str">
        <f ca="1">IF(MOD(COUNTIF($Q$11:Q1511,Q1511),5)=0,OFFSET(装备属性!$M$1083,1+INT(COUNTA($Q$11:Q1511)/5),0),Q1511)</f>
        <v>通用属性</v>
      </c>
      <c r="R1512" s="83" t="e">
        <f ca="1">IF(MOD(COUNTIF($Q$11:Q1511,Q1511),5)=0,10000*SUBSTITUTE(SUBSTITUTE(OFFSET(装备属性!$F$1083,1+INT(COUNTA($Q$11:Q1511)/5),0),"[",""),"]","")+_xlfn.XLOOKUP(C1512,$M$3:$M$7,$N$3:$N$7)*100,R1511)</f>
        <v>#N/A</v>
      </c>
    </row>
    <row r="1513" customHeight="1" spans="1:18">
      <c r="A1513" s="78" t="str">
        <f ca="1" t="shared" si="69"/>
        <v/>
      </c>
      <c r="B1513" s="82" t="str">
        <f ca="1">IFERROR(R1513+COUNTIFS($R$11:$R1513,R1513),"")</f>
        <v/>
      </c>
      <c r="C1513" s="83">
        <f ca="1">IF(MOD(COUNTIF($Q$11:Q1512,Q1512),5)=0,OFFSET(装备属性!$D$1083,1+INT(COUNTA($Q$11:Q1512)/5),0),C1512)</f>
        <v>0</v>
      </c>
      <c r="D1513" s="82">
        <f t="shared" si="71"/>
        <v>2000</v>
      </c>
      <c r="F1513" s="82" t="str">
        <f ca="1" t="shared" si="70"/>
        <v/>
      </c>
      <c r="G1513" s="78" t="str">
        <f ca="1">IF(AND(LEFT("[{"&amp;M1513&amp;","&amp;CEILING(N1513*10000+(O1513-N1513)/4*(COUNTIF($F$11:F1513,F1513)-1)*10000,10)&amp;"}]",7)="[{equip",MID("[{"&amp;M1513&amp;","&amp;CEILING(N1513*10000+(O1513-N1513)/4*(COUNTIF($F$11:F1513,F1513)-1)*10000,10)&amp;"}]",8,1)&lt;&gt;"_"),"[{"&amp;M1513&amp;","&amp;1&amp;"}]","[{"&amp;M1513&amp;","&amp;CEILING(N1513*10000+(O1513-N1513)/4*(COUNTIF($F$11:F1513,F1513)-1)*10000,10)&amp;"}]")</f>
        <v>[{global_dmg_rate,18210}]</v>
      </c>
      <c r="H1513" s="82" t="s">
        <v>563</v>
      </c>
      <c r="J1513" s="78">
        <f ca="1">IF(MOD(COUNTIF($Q$11:Q1512,Q1512),5)=0,OFFSET(装备属性!$P$1083,1+INT(COUNTA($Q$11:Q1512)/5),0),J1512)</f>
        <v>2</v>
      </c>
      <c r="K1513" s="83" t="str">
        <f ca="1">IF(RIGHT(G1513,13)="rune_slot,1}]",_xlfn.XLOOKUP(LEFT(SUBSTITUTE(G1513,"[{",""),FIND(",",SUBSTITUTE(G1513,"[{",""))-1),Sheet2!B:B,Sheet2!C:C)&amp;"+"&amp;1,_xlfn.XLOOKUP(LEFT(SUBSTITUTE(G1513,"[{",""),FIND(",",SUBSTITUTE(G1513,"[{",""))-1),Sheet2!B:B,Sheet2!C:C)&amp;"+"&amp;SUBSTITUTE(RIGHT(G1513,LEN(G1513)-FIND(",",G1513)),"}]","")/100&amp;"%")</f>
        <v>伤害加成+182.1%</v>
      </c>
      <c r="L1513" s="83" t="str">
        <f ca="1">IF(MOD(COUNTIF($Q$11:Q1512,Q1512),5)=0,OFFSET(装备属性!$G$1083,1+INT(COUNTA($Q$11:Q1512)/5),0),L1512)</f>
        <v>全职小队Ⅰ</v>
      </c>
      <c r="M1513" s="89" t="str">
        <f ca="1">IF(MOD(COUNTIF($Q$11:Q1512,Q1512),5)=0,OFFSET(装备属性!$H$1083,1+INT(COUNTA($Q$11:Q1512)/5),0),M1512)</f>
        <v>global_dmg_rate</v>
      </c>
      <c r="N1513" s="76">
        <f ca="1">IF(MOD(COUNTIF($Q$11:Q1512,Q1512),5)=0,OFFSET(装备属性!$K$1083,1+INT(COUNTA($Q$11:Q1512)/5),0),N1512)</f>
        <v>0.03</v>
      </c>
      <c r="O1513" s="76">
        <f ca="1">IF(MOD(COUNTIF($Q$11:Q1512,Q1512),5)=0,OFFSET(装备属性!$L$1083,1+INT(COUNTA($Q$11:Q1512)/5),0),O1512)</f>
        <v>0.042</v>
      </c>
      <c r="Q1513" s="89" t="str">
        <f ca="1">IF(MOD(COUNTIF($Q$11:Q1512,Q1512),5)=0,OFFSET(装备属性!$M$1083,1+INT(COUNTA($Q$11:Q1512)/5),0),Q1512)</f>
        <v>通用属性</v>
      </c>
      <c r="R1513" s="83" t="e">
        <f ca="1">IF(MOD(COUNTIF($Q$11:Q1512,Q1512),5)=0,10000*SUBSTITUTE(SUBSTITUTE(OFFSET(装备属性!$F$1083,1+INT(COUNTA($Q$11:Q1512)/5),0),"[",""),"]","")+_xlfn.XLOOKUP(C1513,$M$3:$M$7,$N$3:$N$7)*100,R1512)</f>
        <v>#N/A</v>
      </c>
    </row>
    <row r="1514" customHeight="1" spans="1:18">
      <c r="A1514" s="78" t="str">
        <f ca="1" t="shared" si="69"/>
        <v/>
      </c>
      <c r="B1514" s="82" t="str">
        <f ca="1">IFERROR(R1514+COUNTIFS($R$11:$R1514,R1514),"")</f>
        <v/>
      </c>
      <c r="C1514" s="83">
        <f ca="1">IF(MOD(COUNTIF($Q$11:Q1513,Q1513),5)=0,OFFSET(装备属性!$D$1083,1+INT(COUNTA($Q$11:Q1513)/5),0),C1513)</f>
        <v>0</v>
      </c>
      <c r="D1514" s="82">
        <f t="shared" si="71"/>
        <v>1500</v>
      </c>
      <c r="F1514" s="82" t="str">
        <f ca="1" t="shared" si="70"/>
        <v/>
      </c>
      <c r="G1514" s="78" t="str">
        <f ca="1">IF(AND(LEFT("[{"&amp;M1514&amp;","&amp;CEILING(N1514*10000+(O1514-N1514)/4*(COUNTIF($F$11:F1514,F1514)-1)*10000,10)&amp;"}]",7)="[{equip",MID("[{"&amp;M1514&amp;","&amp;CEILING(N1514*10000+(O1514-N1514)/4*(COUNTIF($F$11:F1514,F1514)-1)*10000,10)&amp;"}]",8,1)&lt;&gt;"_"),"[{"&amp;M1514&amp;","&amp;1&amp;"}]","[{"&amp;M1514&amp;","&amp;CEILING(N1514*10000+(O1514-N1514)/4*(COUNTIF($F$11:F1514,F1514)-1)*10000,10)&amp;"}]")</f>
        <v>[{global_dmg_rate,18240}]</v>
      </c>
      <c r="H1514" s="82" t="s">
        <v>563</v>
      </c>
      <c r="J1514" s="78">
        <f ca="1">IF(MOD(COUNTIF($Q$11:Q1513,Q1513),5)=0,OFFSET(装备属性!$P$1083,1+INT(COUNTA($Q$11:Q1513)/5),0),J1513)</f>
        <v>2</v>
      </c>
      <c r="K1514" s="83" t="str">
        <f ca="1">IF(RIGHT(G1514,13)="rune_slot,1}]",_xlfn.XLOOKUP(LEFT(SUBSTITUTE(G1514,"[{",""),FIND(",",SUBSTITUTE(G1514,"[{",""))-1),Sheet2!B:B,Sheet2!C:C)&amp;"+"&amp;1,_xlfn.XLOOKUP(LEFT(SUBSTITUTE(G1514,"[{",""),FIND(",",SUBSTITUTE(G1514,"[{",""))-1),Sheet2!B:B,Sheet2!C:C)&amp;"+"&amp;SUBSTITUTE(RIGHT(G1514,LEN(G1514)-FIND(",",G1514)),"}]","")/100&amp;"%")</f>
        <v>伤害加成+182.4%</v>
      </c>
      <c r="L1514" s="83" t="str">
        <f ca="1">IF(MOD(COUNTIF($Q$11:Q1513,Q1513),5)=0,OFFSET(装备属性!$G$1083,1+INT(COUNTA($Q$11:Q1513)/5),0),L1513)</f>
        <v>全职小队Ⅰ</v>
      </c>
      <c r="M1514" s="89" t="str">
        <f ca="1">IF(MOD(COUNTIF($Q$11:Q1513,Q1513),5)=0,OFFSET(装备属性!$H$1083,1+INT(COUNTA($Q$11:Q1513)/5),0),M1513)</f>
        <v>global_dmg_rate</v>
      </c>
      <c r="N1514" s="76">
        <f ca="1">IF(MOD(COUNTIF($Q$11:Q1513,Q1513),5)=0,OFFSET(装备属性!$K$1083,1+INT(COUNTA($Q$11:Q1513)/5),0),N1513)</f>
        <v>0.03</v>
      </c>
      <c r="O1514" s="76">
        <f ca="1">IF(MOD(COUNTIF($Q$11:Q1513,Q1513),5)=0,OFFSET(装备属性!$L$1083,1+INT(COUNTA($Q$11:Q1513)/5),0),O1513)</f>
        <v>0.042</v>
      </c>
      <c r="Q1514" s="89" t="str">
        <f ca="1">IF(MOD(COUNTIF($Q$11:Q1513,Q1513),5)=0,OFFSET(装备属性!$M$1083,1+INT(COUNTA($Q$11:Q1513)/5),0),Q1513)</f>
        <v>通用属性</v>
      </c>
      <c r="R1514" s="83" t="e">
        <f ca="1">IF(MOD(COUNTIF($Q$11:Q1513,Q1513),5)=0,10000*SUBSTITUTE(SUBSTITUTE(OFFSET(装备属性!$F$1083,1+INT(COUNTA($Q$11:Q1513)/5),0),"[",""),"]","")+_xlfn.XLOOKUP(C1514,$M$3:$M$7,$N$3:$N$7)*100,R1513)</f>
        <v>#N/A</v>
      </c>
    </row>
    <row r="1515" customHeight="1" spans="1:18">
      <c r="A1515" s="78" t="str">
        <f ca="1" t="shared" si="69"/>
        <v/>
      </c>
      <c r="B1515" s="82" t="str">
        <f ca="1">IFERROR(R1515+COUNTIFS($R$11:$R1515,R1515),"")</f>
        <v/>
      </c>
      <c r="C1515" s="83">
        <f ca="1">IF(MOD(COUNTIF($Q$11:Q1514,Q1514),5)=0,OFFSET(装备属性!$D$1083,1+INT(COUNTA($Q$11:Q1514)/5),0),C1514)</f>
        <v>0</v>
      </c>
      <c r="D1515" s="82">
        <f t="shared" si="71"/>
        <v>1000</v>
      </c>
      <c r="F1515" s="82" t="str">
        <f ca="1" t="shared" si="70"/>
        <v/>
      </c>
      <c r="G1515" s="78" t="str">
        <f ca="1">IF(AND(LEFT("[{"&amp;M1515&amp;","&amp;CEILING(N1515*10000+(O1515-N1515)/4*(COUNTIF($F$11:F1515,F1515)-1)*10000,10)&amp;"}]",7)="[{equip",MID("[{"&amp;M1515&amp;","&amp;CEILING(N1515*10000+(O1515-N1515)/4*(COUNTIF($F$11:F1515,F1515)-1)*10000,10)&amp;"}]",8,1)&lt;&gt;"_"),"[{"&amp;M1515&amp;","&amp;1&amp;"}]","[{"&amp;M1515&amp;","&amp;CEILING(N1515*10000+(O1515-N1515)/4*(COUNTIF($F$11:F1515,F1515)-1)*10000,10)&amp;"}]")</f>
        <v>[{global_dmg_rate,18270}]</v>
      </c>
      <c r="H1515" s="82" t="s">
        <v>563</v>
      </c>
      <c r="J1515" s="78">
        <f ca="1">IF(MOD(COUNTIF($Q$11:Q1514,Q1514),5)=0,OFFSET(装备属性!$P$1083,1+INT(COUNTA($Q$11:Q1514)/5),0),J1514)</f>
        <v>2</v>
      </c>
      <c r="K1515" s="83" t="str">
        <f ca="1">IF(RIGHT(G1515,13)="rune_slot,1}]",_xlfn.XLOOKUP(LEFT(SUBSTITUTE(G1515,"[{",""),FIND(",",SUBSTITUTE(G1515,"[{",""))-1),Sheet2!B:B,Sheet2!C:C)&amp;"+"&amp;1,_xlfn.XLOOKUP(LEFT(SUBSTITUTE(G1515,"[{",""),FIND(",",SUBSTITUTE(G1515,"[{",""))-1),Sheet2!B:B,Sheet2!C:C)&amp;"+"&amp;SUBSTITUTE(RIGHT(G1515,LEN(G1515)-FIND(",",G1515)),"}]","")/100&amp;"%")</f>
        <v>伤害加成+182.7%</v>
      </c>
      <c r="L1515" s="83" t="str">
        <f ca="1">IF(MOD(COUNTIF($Q$11:Q1514,Q1514),5)=0,OFFSET(装备属性!$G$1083,1+INT(COUNTA($Q$11:Q1514)/5),0),L1514)</f>
        <v>全职小队Ⅰ</v>
      </c>
      <c r="M1515" s="89" t="str">
        <f ca="1">IF(MOD(COUNTIF($Q$11:Q1514,Q1514),5)=0,OFFSET(装备属性!$H$1083,1+INT(COUNTA($Q$11:Q1514)/5),0),M1514)</f>
        <v>global_dmg_rate</v>
      </c>
      <c r="N1515" s="76">
        <f ca="1">IF(MOD(COUNTIF($Q$11:Q1514,Q1514),5)=0,OFFSET(装备属性!$K$1083,1+INT(COUNTA($Q$11:Q1514)/5),0),N1514)</f>
        <v>0.03</v>
      </c>
      <c r="O1515" s="76">
        <f ca="1">IF(MOD(COUNTIF($Q$11:Q1514,Q1514),5)=0,OFFSET(装备属性!$L$1083,1+INT(COUNTA($Q$11:Q1514)/5),0),O1514)</f>
        <v>0.042</v>
      </c>
      <c r="Q1515" s="89" t="str">
        <f ca="1">IF(MOD(COUNTIF($Q$11:Q1514,Q1514),5)=0,OFFSET(装备属性!$M$1083,1+INT(COUNTA($Q$11:Q1514)/5),0),Q1514)</f>
        <v>通用属性</v>
      </c>
      <c r="R1515" s="83" t="e">
        <f ca="1">IF(MOD(COUNTIF($Q$11:Q1514,Q1514),5)=0,10000*SUBSTITUTE(SUBSTITUTE(OFFSET(装备属性!$F$1083,1+INT(COUNTA($Q$11:Q1514)/5),0),"[",""),"]","")+_xlfn.XLOOKUP(C1515,$M$3:$M$7,$N$3:$N$7)*100,R1514)</f>
        <v>#N/A</v>
      </c>
    </row>
    <row r="1516" customHeight="1" spans="1:18">
      <c r="A1516" s="78">
        <f ca="1" t="shared" si="69"/>
        <v>60401</v>
      </c>
      <c r="B1516" s="82">
        <f ca="1">IFERROR(R1516+COUNTIFS($R$11:$R1516,R1516),"")</f>
        <v>60401</v>
      </c>
      <c r="C1516" s="83" t="str">
        <f ca="1">IF(MOD(COUNTIF($Q$11:Q1515,Q1515),5)=0,OFFSET(装备属性!$D$1083,1+INT(COUNTA($Q$11:Q1515)/5),0),C1515)</f>
        <v>紫</v>
      </c>
      <c r="D1516" s="82">
        <f t="shared" si="71"/>
        <v>3000</v>
      </c>
      <c r="F1516" s="82">
        <f ca="1" t="shared" si="70"/>
        <v>60400</v>
      </c>
      <c r="G1516" s="78" t="str">
        <f ca="1">IF(AND(LEFT("[{"&amp;M1516&amp;","&amp;CEILING(N1516*10000+(O1516-N1516)/4*(COUNTIF($F$11:F1516,F1516)-1)*10000,10)&amp;"}]",7)="[{equip",MID("[{"&amp;M1516&amp;","&amp;CEILING(N1516*10000+(O1516-N1516)/4*(COUNTIF($F$11:F1516,F1516)-1)*10000,10)&amp;"}]",8,1)&lt;&gt;"_"),"[{"&amp;M1516&amp;","&amp;1&amp;"}]","[{"&amp;M1516&amp;","&amp;CEILING(N1516*10000+(O1516-N1516)/4*(COUNTIF($F$11:F1516,F1516)-1)*10000,10)&amp;"}]")</f>
        <v>[{dmg_red_rate,100}]</v>
      </c>
      <c r="H1516" s="82" t="s">
        <v>563</v>
      </c>
      <c r="J1516" s="78">
        <f ca="1">IF(MOD(COUNTIF($Q$11:Q1515,Q1515),5)=0,OFFSET(装备属性!$P$1083,1+INT(COUNTA($Q$11:Q1515)/5),0),J1515)</f>
        <v>6</v>
      </c>
      <c r="K1516" s="83" t="str">
        <f ca="1">IF(RIGHT(G1516,13)="rune_slot,1}]",_xlfn.XLOOKUP(LEFT(SUBSTITUTE(G1516,"[{",""),FIND(",",SUBSTITUTE(G1516,"[{",""))-1),Sheet2!B:B,Sheet2!C:C)&amp;"+"&amp;1,_xlfn.XLOOKUP(LEFT(SUBSTITUTE(G1516,"[{",""),FIND(",",SUBSTITUTE(G1516,"[{",""))-1),Sheet2!B:B,Sheet2!C:C)&amp;"+"&amp;SUBSTITUTE(RIGHT(G1516,LEN(G1516)-FIND(",",G1516)),"}]","")/100&amp;"%")</f>
        <v>伤害减免+1%</v>
      </c>
      <c r="L1516" s="83" t="str">
        <f ca="1">IF(MOD(COUNTIF($Q$11:Q1515,Q1515),5)=0,OFFSET(装备属性!$G$1083,1+INT(COUNTA($Q$11:Q1515)/5),0),L1515)</f>
        <v>全员抗揍Ⅰ</v>
      </c>
      <c r="M1516" s="89" t="str">
        <f ca="1">IF(MOD(COUNTIF($Q$11:Q1515,Q1515),5)=0,OFFSET(装备属性!$H$1083,1+INT(COUNTA($Q$11:Q1515)/5),0),M1515)</f>
        <v>dmg_red_rate</v>
      </c>
      <c r="N1516" s="76">
        <f ca="1">IF(MOD(COUNTIF($Q$11:Q1515,Q1515),5)=0,OFFSET(装备属性!$K$1083,1+INT(COUNTA($Q$11:Q1515)/5),0),N1515)</f>
        <v>0.01</v>
      </c>
      <c r="O1516" s="76">
        <f ca="1">IF(MOD(COUNTIF($Q$11:Q1515,Q1515),5)=0,OFFSET(装备属性!$L$1083,1+INT(COUNTA($Q$11:Q1515)/5),0),O1515)</f>
        <v>0.014</v>
      </c>
      <c r="Q1516" s="89" t="str">
        <f ca="1">IF(MOD(COUNTIF($Q$11:Q1515,Q1515),5)=0,OFFSET(装备属性!$M$1083,1+INT(COUNTA($Q$11:Q1515)/5),0),Q1515)</f>
        <v>通用属性</v>
      </c>
      <c r="R1516" s="83">
        <f ca="1">IF(MOD(COUNTIF($Q$11:Q1515,Q1515),5)=0,10000*SUBSTITUTE(SUBSTITUTE(OFFSET(装备属性!$F$1083,1+INT(COUNTA($Q$11:Q1515)/5),0),"[",""),"]","")+_xlfn.XLOOKUP(C1516,$M$3:$M$7,$N$3:$N$7)*100,R1515)</f>
        <v>60400</v>
      </c>
    </row>
    <row r="1517" customHeight="1" spans="1:18">
      <c r="A1517" s="78">
        <f ca="1" t="shared" si="69"/>
        <v>60401</v>
      </c>
      <c r="B1517" s="82">
        <f ca="1">IFERROR(R1517+COUNTIFS($R$11:$R1517,R1517),"")</f>
        <v>60402</v>
      </c>
      <c r="C1517" s="83" t="str">
        <f ca="1">IF(MOD(COUNTIF($Q$11:Q1516,Q1516),5)=0,OFFSET(装备属性!$D$1083,1+INT(COUNTA($Q$11:Q1516)/5),0),C1516)</f>
        <v>紫</v>
      </c>
      <c r="D1517" s="82">
        <f t="shared" si="71"/>
        <v>2500</v>
      </c>
      <c r="F1517" s="82">
        <f ca="1" t="shared" si="70"/>
        <v>60400</v>
      </c>
      <c r="G1517" s="78" t="str">
        <f ca="1">IF(AND(LEFT("[{"&amp;M1517&amp;","&amp;CEILING(N1517*10000+(O1517-N1517)/4*(COUNTIF($F$11:F1517,F1517)-1)*10000,10)&amp;"}]",7)="[{equip",MID("[{"&amp;M1517&amp;","&amp;CEILING(N1517*10000+(O1517-N1517)/4*(COUNTIF($F$11:F1517,F1517)-1)*10000,10)&amp;"}]",8,1)&lt;&gt;"_"),"[{"&amp;M1517&amp;","&amp;1&amp;"}]","[{"&amp;M1517&amp;","&amp;CEILING(N1517*10000+(O1517-N1517)/4*(COUNTIF($F$11:F1517,F1517)-1)*10000,10)&amp;"}]")</f>
        <v>[{dmg_red_rate,110}]</v>
      </c>
      <c r="H1517" s="82" t="s">
        <v>563</v>
      </c>
      <c r="J1517" s="78">
        <f ca="1">IF(MOD(COUNTIF($Q$11:Q1516,Q1516),5)=0,OFFSET(装备属性!$P$1083,1+INT(COUNTA($Q$11:Q1516)/5),0),J1516)</f>
        <v>6</v>
      </c>
      <c r="K1517" s="83" t="str">
        <f ca="1">IF(RIGHT(G1517,13)="rune_slot,1}]",_xlfn.XLOOKUP(LEFT(SUBSTITUTE(G1517,"[{",""),FIND(",",SUBSTITUTE(G1517,"[{",""))-1),Sheet2!B:B,Sheet2!C:C)&amp;"+"&amp;1,_xlfn.XLOOKUP(LEFT(SUBSTITUTE(G1517,"[{",""),FIND(",",SUBSTITUTE(G1517,"[{",""))-1),Sheet2!B:B,Sheet2!C:C)&amp;"+"&amp;SUBSTITUTE(RIGHT(G1517,LEN(G1517)-FIND(",",G1517)),"}]","")/100&amp;"%")</f>
        <v>伤害减免+1.1%</v>
      </c>
      <c r="L1517" s="83" t="str">
        <f ca="1">IF(MOD(COUNTIF($Q$11:Q1516,Q1516),5)=0,OFFSET(装备属性!$G$1083,1+INT(COUNTA($Q$11:Q1516)/5),0),L1516)</f>
        <v>全员抗揍Ⅰ</v>
      </c>
      <c r="M1517" s="89" t="str">
        <f ca="1">IF(MOD(COUNTIF($Q$11:Q1516,Q1516),5)=0,OFFSET(装备属性!$H$1083,1+INT(COUNTA($Q$11:Q1516)/5),0),M1516)</f>
        <v>dmg_red_rate</v>
      </c>
      <c r="N1517" s="76">
        <f ca="1">IF(MOD(COUNTIF($Q$11:Q1516,Q1516),5)=0,OFFSET(装备属性!$K$1083,1+INT(COUNTA($Q$11:Q1516)/5),0),N1516)</f>
        <v>0.01</v>
      </c>
      <c r="O1517" s="76">
        <f ca="1">IF(MOD(COUNTIF($Q$11:Q1516,Q1516),5)=0,OFFSET(装备属性!$L$1083,1+INT(COUNTA($Q$11:Q1516)/5),0),O1516)</f>
        <v>0.014</v>
      </c>
      <c r="Q1517" s="89" t="str">
        <f ca="1">IF(MOD(COUNTIF($Q$11:Q1516,Q1516),5)=0,OFFSET(装备属性!$M$1083,1+INT(COUNTA($Q$11:Q1516)/5),0),Q1516)</f>
        <v>通用属性</v>
      </c>
      <c r="R1517" s="83">
        <f ca="1">IF(MOD(COUNTIF($Q$11:Q1516,Q1516),5)=0,10000*SUBSTITUTE(SUBSTITUTE(OFFSET(装备属性!$F$1083,1+INT(COUNTA($Q$11:Q1516)/5),0),"[",""),"]","")+_xlfn.XLOOKUP(C1517,$M$3:$M$7,$N$3:$N$7)*100,R1516)</f>
        <v>60400</v>
      </c>
    </row>
    <row r="1518" customHeight="1" spans="1:18">
      <c r="A1518" s="78">
        <f ca="1" t="shared" si="69"/>
        <v>60401</v>
      </c>
      <c r="B1518" s="82">
        <f ca="1">IFERROR(R1518+COUNTIFS($R$11:$R1518,R1518),"")</f>
        <v>60403</v>
      </c>
      <c r="C1518" s="83" t="str">
        <f ca="1">IF(MOD(COUNTIF($Q$11:Q1517,Q1517),5)=0,OFFSET(装备属性!$D$1083,1+INT(COUNTA($Q$11:Q1517)/5),0),C1517)</f>
        <v>紫</v>
      </c>
      <c r="D1518" s="82">
        <f t="shared" si="71"/>
        <v>2000</v>
      </c>
      <c r="F1518" s="82">
        <f ca="1" t="shared" si="70"/>
        <v>60400</v>
      </c>
      <c r="G1518" s="78" t="str">
        <f ca="1">IF(AND(LEFT("[{"&amp;M1518&amp;","&amp;CEILING(N1518*10000+(O1518-N1518)/4*(COUNTIF($F$11:F1518,F1518)-1)*10000,10)&amp;"}]",7)="[{equip",MID("[{"&amp;M1518&amp;","&amp;CEILING(N1518*10000+(O1518-N1518)/4*(COUNTIF($F$11:F1518,F1518)-1)*10000,10)&amp;"}]",8,1)&lt;&gt;"_"),"[{"&amp;M1518&amp;","&amp;1&amp;"}]","[{"&amp;M1518&amp;","&amp;CEILING(N1518*10000+(O1518-N1518)/4*(COUNTIF($F$11:F1518,F1518)-1)*10000,10)&amp;"}]")</f>
        <v>[{dmg_red_rate,120}]</v>
      </c>
      <c r="H1518" s="82" t="s">
        <v>563</v>
      </c>
      <c r="J1518" s="78">
        <f ca="1">IF(MOD(COUNTIF($Q$11:Q1517,Q1517),5)=0,OFFSET(装备属性!$P$1083,1+INT(COUNTA($Q$11:Q1517)/5),0),J1517)</f>
        <v>6</v>
      </c>
      <c r="K1518" s="83" t="str">
        <f ca="1">IF(RIGHT(G1518,13)="rune_slot,1}]",_xlfn.XLOOKUP(LEFT(SUBSTITUTE(G1518,"[{",""),FIND(",",SUBSTITUTE(G1518,"[{",""))-1),Sheet2!B:B,Sheet2!C:C)&amp;"+"&amp;1,_xlfn.XLOOKUP(LEFT(SUBSTITUTE(G1518,"[{",""),FIND(",",SUBSTITUTE(G1518,"[{",""))-1),Sheet2!B:B,Sheet2!C:C)&amp;"+"&amp;SUBSTITUTE(RIGHT(G1518,LEN(G1518)-FIND(",",G1518)),"}]","")/100&amp;"%")</f>
        <v>伤害减免+1.2%</v>
      </c>
      <c r="L1518" s="83" t="str">
        <f ca="1">IF(MOD(COUNTIF($Q$11:Q1517,Q1517),5)=0,OFFSET(装备属性!$G$1083,1+INT(COUNTA($Q$11:Q1517)/5),0),L1517)</f>
        <v>全员抗揍Ⅰ</v>
      </c>
      <c r="M1518" s="89" t="str">
        <f ca="1">IF(MOD(COUNTIF($Q$11:Q1517,Q1517),5)=0,OFFSET(装备属性!$H$1083,1+INT(COUNTA($Q$11:Q1517)/5),0),M1517)</f>
        <v>dmg_red_rate</v>
      </c>
      <c r="N1518" s="76">
        <f ca="1">IF(MOD(COUNTIF($Q$11:Q1517,Q1517),5)=0,OFFSET(装备属性!$K$1083,1+INT(COUNTA($Q$11:Q1517)/5),0),N1517)</f>
        <v>0.01</v>
      </c>
      <c r="O1518" s="76">
        <f ca="1">IF(MOD(COUNTIF($Q$11:Q1517,Q1517),5)=0,OFFSET(装备属性!$L$1083,1+INT(COUNTA($Q$11:Q1517)/5),0),O1517)</f>
        <v>0.014</v>
      </c>
      <c r="Q1518" s="89" t="str">
        <f ca="1">IF(MOD(COUNTIF($Q$11:Q1517,Q1517),5)=0,OFFSET(装备属性!$M$1083,1+INT(COUNTA($Q$11:Q1517)/5),0),Q1517)</f>
        <v>通用属性</v>
      </c>
      <c r="R1518" s="83">
        <f ca="1">IF(MOD(COUNTIF($Q$11:Q1517,Q1517),5)=0,10000*SUBSTITUTE(SUBSTITUTE(OFFSET(装备属性!$F$1083,1+INT(COUNTA($Q$11:Q1517)/5),0),"[",""),"]","")+_xlfn.XLOOKUP(C1518,$M$3:$M$7,$N$3:$N$7)*100,R1517)</f>
        <v>60400</v>
      </c>
    </row>
    <row r="1519" customHeight="1" spans="1:18">
      <c r="A1519" s="78">
        <f ca="1" t="shared" si="69"/>
        <v>60401</v>
      </c>
      <c r="B1519" s="82">
        <f ca="1">IFERROR(R1519+COUNTIFS($R$11:$R1519,R1519),"")</f>
        <v>60404</v>
      </c>
      <c r="C1519" s="83" t="str">
        <f ca="1">IF(MOD(COUNTIF($Q$11:Q1518,Q1518),5)=0,OFFSET(装备属性!$D$1083,1+INT(COUNTA($Q$11:Q1518)/5),0),C1518)</f>
        <v>紫</v>
      </c>
      <c r="D1519" s="82">
        <f t="shared" si="71"/>
        <v>1500</v>
      </c>
      <c r="F1519" s="82">
        <f ca="1" t="shared" si="70"/>
        <v>60400</v>
      </c>
      <c r="G1519" s="78" t="str">
        <f ca="1">IF(AND(LEFT("[{"&amp;M1519&amp;","&amp;CEILING(N1519*10000+(O1519-N1519)/4*(COUNTIF($F$11:F1519,F1519)-1)*10000,10)&amp;"}]",7)="[{equip",MID("[{"&amp;M1519&amp;","&amp;CEILING(N1519*10000+(O1519-N1519)/4*(COUNTIF($F$11:F1519,F1519)-1)*10000,10)&amp;"}]",8,1)&lt;&gt;"_"),"[{"&amp;M1519&amp;","&amp;1&amp;"}]","[{"&amp;M1519&amp;","&amp;CEILING(N1519*10000+(O1519-N1519)/4*(COUNTIF($F$11:F1519,F1519)-1)*10000,10)&amp;"}]")</f>
        <v>[{dmg_red_rate,130}]</v>
      </c>
      <c r="H1519" s="82" t="s">
        <v>563</v>
      </c>
      <c r="J1519" s="78">
        <f ca="1">IF(MOD(COUNTIF($Q$11:Q1518,Q1518),5)=0,OFFSET(装备属性!$P$1083,1+INT(COUNTA($Q$11:Q1518)/5),0),J1518)</f>
        <v>6</v>
      </c>
      <c r="K1519" s="83" t="str">
        <f ca="1">IF(RIGHT(G1519,13)="rune_slot,1}]",_xlfn.XLOOKUP(LEFT(SUBSTITUTE(G1519,"[{",""),FIND(",",SUBSTITUTE(G1519,"[{",""))-1),Sheet2!B:B,Sheet2!C:C)&amp;"+"&amp;1,_xlfn.XLOOKUP(LEFT(SUBSTITUTE(G1519,"[{",""),FIND(",",SUBSTITUTE(G1519,"[{",""))-1),Sheet2!B:B,Sheet2!C:C)&amp;"+"&amp;SUBSTITUTE(RIGHT(G1519,LEN(G1519)-FIND(",",G1519)),"}]","")/100&amp;"%")</f>
        <v>伤害减免+1.3%</v>
      </c>
      <c r="L1519" s="83" t="str">
        <f ca="1">IF(MOD(COUNTIF($Q$11:Q1518,Q1518),5)=0,OFFSET(装备属性!$G$1083,1+INT(COUNTA($Q$11:Q1518)/5),0),L1518)</f>
        <v>全员抗揍Ⅰ</v>
      </c>
      <c r="M1519" s="89" t="str">
        <f ca="1">IF(MOD(COUNTIF($Q$11:Q1518,Q1518),5)=0,OFFSET(装备属性!$H$1083,1+INT(COUNTA($Q$11:Q1518)/5),0),M1518)</f>
        <v>dmg_red_rate</v>
      </c>
      <c r="N1519" s="76">
        <f ca="1">IF(MOD(COUNTIF($Q$11:Q1518,Q1518),5)=0,OFFSET(装备属性!$K$1083,1+INT(COUNTA($Q$11:Q1518)/5),0),N1518)</f>
        <v>0.01</v>
      </c>
      <c r="O1519" s="76">
        <f ca="1">IF(MOD(COUNTIF($Q$11:Q1518,Q1518),5)=0,OFFSET(装备属性!$L$1083,1+INT(COUNTA($Q$11:Q1518)/5),0),O1518)</f>
        <v>0.014</v>
      </c>
      <c r="Q1519" s="89" t="str">
        <f ca="1">IF(MOD(COUNTIF($Q$11:Q1518,Q1518),5)=0,OFFSET(装备属性!$M$1083,1+INT(COUNTA($Q$11:Q1518)/5),0),Q1518)</f>
        <v>通用属性</v>
      </c>
      <c r="R1519" s="83">
        <f ca="1">IF(MOD(COUNTIF($Q$11:Q1518,Q1518),5)=0,10000*SUBSTITUTE(SUBSTITUTE(OFFSET(装备属性!$F$1083,1+INT(COUNTA($Q$11:Q1518)/5),0),"[",""),"]","")+_xlfn.XLOOKUP(C1519,$M$3:$M$7,$N$3:$N$7)*100,R1518)</f>
        <v>60400</v>
      </c>
    </row>
    <row r="1520" customHeight="1" spans="1:18">
      <c r="A1520" s="78">
        <f ca="1" t="shared" si="69"/>
        <v>60401</v>
      </c>
      <c r="B1520" s="82">
        <f ca="1">IFERROR(R1520+COUNTIFS($R$11:$R1520,R1520),"")</f>
        <v>60405</v>
      </c>
      <c r="C1520" s="83" t="str">
        <f ca="1">IF(MOD(COUNTIF($Q$11:Q1519,Q1519),5)=0,OFFSET(装备属性!$D$1083,1+INT(COUNTA($Q$11:Q1519)/5),0),C1519)</f>
        <v>紫</v>
      </c>
      <c r="D1520" s="82">
        <f t="shared" si="71"/>
        <v>1000</v>
      </c>
      <c r="F1520" s="82">
        <f ca="1" t="shared" si="70"/>
        <v>60400</v>
      </c>
      <c r="G1520" s="78" t="str">
        <f ca="1">IF(AND(LEFT("[{"&amp;M1520&amp;","&amp;CEILING(N1520*10000+(O1520-N1520)/4*(COUNTIF($F$11:F1520,F1520)-1)*10000,10)&amp;"}]",7)="[{equip",MID("[{"&amp;M1520&amp;","&amp;CEILING(N1520*10000+(O1520-N1520)/4*(COUNTIF($F$11:F1520,F1520)-1)*10000,10)&amp;"}]",8,1)&lt;&gt;"_"),"[{"&amp;M1520&amp;","&amp;1&amp;"}]","[{"&amp;M1520&amp;","&amp;CEILING(N1520*10000+(O1520-N1520)/4*(COUNTIF($F$11:F1520,F1520)-1)*10000,10)&amp;"}]")</f>
        <v>[{dmg_red_rate,140}]</v>
      </c>
      <c r="H1520" s="82" t="s">
        <v>563</v>
      </c>
      <c r="J1520" s="78">
        <f ca="1">IF(MOD(COUNTIF($Q$11:Q1519,Q1519),5)=0,OFFSET(装备属性!$P$1083,1+INT(COUNTA($Q$11:Q1519)/5),0),J1519)</f>
        <v>6</v>
      </c>
      <c r="K1520" s="83" t="str">
        <f ca="1">IF(RIGHT(G1520,13)="rune_slot,1}]",_xlfn.XLOOKUP(LEFT(SUBSTITUTE(G1520,"[{",""),FIND(",",SUBSTITUTE(G1520,"[{",""))-1),Sheet2!B:B,Sheet2!C:C)&amp;"+"&amp;1,_xlfn.XLOOKUP(LEFT(SUBSTITUTE(G1520,"[{",""),FIND(",",SUBSTITUTE(G1520,"[{",""))-1),Sheet2!B:B,Sheet2!C:C)&amp;"+"&amp;SUBSTITUTE(RIGHT(G1520,LEN(G1520)-FIND(",",G1520)),"}]","")/100&amp;"%")</f>
        <v>伤害减免+1.4%</v>
      </c>
      <c r="L1520" s="83" t="str">
        <f ca="1">IF(MOD(COUNTIF($Q$11:Q1519,Q1519),5)=0,OFFSET(装备属性!$G$1083,1+INT(COUNTA($Q$11:Q1519)/5),0),L1519)</f>
        <v>全员抗揍Ⅰ</v>
      </c>
      <c r="M1520" s="89" t="str">
        <f ca="1">IF(MOD(COUNTIF($Q$11:Q1519,Q1519),5)=0,OFFSET(装备属性!$H$1083,1+INT(COUNTA($Q$11:Q1519)/5),0),M1519)</f>
        <v>dmg_red_rate</v>
      </c>
      <c r="N1520" s="76">
        <f ca="1">IF(MOD(COUNTIF($Q$11:Q1519,Q1519),5)=0,OFFSET(装备属性!$K$1083,1+INT(COUNTA($Q$11:Q1519)/5),0),N1519)</f>
        <v>0.01</v>
      </c>
      <c r="O1520" s="76">
        <f ca="1">IF(MOD(COUNTIF($Q$11:Q1519,Q1519),5)=0,OFFSET(装备属性!$L$1083,1+INT(COUNTA($Q$11:Q1519)/5),0),O1519)</f>
        <v>0.014</v>
      </c>
      <c r="Q1520" s="89" t="str">
        <f ca="1">IF(MOD(COUNTIF($Q$11:Q1519,Q1519),5)=0,OFFSET(装备属性!$M$1083,1+INT(COUNTA($Q$11:Q1519)/5),0),Q1519)</f>
        <v>通用属性</v>
      </c>
      <c r="R1520" s="83">
        <f ca="1">IF(MOD(COUNTIF($Q$11:Q1519,Q1519),5)=0,10000*SUBSTITUTE(SUBSTITUTE(OFFSET(装备属性!$F$1083,1+INT(COUNTA($Q$11:Q1519)/5),0),"[",""),"]","")+_xlfn.XLOOKUP(C1520,$M$3:$M$7,$N$3:$N$7)*100,R1519)</f>
        <v>60400</v>
      </c>
    </row>
    <row r="1521" customHeight="1" spans="1:18">
      <c r="A1521" s="78">
        <f ca="1" t="shared" si="69"/>
        <v>60401</v>
      </c>
      <c r="B1521" s="82">
        <f ca="1">IFERROR(R1521+COUNTIFS($R$11:$R1521,R1521),"")</f>
        <v>60406</v>
      </c>
      <c r="C1521" s="83" t="str">
        <f ca="1">IF(MOD(COUNTIF($Q$11:Q1520,Q1520),5)=0,OFFSET(装备属性!$D$1083,1+INT(COUNTA($Q$11:Q1520)/5),0),C1520)</f>
        <v>紫</v>
      </c>
      <c r="D1521" s="82">
        <f t="shared" si="71"/>
        <v>3000</v>
      </c>
      <c r="F1521" s="82">
        <f ca="1" t="shared" si="70"/>
        <v>60401</v>
      </c>
      <c r="G1521" s="78" t="str">
        <f ca="1">IF(AND(LEFT("[{"&amp;M1521&amp;","&amp;CEILING(N1521*10000+(O1521-N1521)/4*(COUNTIF($F$11:F1521,F1521)-1)*10000,10)&amp;"}]",7)="[{equip",MID("[{"&amp;M1521&amp;","&amp;CEILING(N1521*10000+(O1521-N1521)/4*(COUNTIF($F$11:F1521,F1521)-1)*10000,10)&amp;"}]",8,1)&lt;&gt;"_"),"[{"&amp;M1521&amp;","&amp;1&amp;"}]","[{"&amp;M1521&amp;","&amp;CEILING(N1521*10000+(O1521-N1521)/4*(COUNTIF($F$11:F1521,F1521)-1)*10000,10)&amp;"}]")</f>
        <v>[{all_class_dmg,300}]</v>
      </c>
      <c r="H1521" s="82" t="s">
        <v>563</v>
      </c>
      <c r="J1521" s="78">
        <f ca="1">IF(MOD(COUNTIF($Q$11:Q1520,Q1520),5)=0,OFFSET(装备属性!$P$1083,1+INT(COUNTA($Q$11:Q1520)/5),0),J1520)</f>
        <v>2</v>
      </c>
      <c r="K1521" s="83" t="str">
        <f ca="1">IF(RIGHT(G1521,13)="rune_slot,1}]",_xlfn.XLOOKUP(LEFT(SUBSTITUTE(G1521,"[{",""),FIND(",",SUBSTITUTE(G1521,"[{",""))-1),Sheet2!B:B,Sheet2!C:C)&amp;"+"&amp;1,_xlfn.XLOOKUP(LEFT(SUBSTITUTE(G1521,"[{",""),FIND(",",SUBSTITUTE(G1521,"[{",""))-1),Sheet2!B:B,Sheet2!C:C)&amp;"+"&amp;SUBSTITUTE(RIGHT(G1521,LEN(G1521)-FIND(",",G1521)),"}]","")/100&amp;"%")</f>
        <v>上阵五个不同职业增伤+3%</v>
      </c>
      <c r="L1521" s="83" t="str">
        <f ca="1">IF(MOD(COUNTIF($Q$11:Q1520,Q1520),5)=0,OFFSET(装备属性!$G$1083,1+INT(COUNTA($Q$11:Q1520)/5),0),L1520)</f>
        <v>全员出力Ⅰ</v>
      </c>
      <c r="M1521" s="89" t="str">
        <f ca="1">IF(MOD(COUNTIF($Q$11:Q1520,Q1520),5)=0,OFFSET(装备属性!$H$1083,1+INT(COUNTA($Q$11:Q1520)/5),0),M1520)</f>
        <v>all_class_dmg</v>
      </c>
      <c r="N1521" s="76">
        <f ca="1">IF(MOD(COUNTIF($Q$11:Q1520,Q1520),5)=0,OFFSET(装备属性!$K$1083,1+INT(COUNTA($Q$11:Q1520)/5),0),N1520)</f>
        <v>0.03</v>
      </c>
      <c r="O1521" s="76">
        <f ca="1">IF(MOD(COUNTIF($Q$11:Q1520,Q1520),5)=0,OFFSET(装备属性!$L$1083,1+INT(COUNTA($Q$11:Q1520)/5),0),O1520)</f>
        <v>0.042</v>
      </c>
      <c r="Q1521" s="89" t="str">
        <f ca="1">IF(MOD(COUNTIF($Q$11:Q1520,Q1520),5)=0,OFFSET(装备属性!$M$1083,1+INT(COUNTA($Q$11:Q1520)/5),0),Q1520)</f>
        <v>通用属性</v>
      </c>
      <c r="R1521" s="83">
        <f ca="1">IF(MOD(COUNTIF($Q$11:Q1520,Q1520),5)=0,10000*SUBSTITUTE(SUBSTITUTE(OFFSET(装备属性!$F$1083,1+INT(COUNTA($Q$11:Q1520)/5),0),"[",""),"]","")+_xlfn.XLOOKUP(C1521,$M$3:$M$7,$N$3:$N$7)*100,R1520)</f>
        <v>60400</v>
      </c>
    </row>
    <row r="1522" customHeight="1" spans="1:18">
      <c r="A1522" s="78">
        <f ca="1" t="shared" si="69"/>
        <v>60401</v>
      </c>
      <c r="B1522" s="82">
        <f ca="1">IFERROR(R1522+COUNTIFS($R$11:$R1522,R1522),"")</f>
        <v>60407</v>
      </c>
      <c r="C1522" s="83" t="str">
        <f ca="1">IF(MOD(COUNTIF($Q$11:Q1521,Q1521),5)=0,OFFSET(装备属性!$D$1083,1+INT(COUNTA($Q$11:Q1521)/5),0),C1521)</f>
        <v>紫</v>
      </c>
      <c r="D1522" s="82">
        <f t="shared" si="71"/>
        <v>2500</v>
      </c>
      <c r="F1522" s="82">
        <f ca="1" t="shared" si="70"/>
        <v>60401</v>
      </c>
      <c r="G1522" s="78" t="str">
        <f ca="1">IF(AND(LEFT("[{"&amp;M1522&amp;","&amp;CEILING(N1522*10000+(O1522-N1522)/4*(COUNTIF($F$11:F1522,F1522)-1)*10000,10)&amp;"}]",7)="[{equip",MID("[{"&amp;M1522&amp;","&amp;CEILING(N1522*10000+(O1522-N1522)/4*(COUNTIF($F$11:F1522,F1522)-1)*10000,10)&amp;"}]",8,1)&lt;&gt;"_"),"[{"&amp;M1522&amp;","&amp;1&amp;"}]","[{"&amp;M1522&amp;","&amp;CEILING(N1522*10000+(O1522-N1522)/4*(COUNTIF($F$11:F1522,F1522)-1)*10000,10)&amp;"}]")</f>
        <v>[{all_class_dmg,330}]</v>
      </c>
      <c r="H1522" s="82" t="s">
        <v>563</v>
      </c>
      <c r="J1522" s="78">
        <f ca="1">IF(MOD(COUNTIF($Q$11:Q1521,Q1521),5)=0,OFFSET(装备属性!$P$1083,1+INT(COUNTA($Q$11:Q1521)/5),0),J1521)</f>
        <v>2</v>
      </c>
      <c r="K1522" s="83" t="str">
        <f ca="1">IF(RIGHT(G1522,13)="rune_slot,1}]",_xlfn.XLOOKUP(LEFT(SUBSTITUTE(G1522,"[{",""),FIND(",",SUBSTITUTE(G1522,"[{",""))-1),Sheet2!B:B,Sheet2!C:C)&amp;"+"&amp;1,_xlfn.XLOOKUP(LEFT(SUBSTITUTE(G1522,"[{",""),FIND(",",SUBSTITUTE(G1522,"[{",""))-1),Sheet2!B:B,Sheet2!C:C)&amp;"+"&amp;SUBSTITUTE(RIGHT(G1522,LEN(G1522)-FIND(",",G1522)),"}]","")/100&amp;"%")</f>
        <v>上阵五个不同职业增伤+3.3%</v>
      </c>
      <c r="L1522" s="83" t="str">
        <f ca="1">IF(MOD(COUNTIF($Q$11:Q1521,Q1521),5)=0,OFFSET(装备属性!$G$1083,1+INT(COUNTA($Q$11:Q1521)/5),0),L1521)</f>
        <v>全员出力Ⅰ</v>
      </c>
      <c r="M1522" s="89" t="str">
        <f ca="1">IF(MOD(COUNTIF($Q$11:Q1521,Q1521),5)=0,OFFSET(装备属性!$H$1083,1+INT(COUNTA($Q$11:Q1521)/5),0),M1521)</f>
        <v>all_class_dmg</v>
      </c>
      <c r="N1522" s="76">
        <f ca="1">IF(MOD(COUNTIF($Q$11:Q1521,Q1521),5)=0,OFFSET(装备属性!$K$1083,1+INT(COUNTA($Q$11:Q1521)/5),0),N1521)</f>
        <v>0.03</v>
      </c>
      <c r="O1522" s="76">
        <f ca="1">IF(MOD(COUNTIF($Q$11:Q1521,Q1521),5)=0,OFFSET(装备属性!$L$1083,1+INT(COUNTA($Q$11:Q1521)/5),0),O1521)</f>
        <v>0.042</v>
      </c>
      <c r="Q1522" s="89" t="str">
        <f ca="1">IF(MOD(COUNTIF($Q$11:Q1521,Q1521),5)=0,OFFSET(装备属性!$M$1083,1+INT(COUNTA($Q$11:Q1521)/5),0),Q1521)</f>
        <v>通用属性</v>
      </c>
      <c r="R1522" s="83">
        <f ca="1">IF(MOD(COUNTIF($Q$11:Q1521,Q1521),5)=0,10000*SUBSTITUTE(SUBSTITUTE(OFFSET(装备属性!$F$1083,1+INT(COUNTA($Q$11:Q1521)/5),0),"[",""),"]","")+_xlfn.XLOOKUP(C1522,$M$3:$M$7,$N$3:$N$7)*100,R1521)</f>
        <v>60400</v>
      </c>
    </row>
    <row r="1523" customHeight="1" spans="1:18">
      <c r="A1523" s="78">
        <f ca="1" t="shared" si="69"/>
        <v>60401</v>
      </c>
      <c r="B1523" s="82">
        <f ca="1">IFERROR(R1523+COUNTIFS($R$11:$R1523,R1523),"")</f>
        <v>60408</v>
      </c>
      <c r="C1523" s="83" t="str">
        <f ca="1">IF(MOD(COUNTIF($Q$11:Q1522,Q1522),5)=0,OFFSET(装备属性!$D$1083,1+INT(COUNTA($Q$11:Q1522)/5),0),C1522)</f>
        <v>紫</v>
      </c>
      <c r="D1523" s="82">
        <f t="shared" si="71"/>
        <v>2000</v>
      </c>
      <c r="F1523" s="82">
        <f ca="1" t="shared" si="70"/>
        <v>60401</v>
      </c>
      <c r="G1523" s="78" t="str">
        <f ca="1">IF(AND(LEFT("[{"&amp;M1523&amp;","&amp;CEILING(N1523*10000+(O1523-N1523)/4*(COUNTIF($F$11:F1523,F1523)-1)*10000,10)&amp;"}]",7)="[{equip",MID("[{"&amp;M1523&amp;","&amp;CEILING(N1523*10000+(O1523-N1523)/4*(COUNTIF($F$11:F1523,F1523)-1)*10000,10)&amp;"}]",8,1)&lt;&gt;"_"),"[{"&amp;M1523&amp;","&amp;1&amp;"}]","[{"&amp;M1523&amp;","&amp;CEILING(N1523*10000+(O1523-N1523)/4*(COUNTIF($F$11:F1523,F1523)-1)*10000,10)&amp;"}]")</f>
        <v>[{all_class_dmg,360}]</v>
      </c>
      <c r="H1523" s="82" t="s">
        <v>563</v>
      </c>
      <c r="J1523" s="78">
        <f ca="1">IF(MOD(COUNTIF($Q$11:Q1522,Q1522),5)=0,OFFSET(装备属性!$P$1083,1+INT(COUNTA($Q$11:Q1522)/5),0),J1522)</f>
        <v>2</v>
      </c>
      <c r="K1523" s="83" t="str">
        <f ca="1">IF(RIGHT(G1523,13)="rune_slot,1}]",_xlfn.XLOOKUP(LEFT(SUBSTITUTE(G1523,"[{",""),FIND(",",SUBSTITUTE(G1523,"[{",""))-1),Sheet2!B:B,Sheet2!C:C)&amp;"+"&amp;1,_xlfn.XLOOKUP(LEFT(SUBSTITUTE(G1523,"[{",""),FIND(",",SUBSTITUTE(G1523,"[{",""))-1),Sheet2!B:B,Sheet2!C:C)&amp;"+"&amp;SUBSTITUTE(RIGHT(G1523,LEN(G1523)-FIND(",",G1523)),"}]","")/100&amp;"%")</f>
        <v>上阵五个不同职业增伤+3.6%</v>
      </c>
      <c r="L1523" s="83" t="str">
        <f ca="1">IF(MOD(COUNTIF($Q$11:Q1522,Q1522),5)=0,OFFSET(装备属性!$G$1083,1+INT(COUNTA($Q$11:Q1522)/5),0),L1522)</f>
        <v>全员出力Ⅰ</v>
      </c>
      <c r="M1523" s="89" t="str">
        <f ca="1">IF(MOD(COUNTIF($Q$11:Q1522,Q1522),5)=0,OFFSET(装备属性!$H$1083,1+INT(COUNTA($Q$11:Q1522)/5),0),M1522)</f>
        <v>all_class_dmg</v>
      </c>
      <c r="N1523" s="76">
        <f ca="1">IF(MOD(COUNTIF($Q$11:Q1522,Q1522),5)=0,OFFSET(装备属性!$K$1083,1+INT(COUNTA($Q$11:Q1522)/5),0),N1522)</f>
        <v>0.03</v>
      </c>
      <c r="O1523" s="76">
        <f ca="1">IF(MOD(COUNTIF($Q$11:Q1522,Q1522),5)=0,OFFSET(装备属性!$L$1083,1+INT(COUNTA($Q$11:Q1522)/5),0),O1522)</f>
        <v>0.042</v>
      </c>
      <c r="Q1523" s="89" t="str">
        <f ca="1">IF(MOD(COUNTIF($Q$11:Q1522,Q1522),5)=0,OFFSET(装备属性!$M$1083,1+INT(COUNTA($Q$11:Q1522)/5),0),Q1522)</f>
        <v>通用属性</v>
      </c>
      <c r="R1523" s="83">
        <f ca="1">IF(MOD(COUNTIF($Q$11:Q1522,Q1522),5)=0,10000*SUBSTITUTE(SUBSTITUTE(OFFSET(装备属性!$F$1083,1+INT(COUNTA($Q$11:Q1522)/5),0),"[",""),"]","")+_xlfn.XLOOKUP(C1523,$M$3:$M$7,$N$3:$N$7)*100,R1522)</f>
        <v>60400</v>
      </c>
    </row>
    <row r="1524" customHeight="1" spans="1:18">
      <c r="A1524" s="78">
        <f ca="1" t="shared" si="69"/>
        <v>60401</v>
      </c>
      <c r="B1524" s="82">
        <f ca="1">IFERROR(R1524+COUNTIFS($R$11:$R1524,R1524),"")</f>
        <v>60409</v>
      </c>
      <c r="C1524" s="83" t="str">
        <f ca="1">IF(MOD(COUNTIF($Q$11:Q1523,Q1523),5)=0,OFFSET(装备属性!$D$1083,1+INT(COUNTA($Q$11:Q1523)/5),0),C1523)</f>
        <v>紫</v>
      </c>
      <c r="D1524" s="82">
        <f t="shared" si="71"/>
        <v>1500</v>
      </c>
      <c r="F1524" s="82">
        <f ca="1" t="shared" si="70"/>
        <v>60401</v>
      </c>
      <c r="G1524" s="78" t="str">
        <f ca="1">IF(AND(LEFT("[{"&amp;M1524&amp;","&amp;CEILING(N1524*10000+(O1524-N1524)/4*(COUNTIF($F$11:F1524,F1524)-1)*10000,10)&amp;"}]",7)="[{equip",MID("[{"&amp;M1524&amp;","&amp;CEILING(N1524*10000+(O1524-N1524)/4*(COUNTIF($F$11:F1524,F1524)-1)*10000,10)&amp;"}]",8,1)&lt;&gt;"_"),"[{"&amp;M1524&amp;","&amp;1&amp;"}]","[{"&amp;M1524&amp;","&amp;CEILING(N1524*10000+(O1524-N1524)/4*(COUNTIF($F$11:F1524,F1524)-1)*10000,10)&amp;"}]")</f>
        <v>[{all_class_dmg,390}]</v>
      </c>
      <c r="H1524" s="82" t="s">
        <v>563</v>
      </c>
      <c r="J1524" s="78">
        <f ca="1">IF(MOD(COUNTIF($Q$11:Q1523,Q1523),5)=0,OFFSET(装备属性!$P$1083,1+INT(COUNTA($Q$11:Q1523)/5),0),J1523)</f>
        <v>2</v>
      </c>
      <c r="K1524" s="83" t="str">
        <f ca="1">IF(RIGHT(G1524,13)="rune_slot,1}]",_xlfn.XLOOKUP(LEFT(SUBSTITUTE(G1524,"[{",""),FIND(",",SUBSTITUTE(G1524,"[{",""))-1),Sheet2!B:B,Sheet2!C:C)&amp;"+"&amp;1,_xlfn.XLOOKUP(LEFT(SUBSTITUTE(G1524,"[{",""),FIND(",",SUBSTITUTE(G1524,"[{",""))-1),Sheet2!B:B,Sheet2!C:C)&amp;"+"&amp;SUBSTITUTE(RIGHT(G1524,LEN(G1524)-FIND(",",G1524)),"}]","")/100&amp;"%")</f>
        <v>上阵五个不同职业增伤+3.9%</v>
      </c>
      <c r="L1524" s="83" t="str">
        <f ca="1">IF(MOD(COUNTIF($Q$11:Q1523,Q1523),5)=0,OFFSET(装备属性!$G$1083,1+INT(COUNTA($Q$11:Q1523)/5),0),L1523)</f>
        <v>全员出力Ⅰ</v>
      </c>
      <c r="M1524" s="89" t="str">
        <f ca="1">IF(MOD(COUNTIF($Q$11:Q1523,Q1523),5)=0,OFFSET(装备属性!$H$1083,1+INT(COUNTA($Q$11:Q1523)/5),0),M1523)</f>
        <v>all_class_dmg</v>
      </c>
      <c r="N1524" s="76">
        <f ca="1">IF(MOD(COUNTIF($Q$11:Q1523,Q1523),5)=0,OFFSET(装备属性!$K$1083,1+INT(COUNTA($Q$11:Q1523)/5),0),N1523)</f>
        <v>0.03</v>
      </c>
      <c r="O1524" s="76">
        <f ca="1">IF(MOD(COUNTIF($Q$11:Q1523,Q1523),5)=0,OFFSET(装备属性!$L$1083,1+INT(COUNTA($Q$11:Q1523)/5),0),O1523)</f>
        <v>0.042</v>
      </c>
      <c r="Q1524" s="89" t="str">
        <f ca="1">IF(MOD(COUNTIF($Q$11:Q1523,Q1523),5)=0,OFFSET(装备属性!$M$1083,1+INT(COUNTA($Q$11:Q1523)/5),0),Q1523)</f>
        <v>通用属性</v>
      </c>
      <c r="R1524" s="83">
        <f ca="1">IF(MOD(COUNTIF($Q$11:Q1523,Q1523),5)=0,10000*SUBSTITUTE(SUBSTITUTE(OFFSET(装备属性!$F$1083,1+INT(COUNTA($Q$11:Q1523)/5),0),"[",""),"]","")+_xlfn.XLOOKUP(C1524,$M$3:$M$7,$N$3:$N$7)*100,R1523)</f>
        <v>60400</v>
      </c>
    </row>
    <row r="1525" customHeight="1" spans="1:18">
      <c r="A1525" s="78">
        <f ca="1" t="shared" si="69"/>
        <v>60401</v>
      </c>
      <c r="B1525" s="82">
        <f ca="1">IFERROR(R1525+COUNTIFS($R$11:$R1525,R1525),"")</f>
        <v>60410</v>
      </c>
      <c r="C1525" s="83" t="str">
        <f ca="1">IF(MOD(COUNTIF($Q$11:Q1524,Q1524),5)=0,OFFSET(装备属性!$D$1083,1+INT(COUNTA($Q$11:Q1524)/5),0),C1524)</f>
        <v>紫</v>
      </c>
      <c r="D1525" s="82">
        <f t="shared" si="71"/>
        <v>1000</v>
      </c>
      <c r="F1525" s="82">
        <f ca="1" t="shared" si="70"/>
        <v>60401</v>
      </c>
      <c r="G1525" s="78" t="str">
        <f ca="1">IF(AND(LEFT("[{"&amp;M1525&amp;","&amp;CEILING(N1525*10000+(O1525-N1525)/4*(COUNTIF($F$11:F1525,F1525)-1)*10000,10)&amp;"}]",7)="[{equip",MID("[{"&amp;M1525&amp;","&amp;CEILING(N1525*10000+(O1525-N1525)/4*(COUNTIF($F$11:F1525,F1525)-1)*10000,10)&amp;"}]",8,1)&lt;&gt;"_"),"[{"&amp;M1525&amp;","&amp;1&amp;"}]","[{"&amp;M1525&amp;","&amp;CEILING(N1525*10000+(O1525-N1525)/4*(COUNTIF($F$11:F1525,F1525)-1)*10000,10)&amp;"}]")</f>
        <v>[{all_class_dmg,420}]</v>
      </c>
      <c r="H1525" s="82" t="s">
        <v>563</v>
      </c>
      <c r="J1525" s="78">
        <f ca="1">IF(MOD(COUNTIF($Q$11:Q1524,Q1524),5)=0,OFFSET(装备属性!$P$1083,1+INT(COUNTA($Q$11:Q1524)/5),0),J1524)</f>
        <v>2</v>
      </c>
      <c r="K1525" s="83" t="str">
        <f ca="1">IF(RIGHT(G1525,13)="rune_slot,1}]",_xlfn.XLOOKUP(LEFT(SUBSTITUTE(G1525,"[{",""),FIND(",",SUBSTITUTE(G1525,"[{",""))-1),Sheet2!B:B,Sheet2!C:C)&amp;"+"&amp;1,_xlfn.XLOOKUP(LEFT(SUBSTITUTE(G1525,"[{",""),FIND(",",SUBSTITUTE(G1525,"[{",""))-1),Sheet2!B:B,Sheet2!C:C)&amp;"+"&amp;SUBSTITUTE(RIGHT(G1525,LEN(G1525)-FIND(",",G1525)),"}]","")/100&amp;"%")</f>
        <v>上阵五个不同职业增伤+4.2%</v>
      </c>
      <c r="L1525" s="83" t="str">
        <f ca="1">IF(MOD(COUNTIF($Q$11:Q1524,Q1524),5)=0,OFFSET(装备属性!$G$1083,1+INT(COUNTA($Q$11:Q1524)/5),0),L1524)</f>
        <v>全员出力Ⅰ</v>
      </c>
      <c r="M1525" s="89" t="str">
        <f ca="1">IF(MOD(COUNTIF($Q$11:Q1524,Q1524),5)=0,OFFSET(装备属性!$H$1083,1+INT(COUNTA($Q$11:Q1524)/5),0),M1524)</f>
        <v>all_class_dmg</v>
      </c>
      <c r="N1525" s="76">
        <f ca="1">IF(MOD(COUNTIF($Q$11:Q1524,Q1524),5)=0,OFFSET(装备属性!$K$1083,1+INT(COUNTA($Q$11:Q1524)/5),0),N1524)</f>
        <v>0.03</v>
      </c>
      <c r="O1525" s="76">
        <f ca="1">IF(MOD(COUNTIF($Q$11:Q1524,Q1524),5)=0,OFFSET(装备属性!$L$1083,1+INT(COUNTA($Q$11:Q1524)/5),0),O1524)</f>
        <v>0.042</v>
      </c>
      <c r="Q1525" s="89" t="str">
        <f ca="1">IF(MOD(COUNTIF($Q$11:Q1524,Q1524),5)=0,OFFSET(装备属性!$M$1083,1+INT(COUNTA($Q$11:Q1524)/5),0),Q1524)</f>
        <v>通用属性</v>
      </c>
      <c r="R1525" s="83">
        <f ca="1">IF(MOD(COUNTIF($Q$11:Q1524,Q1524),5)=0,10000*SUBSTITUTE(SUBSTITUTE(OFFSET(装备属性!$F$1083,1+INT(COUNTA($Q$11:Q1524)/5),0),"[",""),"]","")+_xlfn.XLOOKUP(C1525,$M$3:$M$7,$N$3:$N$7)*100,R1524)</f>
        <v>60400</v>
      </c>
    </row>
    <row r="1526" customHeight="1" spans="1:18">
      <c r="A1526" s="78" t="str">
        <f ca="1" t="shared" si="69"/>
        <v/>
      </c>
      <c r="B1526" s="82" t="str">
        <f ca="1">IFERROR(R1526+COUNTIFS($R$11:$R1526,R1526),"")</f>
        <v/>
      </c>
      <c r="C1526" s="83">
        <f ca="1">IF(MOD(COUNTIF($Q$11:Q1525,Q1525),5)=0,OFFSET(装备属性!$D$1083,1+INT(COUNTA($Q$11:Q1525)/5),0),C1525)</f>
        <v>0</v>
      </c>
      <c r="D1526" s="82">
        <f t="shared" si="71"/>
        <v>3000</v>
      </c>
      <c r="F1526" s="82" t="str">
        <f ca="1" t="shared" si="70"/>
        <v/>
      </c>
      <c r="G1526" s="78" t="str">
        <f ca="1">IF(AND(LEFT("[{"&amp;M1526&amp;","&amp;CEILING(N1526*10000+(O1526-N1526)/4*(COUNTIF($F$11:F1526,F1526)-1)*10000,10)&amp;"}]",7)="[{equip",MID("[{"&amp;M1526&amp;","&amp;CEILING(N1526*10000+(O1526-N1526)/4*(COUNTIF($F$11:F1526,F1526)-1)*10000,10)&amp;"}]",8,1)&lt;&gt;"_"),"[{"&amp;M1526&amp;","&amp;1&amp;"}]","[{"&amp;M1526&amp;","&amp;CEILING(N1526*10000+(O1526-N1526)/4*(COUNTIF($F$11:F1526,F1526)-1)*10000,10)&amp;"}]")</f>
        <v>[{exp_boost,2000}]</v>
      </c>
      <c r="H1526" s="82" t="s">
        <v>563</v>
      </c>
      <c r="J1526" s="78">
        <f ca="1">IF(MOD(COUNTIF($Q$11:Q1525,Q1525),5)=0,OFFSET(装备属性!$P$1083,1+INT(COUNTA($Q$11:Q1525)/5),0),J1525)</f>
        <v>9</v>
      </c>
      <c r="K1526" s="83" t="str">
        <f ca="1">IF(RIGHT(G1526,13)="rune_slot,1}]",_xlfn.XLOOKUP(LEFT(SUBSTITUTE(G1526,"[{",""),FIND(",",SUBSTITUTE(G1526,"[{",""))-1),Sheet2!B:B,Sheet2!C:C)&amp;"+"&amp;1,_xlfn.XLOOKUP(LEFT(SUBSTITUTE(G1526,"[{",""),FIND(",",SUBSTITUTE(G1526,"[{",""))-1),Sheet2!B:B,Sheet2!C:C)&amp;"+"&amp;SUBSTITUTE(RIGHT(G1526,LEN(G1526)-FIND(",",G1526)),"}]","")/100&amp;"%")</f>
        <v>经验加成+20%</v>
      </c>
      <c r="L1526" s="83" t="str">
        <f ca="1">IF(MOD(COUNTIF($Q$11:Q1525,Q1525),5)=0,OFFSET(装备属性!$G$1083,1+INT(COUNTA($Q$11:Q1525)/5),0),L1525)</f>
        <v>涨见识</v>
      </c>
      <c r="M1526" s="89" t="str">
        <f ca="1">IF(MOD(COUNTIF($Q$11:Q1525,Q1525),5)=0,OFFSET(装备属性!$H$1083,1+INT(COUNTA($Q$11:Q1525)/5),0),M1525)</f>
        <v>exp_boost</v>
      </c>
      <c r="N1526" s="76">
        <f ca="1">IF(MOD(COUNTIF($Q$11:Q1525,Q1525),5)=0,OFFSET(装备属性!$K$1083,1+INT(COUNTA($Q$11:Q1525)/5),0),N1525)</f>
        <v>0.2</v>
      </c>
      <c r="O1526" s="76">
        <f ca="1">IF(MOD(COUNTIF($Q$11:Q1525,Q1525),5)=0,OFFSET(装备属性!$L$1083,1+INT(COUNTA($Q$11:Q1525)/5),0),O1525)</f>
        <v>0.2</v>
      </c>
      <c r="Q1526" s="89" t="str">
        <f ca="1">IF(MOD(COUNTIF($Q$11:Q1525,Q1525),5)=0,OFFSET(装备属性!$M$1083,1+INT(COUNTA($Q$11:Q1525)/5),0),Q1525)</f>
        <v>稀有词条</v>
      </c>
      <c r="R1526" s="83" t="e">
        <f ca="1">IF(MOD(COUNTIF($Q$11:Q1525,Q1525),5)=0,10000*SUBSTITUTE(SUBSTITUTE(OFFSET(装备属性!$F$1083,1+INT(COUNTA($Q$11:Q1525)/5),0),"[",""),"]","")+_xlfn.XLOOKUP(C1526,$M$3:$M$7,$N$3:$N$7)*100,R1525)</f>
        <v>#N/A</v>
      </c>
    </row>
    <row r="1527" customHeight="1" spans="1:18">
      <c r="A1527" s="78" t="str">
        <f ca="1" t="shared" si="69"/>
        <v/>
      </c>
      <c r="B1527" s="82" t="str">
        <f ca="1">IFERROR(R1527+COUNTIFS($R$11:$R1527,R1527),"")</f>
        <v/>
      </c>
      <c r="C1527" s="83">
        <f ca="1">IF(MOD(COUNTIF($Q$11:Q1526,Q1526),5)=0,OFFSET(装备属性!$D$1083,1+INT(COUNTA($Q$11:Q1526)/5),0),C1526)</f>
        <v>0</v>
      </c>
      <c r="D1527" s="82">
        <f t="shared" si="71"/>
        <v>2500</v>
      </c>
      <c r="F1527" s="82" t="str">
        <f ca="1" t="shared" si="70"/>
        <v/>
      </c>
      <c r="G1527" s="78" t="str">
        <f ca="1">IF(AND(LEFT("[{"&amp;M1527&amp;","&amp;CEILING(N1527*10000+(O1527-N1527)/4*(COUNTIF($F$11:F1527,F1527)-1)*10000,10)&amp;"}]",7)="[{equip",MID("[{"&amp;M1527&amp;","&amp;CEILING(N1527*10000+(O1527-N1527)/4*(COUNTIF($F$11:F1527,F1527)-1)*10000,10)&amp;"}]",8,1)&lt;&gt;"_"),"[{"&amp;M1527&amp;","&amp;1&amp;"}]","[{"&amp;M1527&amp;","&amp;CEILING(N1527*10000+(O1527-N1527)/4*(COUNTIF($F$11:F1527,F1527)-1)*10000,10)&amp;"}]")</f>
        <v>[{exp_boost,2000}]</v>
      </c>
      <c r="H1527" s="82" t="s">
        <v>563</v>
      </c>
      <c r="J1527" s="78">
        <f ca="1">IF(MOD(COUNTIF($Q$11:Q1526,Q1526),5)=0,OFFSET(装备属性!$P$1083,1+INT(COUNTA($Q$11:Q1526)/5),0),J1526)</f>
        <v>9</v>
      </c>
      <c r="K1527" s="83" t="str">
        <f ca="1">IF(RIGHT(G1527,13)="rune_slot,1}]",_xlfn.XLOOKUP(LEFT(SUBSTITUTE(G1527,"[{",""),FIND(",",SUBSTITUTE(G1527,"[{",""))-1),Sheet2!B:B,Sheet2!C:C)&amp;"+"&amp;1,_xlfn.XLOOKUP(LEFT(SUBSTITUTE(G1527,"[{",""),FIND(",",SUBSTITUTE(G1527,"[{",""))-1),Sheet2!B:B,Sheet2!C:C)&amp;"+"&amp;SUBSTITUTE(RIGHT(G1527,LEN(G1527)-FIND(",",G1527)),"}]","")/100&amp;"%")</f>
        <v>经验加成+20%</v>
      </c>
      <c r="L1527" s="83" t="str">
        <f ca="1">IF(MOD(COUNTIF($Q$11:Q1526,Q1526),5)=0,OFFSET(装备属性!$G$1083,1+INT(COUNTA($Q$11:Q1526)/5),0),L1526)</f>
        <v>涨见识</v>
      </c>
      <c r="M1527" s="89" t="str">
        <f ca="1">IF(MOD(COUNTIF($Q$11:Q1526,Q1526),5)=0,OFFSET(装备属性!$H$1083,1+INT(COUNTA($Q$11:Q1526)/5),0),M1526)</f>
        <v>exp_boost</v>
      </c>
      <c r="N1527" s="76">
        <f ca="1">IF(MOD(COUNTIF($Q$11:Q1526,Q1526),5)=0,OFFSET(装备属性!$K$1083,1+INT(COUNTA($Q$11:Q1526)/5),0),N1526)</f>
        <v>0.2</v>
      </c>
      <c r="O1527" s="76">
        <f ca="1">IF(MOD(COUNTIF($Q$11:Q1526,Q1526),5)=0,OFFSET(装备属性!$L$1083,1+INT(COUNTA($Q$11:Q1526)/5),0),O1526)</f>
        <v>0.2</v>
      </c>
      <c r="Q1527" s="89" t="str">
        <f ca="1">IF(MOD(COUNTIF($Q$11:Q1526,Q1526),5)=0,OFFSET(装备属性!$M$1083,1+INT(COUNTA($Q$11:Q1526)/5),0),Q1526)</f>
        <v>稀有词条</v>
      </c>
      <c r="R1527" s="83" t="e">
        <f ca="1">IF(MOD(COUNTIF($Q$11:Q1526,Q1526),5)=0,10000*SUBSTITUTE(SUBSTITUTE(OFFSET(装备属性!$F$1083,1+INT(COUNTA($Q$11:Q1526)/5),0),"[",""),"]","")+_xlfn.XLOOKUP(C1527,$M$3:$M$7,$N$3:$N$7)*100,R1526)</f>
        <v>#N/A</v>
      </c>
    </row>
    <row r="1528" customHeight="1" spans="1:18">
      <c r="A1528" s="78" t="str">
        <f ca="1" t="shared" si="69"/>
        <v/>
      </c>
      <c r="B1528" s="82" t="str">
        <f ca="1">IFERROR(R1528+COUNTIFS($R$11:$R1528,R1528),"")</f>
        <v/>
      </c>
      <c r="C1528" s="83">
        <f ca="1">IF(MOD(COUNTIF($Q$11:Q1527,Q1527),5)=0,OFFSET(装备属性!$D$1083,1+INT(COUNTA($Q$11:Q1527)/5),0),C1527)</f>
        <v>0</v>
      </c>
      <c r="D1528" s="82">
        <f t="shared" si="71"/>
        <v>2000</v>
      </c>
      <c r="F1528" s="82" t="str">
        <f ca="1" t="shared" si="70"/>
        <v/>
      </c>
      <c r="G1528" s="78" t="str">
        <f ca="1">IF(AND(LEFT("[{"&amp;M1528&amp;","&amp;CEILING(N1528*10000+(O1528-N1528)/4*(COUNTIF($F$11:F1528,F1528)-1)*10000,10)&amp;"}]",7)="[{equip",MID("[{"&amp;M1528&amp;","&amp;CEILING(N1528*10000+(O1528-N1528)/4*(COUNTIF($F$11:F1528,F1528)-1)*10000,10)&amp;"}]",8,1)&lt;&gt;"_"),"[{"&amp;M1528&amp;","&amp;1&amp;"}]","[{"&amp;M1528&amp;","&amp;CEILING(N1528*10000+(O1528-N1528)/4*(COUNTIF($F$11:F1528,F1528)-1)*10000,10)&amp;"}]")</f>
        <v>[{exp_boost,2000}]</v>
      </c>
      <c r="H1528" s="82" t="s">
        <v>563</v>
      </c>
      <c r="J1528" s="78">
        <f ca="1">IF(MOD(COUNTIF($Q$11:Q1527,Q1527),5)=0,OFFSET(装备属性!$P$1083,1+INT(COUNTA($Q$11:Q1527)/5),0),J1527)</f>
        <v>9</v>
      </c>
      <c r="K1528" s="83" t="str">
        <f ca="1">IF(RIGHT(G1528,13)="rune_slot,1}]",_xlfn.XLOOKUP(LEFT(SUBSTITUTE(G1528,"[{",""),FIND(",",SUBSTITUTE(G1528,"[{",""))-1),Sheet2!B:B,Sheet2!C:C)&amp;"+"&amp;1,_xlfn.XLOOKUP(LEFT(SUBSTITUTE(G1528,"[{",""),FIND(",",SUBSTITUTE(G1528,"[{",""))-1),Sheet2!B:B,Sheet2!C:C)&amp;"+"&amp;SUBSTITUTE(RIGHT(G1528,LEN(G1528)-FIND(",",G1528)),"}]","")/100&amp;"%")</f>
        <v>经验加成+20%</v>
      </c>
      <c r="L1528" s="83" t="str">
        <f ca="1">IF(MOD(COUNTIF($Q$11:Q1527,Q1527),5)=0,OFFSET(装备属性!$G$1083,1+INT(COUNTA($Q$11:Q1527)/5),0),L1527)</f>
        <v>涨见识</v>
      </c>
      <c r="M1528" s="89" t="str">
        <f ca="1">IF(MOD(COUNTIF($Q$11:Q1527,Q1527),5)=0,OFFSET(装备属性!$H$1083,1+INT(COUNTA($Q$11:Q1527)/5),0),M1527)</f>
        <v>exp_boost</v>
      </c>
      <c r="N1528" s="76">
        <f ca="1">IF(MOD(COUNTIF($Q$11:Q1527,Q1527),5)=0,OFFSET(装备属性!$K$1083,1+INT(COUNTA($Q$11:Q1527)/5),0),N1527)</f>
        <v>0.2</v>
      </c>
      <c r="O1528" s="76">
        <f ca="1">IF(MOD(COUNTIF($Q$11:Q1527,Q1527),5)=0,OFFSET(装备属性!$L$1083,1+INT(COUNTA($Q$11:Q1527)/5),0),O1527)</f>
        <v>0.2</v>
      </c>
      <c r="Q1528" s="89" t="str">
        <f ca="1">IF(MOD(COUNTIF($Q$11:Q1527,Q1527),5)=0,OFFSET(装备属性!$M$1083,1+INT(COUNTA($Q$11:Q1527)/5),0),Q1527)</f>
        <v>稀有词条</v>
      </c>
      <c r="R1528" s="83" t="e">
        <f ca="1">IF(MOD(COUNTIF($Q$11:Q1527,Q1527),5)=0,10000*SUBSTITUTE(SUBSTITUTE(OFFSET(装备属性!$F$1083,1+INT(COUNTA($Q$11:Q1527)/5),0),"[",""),"]","")+_xlfn.XLOOKUP(C1528,$M$3:$M$7,$N$3:$N$7)*100,R1527)</f>
        <v>#N/A</v>
      </c>
    </row>
    <row r="1529" customHeight="1" spans="1:18">
      <c r="A1529" s="78" t="str">
        <f ca="1" t="shared" si="69"/>
        <v/>
      </c>
      <c r="B1529" s="82" t="str">
        <f ca="1">IFERROR(R1529+COUNTIFS($R$11:$R1529,R1529),"")</f>
        <v/>
      </c>
      <c r="C1529" s="83">
        <f ca="1">IF(MOD(COUNTIF($Q$11:Q1528,Q1528),5)=0,OFFSET(装备属性!$D$1083,1+INT(COUNTA($Q$11:Q1528)/5),0),C1528)</f>
        <v>0</v>
      </c>
      <c r="D1529" s="82">
        <f t="shared" si="71"/>
        <v>1500</v>
      </c>
      <c r="F1529" s="82" t="str">
        <f ca="1" t="shared" si="70"/>
        <v/>
      </c>
      <c r="G1529" s="78" t="str">
        <f ca="1">IF(AND(LEFT("[{"&amp;M1529&amp;","&amp;CEILING(N1529*10000+(O1529-N1529)/4*(COUNTIF($F$11:F1529,F1529)-1)*10000,10)&amp;"}]",7)="[{equip",MID("[{"&amp;M1529&amp;","&amp;CEILING(N1529*10000+(O1529-N1529)/4*(COUNTIF($F$11:F1529,F1529)-1)*10000,10)&amp;"}]",8,1)&lt;&gt;"_"),"[{"&amp;M1529&amp;","&amp;1&amp;"}]","[{"&amp;M1529&amp;","&amp;CEILING(N1529*10000+(O1529-N1529)/4*(COUNTIF($F$11:F1529,F1529)-1)*10000,10)&amp;"}]")</f>
        <v>[{exp_boost,2000}]</v>
      </c>
      <c r="H1529" s="82" t="s">
        <v>563</v>
      </c>
      <c r="J1529" s="78">
        <f ca="1">IF(MOD(COUNTIF($Q$11:Q1528,Q1528),5)=0,OFFSET(装备属性!$P$1083,1+INT(COUNTA($Q$11:Q1528)/5),0),J1528)</f>
        <v>9</v>
      </c>
      <c r="K1529" s="83" t="str">
        <f ca="1">IF(RIGHT(G1529,13)="rune_slot,1}]",_xlfn.XLOOKUP(LEFT(SUBSTITUTE(G1529,"[{",""),FIND(",",SUBSTITUTE(G1529,"[{",""))-1),Sheet2!B:B,Sheet2!C:C)&amp;"+"&amp;1,_xlfn.XLOOKUP(LEFT(SUBSTITUTE(G1529,"[{",""),FIND(",",SUBSTITUTE(G1529,"[{",""))-1),Sheet2!B:B,Sheet2!C:C)&amp;"+"&amp;SUBSTITUTE(RIGHT(G1529,LEN(G1529)-FIND(",",G1529)),"}]","")/100&amp;"%")</f>
        <v>经验加成+20%</v>
      </c>
      <c r="L1529" s="83" t="str">
        <f ca="1">IF(MOD(COUNTIF($Q$11:Q1528,Q1528),5)=0,OFFSET(装备属性!$G$1083,1+INT(COUNTA($Q$11:Q1528)/5),0),L1528)</f>
        <v>涨见识</v>
      </c>
      <c r="M1529" s="89" t="str">
        <f ca="1">IF(MOD(COUNTIF($Q$11:Q1528,Q1528),5)=0,OFFSET(装备属性!$H$1083,1+INT(COUNTA($Q$11:Q1528)/5),0),M1528)</f>
        <v>exp_boost</v>
      </c>
      <c r="N1529" s="76">
        <f ca="1">IF(MOD(COUNTIF($Q$11:Q1528,Q1528),5)=0,OFFSET(装备属性!$K$1083,1+INT(COUNTA($Q$11:Q1528)/5),0),N1528)</f>
        <v>0.2</v>
      </c>
      <c r="O1529" s="76">
        <f ca="1">IF(MOD(COUNTIF($Q$11:Q1528,Q1528),5)=0,OFFSET(装备属性!$L$1083,1+INT(COUNTA($Q$11:Q1528)/5),0),O1528)</f>
        <v>0.2</v>
      </c>
      <c r="Q1529" s="89" t="str">
        <f ca="1">IF(MOD(COUNTIF($Q$11:Q1528,Q1528),5)=0,OFFSET(装备属性!$M$1083,1+INT(COUNTA($Q$11:Q1528)/5),0),Q1528)</f>
        <v>稀有词条</v>
      </c>
      <c r="R1529" s="83" t="e">
        <f ca="1">IF(MOD(COUNTIF($Q$11:Q1528,Q1528),5)=0,10000*SUBSTITUTE(SUBSTITUTE(OFFSET(装备属性!$F$1083,1+INT(COUNTA($Q$11:Q1528)/5),0),"[",""),"]","")+_xlfn.XLOOKUP(C1529,$M$3:$M$7,$N$3:$N$7)*100,R1528)</f>
        <v>#N/A</v>
      </c>
    </row>
    <row r="1530" customHeight="1" spans="1:18">
      <c r="A1530" s="78" t="str">
        <f ca="1" t="shared" si="69"/>
        <v/>
      </c>
      <c r="B1530" s="82" t="str">
        <f ca="1">IFERROR(R1530+COUNTIFS($R$11:$R1530,R1530),"")</f>
        <v/>
      </c>
      <c r="C1530" s="83">
        <f ca="1">IF(MOD(COUNTIF($Q$11:Q1529,Q1529),5)=0,OFFSET(装备属性!$D$1083,1+INT(COUNTA($Q$11:Q1529)/5),0),C1529)</f>
        <v>0</v>
      </c>
      <c r="D1530" s="82">
        <f t="shared" si="71"/>
        <v>1000</v>
      </c>
      <c r="F1530" s="82" t="str">
        <f ca="1" t="shared" si="70"/>
        <v/>
      </c>
      <c r="G1530" s="78" t="str">
        <f ca="1">IF(AND(LEFT("[{"&amp;M1530&amp;","&amp;CEILING(N1530*10000+(O1530-N1530)/4*(COUNTIF($F$11:F1530,F1530)-1)*10000,10)&amp;"}]",7)="[{equip",MID("[{"&amp;M1530&amp;","&amp;CEILING(N1530*10000+(O1530-N1530)/4*(COUNTIF($F$11:F1530,F1530)-1)*10000,10)&amp;"}]",8,1)&lt;&gt;"_"),"[{"&amp;M1530&amp;","&amp;1&amp;"}]","[{"&amp;M1530&amp;","&amp;CEILING(N1530*10000+(O1530-N1530)/4*(COUNTIF($F$11:F1530,F1530)-1)*10000,10)&amp;"}]")</f>
        <v>[{exp_boost,2000}]</v>
      </c>
      <c r="H1530" s="82" t="s">
        <v>563</v>
      </c>
      <c r="J1530" s="78">
        <f ca="1">IF(MOD(COUNTIF($Q$11:Q1529,Q1529),5)=0,OFFSET(装备属性!$P$1083,1+INT(COUNTA($Q$11:Q1529)/5),0),J1529)</f>
        <v>9</v>
      </c>
      <c r="K1530" s="83" t="str">
        <f ca="1">IF(RIGHT(G1530,13)="rune_slot,1}]",_xlfn.XLOOKUP(LEFT(SUBSTITUTE(G1530,"[{",""),FIND(",",SUBSTITUTE(G1530,"[{",""))-1),Sheet2!B:B,Sheet2!C:C)&amp;"+"&amp;1,_xlfn.XLOOKUP(LEFT(SUBSTITUTE(G1530,"[{",""),FIND(",",SUBSTITUTE(G1530,"[{",""))-1),Sheet2!B:B,Sheet2!C:C)&amp;"+"&amp;SUBSTITUTE(RIGHT(G1530,LEN(G1530)-FIND(",",G1530)),"}]","")/100&amp;"%")</f>
        <v>经验加成+20%</v>
      </c>
      <c r="L1530" s="83" t="str">
        <f ca="1">IF(MOD(COUNTIF($Q$11:Q1529,Q1529),5)=0,OFFSET(装备属性!$G$1083,1+INT(COUNTA($Q$11:Q1529)/5),0),L1529)</f>
        <v>涨见识</v>
      </c>
      <c r="M1530" s="89" t="str">
        <f ca="1">IF(MOD(COUNTIF($Q$11:Q1529,Q1529),5)=0,OFFSET(装备属性!$H$1083,1+INT(COUNTA($Q$11:Q1529)/5),0),M1529)</f>
        <v>exp_boost</v>
      </c>
      <c r="N1530" s="76">
        <f ca="1">IF(MOD(COUNTIF($Q$11:Q1529,Q1529),5)=0,OFFSET(装备属性!$K$1083,1+INT(COUNTA($Q$11:Q1529)/5),0),N1529)</f>
        <v>0.2</v>
      </c>
      <c r="O1530" s="76">
        <f ca="1">IF(MOD(COUNTIF($Q$11:Q1529,Q1529),5)=0,OFFSET(装备属性!$L$1083,1+INT(COUNTA($Q$11:Q1529)/5),0),O1529)</f>
        <v>0.2</v>
      </c>
      <c r="Q1530" s="89" t="str">
        <f ca="1">IF(MOD(COUNTIF($Q$11:Q1529,Q1529),5)=0,OFFSET(装备属性!$M$1083,1+INT(COUNTA($Q$11:Q1529)/5),0),Q1529)</f>
        <v>稀有词条</v>
      </c>
      <c r="R1530" s="83" t="e">
        <f ca="1">IF(MOD(COUNTIF($Q$11:Q1529,Q1529),5)=0,10000*SUBSTITUTE(SUBSTITUTE(OFFSET(装备属性!$F$1083,1+INT(COUNTA($Q$11:Q1529)/5),0),"[",""),"]","")+_xlfn.XLOOKUP(C1530,$M$3:$M$7,$N$3:$N$7)*100,R1529)</f>
        <v>#N/A</v>
      </c>
    </row>
    <row r="1531" customHeight="1" spans="1:18">
      <c r="A1531" s="78" t="str">
        <f ca="1" t="shared" si="69"/>
        <v/>
      </c>
      <c r="B1531" s="82" t="str">
        <f ca="1">IFERROR(R1531+COUNTIFS($R$11:$R1531,R1531),"")</f>
        <v/>
      </c>
      <c r="C1531" s="83">
        <f ca="1">IF(MOD(COUNTIF($Q$11:Q1530,Q1530),5)=0,OFFSET(装备属性!$D$1083,1+INT(COUNTA($Q$11:Q1530)/5),0),C1530)</f>
        <v>0</v>
      </c>
      <c r="D1531" s="82">
        <f t="shared" si="71"/>
        <v>3000</v>
      </c>
      <c r="F1531" s="82" t="str">
        <f ca="1" t="shared" si="70"/>
        <v/>
      </c>
      <c r="G1531" s="78" t="str">
        <f ca="1">IF(AND(LEFT("[{"&amp;M1531&amp;","&amp;CEILING(N1531*10000+(O1531-N1531)/4*(COUNTIF($F$11:F1531,F1531)-1)*10000,10)&amp;"}]",7)="[{equip",MID("[{"&amp;M1531&amp;","&amp;CEILING(N1531*10000+(O1531-N1531)/4*(COUNTIF($F$11:F1531,F1531)-1)*10000,10)&amp;"}]",8,1)&lt;&gt;"_"),"[{"&amp;M1531&amp;","&amp;1&amp;"}]","[{"&amp;M1531&amp;","&amp;CEILING(N1531*10000+(O1531-N1531)/4*(COUNTIF($F$11:F1531,F1531)-1)*10000,10)&amp;"}]")</f>
        <v>[{equip_base_attr,2500}]</v>
      </c>
      <c r="H1531" s="82" t="s">
        <v>563</v>
      </c>
      <c r="J1531" s="78">
        <f ca="1">IF(MOD(COUNTIF($Q$11:Q1530,Q1530),5)=0,OFFSET(装备属性!$P$1083,1+INT(COUNTA($Q$11:Q1530)/5),0),J1530)</f>
        <v>7</v>
      </c>
      <c r="K1531" s="83" t="str">
        <f ca="1">IF(RIGHT(G1531,13)="rune_slot,1}]",_xlfn.XLOOKUP(LEFT(SUBSTITUTE(G1531,"[{",""),FIND(",",SUBSTITUTE(G1531,"[{",""))-1),Sheet2!B:B,Sheet2!C:C)&amp;"+"&amp;1,_xlfn.XLOOKUP(LEFT(SUBSTITUTE(G1531,"[{",""),FIND(",",SUBSTITUTE(G1531,"[{",""))-1),Sheet2!B:B,Sheet2!C:C)&amp;"+"&amp;SUBSTITUTE(RIGHT(G1531,LEN(G1531)-FIND(",",G1531)),"}]","")/100&amp;"%")</f>
        <v>装备基础属性加成+25%</v>
      </c>
      <c r="L1531" s="83" t="str">
        <f ca="1">IF(MOD(COUNTIF($Q$11:Q1530,Q1530),5)=0,OFFSET(装备属性!$G$1083,1+INT(COUNTA($Q$11:Q1530)/5),0),L1530)</f>
        <v>厚底子</v>
      </c>
      <c r="M1531" s="89" t="str">
        <f ca="1">IF(MOD(COUNTIF($Q$11:Q1530,Q1530),5)=0,OFFSET(装备属性!$H$1083,1+INT(COUNTA($Q$11:Q1530)/5),0),M1530)</f>
        <v>equip_base_attr</v>
      </c>
      <c r="N1531" s="76">
        <f ca="1">IF(MOD(COUNTIF($Q$11:Q1530,Q1530),5)=0,OFFSET(装备属性!$K$1083,1+INT(COUNTA($Q$11:Q1530)/5),0),N1530)</f>
        <v>0.25</v>
      </c>
      <c r="O1531" s="76">
        <f ca="1">IF(MOD(COUNTIF($Q$11:Q1530,Q1530),5)=0,OFFSET(装备属性!$L$1083,1+INT(COUNTA($Q$11:Q1530)/5),0),O1530)</f>
        <v>0.25</v>
      </c>
      <c r="Q1531" s="89" t="str">
        <f ca="1">IF(MOD(COUNTIF($Q$11:Q1530,Q1530),5)=0,OFFSET(装备属性!$M$1083,1+INT(COUNTA($Q$11:Q1530)/5),0),Q1530)</f>
        <v>稀有词条</v>
      </c>
      <c r="R1531" s="83" t="e">
        <f ca="1">IF(MOD(COUNTIF($Q$11:Q1530,Q1530),5)=0,10000*SUBSTITUTE(SUBSTITUTE(OFFSET(装备属性!$F$1083,1+INT(COUNTA($Q$11:Q1530)/5),0),"[",""),"]","")+_xlfn.XLOOKUP(C1531,$M$3:$M$7,$N$3:$N$7)*100,R1530)</f>
        <v>#N/A</v>
      </c>
    </row>
    <row r="1532" customHeight="1" spans="1:18">
      <c r="A1532" s="78" t="str">
        <f ca="1" t="shared" si="69"/>
        <v/>
      </c>
      <c r="B1532" s="82" t="str">
        <f ca="1">IFERROR(R1532+COUNTIFS($R$11:$R1532,R1532),"")</f>
        <v/>
      </c>
      <c r="C1532" s="83">
        <f ca="1">IF(MOD(COUNTIF($Q$11:Q1531,Q1531),5)=0,OFFSET(装备属性!$D$1083,1+INT(COUNTA($Q$11:Q1531)/5),0),C1531)</f>
        <v>0</v>
      </c>
      <c r="D1532" s="82">
        <f t="shared" si="71"/>
        <v>2500</v>
      </c>
      <c r="F1532" s="82" t="str">
        <f ca="1" t="shared" si="70"/>
        <v/>
      </c>
      <c r="G1532" s="78" t="str">
        <f ca="1">IF(AND(LEFT("[{"&amp;M1532&amp;","&amp;CEILING(N1532*10000+(O1532-N1532)/4*(COUNTIF($F$11:F1532,F1532)-1)*10000,10)&amp;"}]",7)="[{equip",MID("[{"&amp;M1532&amp;","&amp;CEILING(N1532*10000+(O1532-N1532)/4*(COUNTIF($F$11:F1532,F1532)-1)*10000,10)&amp;"}]",8,1)&lt;&gt;"_"),"[{"&amp;M1532&amp;","&amp;1&amp;"}]","[{"&amp;M1532&amp;","&amp;CEILING(N1532*10000+(O1532-N1532)/4*(COUNTIF($F$11:F1532,F1532)-1)*10000,10)&amp;"}]")</f>
        <v>[{equip_base_attr,2500}]</v>
      </c>
      <c r="H1532" s="82" t="s">
        <v>563</v>
      </c>
      <c r="J1532" s="78">
        <f ca="1">IF(MOD(COUNTIF($Q$11:Q1531,Q1531),5)=0,OFFSET(装备属性!$P$1083,1+INT(COUNTA($Q$11:Q1531)/5),0),J1531)</f>
        <v>7</v>
      </c>
      <c r="K1532" s="83" t="str">
        <f ca="1">IF(RIGHT(G1532,13)="rune_slot,1}]",_xlfn.XLOOKUP(LEFT(SUBSTITUTE(G1532,"[{",""),FIND(",",SUBSTITUTE(G1532,"[{",""))-1),Sheet2!B:B,Sheet2!C:C)&amp;"+"&amp;1,_xlfn.XLOOKUP(LEFT(SUBSTITUTE(G1532,"[{",""),FIND(",",SUBSTITUTE(G1532,"[{",""))-1),Sheet2!B:B,Sheet2!C:C)&amp;"+"&amp;SUBSTITUTE(RIGHT(G1532,LEN(G1532)-FIND(",",G1532)),"}]","")/100&amp;"%")</f>
        <v>装备基础属性加成+25%</v>
      </c>
      <c r="L1532" s="83" t="str">
        <f ca="1">IF(MOD(COUNTIF($Q$11:Q1531,Q1531),5)=0,OFFSET(装备属性!$G$1083,1+INT(COUNTA($Q$11:Q1531)/5),0),L1531)</f>
        <v>厚底子</v>
      </c>
      <c r="M1532" s="89" t="str">
        <f ca="1">IF(MOD(COUNTIF($Q$11:Q1531,Q1531),5)=0,OFFSET(装备属性!$H$1083,1+INT(COUNTA($Q$11:Q1531)/5),0),M1531)</f>
        <v>equip_base_attr</v>
      </c>
      <c r="N1532" s="76">
        <f ca="1">IF(MOD(COUNTIF($Q$11:Q1531,Q1531),5)=0,OFFSET(装备属性!$K$1083,1+INT(COUNTA($Q$11:Q1531)/5),0),N1531)</f>
        <v>0.25</v>
      </c>
      <c r="O1532" s="76">
        <f ca="1">IF(MOD(COUNTIF($Q$11:Q1531,Q1531),5)=0,OFFSET(装备属性!$L$1083,1+INT(COUNTA($Q$11:Q1531)/5),0),O1531)</f>
        <v>0.25</v>
      </c>
      <c r="Q1532" s="89" t="str">
        <f ca="1">IF(MOD(COUNTIF($Q$11:Q1531,Q1531),5)=0,OFFSET(装备属性!$M$1083,1+INT(COUNTA($Q$11:Q1531)/5),0),Q1531)</f>
        <v>稀有词条</v>
      </c>
      <c r="R1532" s="83" t="e">
        <f ca="1">IF(MOD(COUNTIF($Q$11:Q1531,Q1531),5)=0,10000*SUBSTITUTE(SUBSTITUTE(OFFSET(装备属性!$F$1083,1+INT(COUNTA($Q$11:Q1531)/5),0),"[",""),"]","")+_xlfn.XLOOKUP(C1532,$M$3:$M$7,$N$3:$N$7)*100,R1531)</f>
        <v>#N/A</v>
      </c>
    </row>
    <row r="1533" customHeight="1" spans="1:18">
      <c r="A1533" s="78" t="str">
        <f ca="1" t="shared" si="69"/>
        <v/>
      </c>
      <c r="B1533" s="82" t="str">
        <f ca="1">IFERROR(R1533+COUNTIFS($R$11:$R1533,R1533),"")</f>
        <v/>
      </c>
      <c r="C1533" s="83">
        <f ca="1">IF(MOD(COUNTIF($Q$11:Q1532,Q1532),5)=0,OFFSET(装备属性!$D$1083,1+INT(COUNTA($Q$11:Q1532)/5),0),C1532)</f>
        <v>0</v>
      </c>
      <c r="D1533" s="82">
        <f t="shared" si="71"/>
        <v>2000</v>
      </c>
      <c r="F1533" s="82" t="str">
        <f ca="1" t="shared" si="70"/>
        <v/>
      </c>
      <c r="G1533" s="78" t="str">
        <f ca="1">IF(AND(LEFT("[{"&amp;M1533&amp;","&amp;CEILING(N1533*10000+(O1533-N1533)/4*(COUNTIF($F$11:F1533,F1533)-1)*10000,10)&amp;"}]",7)="[{equip",MID("[{"&amp;M1533&amp;","&amp;CEILING(N1533*10000+(O1533-N1533)/4*(COUNTIF($F$11:F1533,F1533)-1)*10000,10)&amp;"}]",8,1)&lt;&gt;"_"),"[{"&amp;M1533&amp;","&amp;1&amp;"}]","[{"&amp;M1533&amp;","&amp;CEILING(N1533*10000+(O1533-N1533)/4*(COUNTIF($F$11:F1533,F1533)-1)*10000,10)&amp;"}]")</f>
        <v>[{equip_base_attr,2500}]</v>
      </c>
      <c r="H1533" s="82" t="s">
        <v>563</v>
      </c>
      <c r="J1533" s="78">
        <f ca="1">IF(MOD(COUNTIF($Q$11:Q1532,Q1532),5)=0,OFFSET(装备属性!$P$1083,1+INT(COUNTA($Q$11:Q1532)/5),0),J1532)</f>
        <v>7</v>
      </c>
      <c r="K1533" s="83" t="str">
        <f ca="1">IF(RIGHT(G1533,13)="rune_slot,1}]",_xlfn.XLOOKUP(LEFT(SUBSTITUTE(G1533,"[{",""),FIND(",",SUBSTITUTE(G1533,"[{",""))-1),Sheet2!B:B,Sheet2!C:C)&amp;"+"&amp;1,_xlfn.XLOOKUP(LEFT(SUBSTITUTE(G1533,"[{",""),FIND(",",SUBSTITUTE(G1533,"[{",""))-1),Sheet2!B:B,Sheet2!C:C)&amp;"+"&amp;SUBSTITUTE(RIGHT(G1533,LEN(G1533)-FIND(",",G1533)),"}]","")/100&amp;"%")</f>
        <v>装备基础属性加成+25%</v>
      </c>
      <c r="L1533" s="83" t="str">
        <f ca="1">IF(MOD(COUNTIF($Q$11:Q1532,Q1532),5)=0,OFFSET(装备属性!$G$1083,1+INT(COUNTA($Q$11:Q1532)/5),0),L1532)</f>
        <v>厚底子</v>
      </c>
      <c r="M1533" s="89" t="str">
        <f ca="1">IF(MOD(COUNTIF($Q$11:Q1532,Q1532),5)=0,OFFSET(装备属性!$H$1083,1+INT(COUNTA($Q$11:Q1532)/5),0),M1532)</f>
        <v>equip_base_attr</v>
      </c>
      <c r="N1533" s="76">
        <f ca="1">IF(MOD(COUNTIF($Q$11:Q1532,Q1532),5)=0,OFFSET(装备属性!$K$1083,1+INT(COUNTA($Q$11:Q1532)/5),0),N1532)</f>
        <v>0.25</v>
      </c>
      <c r="O1533" s="76">
        <f ca="1">IF(MOD(COUNTIF($Q$11:Q1532,Q1532),5)=0,OFFSET(装备属性!$L$1083,1+INT(COUNTA($Q$11:Q1532)/5),0),O1532)</f>
        <v>0.25</v>
      </c>
      <c r="Q1533" s="89" t="str">
        <f ca="1">IF(MOD(COUNTIF($Q$11:Q1532,Q1532),5)=0,OFFSET(装备属性!$M$1083,1+INT(COUNTA($Q$11:Q1532)/5),0),Q1532)</f>
        <v>稀有词条</v>
      </c>
      <c r="R1533" s="83" t="e">
        <f ca="1">IF(MOD(COUNTIF($Q$11:Q1532,Q1532),5)=0,10000*SUBSTITUTE(SUBSTITUTE(OFFSET(装备属性!$F$1083,1+INT(COUNTA($Q$11:Q1532)/5),0),"[",""),"]","")+_xlfn.XLOOKUP(C1533,$M$3:$M$7,$N$3:$N$7)*100,R1532)</f>
        <v>#N/A</v>
      </c>
    </row>
    <row r="1534" customHeight="1" spans="1:18">
      <c r="A1534" s="78" t="str">
        <f ca="1" t="shared" si="69"/>
        <v/>
      </c>
      <c r="B1534" s="82" t="str">
        <f ca="1">IFERROR(R1534+COUNTIFS($R$11:$R1534,R1534),"")</f>
        <v/>
      </c>
      <c r="C1534" s="83">
        <f ca="1">IF(MOD(COUNTIF($Q$11:Q1533,Q1533),5)=0,OFFSET(装备属性!$D$1083,1+INT(COUNTA($Q$11:Q1533)/5),0),C1533)</f>
        <v>0</v>
      </c>
      <c r="D1534" s="82">
        <f t="shared" si="71"/>
        <v>1500</v>
      </c>
      <c r="F1534" s="82" t="str">
        <f ca="1" t="shared" si="70"/>
        <v/>
      </c>
      <c r="G1534" s="78" t="str">
        <f ca="1">IF(AND(LEFT("[{"&amp;M1534&amp;","&amp;CEILING(N1534*10000+(O1534-N1534)/4*(COUNTIF($F$11:F1534,F1534)-1)*10000,10)&amp;"}]",7)="[{equip",MID("[{"&amp;M1534&amp;","&amp;CEILING(N1534*10000+(O1534-N1534)/4*(COUNTIF($F$11:F1534,F1534)-1)*10000,10)&amp;"}]",8,1)&lt;&gt;"_"),"[{"&amp;M1534&amp;","&amp;1&amp;"}]","[{"&amp;M1534&amp;","&amp;CEILING(N1534*10000+(O1534-N1534)/4*(COUNTIF($F$11:F1534,F1534)-1)*10000,10)&amp;"}]")</f>
        <v>[{equip_base_attr,2500}]</v>
      </c>
      <c r="H1534" s="82" t="s">
        <v>563</v>
      </c>
      <c r="J1534" s="78">
        <f ca="1">IF(MOD(COUNTIF($Q$11:Q1533,Q1533),5)=0,OFFSET(装备属性!$P$1083,1+INT(COUNTA($Q$11:Q1533)/5),0),J1533)</f>
        <v>7</v>
      </c>
      <c r="K1534" s="83" t="str">
        <f ca="1">IF(RIGHT(G1534,13)="rune_slot,1}]",_xlfn.XLOOKUP(LEFT(SUBSTITUTE(G1534,"[{",""),FIND(",",SUBSTITUTE(G1534,"[{",""))-1),Sheet2!B:B,Sheet2!C:C)&amp;"+"&amp;1,_xlfn.XLOOKUP(LEFT(SUBSTITUTE(G1534,"[{",""),FIND(",",SUBSTITUTE(G1534,"[{",""))-1),Sheet2!B:B,Sheet2!C:C)&amp;"+"&amp;SUBSTITUTE(RIGHT(G1534,LEN(G1534)-FIND(",",G1534)),"}]","")/100&amp;"%")</f>
        <v>装备基础属性加成+25%</v>
      </c>
      <c r="L1534" s="83" t="str">
        <f ca="1">IF(MOD(COUNTIF($Q$11:Q1533,Q1533),5)=0,OFFSET(装备属性!$G$1083,1+INT(COUNTA($Q$11:Q1533)/5),0),L1533)</f>
        <v>厚底子</v>
      </c>
      <c r="M1534" s="89" t="str">
        <f ca="1">IF(MOD(COUNTIF($Q$11:Q1533,Q1533),5)=0,OFFSET(装备属性!$H$1083,1+INT(COUNTA($Q$11:Q1533)/5),0),M1533)</f>
        <v>equip_base_attr</v>
      </c>
      <c r="N1534" s="76">
        <f ca="1">IF(MOD(COUNTIF($Q$11:Q1533,Q1533),5)=0,OFFSET(装备属性!$K$1083,1+INT(COUNTA($Q$11:Q1533)/5),0),N1533)</f>
        <v>0.25</v>
      </c>
      <c r="O1534" s="76">
        <f ca="1">IF(MOD(COUNTIF($Q$11:Q1533,Q1533),5)=0,OFFSET(装备属性!$L$1083,1+INT(COUNTA($Q$11:Q1533)/5),0),O1533)</f>
        <v>0.25</v>
      </c>
      <c r="Q1534" s="89" t="str">
        <f ca="1">IF(MOD(COUNTIF($Q$11:Q1533,Q1533),5)=0,OFFSET(装备属性!$M$1083,1+INT(COUNTA($Q$11:Q1533)/5),0),Q1533)</f>
        <v>稀有词条</v>
      </c>
      <c r="R1534" s="83" t="e">
        <f ca="1">IF(MOD(COUNTIF($Q$11:Q1533,Q1533),5)=0,10000*SUBSTITUTE(SUBSTITUTE(OFFSET(装备属性!$F$1083,1+INT(COUNTA($Q$11:Q1533)/5),0),"[",""),"]","")+_xlfn.XLOOKUP(C1534,$M$3:$M$7,$N$3:$N$7)*100,R1533)</f>
        <v>#N/A</v>
      </c>
    </row>
    <row r="1535" customHeight="1" spans="1:18">
      <c r="A1535" s="78" t="str">
        <f ca="1" t="shared" si="69"/>
        <v/>
      </c>
      <c r="B1535" s="82" t="str">
        <f ca="1">IFERROR(R1535+COUNTIFS($R$11:$R1535,R1535),"")</f>
        <v/>
      </c>
      <c r="C1535" s="83">
        <f ca="1">IF(MOD(COUNTIF($Q$11:Q1534,Q1534),5)=0,OFFSET(装备属性!$D$1083,1+INT(COUNTA($Q$11:Q1534)/5),0),C1534)</f>
        <v>0</v>
      </c>
      <c r="D1535" s="82">
        <f t="shared" si="71"/>
        <v>1000</v>
      </c>
      <c r="F1535" s="82" t="str">
        <f ca="1" t="shared" si="70"/>
        <v/>
      </c>
      <c r="G1535" s="78" t="str">
        <f ca="1">IF(AND(LEFT("[{"&amp;M1535&amp;","&amp;CEILING(N1535*10000+(O1535-N1535)/4*(COUNTIF($F$11:F1535,F1535)-1)*10000,10)&amp;"}]",7)="[{equip",MID("[{"&amp;M1535&amp;","&amp;CEILING(N1535*10000+(O1535-N1535)/4*(COUNTIF($F$11:F1535,F1535)-1)*10000,10)&amp;"}]",8,1)&lt;&gt;"_"),"[{"&amp;M1535&amp;","&amp;1&amp;"}]","[{"&amp;M1535&amp;","&amp;CEILING(N1535*10000+(O1535-N1535)/4*(COUNTIF($F$11:F1535,F1535)-1)*10000,10)&amp;"}]")</f>
        <v>[{equip_base_attr,2500}]</v>
      </c>
      <c r="H1535" s="82" t="s">
        <v>563</v>
      </c>
      <c r="J1535" s="78">
        <f ca="1">IF(MOD(COUNTIF($Q$11:Q1534,Q1534),5)=0,OFFSET(装备属性!$P$1083,1+INT(COUNTA($Q$11:Q1534)/5),0),J1534)</f>
        <v>7</v>
      </c>
      <c r="K1535" s="83" t="str">
        <f ca="1">IF(RIGHT(G1535,13)="rune_slot,1}]",_xlfn.XLOOKUP(LEFT(SUBSTITUTE(G1535,"[{",""),FIND(",",SUBSTITUTE(G1535,"[{",""))-1),Sheet2!B:B,Sheet2!C:C)&amp;"+"&amp;1,_xlfn.XLOOKUP(LEFT(SUBSTITUTE(G1535,"[{",""),FIND(",",SUBSTITUTE(G1535,"[{",""))-1),Sheet2!B:B,Sheet2!C:C)&amp;"+"&amp;SUBSTITUTE(RIGHT(G1535,LEN(G1535)-FIND(",",G1535)),"}]","")/100&amp;"%")</f>
        <v>装备基础属性加成+25%</v>
      </c>
      <c r="L1535" s="83" t="str">
        <f ca="1">IF(MOD(COUNTIF($Q$11:Q1534,Q1534),5)=0,OFFSET(装备属性!$G$1083,1+INT(COUNTA($Q$11:Q1534)/5),0),L1534)</f>
        <v>厚底子</v>
      </c>
      <c r="M1535" s="89" t="str">
        <f ca="1">IF(MOD(COUNTIF($Q$11:Q1534,Q1534),5)=0,OFFSET(装备属性!$H$1083,1+INT(COUNTA($Q$11:Q1534)/5),0),M1534)</f>
        <v>equip_base_attr</v>
      </c>
      <c r="N1535" s="76">
        <f ca="1">IF(MOD(COUNTIF($Q$11:Q1534,Q1534),5)=0,OFFSET(装备属性!$K$1083,1+INT(COUNTA($Q$11:Q1534)/5),0),N1534)</f>
        <v>0.25</v>
      </c>
      <c r="O1535" s="76">
        <f ca="1">IF(MOD(COUNTIF($Q$11:Q1534,Q1534),5)=0,OFFSET(装备属性!$L$1083,1+INT(COUNTA($Q$11:Q1534)/5),0),O1534)</f>
        <v>0.25</v>
      </c>
      <c r="Q1535" s="89" t="str">
        <f ca="1">IF(MOD(COUNTIF($Q$11:Q1534,Q1534),5)=0,OFFSET(装备属性!$M$1083,1+INT(COUNTA($Q$11:Q1534)/5),0),Q1534)</f>
        <v>稀有词条</v>
      </c>
      <c r="R1535" s="83" t="e">
        <f ca="1">IF(MOD(COUNTIF($Q$11:Q1534,Q1534),5)=0,10000*SUBSTITUTE(SUBSTITUTE(OFFSET(装备属性!$F$1083,1+INT(COUNTA($Q$11:Q1534)/5),0),"[",""),"]","")+_xlfn.XLOOKUP(C1535,$M$3:$M$7,$N$3:$N$7)*100,R1534)</f>
        <v>#N/A</v>
      </c>
    </row>
    <row r="1536" customHeight="1" spans="1:18">
      <c r="A1536" s="78" t="str">
        <f ca="1" t="shared" si="69"/>
        <v/>
      </c>
      <c r="B1536" s="82" t="str">
        <f ca="1">IFERROR(R1536+COUNTIFS($R$11:$R1536,R1536),"")</f>
        <v/>
      </c>
      <c r="C1536" s="83">
        <f ca="1">IF(MOD(COUNTIF($Q$11:Q1535,Q1535),5)=0,OFFSET(装备属性!$D$1083,1+INT(COUNTA($Q$11:Q1535)/5),0),C1535)</f>
        <v>0</v>
      </c>
      <c r="D1536" s="82">
        <f t="shared" si="71"/>
        <v>3000</v>
      </c>
      <c r="F1536" s="82" t="str">
        <f ca="1" t="shared" si="70"/>
        <v/>
      </c>
      <c r="G1536" s="78" t="str">
        <f ca="1">IF(AND(LEFT("[{"&amp;M1536&amp;","&amp;CEILING(N1536*10000+(O1536-N1536)/4*(COUNTIF($F$11:F1536,F1536)-1)*10000,10)&amp;"}]",7)="[{equip",MID("[{"&amp;M1536&amp;","&amp;CEILING(N1536*10000+(O1536-N1536)/4*(COUNTIF($F$11:F1536,F1536)-1)*10000,10)&amp;"}]",8,1)&lt;&gt;"_"),"[{"&amp;M1536&amp;","&amp;1&amp;"}]","[{"&amp;M1536&amp;","&amp;CEILING(N1536*10000+(O1536-N1536)/4*(COUNTIF($F$11:F1536,F1536)-1)*10000,10)&amp;"}]")</f>
        <v>[{equip_extra_attr,5000}]</v>
      </c>
      <c r="H1536" s="82" t="s">
        <v>563</v>
      </c>
      <c r="J1536" s="78">
        <f ca="1">IF(MOD(COUNTIF($Q$11:Q1535,Q1535),5)=0,OFFSET(装备属性!$P$1083,1+INT(COUNTA($Q$11:Q1535)/5),0),J1535)</f>
        <v>8</v>
      </c>
      <c r="K1536" s="83" t="str">
        <f ca="1">IF(RIGHT(G1536,13)="rune_slot,1}]",_xlfn.XLOOKUP(LEFT(SUBSTITUTE(G1536,"[{",""),FIND(",",SUBSTITUTE(G1536,"[{",""))-1),Sheet2!B:B,Sheet2!C:C)&amp;"+"&amp;1,_xlfn.XLOOKUP(LEFT(SUBSTITUTE(G1536,"[{",""),FIND(",",SUBSTITUTE(G1536,"[{",""))-1),Sheet2!B:B,Sheet2!C:C)&amp;"+"&amp;SUBSTITUTE(RIGHT(G1536,LEN(G1536)-FIND(",",G1536)),"}]","")/100&amp;"%")</f>
        <v>装备附加属性加成+50%</v>
      </c>
      <c r="L1536" s="83" t="str">
        <f ca="1">IF(MOD(COUNTIF($Q$11:Q1535,Q1535),5)=0,OFFSET(装备属性!$G$1083,1+INT(COUNTA($Q$11:Q1535)/5),0),L1535)</f>
        <v>提成色</v>
      </c>
      <c r="M1536" s="89" t="str">
        <f ca="1">IF(MOD(COUNTIF($Q$11:Q1535,Q1535),5)=0,OFFSET(装备属性!$H$1083,1+INT(COUNTA($Q$11:Q1535)/5),0),M1535)</f>
        <v>equip_extra_attr</v>
      </c>
      <c r="N1536" s="76">
        <f ca="1">IF(MOD(COUNTIF($Q$11:Q1535,Q1535),5)=0,OFFSET(装备属性!$K$1083,1+INT(COUNTA($Q$11:Q1535)/5),0),N1535)</f>
        <v>0.5</v>
      </c>
      <c r="O1536" s="76">
        <f ca="1">IF(MOD(COUNTIF($Q$11:Q1535,Q1535),5)=0,OFFSET(装备属性!$L$1083,1+INT(COUNTA($Q$11:Q1535)/5),0),O1535)</f>
        <v>0.5</v>
      </c>
      <c r="Q1536" s="89" t="str">
        <f ca="1">IF(MOD(COUNTIF($Q$11:Q1535,Q1535),5)=0,OFFSET(装备属性!$M$1083,1+INT(COUNTA($Q$11:Q1535)/5),0),Q1535)</f>
        <v>稀有词条</v>
      </c>
      <c r="R1536" s="83" t="e">
        <f ca="1">IF(MOD(COUNTIF($Q$11:Q1535,Q1535),5)=0,10000*SUBSTITUTE(SUBSTITUTE(OFFSET(装备属性!$F$1083,1+INT(COUNTA($Q$11:Q1535)/5),0),"[",""),"]","")+_xlfn.XLOOKUP(C1536,$M$3:$M$7,$N$3:$N$7)*100,R1535)</f>
        <v>#N/A</v>
      </c>
    </row>
    <row r="1537" customHeight="1" spans="1:18">
      <c r="A1537" s="78" t="str">
        <f ca="1" t="shared" si="69"/>
        <v/>
      </c>
      <c r="B1537" s="82" t="str">
        <f ca="1">IFERROR(R1537+COUNTIFS($R$11:$R1537,R1537),"")</f>
        <v/>
      </c>
      <c r="C1537" s="83">
        <f ca="1">IF(MOD(COUNTIF($Q$11:Q1536,Q1536),5)=0,OFFSET(装备属性!$D$1083,1+INT(COUNTA($Q$11:Q1536)/5),0),C1536)</f>
        <v>0</v>
      </c>
      <c r="D1537" s="82">
        <f t="shared" si="71"/>
        <v>2500</v>
      </c>
      <c r="F1537" s="82" t="str">
        <f ca="1" t="shared" si="70"/>
        <v/>
      </c>
      <c r="G1537" s="78" t="str">
        <f ca="1">IF(AND(LEFT("[{"&amp;M1537&amp;","&amp;CEILING(N1537*10000+(O1537-N1537)/4*(COUNTIF($F$11:F1537,F1537)-1)*10000,10)&amp;"}]",7)="[{equip",MID("[{"&amp;M1537&amp;","&amp;CEILING(N1537*10000+(O1537-N1537)/4*(COUNTIF($F$11:F1537,F1537)-1)*10000,10)&amp;"}]",8,1)&lt;&gt;"_"),"[{"&amp;M1537&amp;","&amp;1&amp;"}]","[{"&amp;M1537&amp;","&amp;CEILING(N1537*10000+(O1537-N1537)/4*(COUNTIF($F$11:F1537,F1537)-1)*10000,10)&amp;"}]")</f>
        <v>[{equip_extra_attr,5000}]</v>
      </c>
      <c r="H1537" s="82" t="s">
        <v>563</v>
      </c>
      <c r="J1537" s="78">
        <f ca="1">IF(MOD(COUNTIF($Q$11:Q1536,Q1536),5)=0,OFFSET(装备属性!$P$1083,1+INT(COUNTA($Q$11:Q1536)/5),0),J1536)</f>
        <v>8</v>
      </c>
      <c r="K1537" s="83" t="str">
        <f ca="1">IF(RIGHT(G1537,13)="rune_slot,1}]",_xlfn.XLOOKUP(LEFT(SUBSTITUTE(G1537,"[{",""),FIND(",",SUBSTITUTE(G1537,"[{",""))-1),Sheet2!B:B,Sheet2!C:C)&amp;"+"&amp;1,_xlfn.XLOOKUP(LEFT(SUBSTITUTE(G1537,"[{",""),FIND(",",SUBSTITUTE(G1537,"[{",""))-1),Sheet2!B:B,Sheet2!C:C)&amp;"+"&amp;SUBSTITUTE(RIGHT(G1537,LEN(G1537)-FIND(",",G1537)),"}]","")/100&amp;"%")</f>
        <v>装备附加属性加成+50%</v>
      </c>
      <c r="L1537" s="83" t="str">
        <f ca="1">IF(MOD(COUNTIF($Q$11:Q1536,Q1536),5)=0,OFFSET(装备属性!$G$1083,1+INT(COUNTA($Q$11:Q1536)/5),0),L1536)</f>
        <v>提成色</v>
      </c>
      <c r="M1537" s="89" t="str">
        <f ca="1">IF(MOD(COUNTIF($Q$11:Q1536,Q1536),5)=0,OFFSET(装备属性!$H$1083,1+INT(COUNTA($Q$11:Q1536)/5),0),M1536)</f>
        <v>equip_extra_attr</v>
      </c>
      <c r="N1537" s="76">
        <f ca="1">IF(MOD(COUNTIF($Q$11:Q1536,Q1536),5)=0,OFFSET(装备属性!$K$1083,1+INT(COUNTA($Q$11:Q1536)/5),0),N1536)</f>
        <v>0.5</v>
      </c>
      <c r="O1537" s="76">
        <f ca="1">IF(MOD(COUNTIF($Q$11:Q1536,Q1536),5)=0,OFFSET(装备属性!$L$1083,1+INT(COUNTA($Q$11:Q1536)/5),0),O1536)</f>
        <v>0.5</v>
      </c>
      <c r="Q1537" s="89" t="str">
        <f ca="1">IF(MOD(COUNTIF($Q$11:Q1536,Q1536),5)=0,OFFSET(装备属性!$M$1083,1+INT(COUNTA($Q$11:Q1536)/5),0),Q1536)</f>
        <v>稀有词条</v>
      </c>
      <c r="R1537" s="83" t="e">
        <f ca="1">IF(MOD(COUNTIF($Q$11:Q1536,Q1536),5)=0,10000*SUBSTITUTE(SUBSTITUTE(OFFSET(装备属性!$F$1083,1+INT(COUNTA($Q$11:Q1536)/5),0),"[",""),"]","")+_xlfn.XLOOKUP(C1537,$M$3:$M$7,$N$3:$N$7)*100,R1536)</f>
        <v>#N/A</v>
      </c>
    </row>
    <row r="1538" customHeight="1" spans="1:18">
      <c r="A1538" s="78" t="str">
        <f ca="1" t="shared" si="69"/>
        <v/>
      </c>
      <c r="B1538" s="82" t="str">
        <f ca="1">IFERROR(R1538+COUNTIFS($R$11:$R1538,R1538),"")</f>
        <v/>
      </c>
      <c r="C1538" s="83">
        <f ca="1">IF(MOD(COUNTIF($Q$11:Q1537,Q1537),5)=0,OFFSET(装备属性!$D$1083,1+INT(COUNTA($Q$11:Q1537)/5),0),C1537)</f>
        <v>0</v>
      </c>
      <c r="D1538" s="82">
        <f t="shared" si="71"/>
        <v>2000</v>
      </c>
      <c r="F1538" s="82" t="str">
        <f ca="1" t="shared" si="70"/>
        <v/>
      </c>
      <c r="G1538" s="78" t="str">
        <f ca="1">IF(AND(LEFT("[{"&amp;M1538&amp;","&amp;CEILING(N1538*10000+(O1538-N1538)/4*(COUNTIF($F$11:F1538,F1538)-1)*10000,10)&amp;"}]",7)="[{equip",MID("[{"&amp;M1538&amp;","&amp;CEILING(N1538*10000+(O1538-N1538)/4*(COUNTIF($F$11:F1538,F1538)-1)*10000,10)&amp;"}]",8,1)&lt;&gt;"_"),"[{"&amp;M1538&amp;","&amp;1&amp;"}]","[{"&amp;M1538&amp;","&amp;CEILING(N1538*10000+(O1538-N1538)/4*(COUNTIF($F$11:F1538,F1538)-1)*10000,10)&amp;"}]")</f>
        <v>[{equip_extra_attr,5000}]</v>
      </c>
      <c r="H1538" s="82" t="s">
        <v>563</v>
      </c>
      <c r="J1538" s="78">
        <f ca="1">IF(MOD(COUNTIF($Q$11:Q1537,Q1537),5)=0,OFFSET(装备属性!$P$1083,1+INT(COUNTA($Q$11:Q1537)/5),0),J1537)</f>
        <v>8</v>
      </c>
      <c r="K1538" s="83" t="str">
        <f ca="1">IF(RIGHT(G1538,13)="rune_slot,1}]",_xlfn.XLOOKUP(LEFT(SUBSTITUTE(G1538,"[{",""),FIND(",",SUBSTITUTE(G1538,"[{",""))-1),Sheet2!B:B,Sheet2!C:C)&amp;"+"&amp;1,_xlfn.XLOOKUP(LEFT(SUBSTITUTE(G1538,"[{",""),FIND(",",SUBSTITUTE(G1538,"[{",""))-1),Sheet2!B:B,Sheet2!C:C)&amp;"+"&amp;SUBSTITUTE(RIGHT(G1538,LEN(G1538)-FIND(",",G1538)),"}]","")/100&amp;"%")</f>
        <v>装备附加属性加成+50%</v>
      </c>
      <c r="L1538" s="83" t="str">
        <f ca="1">IF(MOD(COUNTIF($Q$11:Q1537,Q1537),5)=0,OFFSET(装备属性!$G$1083,1+INT(COUNTA($Q$11:Q1537)/5),0),L1537)</f>
        <v>提成色</v>
      </c>
      <c r="M1538" s="89" t="str">
        <f ca="1">IF(MOD(COUNTIF($Q$11:Q1537,Q1537),5)=0,OFFSET(装备属性!$H$1083,1+INT(COUNTA($Q$11:Q1537)/5),0),M1537)</f>
        <v>equip_extra_attr</v>
      </c>
      <c r="N1538" s="76">
        <f ca="1">IF(MOD(COUNTIF($Q$11:Q1537,Q1537),5)=0,OFFSET(装备属性!$K$1083,1+INT(COUNTA($Q$11:Q1537)/5),0),N1537)</f>
        <v>0.5</v>
      </c>
      <c r="O1538" s="76">
        <f ca="1">IF(MOD(COUNTIF($Q$11:Q1537,Q1537),5)=0,OFFSET(装备属性!$L$1083,1+INT(COUNTA($Q$11:Q1537)/5),0),O1537)</f>
        <v>0.5</v>
      </c>
      <c r="Q1538" s="89" t="str">
        <f ca="1">IF(MOD(COUNTIF($Q$11:Q1537,Q1537),5)=0,OFFSET(装备属性!$M$1083,1+INT(COUNTA($Q$11:Q1537)/5),0),Q1537)</f>
        <v>稀有词条</v>
      </c>
      <c r="R1538" s="83" t="e">
        <f ca="1">IF(MOD(COUNTIF($Q$11:Q1537,Q1537),5)=0,10000*SUBSTITUTE(SUBSTITUTE(OFFSET(装备属性!$F$1083,1+INT(COUNTA($Q$11:Q1537)/5),0),"[",""),"]","")+_xlfn.XLOOKUP(C1538,$M$3:$M$7,$N$3:$N$7)*100,R1537)</f>
        <v>#N/A</v>
      </c>
    </row>
    <row r="1539" customHeight="1" spans="1:18">
      <c r="A1539" s="78" t="str">
        <f ca="1" t="shared" si="69"/>
        <v/>
      </c>
      <c r="B1539" s="82" t="str">
        <f ca="1">IFERROR(R1539+COUNTIFS($R$11:$R1539,R1539),"")</f>
        <v/>
      </c>
      <c r="C1539" s="83">
        <f ca="1">IF(MOD(COUNTIF($Q$11:Q1538,Q1538),5)=0,OFFSET(装备属性!$D$1083,1+INT(COUNTA($Q$11:Q1538)/5),0),C1538)</f>
        <v>0</v>
      </c>
      <c r="D1539" s="82">
        <f t="shared" si="71"/>
        <v>1500</v>
      </c>
      <c r="F1539" s="82" t="str">
        <f ca="1" t="shared" si="70"/>
        <v/>
      </c>
      <c r="G1539" s="78" t="str">
        <f ca="1">IF(AND(LEFT("[{"&amp;M1539&amp;","&amp;CEILING(N1539*10000+(O1539-N1539)/4*(COUNTIF($F$11:F1539,F1539)-1)*10000,10)&amp;"}]",7)="[{equip",MID("[{"&amp;M1539&amp;","&amp;CEILING(N1539*10000+(O1539-N1539)/4*(COUNTIF($F$11:F1539,F1539)-1)*10000,10)&amp;"}]",8,1)&lt;&gt;"_"),"[{"&amp;M1539&amp;","&amp;1&amp;"}]","[{"&amp;M1539&amp;","&amp;CEILING(N1539*10000+(O1539-N1539)/4*(COUNTIF($F$11:F1539,F1539)-1)*10000,10)&amp;"}]")</f>
        <v>[{equip_extra_attr,5000}]</v>
      </c>
      <c r="H1539" s="82" t="s">
        <v>563</v>
      </c>
      <c r="J1539" s="78">
        <f ca="1">IF(MOD(COUNTIF($Q$11:Q1538,Q1538),5)=0,OFFSET(装备属性!$P$1083,1+INT(COUNTA($Q$11:Q1538)/5),0),J1538)</f>
        <v>8</v>
      </c>
      <c r="K1539" s="83" t="str">
        <f ca="1">IF(RIGHT(G1539,13)="rune_slot,1}]",_xlfn.XLOOKUP(LEFT(SUBSTITUTE(G1539,"[{",""),FIND(",",SUBSTITUTE(G1539,"[{",""))-1),Sheet2!B:B,Sheet2!C:C)&amp;"+"&amp;1,_xlfn.XLOOKUP(LEFT(SUBSTITUTE(G1539,"[{",""),FIND(",",SUBSTITUTE(G1539,"[{",""))-1),Sheet2!B:B,Sheet2!C:C)&amp;"+"&amp;SUBSTITUTE(RIGHT(G1539,LEN(G1539)-FIND(",",G1539)),"}]","")/100&amp;"%")</f>
        <v>装备附加属性加成+50%</v>
      </c>
      <c r="L1539" s="83" t="str">
        <f ca="1">IF(MOD(COUNTIF($Q$11:Q1538,Q1538),5)=0,OFFSET(装备属性!$G$1083,1+INT(COUNTA($Q$11:Q1538)/5),0),L1538)</f>
        <v>提成色</v>
      </c>
      <c r="M1539" s="89" t="str">
        <f ca="1">IF(MOD(COUNTIF($Q$11:Q1538,Q1538),5)=0,OFFSET(装备属性!$H$1083,1+INT(COUNTA($Q$11:Q1538)/5),0),M1538)</f>
        <v>equip_extra_attr</v>
      </c>
      <c r="N1539" s="76">
        <f ca="1">IF(MOD(COUNTIF($Q$11:Q1538,Q1538),5)=0,OFFSET(装备属性!$K$1083,1+INT(COUNTA($Q$11:Q1538)/5),0),N1538)</f>
        <v>0.5</v>
      </c>
      <c r="O1539" s="76">
        <f ca="1">IF(MOD(COUNTIF($Q$11:Q1538,Q1538),5)=0,OFFSET(装备属性!$L$1083,1+INT(COUNTA($Q$11:Q1538)/5),0),O1538)</f>
        <v>0.5</v>
      </c>
      <c r="Q1539" s="89" t="str">
        <f ca="1">IF(MOD(COUNTIF($Q$11:Q1538,Q1538),5)=0,OFFSET(装备属性!$M$1083,1+INT(COUNTA($Q$11:Q1538)/5),0),Q1538)</f>
        <v>稀有词条</v>
      </c>
      <c r="R1539" s="83" t="e">
        <f ca="1">IF(MOD(COUNTIF($Q$11:Q1538,Q1538),5)=0,10000*SUBSTITUTE(SUBSTITUTE(OFFSET(装备属性!$F$1083,1+INT(COUNTA($Q$11:Q1538)/5),0),"[",""),"]","")+_xlfn.XLOOKUP(C1539,$M$3:$M$7,$N$3:$N$7)*100,R1538)</f>
        <v>#N/A</v>
      </c>
    </row>
    <row r="1540" customHeight="1" spans="1:18">
      <c r="A1540" s="78" t="str">
        <f ca="1" t="shared" si="69"/>
        <v/>
      </c>
      <c r="B1540" s="82" t="str">
        <f ca="1">IFERROR(R1540+COUNTIFS($R$11:$R1540,R1540),"")</f>
        <v/>
      </c>
      <c r="C1540" s="83">
        <f ca="1">IF(MOD(COUNTIF($Q$11:Q1539,Q1539),5)=0,OFFSET(装备属性!$D$1083,1+INT(COUNTA($Q$11:Q1539)/5),0),C1539)</f>
        <v>0</v>
      </c>
      <c r="D1540" s="82">
        <f t="shared" si="71"/>
        <v>1000</v>
      </c>
      <c r="F1540" s="82" t="str">
        <f ca="1" t="shared" si="70"/>
        <v/>
      </c>
      <c r="G1540" s="78" t="str">
        <f ca="1">IF(AND(LEFT("[{"&amp;M1540&amp;","&amp;CEILING(N1540*10000+(O1540-N1540)/4*(COUNTIF($F$11:F1540,F1540)-1)*10000,10)&amp;"}]",7)="[{equip",MID("[{"&amp;M1540&amp;","&amp;CEILING(N1540*10000+(O1540-N1540)/4*(COUNTIF($F$11:F1540,F1540)-1)*10000,10)&amp;"}]",8,1)&lt;&gt;"_"),"[{"&amp;M1540&amp;","&amp;1&amp;"}]","[{"&amp;M1540&amp;","&amp;CEILING(N1540*10000+(O1540-N1540)/4*(COUNTIF($F$11:F1540,F1540)-1)*10000,10)&amp;"}]")</f>
        <v>[{equip_extra_attr,5000}]</v>
      </c>
      <c r="H1540" s="82" t="s">
        <v>563</v>
      </c>
      <c r="J1540" s="78">
        <f ca="1">IF(MOD(COUNTIF($Q$11:Q1539,Q1539),5)=0,OFFSET(装备属性!$P$1083,1+INT(COUNTA($Q$11:Q1539)/5),0),J1539)</f>
        <v>8</v>
      </c>
      <c r="K1540" s="83" t="str">
        <f ca="1">IF(RIGHT(G1540,13)="rune_slot,1}]",_xlfn.XLOOKUP(LEFT(SUBSTITUTE(G1540,"[{",""),FIND(",",SUBSTITUTE(G1540,"[{",""))-1),Sheet2!B:B,Sheet2!C:C)&amp;"+"&amp;1,_xlfn.XLOOKUP(LEFT(SUBSTITUTE(G1540,"[{",""),FIND(",",SUBSTITUTE(G1540,"[{",""))-1),Sheet2!B:B,Sheet2!C:C)&amp;"+"&amp;SUBSTITUTE(RIGHT(G1540,LEN(G1540)-FIND(",",G1540)),"}]","")/100&amp;"%")</f>
        <v>装备附加属性加成+50%</v>
      </c>
      <c r="L1540" s="83" t="str">
        <f ca="1">IF(MOD(COUNTIF($Q$11:Q1539,Q1539),5)=0,OFFSET(装备属性!$G$1083,1+INT(COUNTA($Q$11:Q1539)/5),0),L1539)</f>
        <v>提成色</v>
      </c>
      <c r="M1540" s="89" t="str">
        <f ca="1">IF(MOD(COUNTIF($Q$11:Q1539,Q1539),5)=0,OFFSET(装备属性!$H$1083,1+INT(COUNTA($Q$11:Q1539)/5),0),M1539)</f>
        <v>equip_extra_attr</v>
      </c>
      <c r="N1540" s="76">
        <f ca="1">IF(MOD(COUNTIF($Q$11:Q1539,Q1539),5)=0,OFFSET(装备属性!$K$1083,1+INT(COUNTA($Q$11:Q1539)/5),0),N1539)</f>
        <v>0.5</v>
      </c>
      <c r="O1540" s="76">
        <f ca="1">IF(MOD(COUNTIF($Q$11:Q1539,Q1539),5)=0,OFFSET(装备属性!$L$1083,1+INT(COUNTA($Q$11:Q1539)/5),0),O1539)</f>
        <v>0.5</v>
      </c>
      <c r="Q1540" s="89" t="str">
        <f ca="1">IF(MOD(COUNTIF($Q$11:Q1539,Q1539),5)=0,OFFSET(装备属性!$M$1083,1+INT(COUNTA($Q$11:Q1539)/5),0),Q1539)</f>
        <v>稀有词条</v>
      </c>
      <c r="R1540" s="83" t="e">
        <f ca="1">IF(MOD(COUNTIF($Q$11:Q1539,Q1539),5)=0,10000*SUBSTITUTE(SUBSTITUTE(OFFSET(装备属性!$F$1083,1+INT(COUNTA($Q$11:Q1539)/5),0),"[",""),"]","")+_xlfn.XLOOKUP(C1540,$M$3:$M$7,$N$3:$N$7)*100,R1539)</f>
        <v>#N/A</v>
      </c>
    </row>
    <row r="1541" customHeight="1" spans="1:18">
      <c r="A1541" s="78" t="str">
        <f ca="1" t="shared" si="69"/>
        <v/>
      </c>
      <c r="B1541" s="82" t="str">
        <f ca="1">IFERROR(R1541+COUNTIFS($R$11:$R1541,R1541),"")</f>
        <v/>
      </c>
      <c r="C1541" s="83">
        <f ca="1">IF(MOD(COUNTIF($Q$11:Q1540,Q1540),5)=0,OFFSET(装备属性!$D$1083,1+INT(COUNTA($Q$11:Q1540)/5),0),C1540)</f>
        <v>0</v>
      </c>
      <c r="D1541" s="82">
        <f t="shared" si="71"/>
        <v>3000</v>
      </c>
      <c r="F1541" s="82" t="str">
        <f ca="1" t="shared" si="70"/>
        <v/>
      </c>
      <c r="G1541" s="78" t="str">
        <f ca="1">IF(AND(LEFT("[{"&amp;M1541&amp;","&amp;CEILING(N1541*10000+(O1541-N1541)/4*(COUNTIF($F$11:F1541,F1541)-1)*10000,10)&amp;"}]",7)="[{equip",MID("[{"&amp;M1541&amp;","&amp;CEILING(N1541*10000+(O1541-N1541)/4*(COUNTIF($F$11:F1541,F1541)-1)*10000,10)&amp;"}]",8,1)&lt;&gt;"_"),"[{"&amp;M1541&amp;","&amp;1&amp;"}]","[{"&amp;M1541&amp;","&amp;CEILING(N1541*10000+(O1541-N1541)/4*(COUNTIF($F$11:F1541,F1541)-1)*10000,10)&amp;"}]")</f>
        <v>[{equip4_rune_slot,1}]</v>
      </c>
      <c r="H1541" s="82" t="s">
        <v>563</v>
      </c>
      <c r="J1541" s="78">
        <f ca="1">IF(MOD(COUNTIF($Q$11:Q1540,Q1540),5)=0,OFFSET(装备属性!$P$1083,1+INT(COUNTA($Q$11:Q1540)/5),0),J1540)</f>
        <v>1</v>
      </c>
      <c r="K1541" s="83" t="str">
        <f ca="1">IF(RIGHT(G1541,13)="rune_slot,1}]",_xlfn.XLOOKUP(LEFT(SUBSTITUTE(G1541,"[{",""),FIND(",",SUBSTITUTE(G1541,"[{",""))-1),Sheet2!B:B,Sheet2!C:C)&amp;"+"&amp;1,_xlfn.XLOOKUP(LEFT(SUBSTITUTE(G1541,"[{",""),FIND(",",SUBSTITUTE(G1541,"[{",""))-1),Sheet2!B:B,Sheet2!C:C)&amp;"+"&amp;SUBSTITUTE(RIGHT(G1541,LEN(G1541)-FIND(",",G1541)),"}]","")/100&amp;"%")</f>
        <v>手套符文孔位+1</v>
      </c>
      <c r="L1541" s="83" t="str">
        <f ca="1">IF(MOD(COUNTIF($Q$11:Q1540,Q1540),5)=0,OFFSET(装备属性!$G$1083,1+INT(COUNTA($Q$11:Q1540)/5),0),L1540)</f>
        <v>扩符槽</v>
      </c>
      <c r="M1541" s="89" t="str">
        <f ca="1">IF(MOD(COUNTIF($Q$11:Q1540,Q1540),5)=0,OFFSET(装备属性!$H$1083,1+INT(COUNTA($Q$11:Q1540)/5),0),M1540)</f>
        <v>equip4_rune_slot</v>
      </c>
      <c r="N1541" s="76">
        <f ca="1">IF(MOD(COUNTIF($Q$11:Q1540,Q1540),5)=0,OFFSET(装备属性!$K$1083,1+INT(COUNTA($Q$11:Q1540)/5),0),N1540)</f>
        <v>1</v>
      </c>
      <c r="O1541" s="76">
        <f ca="1">IF(MOD(COUNTIF($Q$11:Q1540,Q1540),5)=0,OFFSET(装备属性!$L$1083,1+INT(COUNTA($Q$11:Q1540)/5),0),O1540)</f>
        <v>1</v>
      </c>
      <c r="Q1541" s="89" t="str">
        <f ca="1">IF(MOD(COUNTIF($Q$11:Q1540,Q1540),5)=0,OFFSET(装备属性!$M$1083,1+INT(COUNTA($Q$11:Q1540)/5),0),Q1540)</f>
        <v>稀有词条</v>
      </c>
      <c r="R1541" s="83" t="e">
        <f ca="1">IF(MOD(COUNTIF($Q$11:Q1540,Q1540),5)=0,10000*SUBSTITUTE(SUBSTITUTE(OFFSET(装备属性!$F$1083,1+INT(COUNTA($Q$11:Q1540)/5),0),"[",""),"]","")+_xlfn.XLOOKUP(C1541,$M$3:$M$7,$N$3:$N$7)*100,R1540)</f>
        <v>#N/A</v>
      </c>
    </row>
    <row r="1542" customHeight="1" spans="1:18">
      <c r="A1542" s="78" t="str">
        <f ca="1" t="shared" si="69"/>
        <v/>
      </c>
      <c r="B1542" s="82" t="str">
        <f ca="1">IFERROR(R1542+COUNTIFS($R$11:$R1542,R1542),"")</f>
        <v/>
      </c>
      <c r="C1542" s="83">
        <f ca="1">IF(MOD(COUNTIF($Q$11:Q1541,Q1541),5)=0,OFFSET(装备属性!$D$1083,1+INT(COUNTA($Q$11:Q1541)/5),0),C1541)</f>
        <v>0</v>
      </c>
      <c r="D1542" s="82">
        <f t="shared" si="71"/>
        <v>2500</v>
      </c>
      <c r="F1542" s="82" t="str">
        <f ca="1" t="shared" si="70"/>
        <v/>
      </c>
      <c r="G1542" s="78" t="str">
        <f ca="1">IF(AND(LEFT("[{"&amp;M1542&amp;","&amp;CEILING(N1542*10000+(O1542-N1542)/4*(COUNTIF($F$11:F1542,F1542)-1)*10000,10)&amp;"}]",7)="[{equip",MID("[{"&amp;M1542&amp;","&amp;CEILING(N1542*10000+(O1542-N1542)/4*(COUNTIF($F$11:F1542,F1542)-1)*10000,10)&amp;"}]",8,1)&lt;&gt;"_"),"[{"&amp;M1542&amp;","&amp;1&amp;"}]","[{"&amp;M1542&amp;","&amp;CEILING(N1542*10000+(O1542-N1542)/4*(COUNTIF($F$11:F1542,F1542)-1)*10000,10)&amp;"}]")</f>
        <v>[{equip4_rune_slot,1}]</v>
      </c>
      <c r="H1542" s="82" t="s">
        <v>563</v>
      </c>
      <c r="J1542" s="78">
        <f ca="1">IF(MOD(COUNTIF($Q$11:Q1541,Q1541),5)=0,OFFSET(装备属性!$P$1083,1+INT(COUNTA($Q$11:Q1541)/5),0),J1541)</f>
        <v>1</v>
      </c>
      <c r="K1542" s="83" t="str">
        <f ca="1">IF(RIGHT(G1542,13)="rune_slot,1}]",_xlfn.XLOOKUP(LEFT(SUBSTITUTE(G1542,"[{",""),FIND(",",SUBSTITUTE(G1542,"[{",""))-1),Sheet2!B:B,Sheet2!C:C)&amp;"+"&amp;1,_xlfn.XLOOKUP(LEFT(SUBSTITUTE(G1542,"[{",""),FIND(",",SUBSTITUTE(G1542,"[{",""))-1),Sheet2!B:B,Sheet2!C:C)&amp;"+"&amp;SUBSTITUTE(RIGHT(G1542,LEN(G1542)-FIND(",",G1542)),"}]","")/100&amp;"%")</f>
        <v>手套符文孔位+1</v>
      </c>
      <c r="L1542" s="83" t="str">
        <f ca="1">IF(MOD(COUNTIF($Q$11:Q1541,Q1541),5)=0,OFFSET(装备属性!$G$1083,1+INT(COUNTA($Q$11:Q1541)/5),0),L1541)</f>
        <v>扩符槽</v>
      </c>
      <c r="M1542" s="89" t="str">
        <f ca="1">IF(MOD(COUNTIF($Q$11:Q1541,Q1541),5)=0,OFFSET(装备属性!$H$1083,1+INT(COUNTA($Q$11:Q1541)/5),0),M1541)</f>
        <v>equip4_rune_slot</v>
      </c>
      <c r="N1542" s="76">
        <f ca="1">IF(MOD(COUNTIF($Q$11:Q1541,Q1541),5)=0,OFFSET(装备属性!$K$1083,1+INT(COUNTA($Q$11:Q1541)/5),0),N1541)</f>
        <v>1</v>
      </c>
      <c r="O1542" s="76">
        <f ca="1">IF(MOD(COUNTIF($Q$11:Q1541,Q1541),5)=0,OFFSET(装备属性!$L$1083,1+INT(COUNTA($Q$11:Q1541)/5),0),O1541)</f>
        <v>1</v>
      </c>
      <c r="Q1542" s="89" t="str">
        <f ca="1">IF(MOD(COUNTIF($Q$11:Q1541,Q1541),5)=0,OFFSET(装备属性!$M$1083,1+INT(COUNTA($Q$11:Q1541)/5),0),Q1541)</f>
        <v>稀有词条</v>
      </c>
      <c r="R1542" s="83" t="e">
        <f ca="1">IF(MOD(COUNTIF($Q$11:Q1541,Q1541),5)=0,10000*SUBSTITUTE(SUBSTITUTE(OFFSET(装备属性!$F$1083,1+INT(COUNTA($Q$11:Q1541)/5),0),"[",""),"]","")+_xlfn.XLOOKUP(C1542,$M$3:$M$7,$N$3:$N$7)*100,R1541)</f>
        <v>#N/A</v>
      </c>
    </row>
    <row r="1543" customHeight="1" spans="1:18">
      <c r="A1543" s="78" t="str">
        <f ca="1" t="shared" si="69"/>
        <v/>
      </c>
      <c r="B1543" s="82" t="str">
        <f ca="1">IFERROR(R1543+COUNTIFS($R$11:$R1543,R1543),"")</f>
        <v/>
      </c>
      <c r="C1543" s="83">
        <f ca="1">IF(MOD(COUNTIF($Q$11:Q1542,Q1542),5)=0,OFFSET(装备属性!$D$1083,1+INT(COUNTA($Q$11:Q1542)/5),0),C1542)</f>
        <v>0</v>
      </c>
      <c r="D1543" s="82">
        <f t="shared" si="71"/>
        <v>2000</v>
      </c>
      <c r="F1543" s="82" t="str">
        <f ca="1" t="shared" si="70"/>
        <v/>
      </c>
      <c r="G1543" s="78" t="str">
        <f ca="1">IF(AND(LEFT("[{"&amp;M1543&amp;","&amp;CEILING(N1543*10000+(O1543-N1543)/4*(COUNTIF($F$11:F1543,F1543)-1)*10000,10)&amp;"}]",7)="[{equip",MID("[{"&amp;M1543&amp;","&amp;CEILING(N1543*10000+(O1543-N1543)/4*(COUNTIF($F$11:F1543,F1543)-1)*10000,10)&amp;"}]",8,1)&lt;&gt;"_"),"[{"&amp;M1543&amp;","&amp;1&amp;"}]","[{"&amp;M1543&amp;","&amp;CEILING(N1543*10000+(O1543-N1543)/4*(COUNTIF($F$11:F1543,F1543)-1)*10000,10)&amp;"}]")</f>
        <v>[{equip4_rune_slot,1}]</v>
      </c>
      <c r="H1543" s="82" t="s">
        <v>563</v>
      </c>
      <c r="J1543" s="78">
        <f ca="1">IF(MOD(COUNTIF($Q$11:Q1542,Q1542),5)=0,OFFSET(装备属性!$P$1083,1+INT(COUNTA($Q$11:Q1542)/5),0),J1542)</f>
        <v>1</v>
      </c>
      <c r="K1543" s="83" t="str">
        <f ca="1">IF(RIGHT(G1543,13)="rune_slot,1}]",_xlfn.XLOOKUP(LEFT(SUBSTITUTE(G1543,"[{",""),FIND(",",SUBSTITUTE(G1543,"[{",""))-1),Sheet2!B:B,Sheet2!C:C)&amp;"+"&amp;1,_xlfn.XLOOKUP(LEFT(SUBSTITUTE(G1543,"[{",""),FIND(",",SUBSTITUTE(G1543,"[{",""))-1),Sheet2!B:B,Sheet2!C:C)&amp;"+"&amp;SUBSTITUTE(RIGHT(G1543,LEN(G1543)-FIND(",",G1543)),"}]","")/100&amp;"%")</f>
        <v>手套符文孔位+1</v>
      </c>
      <c r="L1543" s="83" t="str">
        <f ca="1">IF(MOD(COUNTIF($Q$11:Q1542,Q1542),5)=0,OFFSET(装备属性!$G$1083,1+INT(COUNTA($Q$11:Q1542)/5),0),L1542)</f>
        <v>扩符槽</v>
      </c>
      <c r="M1543" s="89" t="str">
        <f ca="1">IF(MOD(COUNTIF($Q$11:Q1542,Q1542),5)=0,OFFSET(装备属性!$H$1083,1+INT(COUNTA($Q$11:Q1542)/5),0),M1542)</f>
        <v>equip4_rune_slot</v>
      </c>
      <c r="N1543" s="76">
        <f ca="1">IF(MOD(COUNTIF($Q$11:Q1542,Q1542),5)=0,OFFSET(装备属性!$K$1083,1+INT(COUNTA($Q$11:Q1542)/5),0),N1542)</f>
        <v>1</v>
      </c>
      <c r="O1543" s="76">
        <f ca="1">IF(MOD(COUNTIF($Q$11:Q1542,Q1542),5)=0,OFFSET(装备属性!$L$1083,1+INT(COUNTA($Q$11:Q1542)/5),0),O1542)</f>
        <v>1</v>
      </c>
      <c r="Q1543" s="89" t="str">
        <f ca="1">IF(MOD(COUNTIF($Q$11:Q1542,Q1542),5)=0,OFFSET(装备属性!$M$1083,1+INT(COUNTA($Q$11:Q1542)/5),0),Q1542)</f>
        <v>稀有词条</v>
      </c>
      <c r="R1543" s="83" t="e">
        <f ca="1">IF(MOD(COUNTIF($Q$11:Q1542,Q1542),5)=0,10000*SUBSTITUTE(SUBSTITUTE(OFFSET(装备属性!$F$1083,1+INT(COUNTA($Q$11:Q1542)/5),0),"[",""),"]","")+_xlfn.XLOOKUP(C1543,$M$3:$M$7,$N$3:$N$7)*100,R1542)</f>
        <v>#N/A</v>
      </c>
    </row>
    <row r="1544" customHeight="1" spans="1:18">
      <c r="A1544" s="78" t="str">
        <f ca="1" t="shared" si="69"/>
        <v/>
      </c>
      <c r="B1544" s="82" t="str">
        <f ca="1">IFERROR(R1544+COUNTIFS($R$11:$R1544,R1544),"")</f>
        <v/>
      </c>
      <c r="C1544" s="83">
        <f ca="1">IF(MOD(COUNTIF($Q$11:Q1543,Q1543),5)=0,OFFSET(装备属性!$D$1083,1+INT(COUNTA($Q$11:Q1543)/5),0),C1543)</f>
        <v>0</v>
      </c>
      <c r="D1544" s="82">
        <f t="shared" si="71"/>
        <v>1500</v>
      </c>
      <c r="F1544" s="82" t="str">
        <f ca="1" t="shared" si="70"/>
        <v/>
      </c>
      <c r="G1544" s="78" t="str">
        <f ca="1">IF(AND(LEFT("[{"&amp;M1544&amp;","&amp;CEILING(N1544*10000+(O1544-N1544)/4*(COUNTIF($F$11:F1544,F1544)-1)*10000,10)&amp;"}]",7)="[{equip",MID("[{"&amp;M1544&amp;","&amp;CEILING(N1544*10000+(O1544-N1544)/4*(COUNTIF($F$11:F1544,F1544)-1)*10000,10)&amp;"}]",8,1)&lt;&gt;"_"),"[{"&amp;M1544&amp;","&amp;1&amp;"}]","[{"&amp;M1544&amp;","&amp;CEILING(N1544*10000+(O1544-N1544)/4*(COUNTIF($F$11:F1544,F1544)-1)*10000,10)&amp;"}]")</f>
        <v>[{equip4_rune_slot,1}]</v>
      </c>
      <c r="H1544" s="82" t="s">
        <v>563</v>
      </c>
      <c r="J1544" s="78">
        <f ca="1">IF(MOD(COUNTIF($Q$11:Q1543,Q1543),5)=0,OFFSET(装备属性!$P$1083,1+INT(COUNTA($Q$11:Q1543)/5),0),J1543)</f>
        <v>1</v>
      </c>
      <c r="K1544" s="83" t="str">
        <f ca="1">IF(RIGHT(G1544,13)="rune_slot,1}]",_xlfn.XLOOKUP(LEFT(SUBSTITUTE(G1544,"[{",""),FIND(",",SUBSTITUTE(G1544,"[{",""))-1),Sheet2!B:B,Sheet2!C:C)&amp;"+"&amp;1,_xlfn.XLOOKUP(LEFT(SUBSTITUTE(G1544,"[{",""),FIND(",",SUBSTITUTE(G1544,"[{",""))-1),Sheet2!B:B,Sheet2!C:C)&amp;"+"&amp;SUBSTITUTE(RIGHT(G1544,LEN(G1544)-FIND(",",G1544)),"}]","")/100&amp;"%")</f>
        <v>手套符文孔位+1</v>
      </c>
      <c r="L1544" s="83" t="str">
        <f ca="1">IF(MOD(COUNTIF($Q$11:Q1543,Q1543),5)=0,OFFSET(装备属性!$G$1083,1+INT(COUNTA($Q$11:Q1543)/5),0),L1543)</f>
        <v>扩符槽</v>
      </c>
      <c r="M1544" s="89" t="str">
        <f ca="1">IF(MOD(COUNTIF($Q$11:Q1543,Q1543),5)=0,OFFSET(装备属性!$H$1083,1+INT(COUNTA($Q$11:Q1543)/5),0),M1543)</f>
        <v>equip4_rune_slot</v>
      </c>
      <c r="N1544" s="76">
        <f ca="1">IF(MOD(COUNTIF($Q$11:Q1543,Q1543),5)=0,OFFSET(装备属性!$K$1083,1+INT(COUNTA($Q$11:Q1543)/5),0),N1543)</f>
        <v>1</v>
      </c>
      <c r="O1544" s="76">
        <f ca="1">IF(MOD(COUNTIF($Q$11:Q1543,Q1543),5)=0,OFFSET(装备属性!$L$1083,1+INT(COUNTA($Q$11:Q1543)/5),0),O1543)</f>
        <v>1</v>
      </c>
      <c r="Q1544" s="89" t="str">
        <f ca="1">IF(MOD(COUNTIF($Q$11:Q1543,Q1543),5)=0,OFFSET(装备属性!$M$1083,1+INT(COUNTA($Q$11:Q1543)/5),0),Q1543)</f>
        <v>稀有词条</v>
      </c>
      <c r="R1544" s="83" t="e">
        <f ca="1">IF(MOD(COUNTIF($Q$11:Q1543,Q1543),5)=0,10000*SUBSTITUTE(SUBSTITUTE(OFFSET(装备属性!$F$1083,1+INT(COUNTA($Q$11:Q1543)/5),0),"[",""),"]","")+_xlfn.XLOOKUP(C1544,$M$3:$M$7,$N$3:$N$7)*100,R1543)</f>
        <v>#N/A</v>
      </c>
    </row>
    <row r="1545" customHeight="1" spans="1:18">
      <c r="A1545" s="78" t="str">
        <f ca="1" t="shared" si="69"/>
        <v/>
      </c>
      <c r="B1545" s="82" t="str">
        <f ca="1">IFERROR(R1545+COUNTIFS($R$11:$R1545,R1545),"")</f>
        <v/>
      </c>
      <c r="C1545" s="83">
        <f ca="1">IF(MOD(COUNTIF($Q$11:Q1544,Q1544),5)=0,OFFSET(装备属性!$D$1083,1+INT(COUNTA($Q$11:Q1544)/5),0),C1544)</f>
        <v>0</v>
      </c>
      <c r="D1545" s="82">
        <f t="shared" si="71"/>
        <v>1000</v>
      </c>
      <c r="F1545" s="82" t="str">
        <f ca="1" t="shared" si="70"/>
        <v/>
      </c>
      <c r="G1545" s="78" t="str">
        <f ca="1">IF(AND(LEFT("[{"&amp;M1545&amp;","&amp;CEILING(N1545*10000+(O1545-N1545)/4*(COUNTIF($F$11:F1545,F1545)-1)*10000,10)&amp;"}]",7)="[{equip",MID("[{"&amp;M1545&amp;","&amp;CEILING(N1545*10000+(O1545-N1545)/4*(COUNTIF($F$11:F1545,F1545)-1)*10000,10)&amp;"}]",8,1)&lt;&gt;"_"),"[{"&amp;M1545&amp;","&amp;1&amp;"}]","[{"&amp;M1545&amp;","&amp;CEILING(N1545*10000+(O1545-N1545)/4*(COUNTIF($F$11:F1545,F1545)-1)*10000,10)&amp;"}]")</f>
        <v>[{equip4_rune_slot,1}]</v>
      </c>
      <c r="H1545" s="82" t="s">
        <v>563</v>
      </c>
      <c r="J1545" s="78">
        <f ca="1">IF(MOD(COUNTIF($Q$11:Q1544,Q1544),5)=0,OFFSET(装备属性!$P$1083,1+INT(COUNTA($Q$11:Q1544)/5),0),J1544)</f>
        <v>1</v>
      </c>
      <c r="K1545" s="83" t="str">
        <f ca="1">IF(RIGHT(G1545,13)="rune_slot,1}]",_xlfn.XLOOKUP(LEFT(SUBSTITUTE(G1545,"[{",""),FIND(",",SUBSTITUTE(G1545,"[{",""))-1),Sheet2!B:B,Sheet2!C:C)&amp;"+"&amp;1,_xlfn.XLOOKUP(LEFT(SUBSTITUTE(G1545,"[{",""),FIND(",",SUBSTITUTE(G1545,"[{",""))-1),Sheet2!B:B,Sheet2!C:C)&amp;"+"&amp;SUBSTITUTE(RIGHT(G1545,LEN(G1545)-FIND(",",G1545)),"}]","")/100&amp;"%")</f>
        <v>手套符文孔位+1</v>
      </c>
      <c r="L1545" s="83" t="str">
        <f ca="1">IF(MOD(COUNTIF($Q$11:Q1544,Q1544),5)=0,OFFSET(装备属性!$G$1083,1+INT(COUNTA($Q$11:Q1544)/5),0),L1544)</f>
        <v>扩符槽</v>
      </c>
      <c r="M1545" s="89" t="str">
        <f ca="1">IF(MOD(COUNTIF($Q$11:Q1544,Q1544),5)=0,OFFSET(装备属性!$H$1083,1+INT(COUNTA($Q$11:Q1544)/5),0),M1544)</f>
        <v>equip4_rune_slot</v>
      </c>
      <c r="N1545" s="76">
        <f ca="1">IF(MOD(COUNTIF($Q$11:Q1544,Q1544),5)=0,OFFSET(装备属性!$K$1083,1+INT(COUNTA($Q$11:Q1544)/5),0),N1544)</f>
        <v>1</v>
      </c>
      <c r="O1545" s="76">
        <f ca="1">IF(MOD(COUNTIF($Q$11:Q1544,Q1544),5)=0,OFFSET(装备属性!$L$1083,1+INT(COUNTA($Q$11:Q1544)/5),0),O1544)</f>
        <v>1</v>
      </c>
      <c r="Q1545" s="89" t="str">
        <f ca="1">IF(MOD(COUNTIF($Q$11:Q1544,Q1544),5)=0,OFFSET(装备属性!$M$1083,1+INT(COUNTA($Q$11:Q1544)/5),0),Q1544)</f>
        <v>稀有词条</v>
      </c>
      <c r="R1545" s="83" t="e">
        <f ca="1">IF(MOD(COUNTIF($Q$11:Q1544,Q1544),5)=0,10000*SUBSTITUTE(SUBSTITUTE(OFFSET(装备属性!$F$1083,1+INT(COUNTA($Q$11:Q1544)/5),0),"[",""),"]","")+_xlfn.XLOOKUP(C1545,$M$3:$M$7,$N$3:$N$7)*100,R1544)</f>
        <v>#N/A</v>
      </c>
    </row>
    <row r="1546" customHeight="1" spans="1:18">
      <c r="A1546" s="78" t="str">
        <f ca="1" t="shared" si="69"/>
        <v/>
      </c>
      <c r="B1546" s="82" t="str">
        <f ca="1">IFERROR(R1546+COUNTIFS($R$11:$R1546,R1546),"")</f>
        <v/>
      </c>
      <c r="C1546" s="83">
        <f ca="1">IF(MOD(COUNTIF($Q$11:Q1545,Q1545),5)=0,OFFSET(装备属性!$D$1083,1+INT(COUNTA($Q$11:Q1545)/5),0),C1545)</f>
        <v>0</v>
      </c>
      <c r="D1546" s="82">
        <f t="shared" si="71"/>
        <v>3000</v>
      </c>
      <c r="F1546" s="82" t="str">
        <f ca="1" t="shared" si="70"/>
        <v/>
      </c>
      <c r="G1546" s="78" t="str">
        <f ca="1">IF(AND(LEFT("[{"&amp;M1546&amp;","&amp;CEILING(N1546*10000+(O1546-N1546)/4*(COUNTIF($F$11:F1546,F1546)-1)*10000,10)&amp;"}]",7)="[{equip",MID("[{"&amp;M1546&amp;","&amp;CEILING(N1546*10000+(O1546-N1546)/4*(COUNTIF($F$11:F1546,F1546)-1)*10000,10)&amp;"}]",8,1)&lt;&gt;"_"),"[{"&amp;M1546&amp;","&amp;1&amp;"}]","[{"&amp;M1546&amp;","&amp;CEILING(N1546*10000+(O1546-N1546)/4*(COUNTIF($F$11:F1546,F1546)-1)*10000,10)&amp;"}]")</f>
        <v>[{elitist_monster_hit_rate,19220}]</v>
      </c>
      <c r="H1546" s="82" t="s">
        <v>563</v>
      </c>
      <c r="J1546" s="78">
        <f ca="1">IF(MOD(COUNTIF($Q$11:Q1545,Q1545),5)=0,OFFSET(装备属性!$P$1083,1+INT(COUNTA($Q$11:Q1545)/5),0),J1545)</f>
        <v>6</v>
      </c>
      <c r="K1546" s="83" t="str">
        <f ca="1">IF(RIGHT(G1546,13)="rune_slot,1}]",_xlfn.XLOOKUP(LEFT(SUBSTITUTE(G1546,"[{",""),FIND(",",SUBSTITUTE(G1546,"[{",""))-1),Sheet2!B:B,Sheet2!C:C)&amp;"+"&amp;1,_xlfn.XLOOKUP(LEFT(SUBSTITUTE(G1546,"[{",""),FIND(",",SUBSTITUTE(G1546,"[{",""))-1),Sheet2!B:B,Sheet2!C:C)&amp;"+"&amp;SUBSTITUTE(RIGHT(G1546,LEN(G1546)-FIND(",",G1546)),"}]","")/100&amp;"%")</f>
        <v>对精英增伤+192.2%</v>
      </c>
      <c r="L1546" s="83" t="str">
        <f ca="1">IF(MOD(COUNTIF($Q$11:Q1545,Q1545),5)=0,OFFSET(装备属性!$G$1083,1+INT(COUNTA($Q$11:Q1545)/5),0),L1545)</f>
        <v>Boss加餐Ⅰ</v>
      </c>
      <c r="M1546" s="89" t="str">
        <f ca="1">IF(MOD(COUNTIF($Q$11:Q1545,Q1545),5)=0,OFFSET(装备属性!$H$1083,1+INT(COUNTA($Q$11:Q1545)/5),0),M1545)</f>
        <v>elitist_monster_hit_rate</v>
      </c>
      <c r="N1546" s="76">
        <f ca="1">IF(MOD(COUNTIF($Q$11:Q1545,Q1545),5)=0,OFFSET(装备属性!$K$1083,1+INT(COUNTA($Q$11:Q1545)/5),0),N1545)</f>
        <v>0.062</v>
      </c>
      <c r="O1546" s="76">
        <f ca="1">IF(MOD(COUNTIF($Q$11:Q1545,Q1545),5)=0,OFFSET(装备属性!$L$1083,1+INT(COUNTA($Q$11:Q1545)/5),0),O1545)</f>
        <v>0.074</v>
      </c>
      <c r="Q1546" s="89" t="str">
        <f ca="1">IF(MOD(COUNTIF($Q$11:Q1545,Q1545),5)=0,OFFSET(装备属性!$M$1083,1+INT(COUNTA($Q$11:Q1545)/5),0),Q1545)</f>
        <v>玩法类</v>
      </c>
      <c r="R1546" s="83" t="e">
        <f ca="1">IF(MOD(COUNTIF($Q$11:Q1545,Q1545),5)=0,10000*SUBSTITUTE(SUBSTITUTE(OFFSET(装备属性!$F$1083,1+INT(COUNTA($Q$11:Q1545)/5),0),"[",""),"]","")+_xlfn.XLOOKUP(C1546,$M$3:$M$7,$N$3:$N$7)*100,R1545)</f>
        <v>#N/A</v>
      </c>
    </row>
    <row r="1547" customHeight="1" spans="1:18">
      <c r="A1547" s="78" t="str">
        <f ca="1" t="shared" si="69"/>
        <v/>
      </c>
      <c r="B1547" s="82" t="str">
        <f ca="1">IFERROR(R1547+COUNTIFS($R$11:$R1547,R1547),"")</f>
        <v/>
      </c>
      <c r="C1547" s="83">
        <f ca="1">IF(MOD(COUNTIF($Q$11:Q1546,Q1546),5)=0,OFFSET(装备属性!$D$1083,1+INT(COUNTA($Q$11:Q1546)/5),0),C1546)</f>
        <v>0</v>
      </c>
      <c r="D1547" s="82">
        <f t="shared" si="71"/>
        <v>2500</v>
      </c>
      <c r="F1547" s="82" t="str">
        <f ca="1" t="shared" si="70"/>
        <v/>
      </c>
      <c r="G1547" s="78" t="str">
        <f ca="1">IF(AND(LEFT("[{"&amp;M1547&amp;","&amp;CEILING(N1547*10000+(O1547-N1547)/4*(COUNTIF($F$11:F1547,F1547)-1)*10000,10)&amp;"}]",7)="[{equip",MID("[{"&amp;M1547&amp;","&amp;CEILING(N1547*10000+(O1547-N1547)/4*(COUNTIF($F$11:F1547,F1547)-1)*10000,10)&amp;"}]",8,1)&lt;&gt;"_"),"[{"&amp;M1547&amp;","&amp;1&amp;"}]","[{"&amp;M1547&amp;","&amp;CEILING(N1547*10000+(O1547-N1547)/4*(COUNTIF($F$11:F1547,F1547)-1)*10000,10)&amp;"}]")</f>
        <v>[{elitist_monster_hit_rate,19250}]</v>
      </c>
      <c r="H1547" s="82" t="s">
        <v>563</v>
      </c>
      <c r="J1547" s="78">
        <f ca="1">IF(MOD(COUNTIF($Q$11:Q1546,Q1546),5)=0,OFFSET(装备属性!$P$1083,1+INT(COUNTA($Q$11:Q1546)/5),0),J1546)</f>
        <v>6</v>
      </c>
      <c r="K1547" s="83" t="str">
        <f ca="1">IF(RIGHT(G1547,13)="rune_slot,1}]",_xlfn.XLOOKUP(LEFT(SUBSTITUTE(G1547,"[{",""),FIND(",",SUBSTITUTE(G1547,"[{",""))-1),Sheet2!B:B,Sheet2!C:C)&amp;"+"&amp;1,_xlfn.XLOOKUP(LEFT(SUBSTITUTE(G1547,"[{",""),FIND(",",SUBSTITUTE(G1547,"[{",""))-1),Sheet2!B:B,Sheet2!C:C)&amp;"+"&amp;SUBSTITUTE(RIGHT(G1547,LEN(G1547)-FIND(",",G1547)),"}]","")/100&amp;"%")</f>
        <v>对精英增伤+192.5%</v>
      </c>
      <c r="L1547" s="83" t="str">
        <f ca="1">IF(MOD(COUNTIF($Q$11:Q1546,Q1546),5)=0,OFFSET(装备属性!$G$1083,1+INT(COUNTA($Q$11:Q1546)/5),0),L1546)</f>
        <v>Boss加餐Ⅰ</v>
      </c>
      <c r="M1547" s="89" t="str">
        <f ca="1">IF(MOD(COUNTIF($Q$11:Q1546,Q1546),5)=0,OFFSET(装备属性!$H$1083,1+INT(COUNTA($Q$11:Q1546)/5),0),M1546)</f>
        <v>elitist_monster_hit_rate</v>
      </c>
      <c r="N1547" s="76">
        <f ca="1">IF(MOD(COUNTIF($Q$11:Q1546,Q1546),5)=0,OFFSET(装备属性!$K$1083,1+INT(COUNTA($Q$11:Q1546)/5),0),N1546)</f>
        <v>0.062</v>
      </c>
      <c r="O1547" s="76">
        <f ca="1">IF(MOD(COUNTIF($Q$11:Q1546,Q1546),5)=0,OFFSET(装备属性!$L$1083,1+INT(COUNTA($Q$11:Q1546)/5),0),O1546)</f>
        <v>0.074</v>
      </c>
      <c r="Q1547" s="89" t="str">
        <f ca="1">IF(MOD(COUNTIF($Q$11:Q1546,Q1546),5)=0,OFFSET(装备属性!$M$1083,1+INT(COUNTA($Q$11:Q1546)/5),0),Q1546)</f>
        <v>玩法类</v>
      </c>
      <c r="R1547" s="83" t="e">
        <f ca="1">IF(MOD(COUNTIF($Q$11:Q1546,Q1546),5)=0,10000*SUBSTITUTE(SUBSTITUTE(OFFSET(装备属性!$F$1083,1+INT(COUNTA($Q$11:Q1546)/5),0),"[",""),"]","")+_xlfn.XLOOKUP(C1547,$M$3:$M$7,$N$3:$N$7)*100,R1546)</f>
        <v>#N/A</v>
      </c>
    </row>
    <row r="1548" customHeight="1" spans="1:18">
      <c r="A1548" s="78" t="str">
        <f ca="1" t="shared" ref="A1548:A1611" si="72">IFERROR(R1548+IF(Q1548="通用属性",1,IF(Q1548="玩法类",2,IF(Q1548="稀有词条",3,0))),"")</f>
        <v/>
      </c>
      <c r="B1548" s="82" t="str">
        <f ca="1">IFERROR(R1548+COUNTIFS($R$11:$R1548,R1548),"")</f>
        <v/>
      </c>
      <c r="C1548" s="83">
        <f ca="1">IF(MOD(COUNTIF($Q$11:Q1547,Q1547),5)=0,OFFSET(装备属性!$D$1083,1+INT(COUNTA($Q$11:Q1547)/5),0),C1547)</f>
        <v>0</v>
      </c>
      <c r="D1548" s="82">
        <f t="shared" si="71"/>
        <v>2000</v>
      </c>
      <c r="F1548" s="82" t="str">
        <f ca="1" t="shared" ref="F1548:F1611" si="73">IFERROR(R1548+INT((B1548-R1548-1)/5),"")</f>
        <v/>
      </c>
      <c r="G1548" s="78" t="str">
        <f ca="1">IF(AND(LEFT("[{"&amp;M1548&amp;","&amp;CEILING(N1548*10000+(O1548-N1548)/4*(COUNTIF($F$11:F1548,F1548)-1)*10000,10)&amp;"}]",7)="[{equip",MID("[{"&amp;M1548&amp;","&amp;CEILING(N1548*10000+(O1548-N1548)/4*(COUNTIF($F$11:F1548,F1548)-1)*10000,10)&amp;"}]",8,1)&lt;&gt;"_"),"[{"&amp;M1548&amp;","&amp;1&amp;"}]","[{"&amp;M1548&amp;","&amp;CEILING(N1548*10000+(O1548-N1548)/4*(COUNTIF($F$11:F1548,F1548)-1)*10000,10)&amp;"}]")</f>
        <v>[{elitist_monster_hit_rate,19280}]</v>
      </c>
      <c r="H1548" s="82" t="s">
        <v>563</v>
      </c>
      <c r="J1548" s="78">
        <f ca="1">IF(MOD(COUNTIF($Q$11:Q1547,Q1547),5)=0,OFFSET(装备属性!$P$1083,1+INT(COUNTA($Q$11:Q1547)/5),0),J1547)</f>
        <v>6</v>
      </c>
      <c r="K1548" s="83" t="str">
        <f ca="1">IF(RIGHT(G1548,13)="rune_slot,1}]",_xlfn.XLOOKUP(LEFT(SUBSTITUTE(G1548,"[{",""),FIND(",",SUBSTITUTE(G1548,"[{",""))-1),Sheet2!B:B,Sheet2!C:C)&amp;"+"&amp;1,_xlfn.XLOOKUP(LEFT(SUBSTITUTE(G1548,"[{",""),FIND(",",SUBSTITUTE(G1548,"[{",""))-1),Sheet2!B:B,Sheet2!C:C)&amp;"+"&amp;SUBSTITUTE(RIGHT(G1548,LEN(G1548)-FIND(",",G1548)),"}]","")/100&amp;"%")</f>
        <v>对精英增伤+192.8%</v>
      </c>
      <c r="L1548" s="83" t="str">
        <f ca="1">IF(MOD(COUNTIF($Q$11:Q1547,Q1547),5)=0,OFFSET(装备属性!$G$1083,1+INT(COUNTA($Q$11:Q1547)/5),0),L1547)</f>
        <v>Boss加餐Ⅰ</v>
      </c>
      <c r="M1548" s="89" t="str">
        <f ca="1">IF(MOD(COUNTIF($Q$11:Q1547,Q1547),5)=0,OFFSET(装备属性!$H$1083,1+INT(COUNTA($Q$11:Q1547)/5),0),M1547)</f>
        <v>elitist_monster_hit_rate</v>
      </c>
      <c r="N1548" s="76">
        <f ca="1">IF(MOD(COUNTIF($Q$11:Q1547,Q1547),5)=0,OFFSET(装备属性!$K$1083,1+INT(COUNTA($Q$11:Q1547)/5),0),N1547)</f>
        <v>0.062</v>
      </c>
      <c r="O1548" s="76">
        <f ca="1">IF(MOD(COUNTIF($Q$11:Q1547,Q1547),5)=0,OFFSET(装备属性!$L$1083,1+INT(COUNTA($Q$11:Q1547)/5),0),O1547)</f>
        <v>0.074</v>
      </c>
      <c r="Q1548" s="89" t="str">
        <f ca="1">IF(MOD(COUNTIF($Q$11:Q1547,Q1547),5)=0,OFFSET(装备属性!$M$1083,1+INT(COUNTA($Q$11:Q1547)/5),0),Q1547)</f>
        <v>玩法类</v>
      </c>
      <c r="R1548" s="83" t="e">
        <f ca="1">IF(MOD(COUNTIF($Q$11:Q1547,Q1547),5)=0,10000*SUBSTITUTE(SUBSTITUTE(OFFSET(装备属性!$F$1083,1+INT(COUNTA($Q$11:Q1547)/5),0),"[",""),"]","")+_xlfn.XLOOKUP(C1548,$M$3:$M$7,$N$3:$N$7)*100,R1547)</f>
        <v>#N/A</v>
      </c>
    </row>
    <row r="1549" customHeight="1" spans="1:18">
      <c r="A1549" s="78" t="str">
        <f ca="1" t="shared" si="72"/>
        <v/>
      </c>
      <c r="B1549" s="82" t="str">
        <f ca="1">IFERROR(R1549+COUNTIFS($R$11:$R1549,R1549),"")</f>
        <v/>
      </c>
      <c r="C1549" s="83">
        <f ca="1">IF(MOD(COUNTIF($Q$11:Q1548,Q1548),5)=0,OFFSET(装备属性!$D$1083,1+INT(COUNTA($Q$11:Q1548)/5),0),C1548)</f>
        <v>0</v>
      </c>
      <c r="D1549" s="82">
        <f t="shared" si="71"/>
        <v>1500</v>
      </c>
      <c r="F1549" s="82" t="str">
        <f ca="1" t="shared" si="73"/>
        <v/>
      </c>
      <c r="G1549" s="78" t="str">
        <f ca="1">IF(AND(LEFT("[{"&amp;M1549&amp;","&amp;CEILING(N1549*10000+(O1549-N1549)/4*(COUNTIF($F$11:F1549,F1549)-1)*10000,10)&amp;"}]",7)="[{equip",MID("[{"&amp;M1549&amp;","&amp;CEILING(N1549*10000+(O1549-N1549)/4*(COUNTIF($F$11:F1549,F1549)-1)*10000,10)&amp;"}]",8,1)&lt;&gt;"_"),"[{"&amp;M1549&amp;","&amp;1&amp;"}]","[{"&amp;M1549&amp;","&amp;CEILING(N1549*10000+(O1549-N1549)/4*(COUNTIF($F$11:F1549,F1549)-1)*10000,10)&amp;"}]")</f>
        <v>[{elitist_monster_hit_rate,19310}]</v>
      </c>
      <c r="H1549" s="82" t="s">
        <v>563</v>
      </c>
      <c r="J1549" s="78">
        <f ca="1">IF(MOD(COUNTIF($Q$11:Q1548,Q1548),5)=0,OFFSET(装备属性!$P$1083,1+INT(COUNTA($Q$11:Q1548)/5),0),J1548)</f>
        <v>6</v>
      </c>
      <c r="K1549" s="83" t="str">
        <f ca="1">IF(RIGHT(G1549,13)="rune_slot,1}]",_xlfn.XLOOKUP(LEFT(SUBSTITUTE(G1549,"[{",""),FIND(",",SUBSTITUTE(G1549,"[{",""))-1),Sheet2!B:B,Sheet2!C:C)&amp;"+"&amp;1,_xlfn.XLOOKUP(LEFT(SUBSTITUTE(G1549,"[{",""),FIND(",",SUBSTITUTE(G1549,"[{",""))-1),Sheet2!B:B,Sheet2!C:C)&amp;"+"&amp;SUBSTITUTE(RIGHT(G1549,LEN(G1549)-FIND(",",G1549)),"}]","")/100&amp;"%")</f>
        <v>对精英增伤+193.1%</v>
      </c>
      <c r="L1549" s="83" t="str">
        <f ca="1">IF(MOD(COUNTIF($Q$11:Q1548,Q1548),5)=0,OFFSET(装备属性!$G$1083,1+INT(COUNTA($Q$11:Q1548)/5),0),L1548)</f>
        <v>Boss加餐Ⅰ</v>
      </c>
      <c r="M1549" s="89" t="str">
        <f ca="1">IF(MOD(COUNTIF($Q$11:Q1548,Q1548),5)=0,OFFSET(装备属性!$H$1083,1+INT(COUNTA($Q$11:Q1548)/5),0),M1548)</f>
        <v>elitist_monster_hit_rate</v>
      </c>
      <c r="N1549" s="76">
        <f ca="1">IF(MOD(COUNTIF($Q$11:Q1548,Q1548),5)=0,OFFSET(装备属性!$K$1083,1+INT(COUNTA($Q$11:Q1548)/5),0),N1548)</f>
        <v>0.062</v>
      </c>
      <c r="O1549" s="76">
        <f ca="1">IF(MOD(COUNTIF($Q$11:Q1548,Q1548),5)=0,OFFSET(装备属性!$L$1083,1+INT(COUNTA($Q$11:Q1548)/5),0),O1548)</f>
        <v>0.074</v>
      </c>
      <c r="Q1549" s="89" t="str">
        <f ca="1">IF(MOD(COUNTIF($Q$11:Q1548,Q1548),5)=0,OFFSET(装备属性!$M$1083,1+INT(COUNTA($Q$11:Q1548)/5),0),Q1548)</f>
        <v>玩法类</v>
      </c>
      <c r="R1549" s="83" t="e">
        <f ca="1">IF(MOD(COUNTIF($Q$11:Q1548,Q1548),5)=0,10000*SUBSTITUTE(SUBSTITUTE(OFFSET(装备属性!$F$1083,1+INT(COUNTA($Q$11:Q1548)/5),0),"[",""),"]","")+_xlfn.XLOOKUP(C1549,$M$3:$M$7,$N$3:$N$7)*100,R1548)</f>
        <v>#N/A</v>
      </c>
    </row>
    <row r="1550" customHeight="1" spans="1:18">
      <c r="A1550" s="78" t="str">
        <f ca="1" t="shared" si="72"/>
        <v/>
      </c>
      <c r="B1550" s="82" t="str">
        <f ca="1">IFERROR(R1550+COUNTIFS($R$11:$R1550,R1550),"")</f>
        <v/>
      </c>
      <c r="C1550" s="83">
        <f ca="1">IF(MOD(COUNTIF($Q$11:Q1549,Q1549),5)=0,OFFSET(装备属性!$D$1083,1+INT(COUNTA($Q$11:Q1549)/5),0),C1549)</f>
        <v>0</v>
      </c>
      <c r="D1550" s="82">
        <f t="shared" si="71"/>
        <v>1000</v>
      </c>
      <c r="F1550" s="82" t="str">
        <f ca="1" t="shared" si="73"/>
        <v/>
      </c>
      <c r="G1550" s="78" t="str">
        <f ca="1">IF(AND(LEFT("[{"&amp;M1550&amp;","&amp;CEILING(N1550*10000+(O1550-N1550)/4*(COUNTIF($F$11:F1550,F1550)-1)*10000,10)&amp;"}]",7)="[{equip",MID("[{"&amp;M1550&amp;","&amp;CEILING(N1550*10000+(O1550-N1550)/4*(COUNTIF($F$11:F1550,F1550)-1)*10000,10)&amp;"}]",8,1)&lt;&gt;"_"),"[{"&amp;M1550&amp;","&amp;1&amp;"}]","[{"&amp;M1550&amp;","&amp;CEILING(N1550*10000+(O1550-N1550)/4*(COUNTIF($F$11:F1550,F1550)-1)*10000,10)&amp;"}]")</f>
        <v>[{elitist_monster_hit_rate,19340}]</v>
      </c>
      <c r="H1550" s="82" t="s">
        <v>563</v>
      </c>
      <c r="J1550" s="78">
        <f ca="1">IF(MOD(COUNTIF($Q$11:Q1549,Q1549),5)=0,OFFSET(装备属性!$P$1083,1+INT(COUNTA($Q$11:Q1549)/5),0),J1549)</f>
        <v>6</v>
      </c>
      <c r="K1550" s="83" t="str">
        <f ca="1">IF(RIGHT(G1550,13)="rune_slot,1}]",_xlfn.XLOOKUP(LEFT(SUBSTITUTE(G1550,"[{",""),FIND(",",SUBSTITUTE(G1550,"[{",""))-1),Sheet2!B:B,Sheet2!C:C)&amp;"+"&amp;1,_xlfn.XLOOKUP(LEFT(SUBSTITUTE(G1550,"[{",""),FIND(",",SUBSTITUTE(G1550,"[{",""))-1),Sheet2!B:B,Sheet2!C:C)&amp;"+"&amp;SUBSTITUTE(RIGHT(G1550,LEN(G1550)-FIND(",",G1550)),"}]","")/100&amp;"%")</f>
        <v>对精英增伤+193.4%</v>
      </c>
      <c r="L1550" s="83" t="str">
        <f ca="1">IF(MOD(COUNTIF($Q$11:Q1549,Q1549),5)=0,OFFSET(装备属性!$G$1083,1+INT(COUNTA($Q$11:Q1549)/5),0),L1549)</f>
        <v>Boss加餐Ⅰ</v>
      </c>
      <c r="M1550" s="89" t="str">
        <f ca="1">IF(MOD(COUNTIF($Q$11:Q1549,Q1549),5)=0,OFFSET(装备属性!$H$1083,1+INT(COUNTA($Q$11:Q1549)/5),0),M1549)</f>
        <v>elitist_monster_hit_rate</v>
      </c>
      <c r="N1550" s="76">
        <f ca="1">IF(MOD(COUNTIF($Q$11:Q1549,Q1549),5)=0,OFFSET(装备属性!$K$1083,1+INT(COUNTA($Q$11:Q1549)/5),0),N1549)</f>
        <v>0.062</v>
      </c>
      <c r="O1550" s="76">
        <f ca="1">IF(MOD(COUNTIF($Q$11:Q1549,Q1549),5)=0,OFFSET(装备属性!$L$1083,1+INT(COUNTA($Q$11:Q1549)/5),0),O1549)</f>
        <v>0.074</v>
      </c>
      <c r="Q1550" s="89" t="str">
        <f ca="1">IF(MOD(COUNTIF($Q$11:Q1549,Q1549),5)=0,OFFSET(装备属性!$M$1083,1+INT(COUNTA($Q$11:Q1549)/5),0),Q1549)</f>
        <v>玩法类</v>
      </c>
      <c r="R1550" s="83" t="e">
        <f ca="1">IF(MOD(COUNTIF($Q$11:Q1549,Q1549),5)=0,10000*SUBSTITUTE(SUBSTITUTE(OFFSET(装备属性!$F$1083,1+INT(COUNTA($Q$11:Q1549)/5),0),"[",""),"]","")+_xlfn.XLOOKUP(C1550,$M$3:$M$7,$N$3:$N$7)*100,R1549)</f>
        <v>#N/A</v>
      </c>
    </row>
    <row r="1551" customHeight="1" spans="1:18">
      <c r="A1551" s="78">
        <f ca="1" t="shared" si="72"/>
        <v>60401</v>
      </c>
      <c r="B1551" s="82">
        <f ca="1">IFERROR(R1551+COUNTIFS($R$11:$R1551,R1551),"")</f>
        <v>60411</v>
      </c>
      <c r="C1551" s="83" t="str">
        <f ca="1">IF(MOD(COUNTIF($Q$11:Q1550,Q1550),5)=0,OFFSET(装备属性!$D$1083,1+INT(COUNTA($Q$11:Q1550)/5),0),C1550)</f>
        <v>紫</v>
      </c>
      <c r="D1551" s="82">
        <f t="shared" si="71"/>
        <v>3000</v>
      </c>
      <c r="F1551" s="82">
        <f ca="1" t="shared" si="73"/>
        <v>60402</v>
      </c>
      <c r="G1551" s="78" t="str">
        <f ca="1">IF(AND(LEFT("[{"&amp;M1551&amp;","&amp;CEILING(N1551*10000+(O1551-N1551)/4*(COUNTIF($F$11:F1551,F1551)-1)*10000,10)&amp;"}]",7)="[{equip",MID("[{"&amp;M1551&amp;","&amp;CEILING(N1551*10000+(O1551-N1551)/4*(COUNTIF($F$11:F1551,F1551)-1)*10000,10)&amp;"}]",8,1)&lt;&gt;"_"),"[{"&amp;M1551&amp;","&amp;1&amp;"}]","[{"&amp;M1551&amp;","&amp;CEILING(N1551*10000+(O1551-N1551)/4*(COUNTIF($F$11:F1551,F1551)-1)*10000,10)&amp;"}]")</f>
        <v>[{summon_dmg_rate,440}]</v>
      </c>
      <c r="H1551" s="82" t="s">
        <v>563</v>
      </c>
      <c r="J1551" s="78">
        <f ca="1">IF(MOD(COUNTIF($Q$11:Q1550,Q1550),5)=0,OFFSET(装备属性!$P$1083,1+INT(COUNTA($Q$11:Q1550)/5),0),J1550)</f>
        <v>5</v>
      </c>
      <c r="K1551" s="83" t="str">
        <f ca="1">IF(RIGHT(G1551,13)="rune_slot,1}]",_xlfn.XLOOKUP(LEFT(SUBSTITUTE(G1551,"[{",""),FIND(",",SUBSTITUTE(G1551,"[{",""))-1),Sheet2!B:B,Sheet2!C:C)&amp;"+"&amp;1,_xlfn.XLOOKUP(LEFT(SUBSTITUTE(G1551,"[{",""),FIND(",",SUBSTITUTE(G1551,"[{",""))-1),Sheet2!B:B,Sheet2!C:C)&amp;"+"&amp;SUBSTITUTE(RIGHT(G1551,LEN(G1551)-FIND(",",G1551)),"}]","")/100&amp;"%")</f>
        <v>召唤伤害+4.4%</v>
      </c>
      <c r="L1551" s="83" t="str">
        <f ca="1">IF(MOD(COUNTIF($Q$11:Q1550,Q1550),5)=0,OFFSET(装备属性!$G$1083,1+INT(COUNTA($Q$11:Q1550)/5),0),L1550)</f>
        <v>召唤加班Ⅰ</v>
      </c>
      <c r="M1551" s="89" t="str">
        <f ca="1">IF(MOD(COUNTIF($Q$11:Q1550,Q1550),5)=0,OFFSET(装备属性!$H$1083,1+INT(COUNTA($Q$11:Q1550)/5),0),M1550)</f>
        <v>summon_dmg_rate</v>
      </c>
      <c r="N1551" s="76">
        <f ca="1">IF(MOD(COUNTIF($Q$11:Q1550,Q1550),5)=0,OFFSET(装备属性!$K$1083,1+INT(COUNTA($Q$11:Q1550)/5),0),N1550)</f>
        <v>0.044</v>
      </c>
      <c r="O1551" s="76">
        <f ca="1">IF(MOD(COUNTIF($Q$11:Q1550,Q1550),5)=0,OFFSET(装备属性!$L$1083,1+INT(COUNTA($Q$11:Q1550)/5),0),O1550)</f>
        <v>0.058</v>
      </c>
      <c r="Q1551" s="89" t="str">
        <f ca="1">IF(MOD(COUNTIF($Q$11:Q1550,Q1550),5)=0,OFFSET(装备属性!$M$1083,1+INT(COUNTA($Q$11:Q1550)/5),0),Q1550)</f>
        <v>通用属性</v>
      </c>
      <c r="R1551" s="83">
        <f ca="1">IF(MOD(COUNTIF($Q$11:Q1550,Q1550),5)=0,10000*SUBSTITUTE(SUBSTITUTE(OFFSET(装备属性!$F$1083,1+INT(COUNTA($Q$11:Q1550)/5),0),"[",""),"]","")+_xlfn.XLOOKUP(C1551,$M$3:$M$7,$N$3:$N$7)*100,R1550)</f>
        <v>60400</v>
      </c>
    </row>
    <row r="1552" customHeight="1" spans="1:18">
      <c r="A1552" s="78">
        <f ca="1" t="shared" si="72"/>
        <v>60401</v>
      </c>
      <c r="B1552" s="82">
        <f ca="1">IFERROR(R1552+COUNTIFS($R$11:$R1552,R1552),"")</f>
        <v>60412</v>
      </c>
      <c r="C1552" s="83" t="str">
        <f ca="1">IF(MOD(COUNTIF($Q$11:Q1551,Q1551),5)=0,OFFSET(装备属性!$D$1083,1+INT(COUNTA($Q$11:Q1551)/5),0),C1551)</f>
        <v>紫</v>
      </c>
      <c r="D1552" s="82">
        <f t="shared" si="71"/>
        <v>2500</v>
      </c>
      <c r="F1552" s="82">
        <f ca="1" t="shared" si="73"/>
        <v>60402</v>
      </c>
      <c r="G1552" s="78" t="str">
        <f ca="1">IF(AND(LEFT("[{"&amp;M1552&amp;","&amp;CEILING(N1552*10000+(O1552-N1552)/4*(COUNTIF($F$11:F1552,F1552)-1)*10000,10)&amp;"}]",7)="[{equip",MID("[{"&amp;M1552&amp;","&amp;CEILING(N1552*10000+(O1552-N1552)/4*(COUNTIF($F$11:F1552,F1552)-1)*10000,10)&amp;"}]",8,1)&lt;&gt;"_"),"[{"&amp;M1552&amp;","&amp;1&amp;"}]","[{"&amp;M1552&amp;","&amp;CEILING(N1552*10000+(O1552-N1552)/4*(COUNTIF($F$11:F1552,F1552)-1)*10000,10)&amp;"}]")</f>
        <v>[{summon_dmg_rate,480}]</v>
      </c>
      <c r="H1552" s="82" t="s">
        <v>563</v>
      </c>
      <c r="J1552" s="78">
        <f ca="1">IF(MOD(COUNTIF($Q$11:Q1551,Q1551),5)=0,OFFSET(装备属性!$P$1083,1+INT(COUNTA($Q$11:Q1551)/5),0),J1551)</f>
        <v>5</v>
      </c>
      <c r="K1552" s="83" t="str">
        <f ca="1">IF(RIGHT(G1552,13)="rune_slot,1}]",_xlfn.XLOOKUP(LEFT(SUBSTITUTE(G1552,"[{",""),FIND(",",SUBSTITUTE(G1552,"[{",""))-1),Sheet2!B:B,Sheet2!C:C)&amp;"+"&amp;1,_xlfn.XLOOKUP(LEFT(SUBSTITUTE(G1552,"[{",""),FIND(",",SUBSTITUTE(G1552,"[{",""))-1),Sheet2!B:B,Sheet2!C:C)&amp;"+"&amp;SUBSTITUTE(RIGHT(G1552,LEN(G1552)-FIND(",",G1552)),"}]","")/100&amp;"%")</f>
        <v>召唤伤害+4.8%</v>
      </c>
      <c r="L1552" s="83" t="str">
        <f ca="1">IF(MOD(COUNTIF($Q$11:Q1551,Q1551),5)=0,OFFSET(装备属性!$G$1083,1+INT(COUNTA($Q$11:Q1551)/5),0),L1551)</f>
        <v>召唤加班Ⅰ</v>
      </c>
      <c r="M1552" s="89" t="str">
        <f ca="1">IF(MOD(COUNTIF($Q$11:Q1551,Q1551),5)=0,OFFSET(装备属性!$H$1083,1+INT(COUNTA($Q$11:Q1551)/5),0),M1551)</f>
        <v>summon_dmg_rate</v>
      </c>
      <c r="N1552" s="76">
        <f ca="1">IF(MOD(COUNTIF($Q$11:Q1551,Q1551),5)=0,OFFSET(装备属性!$K$1083,1+INT(COUNTA($Q$11:Q1551)/5),0),N1551)</f>
        <v>0.044</v>
      </c>
      <c r="O1552" s="76">
        <f ca="1">IF(MOD(COUNTIF($Q$11:Q1551,Q1551),5)=0,OFFSET(装备属性!$L$1083,1+INT(COUNTA($Q$11:Q1551)/5),0),O1551)</f>
        <v>0.058</v>
      </c>
      <c r="Q1552" s="89" t="str">
        <f ca="1">IF(MOD(COUNTIF($Q$11:Q1551,Q1551),5)=0,OFFSET(装备属性!$M$1083,1+INT(COUNTA($Q$11:Q1551)/5),0),Q1551)</f>
        <v>通用属性</v>
      </c>
      <c r="R1552" s="83">
        <f ca="1">IF(MOD(COUNTIF($Q$11:Q1551,Q1551),5)=0,10000*SUBSTITUTE(SUBSTITUTE(OFFSET(装备属性!$F$1083,1+INT(COUNTA($Q$11:Q1551)/5),0),"[",""),"]","")+_xlfn.XLOOKUP(C1552,$M$3:$M$7,$N$3:$N$7)*100,R1551)</f>
        <v>60400</v>
      </c>
    </row>
    <row r="1553" customHeight="1" spans="1:18">
      <c r="A1553" s="78">
        <f ca="1" t="shared" si="72"/>
        <v>60401</v>
      </c>
      <c r="B1553" s="82">
        <f ca="1">IFERROR(R1553+COUNTIFS($R$11:$R1553,R1553),"")</f>
        <v>60413</v>
      </c>
      <c r="C1553" s="83" t="str">
        <f ca="1">IF(MOD(COUNTIF($Q$11:Q1552,Q1552),5)=0,OFFSET(装备属性!$D$1083,1+INT(COUNTA($Q$11:Q1552)/5),0),C1552)</f>
        <v>紫</v>
      </c>
      <c r="D1553" s="82">
        <f t="shared" ref="D1553:D1616" si="74">D1548</f>
        <v>2000</v>
      </c>
      <c r="F1553" s="82">
        <f ca="1" t="shared" si="73"/>
        <v>60402</v>
      </c>
      <c r="G1553" s="78" t="str">
        <f ca="1">IF(AND(LEFT("[{"&amp;M1553&amp;","&amp;CEILING(N1553*10000+(O1553-N1553)/4*(COUNTIF($F$11:F1553,F1553)-1)*10000,10)&amp;"}]",7)="[{equip",MID("[{"&amp;M1553&amp;","&amp;CEILING(N1553*10000+(O1553-N1553)/4*(COUNTIF($F$11:F1553,F1553)-1)*10000,10)&amp;"}]",8,1)&lt;&gt;"_"),"[{"&amp;M1553&amp;","&amp;1&amp;"}]","[{"&amp;M1553&amp;","&amp;CEILING(N1553*10000+(O1553-N1553)/4*(COUNTIF($F$11:F1553,F1553)-1)*10000,10)&amp;"}]")</f>
        <v>[{summon_dmg_rate,510}]</v>
      </c>
      <c r="H1553" s="82" t="s">
        <v>563</v>
      </c>
      <c r="J1553" s="78">
        <f ca="1">IF(MOD(COUNTIF($Q$11:Q1552,Q1552),5)=0,OFFSET(装备属性!$P$1083,1+INT(COUNTA($Q$11:Q1552)/5),0),J1552)</f>
        <v>5</v>
      </c>
      <c r="K1553" s="83" t="str">
        <f ca="1">IF(RIGHT(G1553,13)="rune_slot,1}]",_xlfn.XLOOKUP(LEFT(SUBSTITUTE(G1553,"[{",""),FIND(",",SUBSTITUTE(G1553,"[{",""))-1),Sheet2!B:B,Sheet2!C:C)&amp;"+"&amp;1,_xlfn.XLOOKUP(LEFT(SUBSTITUTE(G1553,"[{",""),FIND(",",SUBSTITUTE(G1553,"[{",""))-1),Sheet2!B:B,Sheet2!C:C)&amp;"+"&amp;SUBSTITUTE(RIGHT(G1553,LEN(G1553)-FIND(",",G1553)),"}]","")/100&amp;"%")</f>
        <v>召唤伤害+5.1%</v>
      </c>
      <c r="L1553" s="83" t="str">
        <f ca="1">IF(MOD(COUNTIF($Q$11:Q1552,Q1552),5)=0,OFFSET(装备属性!$G$1083,1+INT(COUNTA($Q$11:Q1552)/5),0),L1552)</f>
        <v>召唤加班Ⅰ</v>
      </c>
      <c r="M1553" s="89" t="str">
        <f ca="1">IF(MOD(COUNTIF($Q$11:Q1552,Q1552),5)=0,OFFSET(装备属性!$H$1083,1+INT(COUNTA($Q$11:Q1552)/5),0),M1552)</f>
        <v>summon_dmg_rate</v>
      </c>
      <c r="N1553" s="76">
        <f ca="1">IF(MOD(COUNTIF($Q$11:Q1552,Q1552),5)=0,OFFSET(装备属性!$K$1083,1+INT(COUNTA($Q$11:Q1552)/5),0),N1552)</f>
        <v>0.044</v>
      </c>
      <c r="O1553" s="76">
        <f ca="1">IF(MOD(COUNTIF($Q$11:Q1552,Q1552),5)=0,OFFSET(装备属性!$L$1083,1+INT(COUNTA($Q$11:Q1552)/5),0),O1552)</f>
        <v>0.058</v>
      </c>
      <c r="Q1553" s="89" t="str">
        <f ca="1">IF(MOD(COUNTIF($Q$11:Q1552,Q1552),5)=0,OFFSET(装备属性!$M$1083,1+INT(COUNTA($Q$11:Q1552)/5),0),Q1552)</f>
        <v>通用属性</v>
      </c>
      <c r="R1553" s="83">
        <f ca="1">IF(MOD(COUNTIF($Q$11:Q1552,Q1552),5)=0,10000*SUBSTITUTE(SUBSTITUTE(OFFSET(装备属性!$F$1083,1+INT(COUNTA($Q$11:Q1552)/5),0),"[",""),"]","")+_xlfn.XLOOKUP(C1553,$M$3:$M$7,$N$3:$N$7)*100,R1552)</f>
        <v>60400</v>
      </c>
    </row>
    <row r="1554" customHeight="1" spans="1:18">
      <c r="A1554" s="78">
        <f ca="1" t="shared" si="72"/>
        <v>60401</v>
      </c>
      <c r="B1554" s="82">
        <f ca="1">IFERROR(R1554+COUNTIFS($R$11:$R1554,R1554),"")</f>
        <v>60414</v>
      </c>
      <c r="C1554" s="83" t="str">
        <f ca="1">IF(MOD(COUNTIF($Q$11:Q1553,Q1553),5)=0,OFFSET(装备属性!$D$1083,1+INT(COUNTA($Q$11:Q1553)/5),0),C1553)</f>
        <v>紫</v>
      </c>
      <c r="D1554" s="82">
        <f t="shared" si="74"/>
        <v>1500</v>
      </c>
      <c r="F1554" s="82">
        <f ca="1" t="shared" si="73"/>
        <v>60402</v>
      </c>
      <c r="G1554" s="78" t="str">
        <f ca="1">IF(AND(LEFT("[{"&amp;M1554&amp;","&amp;CEILING(N1554*10000+(O1554-N1554)/4*(COUNTIF($F$11:F1554,F1554)-1)*10000,10)&amp;"}]",7)="[{equip",MID("[{"&amp;M1554&amp;","&amp;CEILING(N1554*10000+(O1554-N1554)/4*(COUNTIF($F$11:F1554,F1554)-1)*10000,10)&amp;"}]",8,1)&lt;&gt;"_"),"[{"&amp;M1554&amp;","&amp;1&amp;"}]","[{"&amp;M1554&amp;","&amp;CEILING(N1554*10000+(O1554-N1554)/4*(COUNTIF($F$11:F1554,F1554)-1)*10000,10)&amp;"}]")</f>
        <v>[{summon_dmg_rate,550}]</v>
      </c>
      <c r="H1554" s="82" t="s">
        <v>563</v>
      </c>
      <c r="J1554" s="78">
        <f ca="1">IF(MOD(COUNTIF($Q$11:Q1553,Q1553),5)=0,OFFSET(装备属性!$P$1083,1+INT(COUNTA($Q$11:Q1553)/5),0),J1553)</f>
        <v>5</v>
      </c>
      <c r="K1554" s="83" t="str">
        <f ca="1">IF(RIGHT(G1554,13)="rune_slot,1}]",_xlfn.XLOOKUP(LEFT(SUBSTITUTE(G1554,"[{",""),FIND(",",SUBSTITUTE(G1554,"[{",""))-1),Sheet2!B:B,Sheet2!C:C)&amp;"+"&amp;1,_xlfn.XLOOKUP(LEFT(SUBSTITUTE(G1554,"[{",""),FIND(",",SUBSTITUTE(G1554,"[{",""))-1),Sheet2!B:B,Sheet2!C:C)&amp;"+"&amp;SUBSTITUTE(RIGHT(G1554,LEN(G1554)-FIND(",",G1554)),"}]","")/100&amp;"%")</f>
        <v>召唤伤害+5.5%</v>
      </c>
      <c r="L1554" s="83" t="str">
        <f ca="1">IF(MOD(COUNTIF($Q$11:Q1553,Q1553),5)=0,OFFSET(装备属性!$G$1083,1+INT(COUNTA($Q$11:Q1553)/5),0),L1553)</f>
        <v>召唤加班Ⅰ</v>
      </c>
      <c r="M1554" s="89" t="str">
        <f ca="1">IF(MOD(COUNTIF($Q$11:Q1553,Q1553),5)=0,OFFSET(装备属性!$H$1083,1+INT(COUNTA($Q$11:Q1553)/5),0),M1553)</f>
        <v>summon_dmg_rate</v>
      </c>
      <c r="N1554" s="76">
        <f ca="1">IF(MOD(COUNTIF($Q$11:Q1553,Q1553),5)=0,OFFSET(装备属性!$K$1083,1+INT(COUNTA($Q$11:Q1553)/5),0),N1553)</f>
        <v>0.044</v>
      </c>
      <c r="O1554" s="76">
        <f ca="1">IF(MOD(COUNTIF($Q$11:Q1553,Q1553),5)=0,OFFSET(装备属性!$L$1083,1+INT(COUNTA($Q$11:Q1553)/5),0),O1553)</f>
        <v>0.058</v>
      </c>
      <c r="Q1554" s="89" t="str">
        <f ca="1">IF(MOD(COUNTIF($Q$11:Q1553,Q1553),5)=0,OFFSET(装备属性!$M$1083,1+INT(COUNTA($Q$11:Q1553)/5),0),Q1553)</f>
        <v>通用属性</v>
      </c>
      <c r="R1554" s="83">
        <f ca="1">IF(MOD(COUNTIF($Q$11:Q1553,Q1553),5)=0,10000*SUBSTITUTE(SUBSTITUTE(OFFSET(装备属性!$F$1083,1+INT(COUNTA($Q$11:Q1553)/5),0),"[",""),"]","")+_xlfn.XLOOKUP(C1554,$M$3:$M$7,$N$3:$N$7)*100,R1553)</f>
        <v>60400</v>
      </c>
    </row>
    <row r="1555" customHeight="1" spans="1:18">
      <c r="A1555" s="78">
        <f ca="1" t="shared" si="72"/>
        <v>60401</v>
      </c>
      <c r="B1555" s="82">
        <f ca="1">IFERROR(R1555+COUNTIFS($R$11:$R1555,R1555),"")</f>
        <v>60415</v>
      </c>
      <c r="C1555" s="83" t="str">
        <f ca="1">IF(MOD(COUNTIF($Q$11:Q1554,Q1554),5)=0,OFFSET(装备属性!$D$1083,1+INT(COUNTA($Q$11:Q1554)/5),0),C1554)</f>
        <v>紫</v>
      </c>
      <c r="D1555" s="82">
        <f t="shared" si="74"/>
        <v>1000</v>
      </c>
      <c r="F1555" s="82">
        <f ca="1" t="shared" si="73"/>
        <v>60402</v>
      </c>
      <c r="G1555" s="78" t="str">
        <f ca="1">IF(AND(LEFT("[{"&amp;M1555&amp;","&amp;CEILING(N1555*10000+(O1555-N1555)/4*(COUNTIF($F$11:F1555,F1555)-1)*10000,10)&amp;"}]",7)="[{equip",MID("[{"&amp;M1555&amp;","&amp;CEILING(N1555*10000+(O1555-N1555)/4*(COUNTIF($F$11:F1555,F1555)-1)*10000,10)&amp;"}]",8,1)&lt;&gt;"_"),"[{"&amp;M1555&amp;","&amp;1&amp;"}]","[{"&amp;M1555&amp;","&amp;CEILING(N1555*10000+(O1555-N1555)/4*(COUNTIF($F$11:F1555,F1555)-1)*10000,10)&amp;"}]")</f>
        <v>[{summon_dmg_rate,580}]</v>
      </c>
      <c r="H1555" s="82" t="s">
        <v>563</v>
      </c>
      <c r="J1555" s="78">
        <f ca="1">IF(MOD(COUNTIF($Q$11:Q1554,Q1554),5)=0,OFFSET(装备属性!$P$1083,1+INT(COUNTA($Q$11:Q1554)/5),0),J1554)</f>
        <v>5</v>
      </c>
      <c r="K1555" s="83" t="str">
        <f ca="1">IF(RIGHT(G1555,13)="rune_slot,1}]",_xlfn.XLOOKUP(LEFT(SUBSTITUTE(G1555,"[{",""),FIND(",",SUBSTITUTE(G1555,"[{",""))-1),Sheet2!B:B,Sheet2!C:C)&amp;"+"&amp;1,_xlfn.XLOOKUP(LEFT(SUBSTITUTE(G1555,"[{",""),FIND(",",SUBSTITUTE(G1555,"[{",""))-1),Sheet2!B:B,Sheet2!C:C)&amp;"+"&amp;SUBSTITUTE(RIGHT(G1555,LEN(G1555)-FIND(",",G1555)),"}]","")/100&amp;"%")</f>
        <v>召唤伤害+5.8%</v>
      </c>
      <c r="L1555" s="83" t="str">
        <f ca="1">IF(MOD(COUNTIF($Q$11:Q1554,Q1554),5)=0,OFFSET(装备属性!$G$1083,1+INT(COUNTA($Q$11:Q1554)/5),0),L1554)</f>
        <v>召唤加班Ⅰ</v>
      </c>
      <c r="M1555" s="89" t="str">
        <f ca="1">IF(MOD(COUNTIF($Q$11:Q1554,Q1554),5)=0,OFFSET(装备属性!$H$1083,1+INT(COUNTA($Q$11:Q1554)/5),0),M1554)</f>
        <v>summon_dmg_rate</v>
      </c>
      <c r="N1555" s="76">
        <f ca="1">IF(MOD(COUNTIF($Q$11:Q1554,Q1554),5)=0,OFFSET(装备属性!$K$1083,1+INT(COUNTA($Q$11:Q1554)/5),0),N1554)</f>
        <v>0.044</v>
      </c>
      <c r="O1555" s="76">
        <f ca="1">IF(MOD(COUNTIF($Q$11:Q1554,Q1554),5)=0,OFFSET(装备属性!$L$1083,1+INT(COUNTA($Q$11:Q1554)/5),0),O1554)</f>
        <v>0.058</v>
      </c>
      <c r="Q1555" s="89" t="str">
        <f ca="1">IF(MOD(COUNTIF($Q$11:Q1554,Q1554),5)=0,OFFSET(装备属性!$M$1083,1+INT(COUNTA($Q$11:Q1554)/5),0),Q1554)</f>
        <v>通用属性</v>
      </c>
      <c r="R1555" s="83">
        <f ca="1">IF(MOD(COUNTIF($Q$11:Q1554,Q1554),5)=0,10000*SUBSTITUTE(SUBSTITUTE(OFFSET(装备属性!$F$1083,1+INT(COUNTA($Q$11:Q1554)/5),0),"[",""),"]","")+_xlfn.XLOOKUP(C1555,$M$3:$M$7,$N$3:$N$7)*100,R1554)</f>
        <v>60400</v>
      </c>
    </row>
    <row r="1556" customHeight="1" spans="1:18">
      <c r="A1556" s="78">
        <f ca="1" t="shared" si="72"/>
        <v>60401</v>
      </c>
      <c r="B1556" s="82">
        <f ca="1">IFERROR(R1556+COUNTIFS($R$11:$R1556,R1556),"")</f>
        <v>60416</v>
      </c>
      <c r="C1556" s="83" t="str">
        <f ca="1">IF(MOD(COUNTIF($Q$11:Q1555,Q1555),5)=0,OFFSET(装备属性!$D$1083,1+INT(COUNTA($Q$11:Q1555)/5),0),C1555)</f>
        <v>紫</v>
      </c>
      <c r="D1556" s="82">
        <f t="shared" si="74"/>
        <v>3000</v>
      </c>
      <c r="F1556" s="82">
        <f ca="1" t="shared" si="73"/>
        <v>60403</v>
      </c>
      <c r="G1556" s="78" t="str">
        <f ca="1">IF(AND(LEFT("[{"&amp;M1556&amp;","&amp;CEILING(N1556*10000+(O1556-N1556)/4*(COUNTIF($F$11:F1556,F1556)-1)*10000,10)&amp;"}]",7)="[{equip",MID("[{"&amp;M1556&amp;","&amp;CEILING(N1556*10000+(O1556-N1556)/4*(COUNTIF($F$11:F1556,F1556)-1)*10000,10)&amp;"}]",8,1)&lt;&gt;"_"),"[{"&amp;M1556&amp;","&amp;1&amp;"}]","[{"&amp;M1556&amp;","&amp;CEILING(N1556*10000+(O1556-N1556)/4*(COUNTIF($F$11:F1556,F1556)-1)*10000,10)&amp;"}]")</f>
        <v>[{summon_dmg_red_rate,200}]</v>
      </c>
      <c r="H1556" s="82" t="s">
        <v>563</v>
      </c>
      <c r="J1556" s="78">
        <f ca="1">IF(MOD(COUNTIF($Q$11:Q1555,Q1555),5)=0,OFFSET(装备属性!$P$1083,1+INT(COUNTA($Q$11:Q1555)/5),0),J1555)</f>
        <v>3</v>
      </c>
      <c r="K1556" s="83" t="str">
        <f ca="1">IF(RIGHT(G1556,13)="rune_slot,1}]",_xlfn.XLOOKUP(LEFT(SUBSTITUTE(G1556,"[{",""),FIND(",",SUBSTITUTE(G1556,"[{",""))-1),Sheet2!B:B,Sheet2!C:C)&amp;"+"&amp;1,_xlfn.XLOOKUP(LEFT(SUBSTITUTE(G1556,"[{",""),FIND(",",SUBSTITUTE(G1556,"[{",""))-1),Sheet2!B:B,Sheet2!C:C)&amp;"+"&amp;SUBSTITUTE(RIGHT(G1556,LEN(G1556)-FIND(",",G1556)),"}]","")/100&amp;"%")</f>
        <v>召唤伤害减免+2%</v>
      </c>
      <c r="L1556" s="83" t="str">
        <f ca="1">IF(MOD(COUNTIF($Q$11:Q1555,Q1555),5)=0,OFFSET(装备属性!$G$1083,1+INT(COUNTA($Q$11:Q1555)/5),0),L1555)</f>
        <v>召唤硬吃Ⅰ</v>
      </c>
      <c r="M1556" s="89" t="str">
        <f ca="1">IF(MOD(COUNTIF($Q$11:Q1555,Q1555),5)=0,OFFSET(装备属性!$H$1083,1+INT(COUNTA($Q$11:Q1555)/5),0),M1555)</f>
        <v>summon_dmg_red_rate</v>
      </c>
      <c r="N1556" s="76">
        <f ca="1">IF(MOD(COUNTIF($Q$11:Q1555,Q1555),5)=0,OFFSET(装备属性!$K$1083,1+INT(COUNTA($Q$11:Q1555)/5),0),N1555)</f>
        <v>0.02</v>
      </c>
      <c r="O1556" s="76">
        <f ca="1">IF(MOD(COUNTIF($Q$11:Q1555,Q1555),5)=0,OFFSET(装备属性!$L$1083,1+INT(COUNTA($Q$11:Q1555)/5),0),O1555)</f>
        <v>0.024</v>
      </c>
      <c r="Q1556" s="89" t="str">
        <f ca="1">IF(MOD(COUNTIF($Q$11:Q1555,Q1555),5)=0,OFFSET(装备属性!$M$1083,1+INT(COUNTA($Q$11:Q1555)/5),0),Q1555)</f>
        <v>通用属性</v>
      </c>
      <c r="R1556" s="83">
        <f ca="1">IF(MOD(COUNTIF($Q$11:Q1555,Q1555),5)=0,10000*SUBSTITUTE(SUBSTITUTE(OFFSET(装备属性!$F$1083,1+INT(COUNTA($Q$11:Q1555)/5),0),"[",""),"]","")+_xlfn.XLOOKUP(C1556,$M$3:$M$7,$N$3:$N$7)*100,R1555)</f>
        <v>60400</v>
      </c>
    </row>
    <row r="1557" customHeight="1" spans="1:18">
      <c r="A1557" s="78">
        <f ca="1" t="shared" si="72"/>
        <v>60401</v>
      </c>
      <c r="B1557" s="82">
        <f ca="1">IFERROR(R1557+COUNTIFS($R$11:$R1557,R1557),"")</f>
        <v>60417</v>
      </c>
      <c r="C1557" s="83" t="str">
        <f ca="1">IF(MOD(COUNTIF($Q$11:Q1556,Q1556),5)=0,OFFSET(装备属性!$D$1083,1+INT(COUNTA($Q$11:Q1556)/5),0),C1556)</f>
        <v>紫</v>
      </c>
      <c r="D1557" s="82">
        <f t="shared" si="74"/>
        <v>2500</v>
      </c>
      <c r="F1557" s="82">
        <f ca="1" t="shared" si="73"/>
        <v>60403</v>
      </c>
      <c r="G1557" s="78" t="str">
        <f ca="1">IF(AND(LEFT("[{"&amp;M1557&amp;","&amp;CEILING(N1557*10000+(O1557-N1557)/4*(COUNTIF($F$11:F1557,F1557)-1)*10000,10)&amp;"}]",7)="[{equip",MID("[{"&amp;M1557&amp;","&amp;CEILING(N1557*10000+(O1557-N1557)/4*(COUNTIF($F$11:F1557,F1557)-1)*10000,10)&amp;"}]",8,1)&lt;&gt;"_"),"[{"&amp;M1557&amp;","&amp;1&amp;"}]","[{"&amp;M1557&amp;","&amp;CEILING(N1557*10000+(O1557-N1557)/4*(COUNTIF($F$11:F1557,F1557)-1)*10000,10)&amp;"}]")</f>
        <v>[{summon_dmg_red_rate,210}]</v>
      </c>
      <c r="H1557" s="82" t="s">
        <v>563</v>
      </c>
      <c r="J1557" s="78">
        <f ca="1">IF(MOD(COUNTIF($Q$11:Q1556,Q1556),5)=0,OFFSET(装备属性!$P$1083,1+INT(COUNTA($Q$11:Q1556)/5),0),J1556)</f>
        <v>3</v>
      </c>
      <c r="K1557" s="83" t="str">
        <f ca="1">IF(RIGHT(G1557,13)="rune_slot,1}]",_xlfn.XLOOKUP(LEFT(SUBSTITUTE(G1557,"[{",""),FIND(",",SUBSTITUTE(G1557,"[{",""))-1),Sheet2!B:B,Sheet2!C:C)&amp;"+"&amp;1,_xlfn.XLOOKUP(LEFT(SUBSTITUTE(G1557,"[{",""),FIND(",",SUBSTITUTE(G1557,"[{",""))-1),Sheet2!B:B,Sheet2!C:C)&amp;"+"&amp;SUBSTITUTE(RIGHT(G1557,LEN(G1557)-FIND(",",G1557)),"}]","")/100&amp;"%")</f>
        <v>召唤伤害减免+2.1%</v>
      </c>
      <c r="L1557" s="83" t="str">
        <f ca="1">IF(MOD(COUNTIF($Q$11:Q1556,Q1556),5)=0,OFFSET(装备属性!$G$1083,1+INT(COUNTA($Q$11:Q1556)/5),0),L1556)</f>
        <v>召唤硬吃Ⅰ</v>
      </c>
      <c r="M1557" s="89" t="str">
        <f ca="1">IF(MOD(COUNTIF($Q$11:Q1556,Q1556),5)=0,OFFSET(装备属性!$H$1083,1+INT(COUNTA($Q$11:Q1556)/5),0),M1556)</f>
        <v>summon_dmg_red_rate</v>
      </c>
      <c r="N1557" s="76">
        <f ca="1">IF(MOD(COUNTIF($Q$11:Q1556,Q1556),5)=0,OFFSET(装备属性!$K$1083,1+INT(COUNTA($Q$11:Q1556)/5),0),N1556)</f>
        <v>0.02</v>
      </c>
      <c r="O1557" s="76">
        <f ca="1">IF(MOD(COUNTIF($Q$11:Q1556,Q1556),5)=0,OFFSET(装备属性!$L$1083,1+INT(COUNTA($Q$11:Q1556)/5),0),O1556)</f>
        <v>0.024</v>
      </c>
      <c r="Q1557" s="89" t="str">
        <f ca="1">IF(MOD(COUNTIF($Q$11:Q1556,Q1556),5)=0,OFFSET(装备属性!$M$1083,1+INT(COUNTA($Q$11:Q1556)/5),0),Q1556)</f>
        <v>通用属性</v>
      </c>
      <c r="R1557" s="83">
        <f ca="1">IF(MOD(COUNTIF($Q$11:Q1556,Q1556),5)=0,10000*SUBSTITUTE(SUBSTITUTE(OFFSET(装备属性!$F$1083,1+INT(COUNTA($Q$11:Q1556)/5),0),"[",""),"]","")+_xlfn.XLOOKUP(C1557,$M$3:$M$7,$N$3:$N$7)*100,R1556)</f>
        <v>60400</v>
      </c>
    </row>
    <row r="1558" customHeight="1" spans="1:18">
      <c r="A1558" s="78">
        <f ca="1" t="shared" si="72"/>
        <v>60401</v>
      </c>
      <c r="B1558" s="82">
        <f ca="1">IFERROR(R1558+COUNTIFS($R$11:$R1558,R1558),"")</f>
        <v>60418</v>
      </c>
      <c r="C1558" s="83" t="str">
        <f ca="1">IF(MOD(COUNTIF($Q$11:Q1557,Q1557),5)=0,OFFSET(装备属性!$D$1083,1+INT(COUNTA($Q$11:Q1557)/5),0),C1557)</f>
        <v>紫</v>
      </c>
      <c r="D1558" s="82">
        <f t="shared" si="74"/>
        <v>2000</v>
      </c>
      <c r="F1558" s="82">
        <f ca="1" t="shared" si="73"/>
        <v>60403</v>
      </c>
      <c r="G1558" s="78" t="str">
        <f ca="1">IF(AND(LEFT("[{"&amp;M1558&amp;","&amp;CEILING(N1558*10000+(O1558-N1558)/4*(COUNTIF($F$11:F1558,F1558)-1)*10000,10)&amp;"}]",7)="[{equip",MID("[{"&amp;M1558&amp;","&amp;CEILING(N1558*10000+(O1558-N1558)/4*(COUNTIF($F$11:F1558,F1558)-1)*10000,10)&amp;"}]",8,1)&lt;&gt;"_"),"[{"&amp;M1558&amp;","&amp;1&amp;"}]","[{"&amp;M1558&amp;","&amp;CEILING(N1558*10000+(O1558-N1558)/4*(COUNTIF($F$11:F1558,F1558)-1)*10000,10)&amp;"}]")</f>
        <v>[{summon_dmg_red_rate,220}]</v>
      </c>
      <c r="H1558" s="82" t="s">
        <v>563</v>
      </c>
      <c r="J1558" s="78">
        <f ca="1">IF(MOD(COUNTIF($Q$11:Q1557,Q1557),5)=0,OFFSET(装备属性!$P$1083,1+INT(COUNTA($Q$11:Q1557)/5),0),J1557)</f>
        <v>3</v>
      </c>
      <c r="K1558" s="83" t="str">
        <f ca="1">IF(RIGHT(G1558,13)="rune_slot,1}]",_xlfn.XLOOKUP(LEFT(SUBSTITUTE(G1558,"[{",""),FIND(",",SUBSTITUTE(G1558,"[{",""))-1),Sheet2!B:B,Sheet2!C:C)&amp;"+"&amp;1,_xlfn.XLOOKUP(LEFT(SUBSTITUTE(G1558,"[{",""),FIND(",",SUBSTITUTE(G1558,"[{",""))-1),Sheet2!B:B,Sheet2!C:C)&amp;"+"&amp;SUBSTITUTE(RIGHT(G1558,LEN(G1558)-FIND(",",G1558)),"}]","")/100&amp;"%")</f>
        <v>召唤伤害减免+2.2%</v>
      </c>
      <c r="L1558" s="83" t="str">
        <f ca="1">IF(MOD(COUNTIF($Q$11:Q1557,Q1557),5)=0,OFFSET(装备属性!$G$1083,1+INT(COUNTA($Q$11:Q1557)/5),0),L1557)</f>
        <v>召唤硬吃Ⅰ</v>
      </c>
      <c r="M1558" s="89" t="str">
        <f ca="1">IF(MOD(COUNTIF($Q$11:Q1557,Q1557),5)=0,OFFSET(装备属性!$H$1083,1+INT(COUNTA($Q$11:Q1557)/5),0),M1557)</f>
        <v>summon_dmg_red_rate</v>
      </c>
      <c r="N1558" s="76">
        <f ca="1">IF(MOD(COUNTIF($Q$11:Q1557,Q1557),5)=0,OFFSET(装备属性!$K$1083,1+INT(COUNTA($Q$11:Q1557)/5),0),N1557)</f>
        <v>0.02</v>
      </c>
      <c r="O1558" s="76">
        <f ca="1">IF(MOD(COUNTIF($Q$11:Q1557,Q1557),5)=0,OFFSET(装备属性!$L$1083,1+INT(COUNTA($Q$11:Q1557)/5),0),O1557)</f>
        <v>0.024</v>
      </c>
      <c r="Q1558" s="89" t="str">
        <f ca="1">IF(MOD(COUNTIF($Q$11:Q1557,Q1557),5)=0,OFFSET(装备属性!$M$1083,1+INT(COUNTA($Q$11:Q1557)/5),0),Q1557)</f>
        <v>通用属性</v>
      </c>
      <c r="R1558" s="83">
        <f ca="1">IF(MOD(COUNTIF($Q$11:Q1557,Q1557),5)=0,10000*SUBSTITUTE(SUBSTITUTE(OFFSET(装备属性!$F$1083,1+INT(COUNTA($Q$11:Q1557)/5),0),"[",""),"]","")+_xlfn.XLOOKUP(C1558,$M$3:$M$7,$N$3:$N$7)*100,R1557)</f>
        <v>60400</v>
      </c>
    </row>
    <row r="1559" customHeight="1" spans="1:18">
      <c r="A1559" s="78">
        <f ca="1" t="shared" si="72"/>
        <v>60401</v>
      </c>
      <c r="B1559" s="82">
        <f ca="1">IFERROR(R1559+COUNTIFS($R$11:$R1559,R1559),"")</f>
        <v>60419</v>
      </c>
      <c r="C1559" s="83" t="str">
        <f ca="1">IF(MOD(COUNTIF($Q$11:Q1558,Q1558),5)=0,OFFSET(装备属性!$D$1083,1+INT(COUNTA($Q$11:Q1558)/5),0),C1558)</f>
        <v>紫</v>
      </c>
      <c r="D1559" s="82">
        <f t="shared" si="74"/>
        <v>1500</v>
      </c>
      <c r="F1559" s="82">
        <f ca="1" t="shared" si="73"/>
        <v>60403</v>
      </c>
      <c r="G1559" s="78" t="str">
        <f ca="1">IF(AND(LEFT("[{"&amp;M1559&amp;","&amp;CEILING(N1559*10000+(O1559-N1559)/4*(COUNTIF($F$11:F1559,F1559)-1)*10000,10)&amp;"}]",7)="[{equip",MID("[{"&amp;M1559&amp;","&amp;CEILING(N1559*10000+(O1559-N1559)/4*(COUNTIF($F$11:F1559,F1559)-1)*10000,10)&amp;"}]",8,1)&lt;&gt;"_"),"[{"&amp;M1559&amp;","&amp;1&amp;"}]","[{"&amp;M1559&amp;","&amp;CEILING(N1559*10000+(O1559-N1559)/4*(COUNTIF($F$11:F1559,F1559)-1)*10000,10)&amp;"}]")</f>
        <v>[{summon_dmg_red_rate,230}]</v>
      </c>
      <c r="H1559" s="82" t="s">
        <v>563</v>
      </c>
      <c r="J1559" s="78">
        <f ca="1">IF(MOD(COUNTIF($Q$11:Q1558,Q1558),5)=0,OFFSET(装备属性!$P$1083,1+INT(COUNTA($Q$11:Q1558)/5),0),J1558)</f>
        <v>3</v>
      </c>
      <c r="K1559" s="83" t="str">
        <f ca="1">IF(RIGHT(G1559,13)="rune_slot,1}]",_xlfn.XLOOKUP(LEFT(SUBSTITUTE(G1559,"[{",""),FIND(",",SUBSTITUTE(G1559,"[{",""))-1),Sheet2!B:B,Sheet2!C:C)&amp;"+"&amp;1,_xlfn.XLOOKUP(LEFT(SUBSTITUTE(G1559,"[{",""),FIND(",",SUBSTITUTE(G1559,"[{",""))-1),Sheet2!B:B,Sheet2!C:C)&amp;"+"&amp;SUBSTITUTE(RIGHT(G1559,LEN(G1559)-FIND(",",G1559)),"}]","")/100&amp;"%")</f>
        <v>召唤伤害减免+2.3%</v>
      </c>
      <c r="L1559" s="83" t="str">
        <f ca="1">IF(MOD(COUNTIF($Q$11:Q1558,Q1558),5)=0,OFFSET(装备属性!$G$1083,1+INT(COUNTA($Q$11:Q1558)/5),0),L1558)</f>
        <v>召唤硬吃Ⅰ</v>
      </c>
      <c r="M1559" s="89" t="str">
        <f ca="1">IF(MOD(COUNTIF($Q$11:Q1558,Q1558),5)=0,OFFSET(装备属性!$H$1083,1+INT(COUNTA($Q$11:Q1558)/5),0),M1558)</f>
        <v>summon_dmg_red_rate</v>
      </c>
      <c r="N1559" s="76">
        <f ca="1">IF(MOD(COUNTIF($Q$11:Q1558,Q1558),5)=0,OFFSET(装备属性!$K$1083,1+INT(COUNTA($Q$11:Q1558)/5),0),N1558)</f>
        <v>0.02</v>
      </c>
      <c r="O1559" s="76">
        <f ca="1">IF(MOD(COUNTIF($Q$11:Q1558,Q1558),5)=0,OFFSET(装备属性!$L$1083,1+INT(COUNTA($Q$11:Q1558)/5),0),O1558)</f>
        <v>0.024</v>
      </c>
      <c r="Q1559" s="89" t="str">
        <f ca="1">IF(MOD(COUNTIF($Q$11:Q1558,Q1558),5)=0,OFFSET(装备属性!$M$1083,1+INT(COUNTA($Q$11:Q1558)/5),0),Q1558)</f>
        <v>通用属性</v>
      </c>
      <c r="R1559" s="83">
        <f ca="1">IF(MOD(COUNTIF($Q$11:Q1558,Q1558),5)=0,10000*SUBSTITUTE(SUBSTITUTE(OFFSET(装备属性!$F$1083,1+INT(COUNTA($Q$11:Q1558)/5),0),"[",""),"]","")+_xlfn.XLOOKUP(C1559,$M$3:$M$7,$N$3:$N$7)*100,R1558)</f>
        <v>60400</v>
      </c>
    </row>
    <row r="1560" customHeight="1" spans="1:18">
      <c r="A1560" s="78">
        <f ca="1" t="shared" si="72"/>
        <v>60401</v>
      </c>
      <c r="B1560" s="82">
        <f ca="1">IFERROR(R1560+COUNTIFS($R$11:$R1560,R1560),"")</f>
        <v>60420</v>
      </c>
      <c r="C1560" s="83" t="str">
        <f ca="1">IF(MOD(COUNTIF($Q$11:Q1559,Q1559),5)=0,OFFSET(装备属性!$D$1083,1+INT(COUNTA($Q$11:Q1559)/5),0),C1559)</f>
        <v>紫</v>
      </c>
      <c r="D1560" s="82">
        <f t="shared" si="74"/>
        <v>1000</v>
      </c>
      <c r="F1560" s="82">
        <f ca="1" t="shared" si="73"/>
        <v>60403</v>
      </c>
      <c r="G1560" s="78" t="str">
        <f ca="1">IF(AND(LEFT("[{"&amp;M1560&amp;","&amp;CEILING(N1560*10000+(O1560-N1560)/4*(COUNTIF($F$11:F1560,F1560)-1)*10000,10)&amp;"}]",7)="[{equip",MID("[{"&amp;M1560&amp;","&amp;CEILING(N1560*10000+(O1560-N1560)/4*(COUNTIF($F$11:F1560,F1560)-1)*10000,10)&amp;"}]",8,1)&lt;&gt;"_"),"[{"&amp;M1560&amp;","&amp;1&amp;"}]","[{"&amp;M1560&amp;","&amp;CEILING(N1560*10000+(O1560-N1560)/4*(COUNTIF($F$11:F1560,F1560)-1)*10000,10)&amp;"}]")</f>
        <v>[{summon_dmg_red_rate,240}]</v>
      </c>
      <c r="H1560" s="82" t="s">
        <v>563</v>
      </c>
      <c r="J1560" s="78">
        <f ca="1">IF(MOD(COUNTIF($Q$11:Q1559,Q1559),5)=0,OFFSET(装备属性!$P$1083,1+INT(COUNTA($Q$11:Q1559)/5),0),J1559)</f>
        <v>3</v>
      </c>
      <c r="K1560" s="83" t="str">
        <f ca="1">IF(RIGHT(G1560,13)="rune_slot,1}]",_xlfn.XLOOKUP(LEFT(SUBSTITUTE(G1560,"[{",""),FIND(",",SUBSTITUTE(G1560,"[{",""))-1),Sheet2!B:B,Sheet2!C:C)&amp;"+"&amp;1,_xlfn.XLOOKUP(LEFT(SUBSTITUTE(G1560,"[{",""),FIND(",",SUBSTITUTE(G1560,"[{",""))-1),Sheet2!B:B,Sheet2!C:C)&amp;"+"&amp;SUBSTITUTE(RIGHT(G1560,LEN(G1560)-FIND(",",G1560)),"}]","")/100&amp;"%")</f>
        <v>召唤伤害减免+2.4%</v>
      </c>
      <c r="L1560" s="83" t="str">
        <f ca="1">IF(MOD(COUNTIF($Q$11:Q1559,Q1559),5)=0,OFFSET(装备属性!$G$1083,1+INT(COUNTA($Q$11:Q1559)/5),0),L1559)</f>
        <v>召唤硬吃Ⅰ</v>
      </c>
      <c r="M1560" s="89" t="str">
        <f ca="1">IF(MOD(COUNTIF($Q$11:Q1559,Q1559),5)=0,OFFSET(装备属性!$H$1083,1+INT(COUNTA($Q$11:Q1559)/5),0),M1559)</f>
        <v>summon_dmg_red_rate</v>
      </c>
      <c r="N1560" s="76">
        <f ca="1">IF(MOD(COUNTIF($Q$11:Q1559,Q1559),5)=0,OFFSET(装备属性!$K$1083,1+INT(COUNTA($Q$11:Q1559)/5),0),N1559)</f>
        <v>0.02</v>
      </c>
      <c r="O1560" s="76">
        <f ca="1">IF(MOD(COUNTIF($Q$11:Q1559,Q1559),5)=0,OFFSET(装备属性!$L$1083,1+INT(COUNTA($Q$11:Q1559)/5),0),O1559)</f>
        <v>0.024</v>
      </c>
      <c r="Q1560" s="89" t="str">
        <f ca="1">IF(MOD(COUNTIF($Q$11:Q1559,Q1559),5)=0,OFFSET(装备属性!$M$1083,1+INT(COUNTA($Q$11:Q1559)/5),0),Q1559)</f>
        <v>通用属性</v>
      </c>
      <c r="R1560" s="83">
        <f ca="1">IF(MOD(COUNTIF($Q$11:Q1559,Q1559),5)=0,10000*SUBSTITUTE(SUBSTITUTE(OFFSET(装备属性!$F$1083,1+INT(COUNTA($Q$11:Q1559)/5),0),"[",""),"]","")+_xlfn.XLOOKUP(C1560,$M$3:$M$7,$N$3:$N$7)*100,R1559)</f>
        <v>60400</v>
      </c>
    </row>
    <row r="1561" customHeight="1" spans="1:18">
      <c r="A1561" s="78" t="str">
        <f ca="1" t="shared" si="72"/>
        <v/>
      </c>
      <c r="B1561" s="82" t="str">
        <f ca="1">IFERROR(R1561+COUNTIFS($R$11:$R1561,R1561),"")</f>
        <v/>
      </c>
      <c r="C1561" s="83">
        <f ca="1">IF(MOD(COUNTIF($Q$11:Q1560,Q1560),5)=0,OFFSET(装备属性!$D$1083,1+INT(COUNTA($Q$11:Q1560)/5),0),C1560)</f>
        <v>0</v>
      </c>
      <c r="D1561" s="82">
        <f t="shared" si="74"/>
        <v>3000</v>
      </c>
      <c r="F1561" s="82" t="str">
        <f ca="1" t="shared" si="73"/>
        <v/>
      </c>
      <c r="G1561" s="78" t="str">
        <f ca="1">IF(AND(LEFT("[{"&amp;M1561&amp;","&amp;CEILING(N1561*10000+(O1561-N1561)/4*(COUNTIF($F$11:F1561,F1561)-1)*10000,10)&amp;"}]",7)="[{equip",MID("[{"&amp;M1561&amp;","&amp;CEILING(N1561*10000+(O1561-N1561)/4*(COUNTIF($F$11:F1561,F1561)-1)*10000,10)&amp;"}]",8,1)&lt;&gt;"_"),"[{"&amp;M1561&amp;","&amp;1&amp;"}]","[{"&amp;M1561&amp;","&amp;CEILING(N1561*10000+(O1561-N1561)/4*(COUNTIF($F$11:F1561,F1561)-1)*10000,10)&amp;"}]")</f>
        <v>[{summon_class_dmg_rate,24040}]</v>
      </c>
      <c r="H1561" s="82" t="s">
        <v>563</v>
      </c>
      <c r="J1561" s="78">
        <f ca="1">IF(MOD(COUNTIF($Q$11:Q1560,Q1560),5)=0,OFFSET(装备属性!$P$1083,1+INT(COUNTA($Q$11:Q1560)/5),0),J1560)</f>
        <v>4</v>
      </c>
      <c r="K1561" s="83" t="str">
        <f ca="1">IF(RIGHT(G1561,13)="rune_slot,1}]",_xlfn.XLOOKUP(LEFT(SUBSTITUTE(G1561,"[{",""),FIND(",",SUBSTITUTE(G1561,"[{",""))-1),Sheet2!B:B,Sheet2!C:C)&amp;"+"&amp;1,_xlfn.XLOOKUP(LEFT(SUBSTITUTE(G1561,"[{",""),FIND(",",SUBSTITUTE(G1561,"[{",""))-1),Sheet2!B:B,Sheet2!C:C)&amp;"+"&amp;SUBSTITUTE(RIGHT(G1561,LEN(G1561)-FIND(",",G1561)),"}]","")/100&amp;"%")</f>
        <v>上阵两个召唤职业增伤+240.4%</v>
      </c>
      <c r="L1561" s="83" t="str">
        <f ca="1">IF(MOD(COUNTIF($Q$11:Q1560,Q1560),5)=0,OFFSET(装备属性!$G$1083,1+INT(COUNTA($Q$11:Q1560)/5),0),L1560)</f>
        <v>召唤小队Ⅰ</v>
      </c>
      <c r="M1561" s="89" t="str">
        <f ca="1">IF(MOD(COUNTIF($Q$11:Q1560,Q1560),5)=0,OFFSET(装备属性!$H$1083,1+INT(COUNTA($Q$11:Q1560)/5),0),M1560)</f>
        <v>summon_class_dmg_rate</v>
      </c>
      <c r="N1561" s="76">
        <f ca="1">IF(MOD(COUNTIF($Q$11:Q1560,Q1560),5)=0,OFFSET(装备属性!$K$1083,1+INT(COUNTA($Q$11:Q1560)/5),0),N1560)</f>
        <v>0.06</v>
      </c>
      <c r="O1561" s="76">
        <f ca="1">IF(MOD(COUNTIF($Q$11:Q1560,Q1560),5)=0,OFFSET(装备属性!$L$1083,1+INT(COUNTA($Q$11:Q1560)/5),0),O1560)</f>
        <v>0.075</v>
      </c>
      <c r="Q1561" s="89" t="str">
        <f ca="1">IF(MOD(COUNTIF($Q$11:Q1560,Q1560),5)=0,OFFSET(装备属性!$M$1083,1+INT(COUNTA($Q$11:Q1560)/5),0),Q1560)</f>
        <v>通用属性</v>
      </c>
      <c r="R1561" s="83" t="e">
        <f ca="1">IF(MOD(COUNTIF($Q$11:Q1560,Q1560),5)=0,10000*SUBSTITUTE(SUBSTITUTE(OFFSET(装备属性!$F$1083,1+INT(COUNTA($Q$11:Q1560)/5),0),"[",""),"]","")+_xlfn.XLOOKUP(C1561,$M$3:$M$7,$N$3:$N$7)*100,R1560)</f>
        <v>#N/A</v>
      </c>
    </row>
    <row r="1562" customHeight="1" spans="1:18">
      <c r="A1562" s="78" t="str">
        <f ca="1" t="shared" si="72"/>
        <v/>
      </c>
      <c r="B1562" s="82" t="str">
        <f ca="1">IFERROR(R1562+COUNTIFS($R$11:$R1562,R1562),"")</f>
        <v/>
      </c>
      <c r="C1562" s="83">
        <f ca="1">IF(MOD(COUNTIF($Q$11:Q1561,Q1561),5)=0,OFFSET(装备属性!$D$1083,1+INT(COUNTA($Q$11:Q1561)/5),0),C1561)</f>
        <v>0</v>
      </c>
      <c r="D1562" s="82">
        <f t="shared" si="74"/>
        <v>2500</v>
      </c>
      <c r="F1562" s="82" t="str">
        <f ca="1" t="shared" si="73"/>
        <v/>
      </c>
      <c r="G1562" s="78" t="str">
        <f ca="1">IF(AND(LEFT("[{"&amp;M1562&amp;","&amp;CEILING(N1562*10000+(O1562-N1562)/4*(COUNTIF($F$11:F1562,F1562)-1)*10000,10)&amp;"}]",7)="[{equip",MID("[{"&amp;M1562&amp;","&amp;CEILING(N1562*10000+(O1562-N1562)/4*(COUNTIF($F$11:F1562,F1562)-1)*10000,10)&amp;"}]",8,1)&lt;&gt;"_"),"[{"&amp;M1562&amp;","&amp;1&amp;"}]","[{"&amp;M1562&amp;","&amp;CEILING(N1562*10000+(O1562-N1562)/4*(COUNTIF($F$11:F1562,F1562)-1)*10000,10)&amp;"}]")</f>
        <v>[{summon_class_dmg_rate,24080}]</v>
      </c>
      <c r="H1562" s="82" t="s">
        <v>563</v>
      </c>
      <c r="J1562" s="78">
        <f ca="1">IF(MOD(COUNTIF($Q$11:Q1561,Q1561),5)=0,OFFSET(装备属性!$P$1083,1+INT(COUNTA($Q$11:Q1561)/5),0),J1561)</f>
        <v>4</v>
      </c>
      <c r="K1562" s="83" t="str">
        <f ca="1">IF(RIGHT(G1562,13)="rune_slot,1}]",_xlfn.XLOOKUP(LEFT(SUBSTITUTE(G1562,"[{",""),FIND(",",SUBSTITUTE(G1562,"[{",""))-1),Sheet2!B:B,Sheet2!C:C)&amp;"+"&amp;1,_xlfn.XLOOKUP(LEFT(SUBSTITUTE(G1562,"[{",""),FIND(",",SUBSTITUTE(G1562,"[{",""))-1),Sheet2!B:B,Sheet2!C:C)&amp;"+"&amp;SUBSTITUTE(RIGHT(G1562,LEN(G1562)-FIND(",",G1562)),"}]","")/100&amp;"%")</f>
        <v>上阵两个召唤职业增伤+240.8%</v>
      </c>
      <c r="L1562" s="83" t="str">
        <f ca="1">IF(MOD(COUNTIF($Q$11:Q1561,Q1561),5)=0,OFFSET(装备属性!$G$1083,1+INT(COUNTA($Q$11:Q1561)/5),0),L1561)</f>
        <v>召唤小队Ⅰ</v>
      </c>
      <c r="M1562" s="89" t="str">
        <f ca="1">IF(MOD(COUNTIF($Q$11:Q1561,Q1561),5)=0,OFFSET(装备属性!$H$1083,1+INT(COUNTA($Q$11:Q1561)/5),0),M1561)</f>
        <v>summon_class_dmg_rate</v>
      </c>
      <c r="N1562" s="76">
        <f ca="1">IF(MOD(COUNTIF($Q$11:Q1561,Q1561),5)=0,OFFSET(装备属性!$K$1083,1+INT(COUNTA($Q$11:Q1561)/5),0),N1561)</f>
        <v>0.06</v>
      </c>
      <c r="O1562" s="76">
        <f ca="1">IF(MOD(COUNTIF($Q$11:Q1561,Q1561),5)=0,OFFSET(装备属性!$L$1083,1+INT(COUNTA($Q$11:Q1561)/5),0),O1561)</f>
        <v>0.075</v>
      </c>
      <c r="Q1562" s="89" t="str">
        <f ca="1">IF(MOD(COUNTIF($Q$11:Q1561,Q1561),5)=0,OFFSET(装备属性!$M$1083,1+INT(COUNTA($Q$11:Q1561)/5),0),Q1561)</f>
        <v>通用属性</v>
      </c>
      <c r="R1562" s="83" t="e">
        <f ca="1">IF(MOD(COUNTIF($Q$11:Q1561,Q1561),5)=0,10000*SUBSTITUTE(SUBSTITUTE(OFFSET(装备属性!$F$1083,1+INT(COUNTA($Q$11:Q1561)/5),0),"[",""),"]","")+_xlfn.XLOOKUP(C1562,$M$3:$M$7,$N$3:$N$7)*100,R1561)</f>
        <v>#N/A</v>
      </c>
    </row>
    <row r="1563" customHeight="1" spans="1:18">
      <c r="A1563" s="78" t="str">
        <f ca="1" t="shared" si="72"/>
        <v/>
      </c>
      <c r="B1563" s="82" t="str">
        <f ca="1">IFERROR(R1563+COUNTIFS($R$11:$R1563,R1563),"")</f>
        <v/>
      </c>
      <c r="C1563" s="83">
        <f ca="1">IF(MOD(COUNTIF($Q$11:Q1562,Q1562),5)=0,OFFSET(装备属性!$D$1083,1+INT(COUNTA($Q$11:Q1562)/5),0),C1562)</f>
        <v>0</v>
      </c>
      <c r="D1563" s="82">
        <f t="shared" si="74"/>
        <v>2000</v>
      </c>
      <c r="F1563" s="82" t="str">
        <f ca="1" t="shared" si="73"/>
        <v/>
      </c>
      <c r="G1563" s="78" t="str">
        <f ca="1">IF(AND(LEFT("[{"&amp;M1563&amp;","&amp;CEILING(N1563*10000+(O1563-N1563)/4*(COUNTIF($F$11:F1563,F1563)-1)*10000,10)&amp;"}]",7)="[{equip",MID("[{"&amp;M1563&amp;","&amp;CEILING(N1563*10000+(O1563-N1563)/4*(COUNTIF($F$11:F1563,F1563)-1)*10000,10)&amp;"}]",8,1)&lt;&gt;"_"),"[{"&amp;M1563&amp;","&amp;1&amp;"}]","[{"&amp;M1563&amp;","&amp;CEILING(N1563*10000+(O1563-N1563)/4*(COUNTIF($F$11:F1563,F1563)-1)*10000,10)&amp;"}]")</f>
        <v>[{summon_class_dmg_rate,24120}]</v>
      </c>
      <c r="H1563" s="82" t="s">
        <v>563</v>
      </c>
      <c r="J1563" s="78">
        <f ca="1">IF(MOD(COUNTIF($Q$11:Q1562,Q1562),5)=0,OFFSET(装备属性!$P$1083,1+INT(COUNTA($Q$11:Q1562)/5),0),J1562)</f>
        <v>4</v>
      </c>
      <c r="K1563" s="83" t="str">
        <f ca="1">IF(RIGHT(G1563,13)="rune_slot,1}]",_xlfn.XLOOKUP(LEFT(SUBSTITUTE(G1563,"[{",""),FIND(",",SUBSTITUTE(G1563,"[{",""))-1),Sheet2!B:B,Sheet2!C:C)&amp;"+"&amp;1,_xlfn.XLOOKUP(LEFT(SUBSTITUTE(G1563,"[{",""),FIND(",",SUBSTITUTE(G1563,"[{",""))-1),Sheet2!B:B,Sheet2!C:C)&amp;"+"&amp;SUBSTITUTE(RIGHT(G1563,LEN(G1563)-FIND(",",G1563)),"}]","")/100&amp;"%")</f>
        <v>上阵两个召唤职业增伤+241.2%</v>
      </c>
      <c r="L1563" s="83" t="str">
        <f ca="1">IF(MOD(COUNTIF($Q$11:Q1562,Q1562),5)=0,OFFSET(装备属性!$G$1083,1+INT(COUNTA($Q$11:Q1562)/5),0),L1562)</f>
        <v>召唤小队Ⅰ</v>
      </c>
      <c r="M1563" s="89" t="str">
        <f ca="1">IF(MOD(COUNTIF($Q$11:Q1562,Q1562),5)=0,OFFSET(装备属性!$H$1083,1+INT(COUNTA($Q$11:Q1562)/5),0),M1562)</f>
        <v>summon_class_dmg_rate</v>
      </c>
      <c r="N1563" s="76">
        <f ca="1">IF(MOD(COUNTIF($Q$11:Q1562,Q1562),5)=0,OFFSET(装备属性!$K$1083,1+INT(COUNTA($Q$11:Q1562)/5),0),N1562)</f>
        <v>0.06</v>
      </c>
      <c r="O1563" s="76">
        <f ca="1">IF(MOD(COUNTIF($Q$11:Q1562,Q1562),5)=0,OFFSET(装备属性!$L$1083,1+INT(COUNTA($Q$11:Q1562)/5),0),O1562)</f>
        <v>0.075</v>
      </c>
      <c r="Q1563" s="89" t="str">
        <f ca="1">IF(MOD(COUNTIF($Q$11:Q1562,Q1562),5)=0,OFFSET(装备属性!$M$1083,1+INT(COUNTA($Q$11:Q1562)/5),0),Q1562)</f>
        <v>通用属性</v>
      </c>
      <c r="R1563" s="83" t="e">
        <f ca="1">IF(MOD(COUNTIF($Q$11:Q1562,Q1562),5)=0,10000*SUBSTITUTE(SUBSTITUTE(OFFSET(装备属性!$F$1083,1+INT(COUNTA($Q$11:Q1562)/5),0),"[",""),"]","")+_xlfn.XLOOKUP(C1563,$M$3:$M$7,$N$3:$N$7)*100,R1562)</f>
        <v>#N/A</v>
      </c>
    </row>
    <row r="1564" customHeight="1" spans="1:18">
      <c r="A1564" s="78" t="str">
        <f ca="1" t="shared" si="72"/>
        <v/>
      </c>
      <c r="B1564" s="82" t="str">
        <f ca="1">IFERROR(R1564+COUNTIFS($R$11:$R1564,R1564),"")</f>
        <v/>
      </c>
      <c r="C1564" s="83">
        <f ca="1">IF(MOD(COUNTIF($Q$11:Q1563,Q1563),5)=0,OFFSET(装备属性!$D$1083,1+INT(COUNTA($Q$11:Q1563)/5),0),C1563)</f>
        <v>0</v>
      </c>
      <c r="D1564" s="82">
        <f t="shared" si="74"/>
        <v>1500</v>
      </c>
      <c r="F1564" s="82" t="str">
        <f ca="1" t="shared" si="73"/>
        <v/>
      </c>
      <c r="G1564" s="78" t="str">
        <f ca="1">IF(AND(LEFT("[{"&amp;M1564&amp;","&amp;CEILING(N1564*10000+(O1564-N1564)/4*(COUNTIF($F$11:F1564,F1564)-1)*10000,10)&amp;"}]",7)="[{equip",MID("[{"&amp;M1564&amp;","&amp;CEILING(N1564*10000+(O1564-N1564)/4*(COUNTIF($F$11:F1564,F1564)-1)*10000,10)&amp;"}]",8,1)&lt;&gt;"_"),"[{"&amp;M1564&amp;","&amp;1&amp;"}]","[{"&amp;M1564&amp;","&amp;CEILING(N1564*10000+(O1564-N1564)/4*(COUNTIF($F$11:F1564,F1564)-1)*10000,10)&amp;"}]")</f>
        <v>[{summon_class_dmg_rate,24150}]</v>
      </c>
      <c r="H1564" s="82" t="s">
        <v>563</v>
      </c>
      <c r="J1564" s="78">
        <f ca="1">IF(MOD(COUNTIF($Q$11:Q1563,Q1563),5)=0,OFFSET(装备属性!$P$1083,1+INT(COUNTA($Q$11:Q1563)/5),0),J1563)</f>
        <v>4</v>
      </c>
      <c r="K1564" s="83" t="str">
        <f ca="1">IF(RIGHT(G1564,13)="rune_slot,1}]",_xlfn.XLOOKUP(LEFT(SUBSTITUTE(G1564,"[{",""),FIND(",",SUBSTITUTE(G1564,"[{",""))-1),Sheet2!B:B,Sheet2!C:C)&amp;"+"&amp;1,_xlfn.XLOOKUP(LEFT(SUBSTITUTE(G1564,"[{",""),FIND(",",SUBSTITUTE(G1564,"[{",""))-1),Sheet2!B:B,Sheet2!C:C)&amp;"+"&amp;SUBSTITUTE(RIGHT(G1564,LEN(G1564)-FIND(",",G1564)),"}]","")/100&amp;"%")</f>
        <v>上阵两个召唤职业增伤+241.5%</v>
      </c>
      <c r="L1564" s="83" t="str">
        <f ca="1">IF(MOD(COUNTIF($Q$11:Q1563,Q1563),5)=0,OFFSET(装备属性!$G$1083,1+INT(COUNTA($Q$11:Q1563)/5),0),L1563)</f>
        <v>召唤小队Ⅰ</v>
      </c>
      <c r="M1564" s="89" t="str">
        <f ca="1">IF(MOD(COUNTIF($Q$11:Q1563,Q1563),5)=0,OFFSET(装备属性!$H$1083,1+INT(COUNTA($Q$11:Q1563)/5),0),M1563)</f>
        <v>summon_class_dmg_rate</v>
      </c>
      <c r="N1564" s="76">
        <f ca="1">IF(MOD(COUNTIF($Q$11:Q1563,Q1563),5)=0,OFFSET(装备属性!$K$1083,1+INT(COUNTA($Q$11:Q1563)/5),0),N1563)</f>
        <v>0.06</v>
      </c>
      <c r="O1564" s="76">
        <f ca="1">IF(MOD(COUNTIF($Q$11:Q1563,Q1563),5)=0,OFFSET(装备属性!$L$1083,1+INT(COUNTA($Q$11:Q1563)/5),0),O1563)</f>
        <v>0.075</v>
      </c>
      <c r="Q1564" s="89" t="str">
        <f ca="1">IF(MOD(COUNTIF($Q$11:Q1563,Q1563),5)=0,OFFSET(装备属性!$M$1083,1+INT(COUNTA($Q$11:Q1563)/5),0),Q1563)</f>
        <v>通用属性</v>
      </c>
      <c r="R1564" s="83" t="e">
        <f ca="1">IF(MOD(COUNTIF($Q$11:Q1563,Q1563),5)=0,10000*SUBSTITUTE(SUBSTITUTE(OFFSET(装备属性!$F$1083,1+INT(COUNTA($Q$11:Q1563)/5),0),"[",""),"]","")+_xlfn.XLOOKUP(C1564,$M$3:$M$7,$N$3:$N$7)*100,R1563)</f>
        <v>#N/A</v>
      </c>
    </row>
    <row r="1565" customHeight="1" spans="1:18">
      <c r="A1565" s="78" t="str">
        <f ca="1" t="shared" si="72"/>
        <v/>
      </c>
      <c r="B1565" s="82" t="str">
        <f ca="1">IFERROR(R1565+COUNTIFS($R$11:$R1565,R1565),"")</f>
        <v/>
      </c>
      <c r="C1565" s="83">
        <f ca="1">IF(MOD(COUNTIF($Q$11:Q1564,Q1564),5)=0,OFFSET(装备属性!$D$1083,1+INT(COUNTA($Q$11:Q1564)/5),0),C1564)</f>
        <v>0</v>
      </c>
      <c r="D1565" s="82">
        <f t="shared" si="74"/>
        <v>1000</v>
      </c>
      <c r="F1565" s="82" t="str">
        <f ca="1" t="shared" si="73"/>
        <v/>
      </c>
      <c r="G1565" s="78" t="str">
        <f ca="1">IF(AND(LEFT("[{"&amp;M1565&amp;","&amp;CEILING(N1565*10000+(O1565-N1565)/4*(COUNTIF($F$11:F1565,F1565)-1)*10000,10)&amp;"}]",7)="[{equip",MID("[{"&amp;M1565&amp;","&amp;CEILING(N1565*10000+(O1565-N1565)/4*(COUNTIF($F$11:F1565,F1565)-1)*10000,10)&amp;"}]",8,1)&lt;&gt;"_"),"[{"&amp;M1565&amp;","&amp;1&amp;"}]","[{"&amp;M1565&amp;","&amp;CEILING(N1565*10000+(O1565-N1565)/4*(COUNTIF($F$11:F1565,F1565)-1)*10000,10)&amp;"}]")</f>
        <v>[{summon_class_dmg_rate,24190}]</v>
      </c>
      <c r="H1565" s="82" t="s">
        <v>563</v>
      </c>
      <c r="J1565" s="78">
        <f ca="1">IF(MOD(COUNTIF($Q$11:Q1564,Q1564),5)=0,OFFSET(装备属性!$P$1083,1+INT(COUNTA($Q$11:Q1564)/5),0),J1564)</f>
        <v>4</v>
      </c>
      <c r="K1565" s="83" t="str">
        <f ca="1">IF(RIGHT(G1565,13)="rune_slot,1}]",_xlfn.XLOOKUP(LEFT(SUBSTITUTE(G1565,"[{",""),FIND(",",SUBSTITUTE(G1565,"[{",""))-1),Sheet2!B:B,Sheet2!C:C)&amp;"+"&amp;1,_xlfn.XLOOKUP(LEFT(SUBSTITUTE(G1565,"[{",""),FIND(",",SUBSTITUTE(G1565,"[{",""))-1),Sheet2!B:B,Sheet2!C:C)&amp;"+"&amp;SUBSTITUTE(RIGHT(G1565,LEN(G1565)-FIND(",",G1565)),"}]","")/100&amp;"%")</f>
        <v>上阵两个召唤职业增伤+241.9%</v>
      </c>
      <c r="L1565" s="83" t="str">
        <f ca="1">IF(MOD(COUNTIF($Q$11:Q1564,Q1564),5)=0,OFFSET(装备属性!$G$1083,1+INT(COUNTA($Q$11:Q1564)/5),0),L1564)</f>
        <v>召唤小队Ⅰ</v>
      </c>
      <c r="M1565" s="89" t="str">
        <f ca="1">IF(MOD(COUNTIF($Q$11:Q1564,Q1564),5)=0,OFFSET(装备属性!$H$1083,1+INT(COUNTA($Q$11:Q1564)/5),0),M1564)</f>
        <v>summon_class_dmg_rate</v>
      </c>
      <c r="N1565" s="76">
        <f ca="1">IF(MOD(COUNTIF($Q$11:Q1564,Q1564),5)=0,OFFSET(装备属性!$K$1083,1+INT(COUNTA($Q$11:Q1564)/5),0),N1564)</f>
        <v>0.06</v>
      </c>
      <c r="O1565" s="76">
        <f ca="1">IF(MOD(COUNTIF($Q$11:Q1564,Q1564),5)=0,OFFSET(装备属性!$L$1083,1+INT(COUNTA($Q$11:Q1564)/5),0),O1564)</f>
        <v>0.075</v>
      </c>
      <c r="Q1565" s="89" t="str">
        <f ca="1">IF(MOD(COUNTIF($Q$11:Q1564,Q1564),5)=0,OFFSET(装备属性!$M$1083,1+INT(COUNTA($Q$11:Q1564)/5),0),Q1564)</f>
        <v>通用属性</v>
      </c>
      <c r="R1565" s="83" t="e">
        <f ca="1">IF(MOD(COUNTIF($Q$11:Q1564,Q1564),5)=0,10000*SUBSTITUTE(SUBSTITUTE(OFFSET(装备属性!$F$1083,1+INT(COUNTA($Q$11:Q1564)/5),0),"[",""),"]","")+_xlfn.XLOOKUP(C1565,$M$3:$M$7,$N$3:$N$7)*100,R1564)</f>
        <v>#N/A</v>
      </c>
    </row>
    <row r="1566" customHeight="1" spans="1:18">
      <c r="A1566" s="78">
        <f ca="1" t="shared" si="72"/>
        <v>60401</v>
      </c>
      <c r="B1566" s="82">
        <f ca="1">IFERROR(R1566+COUNTIFS($R$11:$R1566,R1566),"")</f>
        <v>60421</v>
      </c>
      <c r="C1566" s="83" t="str">
        <f ca="1">IF(MOD(COUNTIF($Q$11:Q1565,Q1565),5)=0,OFFSET(装备属性!$D$1083,1+INT(COUNTA($Q$11:Q1565)/5),0),C1565)</f>
        <v>紫</v>
      </c>
      <c r="D1566" s="82">
        <f t="shared" si="74"/>
        <v>3000</v>
      </c>
      <c r="F1566" s="82">
        <f ca="1" t="shared" si="73"/>
        <v>60404</v>
      </c>
      <c r="G1566" s="78" t="str">
        <f ca="1">IF(AND(LEFT("[{"&amp;M1566&amp;","&amp;CEILING(N1566*10000+(O1566-N1566)/4*(COUNTIF($F$11:F1566,F1566)-1)*10000,10)&amp;"}]",7)="[{equip",MID("[{"&amp;M1566&amp;","&amp;CEILING(N1566*10000+(O1566-N1566)/4*(COUNTIF($F$11:F1566,F1566)-1)*10000,10)&amp;"}]",8,1)&lt;&gt;"_"),"[{"&amp;M1566&amp;","&amp;1&amp;"}]","[{"&amp;M1566&amp;","&amp;CEILING(N1566*10000+(O1566-N1566)/4*(COUNTIF($F$11:F1566,F1566)-1)*10000,10)&amp;"}]")</f>
        <v>[{summon_crit_dmg,2000}]</v>
      </c>
      <c r="H1566" s="82" t="s">
        <v>563</v>
      </c>
      <c r="J1566" s="78">
        <f ca="1">IF(MOD(COUNTIF($Q$11:Q1565,Q1565),5)=0,OFFSET(装备属性!$P$1083,1+INT(COUNTA($Q$11:Q1565)/5),0),J1565)</f>
        <v>10</v>
      </c>
      <c r="K1566" s="83" t="str">
        <f ca="1">IF(RIGHT(G1566,13)="rune_slot,1}]",_xlfn.XLOOKUP(LEFT(SUBSTITUTE(G1566,"[{",""),FIND(",",SUBSTITUTE(G1566,"[{",""))-1),Sheet2!B:B,Sheet2!C:C)&amp;"+"&amp;1,_xlfn.XLOOKUP(LEFT(SUBSTITUTE(G1566,"[{",""),FIND(",",SUBSTITUTE(G1566,"[{",""))-1),Sheet2!B:B,Sheet2!C:C)&amp;"+"&amp;SUBSTITUTE(RIGHT(G1566,LEN(G1566)-FIND(",",G1566)),"}]","")/100&amp;"%")</f>
        <v>召唤暴击伤害+20%</v>
      </c>
      <c r="L1566" s="83" t="str">
        <f ca="1">IF(MOD(COUNTIF($Q$11:Q1565,Q1565),5)=0,OFFSET(装备属性!$G$1083,1+INT(COUNTA($Q$11:Q1565)/5),0),L1565)</f>
        <v>暴走召唤Ⅰ</v>
      </c>
      <c r="M1566" s="89" t="str">
        <f ca="1">IF(MOD(COUNTIF($Q$11:Q1565,Q1565),5)=0,OFFSET(装备属性!$H$1083,1+INT(COUNTA($Q$11:Q1565)/5),0),M1565)</f>
        <v>summon_crit_dmg</v>
      </c>
      <c r="N1566" s="76">
        <f ca="1">IF(MOD(COUNTIF($Q$11:Q1565,Q1565),5)=0,OFFSET(装备属性!$K$1083,1+INT(COUNTA($Q$11:Q1565)/5),0),N1565)</f>
        <v>0.2</v>
      </c>
      <c r="O1566" s="76">
        <f ca="1">IF(MOD(COUNTIF($Q$11:Q1565,Q1565),5)=0,OFFSET(装备属性!$L$1083,1+INT(COUNTA($Q$11:Q1565)/5),0),O1565)</f>
        <v>0.24</v>
      </c>
      <c r="Q1566" s="89" t="str">
        <f ca="1">IF(MOD(COUNTIF($Q$11:Q1565,Q1565),5)=0,OFFSET(装备属性!$M$1083,1+INT(COUNTA($Q$11:Q1565)/5),0),Q1565)</f>
        <v>通用属性</v>
      </c>
      <c r="R1566" s="83">
        <f ca="1">IF(MOD(COUNTIF($Q$11:Q1565,Q1565),5)=0,10000*SUBSTITUTE(SUBSTITUTE(OFFSET(装备属性!$F$1083,1+INT(COUNTA($Q$11:Q1565)/5),0),"[",""),"]","")+_xlfn.XLOOKUP(C1566,$M$3:$M$7,$N$3:$N$7)*100,R1565)</f>
        <v>60400</v>
      </c>
    </row>
    <row r="1567" customHeight="1" spans="1:18">
      <c r="A1567" s="78">
        <f ca="1" t="shared" si="72"/>
        <v>60401</v>
      </c>
      <c r="B1567" s="82">
        <f ca="1">IFERROR(R1567+COUNTIFS($R$11:$R1567,R1567),"")</f>
        <v>60422</v>
      </c>
      <c r="C1567" s="83" t="str">
        <f ca="1">IF(MOD(COUNTIF($Q$11:Q1566,Q1566),5)=0,OFFSET(装备属性!$D$1083,1+INT(COUNTA($Q$11:Q1566)/5),0),C1566)</f>
        <v>紫</v>
      </c>
      <c r="D1567" s="82">
        <f t="shared" si="74"/>
        <v>2500</v>
      </c>
      <c r="F1567" s="82">
        <f ca="1" t="shared" si="73"/>
        <v>60404</v>
      </c>
      <c r="G1567" s="78" t="str">
        <f ca="1">IF(AND(LEFT("[{"&amp;M1567&amp;","&amp;CEILING(N1567*10000+(O1567-N1567)/4*(COUNTIF($F$11:F1567,F1567)-1)*10000,10)&amp;"}]",7)="[{equip",MID("[{"&amp;M1567&amp;","&amp;CEILING(N1567*10000+(O1567-N1567)/4*(COUNTIF($F$11:F1567,F1567)-1)*10000,10)&amp;"}]",8,1)&lt;&gt;"_"),"[{"&amp;M1567&amp;","&amp;1&amp;"}]","[{"&amp;M1567&amp;","&amp;CEILING(N1567*10000+(O1567-N1567)/4*(COUNTIF($F$11:F1567,F1567)-1)*10000,10)&amp;"}]")</f>
        <v>[{summon_crit_dmg,2100}]</v>
      </c>
      <c r="H1567" s="82" t="s">
        <v>563</v>
      </c>
      <c r="J1567" s="78">
        <f ca="1">IF(MOD(COUNTIF($Q$11:Q1566,Q1566),5)=0,OFFSET(装备属性!$P$1083,1+INT(COUNTA($Q$11:Q1566)/5),0),J1566)</f>
        <v>10</v>
      </c>
      <c r="K1567" s="83" t="str">
        <f ca="1">IF(RIGHT(G1567,13)="rune_slot,1}]",_xlfn.XLOOKUP(LEFT(SUBSTITUTE(G1567,"[{",""),FIND(",",SUBSTITUTE(G1567,"[{",""))-1),Sheet2!B:B,Sheet2!C:C)&amp;"+"&amp;1,_xlfn.XLOOKUP(LEFT(SUBSTITUTE(G1567,"[{",""),FIND(",",SUBSTITUTE(G1567,"[{",""))-1),Sheet2!B:B,Sheet2!C:C)&amp;"+"&amp;SUBSTITUTE(RIGHT(G1567,LEN(G1567)-FIND(",",G1567)),"}]","")/100&amp;"%")</f>
        <v>召唤暴击伤害+21%</v>
      </c>
      <c r="L1567" s="83" t="str">
        <f ca="1">IF(MOD(COUNTIF($Q$11:Q1566,Q1566),5)=0,OFFSET(装备属性!$G$1083,1+INT(COUNTA($Q$11:Q1566)/5),0),L1566)</f>
        <v>暴走召唤Ⅰ</v>
      </c>
      <c r="M1567" s="89" t="str">
        <f ca="1">IF(MOD(COUNTIF($Q$11:Q1566,Q1566),5)=0,OFFSET(装备属性!$H$1083,1+INT(COUNTA($Q$11:Q1566)/5),0),M1566)</f>
        <v>summon_crit_dmg</v>
      </c>
      <c r="N1567" s="76">
        <f ca="1">IF(MOD(COUNTIF($Q$11:Q1566,Q1566),5)=0,OFFSET(装备属性!$K$1083,1+INT(COUNTA($Q$11:Q1566)/5),0),N1566)</f>
        <v>0.2</v>
      </c>
      <c r="O1567" s="76">
        <f ca="1">IF(MOD(COUNTIF($Q$11:Q1566,Q1566),5)=0,OFFSET(装备属性!$L$1083,1+INT(COUNTA($Q$11:Q1566)/5),0),O1566)</f>
        <v>0.24</v>
      </c>
      <c r="Q1567" s="89" t="str">
        <f ca="1">IF(MOD(COUNTIF($Q$11:Q1566,Q1566),5)=0,OFFSET(装备属性!$M$1083,1+INT(COUNTA($Q$11:Q1566)/5),0),Q1566)</f>
        <v>通用属性</v>
      </c>
      <c r="R1567" s="83">
        <f ca="1">IF(MOD(COUNTIF($Q$11:Q1566,Q1566),5)=0,10000*SUBSTITUTE(SUBSTITUTE(OFFSET(装备属性!$F$1083,1+INT(COUNTA($Q$11:Q1566)/5),0),"[",""),"]","")+_xlfn.XLOOKUP(C1567,$M$3:$M$7,$N$3:$N$7)*100,R1566)</f>
        <v>60400</v>
      </c>
    </row>
    <row r="1568" customHeight="1" spans="1:18">
      <c r="A1568" s="78">
        <f ca="1" t="shared" si="72"/>
        <v>60401</v>
      </c>
      <c r="B1568" s="82">
        <f ca="1">IFERROR(R1568+COUNTIFS($R$11:$R1568,R1568),"")</f>
        <v>60423</v>
      </c>
      <c r="C1568" s="83" t="str">
        <f ca="1">IF(MOD(COUNTIF($Q$11:Q1567,Q1567),5)=0,OFFSET(装备属性!$D$1083,1+INT(COUNTA($Q$11:Q1567)/5),0),C1567)</f>
        <v>紫</v>
      </c>
      <c r="D1568" s="82">
        <f t="shared" si="74"/>
        <v>2000</v>
      </c>
      <c r="F1568" s="82">
        <f ca="1" t="shared" si="73"/>
        <v>60404</v>
      </c>
      <c r="G1568" s="78" t="str">
        <f ca="1">IF(AND(LEFT("[{"&amp;M1568&amp;","&amp;CEILING(N1568*10000+(O1568-N1568)/4*(COUNTIF($F$11:F1568,F1568)-1)*10000,10)&amp;"}]",7)="[{equip",MID("[{"&amp;M1568&amp;","&amp;CEILING(N1568*10000+(O1568-N1568)/4*(COUNTIF($F$11:F1568,F1568)-1)*10000,10)&amp;"}]",8,1)&lt;&gt;"_"),"[{"&amp;M1568&amp;","&amp;1&amp;"}]","[{"&amp;M1568&amp;","&amp;CEILING(N1568*10000+(O1568-N1568)/4*(COUNTIF($F$11:F1568,F1568)-1)*10000,10)&amp;"}]")</f>
        <v>[{summon_crit_dmg,2200}]</v>
      </c>
      <c r="H1568" s="82" t="s">
        <v>563</v>
      </c>
      <c r="J1568" s="78">
        <f ca="1">IF(MOD(COUNTIF($Q$11:Q1567,Q1567),5)=0,OFFSET(装备属性!$P$1083,1+INT(COUNTA($Q$11:Q1567)/5),0),J1567)</f>
        <v>10</v>
      </c>
      <c r="K1568" s="83" t="str">
        <f ca="1">IF(RIGHT(G1568,13)="rune_slot,1}]",_xlfn.XLOOKUP(LEFT(SUBSTITUTE(G1568,"[{",""),FIND(",",SUBSTITUTE(G1568,"[{",""))-1),Sheet2!B:B,Sheet2!C:C)&amp;"+"&amp;1,_xlfn.XLOOKUP(LEFT(SUBSTITUTE(G1568,"[{",""),FIND(",",SUBSTITUTE(G1568,"[{",""))-1),Sheet2!B:B,Sheet2!C:C)&amp;"+"&amp;SUBSTITUTE(RIGHT(G1568,LEN(G1568)-FIND(",",G1568)),"}]","")/100&amp;"%")</f>
        <v>召唤暴击伤害+22%</v>
      </c>
      <c r="L1568" s="83" t="str">
        <f ca="1">IF(MOD(COUNTIF($Q$11:Q1567,Q1567),5)=0,OFFSET(装备属性!$G$1083,1+INT(COUNTA($Q$11:Q1567)/5),0),L1567)</f>
        <v>暴走召唤Ⅰ</v>
      </c>
      <c r="M1568" s="89" t="str">
        <f ca="1">IF(MOD(COUNTIF($Q$11:Q1567,Q1567),5)=0,OFFSET(装备属性!$H$1083,1+INT(COUNTA($Q$11:Q1567)/5),0),M1567)</f>
        <v>summon_crit_dmg</v>
      </c>
      <c r="N1568" s="76">
        <f ca="1">IF(MOD(COUNTIF($Q$11:Q1567,Q1567),5)=0,OFFSET(装备属性!$K$1083,1+INT(COUNTA($Q$11:Q1567)/5),0),N1567)</f>
        <v>0.2</v>
      </c>
      <c r="O1568" s="76">
        <f ca="1">IF(MOD(COUNTIF($Q$11:Q1567,Q1567),5)=0,OFFSET(装备属性!$L$1083,1+INT(COUNTA($Q$11:Q1567)/5),0),O1567)</f>
        <v>0.24</v>
      </c>
      <c r="Q1568" s="89" t="str">
        <f ca="1">IF(MOD(COUNTIF($Q$11:Q1567,Q1567),5)=0,OFFSET(装备属性!$M$1083,1+INT(COUNTA($Q$11:Q1567)/5),0),Q1567)</f>
        <v>通用属性</v>
      </c>
      <c r="R1568" s="83">
        <f ca="1">IF(MOD(COUNTIF($Q$11:Q1567,Q1567),5)=0,10000*SUBSTITUTE(SUBSTITUTE(OFFSET(装备属性!$F$1083,1+INT(COUNTA($Q$11:Q1567)/5),0),"[",""),"]","")+_xlfn.XLOOKUP(C1568,$M$3:$M$7,$N$3:$N$7)*100,R1567)</f>
        <v>60400</v>
      </c>
    </row>
    <row r="1569" customHeight="1" spans="1:18">
      <c r="A1569" s="78">
        <f ca="1" t="shared" si="72"/>
        <v>60401</v>
      </c>
      <c r="B1569" s="82">
        <f ca="1">IFERROR(R1569+COUNTIFS($R$11:$R1569,R1569),"")</f>
        <v>60424</v>
      </c>
      <c r="C1569" s="83" t="str">
        <f ca="1">IF(MOD(COUNTIF($Q$11:Q1568,Q1568),5)=0,OFFSET(装备属性!$D$1083,1+INT(COUNTA($Q$11:Q1568)/5),0),C1568)</f>
        <v>紫</v>
      </c>
      <c r="D1569" s="82">
        <f t="shared" si="74"/>
        <v>1500</v>
      </c>
      <c r="F1569" s="82">
        <f ca="1" t="shared" si="73"/>
        <v>60404</v>
      </c>
      <c r="G1569" s="78" t="str">
        <f ca="1">IF(AND(LEFT("[{"&amp;M1569&amp;","&amp;CEILING(N1569*10000+(O1569-N1569)/4*(COUNTIF($F$11:F1569,F1569)-1)*10000,10)&amp;"}]",7)="[{equip",MID("[{"&amp;M1569&amp;","&amp;CEILING(N1569*10000+(O1569-N1569)/4*(COUNTIF($F$11:F1569,F1569)-1)*10000,10)&amp;"}]",8,1)&lt;&gt;"_"),"[{"&amp;M1569&amp;","&amp;1&amp;"}]","[{"&amp;M1569&amp;","&amp;CEILING(N1569*10000+(O1569-N1569)/4*(COUNTIF($F$11:F1569,F1569)-1)*10000,10)&amp;"}]")</f>
        <v>[{summon_crit_dmg,2300}]</v>
      </c>
      <c r="H1569" s="82" t="s">
        <v>563</v>
      </c>
      <c r="J1569" s="78">
        <f ca="1">IF(MOD(COUNTIF($Q$11:Q1568,Q1568),5)=0,OFFSET(装备属性!$P$1083,1+INT(COUNTA($Q$11:Q1568)/5),0),J1568)</f>
        <v>10</v>
      </c>
      <c r="K1569" s="83" t="str">
        <f ca="1">IF(RIGHT(G1569,13)="rune_slot,1}]",_xlfn.XLOOKUP(LEFT(SUBSTITUTE(G1569,"[{",""),FIND(",",SUBSTITUTE(G1569,"[{",""))-1),Sheet2!B:B,Sheet2!C:C)&amp;"+"&amp;1,_xlfn.XLOOKUP(LEFT(SUBSTITUTE(G1569,"[{",""),FIND(",",SUBSTITUTE(G1569,"[{",""))-1),Sheet2!B:B,Sheet2!C:C)&amp;"+"&amp;SUBSTITUTE(RIGHT(G1569,LEN(G1569)-FIND(",",G1569)),"}]","")/100&amp;"%")</f>
        <v>召唤暴击伤害+23%</v>
      </c>
      <c r="L1569" s="83" t="str">
        <f ca="1">IF(MOD(COUNTIF($Q$11:Q1568,Q1568),5)=0,OFFSET(装备属性!$G$1083,1+INT(COUNTA($Q$11:Q1568)/5),0),L1568)</f>
        <v>暴走召唤Ⅰ</v>
      </c>
      <c r="M1569" s="89" t="str">
        <f ca="1">IF(MOD(COUNTIF($Q$11:Q1568,Q1568),5)=0,OFFSET(装备属性!$H$1083,1+INT(COUNTA($Q$11:Q1568)/5),0),M1568)</f>
        <v>summon_crit_dmg</v>
      </c>
      <c r="N1569" s="76">
        <f ca="1">IF(MOD(COUNTIF($Q$11:Q1568,Q1568),5)=0,OFFSET(装备属性!$K$1083,1+INT(COUNTA($Q$11:Q1568)/5),0),N1568)</f>
        <v>0.2</v>
      </c>
      <c r="O1569" s="76">
        <f ca="1">IF(MOD(COUNTIF($Q$11:Q1568,Q1568),5)=0,OFFSET(装备属性!$L$1083,1+INT(COUNTA($Q$11:Q1568)/5),0),O1568)</f>
        <v>0.24</v>
      </c>
      <c r="Q1569" s="89" t="str">
        <f ca="1">IF(MOD(COUNTIF($Q$11:Q1568,Q1568),5)=0,OFFSET(装备属性!$M$1083,1+INT(COUNTA($Q$11:Q1568)/5),0),Q1568)</f>
        <v>通用属性</v>
      </c>
      <c r="R1569" s="83">
        <f ca="1">IF(MOD(COUNTIF($Q$11:Q1568,Q1568),5)=0,10000*SUBSTITUTE(SUBSTITUTE(OFFSET(装备属性!$F$1083,1+INT(COUNTA($Q$11:Q1568)/5),0),"[",""),"]","")+_xlfn.XLOOKUP(C1569,$M$3:$M$7,$N$3:$N$7)*100,R1568)</f>
        <v>60400</v>
      </c>
    </row>
    <row r="1570" customHeight="1" spans="1:18">
      <c r="A1570" s="78">
        <f ca="1" t="shared" si="72"/>
        <v>60401</v>
      </c>
      <c r="B1570" s="82">
        <f ca="1">IFERROR(R1570+COUNTIFS($R$11:$R1570,R1570),"")</f>
        <v>60425</v>
      </c>
      <c r="C1570" s="83" t="str">
        <f ca="1">IF(MOD(COUNTIF($Q$11:Q1569,Q1569),5)=0,OFFSET(装备属性!$D$1083,1+INT(COUNTA($Q$11:Q1569)/5),0),C1569)</f>
        <v>紫</v>
      </c>
      <c r="D1570" s="82">
        <f t="shared" si="74"/>
        <v>1000</v>
      </c>
      <c r="F1570" s="82">
        <f ca="1" t="shared" si="73"/>
        <v>60404</v>
      </c>
      <c r="G1570" s="78" t="str">
        <f ca="1">IF(AND(LEFT("[{"&amp;M1570&amp;","&amp;CEILING(N1570*10000+(O1570-N1570)/4*(COUNTIF($F$11:F1570,F1570)-1)*10000,10)&amp;"}]",7)="[{equip",MID("[{"&amp;M1570&amp;","&amp;CEILING(N1570*10000+(O1570-N1570)/4*(COUNTIF($F$11:F1570,F1570)-1)*10000,10)&amp;"}]",8,1)&lt;&gt;"_"),"[{"&amp;M1570&amp;","&amp;1&amp;"}]","[{"&amp;M1570&amp;","&amp;CEILING(N1570*10000+(O1570-N1570)/4*(COUNTIF($F$11:F1570,F1570)-1)*10000,10)&amp;"}]")</f>
        <v>[{summon_crit_dmg,2400}]</v>
      </c>
      <c r="H1570" s="82" t="s">
        <v>563</v>
      </c>
      <c r="J1570" s="78">
        <f ca="1">IF(MOD(COUNTIF($Q$11:Q1569,Q1569),5)=0,OFFSET(装备属性!$P$1083,1+INT(COUNTA($Q$11:Q1569)/5),0),J1569)</f>
        <v>10</v>
      </c>
      <c r="K1570" s="83" t="str">
        <f ca="1">IF(RIGHT(G1570,13)="rune_slot,1}]",_xlfn.XLOOKUP(LEFT(SUBSTITUTE(G1570,"[{",""),FIND(",",SUBSTITUTE(G1570,"[{",""))-1),Sheet2!B:B,Sheet2!C:C)&amp;"+"&amp;1,_xlfn.XLOOKUP(LEFT(SUBSTITUTE(G1570,"[{",""),FIND(",",SUBSTITUTE(G1570,"[{",""))-1),Sheet2!B:B,Sheet2!C:C)&amp;"+"&amp;SUBSTITUTE(RIGHT(G1570,LEN(G1570)-FIND(",",G1570)),"}]","")/100&amp;"%")</f>
        <v>召唤暴击伤害+24%</v>
      </c>
      <c r="L1570" s="83" t="str">
        <f ca="1">IF(MOD(COUNTIF($Q$11:Q1569,Q1569),5)=0,OFFSET(装备属性!$G$1083,1+INT(COUNTA($Q$11:Q1569)/5),0),L1569)</f>
        <v>暴走召唤Ⅰ</v>
      </c>
      <c r="M1570" s="89" t="str">
        <f ca="1">IF(MOD(COUNTIF($Q$11:Q1569,Q1569),5)=0,OFFSET(装备属性!$H$1083,1+INT(COUNTA($Q$11:Q1569)/5),0),M1569)</f>
        <v>summon_crit_dmg</v>
      </c>
      <c r="N1570" s="76">
        <f ca="1">IF(MOD(COUNTIF($Q$11:Q1569,Q1569),5)=0,OFFSET(装备属性!$K$1083,1+INT(COUNTA($Q$11:Q1569)/5),0),N1569)</f>
        <v>0.2</v>
      </c>
      <c r="O1570" s="76">
        <f ca="1">IF(MOD(COUNTIF($Q$11:Q1569,Q1569),5)=0,OFFSET(装备属性!$L$1083,1+INT(COUNTA($Q$11:Q1569)/5),0),O1569)</f>
        <v>0.24</v>
      </c>
      <c r="Q1570" s="89" t="str">
        <f ca="1">IF(MOD(COUNTIF($Q$11:Q1569,Q1569),5)=0,OFFSET(装备属性!$M$1083,1+INT(COUNTA($Q$11:Q1569)/5),0),Q1569)</f>
        <v>通用属性</v>
      </c>
      <c r="R1570" s="83">
        <f ca="1">IF(MOD(COUNTIF($Q$11:Q1569,Q1569),5)=0,10000*SUBSTITUTE(SUBSTITUTE(OFFSET(装备属性!$F$1083,1+INT(COUNTA($Q$11:Q1569)/5),0),"[",""),"]","")+_xlfn.XLOOKUP(C1570,$M$3:$M$7,$N$3:$N$7)*100,R1569)</f>
        <v>60400</v>
      </c>
    </row>
    <row r="1571" customHeight="1" spans="1:18">
      <c r="A1571" s="78" t="str">
        <f ca="1" t="shared" si="72"/>
        <v/>
      </c>
      <c r="B1571" s="82" t="str">
        <f ca="1">IFERROR(R1571+COUNTIFS($R$11:$R1571,R1571),"")</f>
        <v/>
      </c>
      <c r="C1571" s="83">
        <f ca="1">IF(MOD(COUNTIF($Q$11:Q1570,Q1570),5)=0,OFFSET(装备属性!$D$1083,1+INT(COUNTA($Q$11:Q1570)/5),0),C1570)</f>
        <v>0</v>
      </c>
      <c r="D1571" s="82">
        <f t="shared" si="74"/>
        <v>3000</v>
      </c>
      <c r="F1571" s="82" t="str">
        <f ca="1" t="shared" si="73"/>
        <v/>
      </c>
      <c r="G1571" s="78" t="str">
        <f ca="1">IF(AND(LEFT("[{"&amp;M1571&amp;","&amp;CEILING(N1571*10000+(O1571-N1571)/4*(COUNTIF($F$11:F1571,F1571)-1)*10000,10)&amp;"}]",7)="[{equip",MID("[{"&amp;M1571&amp;","&amp;CEILING(N1571*10000+(O1571-N1571)/4*(COUNTIF($F$11:F1571,F1571)-1)*10000,10)&amp;"}]",8,1)&lt;&gt;"_"),"[{"&amp;M1571&amp;","&amp;1&amp;"}]","[{"&amp;M1571&amp;","&amp;CEILING(N1571*10000+(O1571-N1571)/4*(COUNTIF($F$11:F1571,F1571)-1)*10000,10)&amp;"}]")</f>
        <v>[{global_dmg_rate,22490}]</v>
      </c>
      <c r="H1571" s="82" t="s">
        <v>563</v>
      </c>
      <c r="J1571" s="78">
        <f ca="1">IF(MOD(COUNTIF($Q$11:Q1570,Q1570),5)=0,OFFSET(装备属性!$P$1083,1+INT(COUNTA($Q$11:Q1570)/5),0),J1570)</f>
        <v>2</v>
      </c>
      <c r="K1571" s="83" t="str">
        <f ca="1">IF(RIGHT(G1571,13)="rune_slot,1}]",_xlfn.XLOOKUP(LEFT(SUBSTITUTE(G1571,"[{",""),FIND(",",SUBSTITUTE(G1571,"[{",""))-1),Sheet2!B:B,Sheet2!C:C)&amp;"+"&amp;1,_xlfn.XLOOKUP(LEFT(SUBSTITUTE(G1571,"[{",""),FIND(",",SUBSTITUTE(G1571,"[{",""))-1),Sheet2!B:B,Sheet2!C:C)&amp;"+"&amp;SUBSTITUTE(RIGHT(G1571,LEN(G1571)-FIND(",",G1571)),"}]","")/100&amp;"%")</f>
        <v>伤害加成+224.9%</v>
      </c>
      <c r="L1571" s="83" t="str">
        <f ca="1">IF(MOD(COUNTIF($Q$11:Q1570,Q1570),5)=0,OFFSET(装备属性!$G$1083,1+INT(COUNTA($Q$11:Q1570)/5),0),L1570)</f>
        <v>全职小队Ⅱ</v>
      </c>
      <c r="M1571" s="89" t="str">
        <f ca="1">IF(MOD(COUNTIF($Q$11:Q1570,Q1570),5)=0,OFFSET(装备属性!$H$1083,1+INT(COUNTA($Q$11:Q1570)/5),0),M1570)</f>
        <v>global_dmg_rate</v>
      </c>
      <c r="N1571" s="76">
        <f ca="1">IF(MOD(COUNTIF($Q$11:Q1570,Q1570),5)=0,OFFSET(装备属性!$K$1083,1+INT(COUNTA($Q$11:Q1570)/5),0),N1570)</f>
        <v>0.044</v>
      </c>
      <c r="O1571" s="76">
        <f ca="1">IF(MOD(COUNTIF($Q$11:Q1570,Q1570),5)=0,OFFSET(装备属性!$L$1083,1+INT(COUNTA($Q$11:Q1570)/5),0),O1570)</f>
        <v>0.058</v>
      </c>
      <c r="Q1571" s="89" t="str">
        <f ca="1">IF(MOD(COUNTIF($Q$11:Q1570,Q1570),5)=0,OFFSET(装备属性!$M$1083,1+INT(COUNTA($Q$11:Q1570)/5),0),Q1570)</f>
        <v>通用属性</v>
      </c>
      <c r="R1571" s="83" t="e">
        <f ca="1">IF(MOD(COUNTIF($Q$11:Q1570,Q1570),5)=0,10000*SUBSTITUTE(SUBSTITUTE(OFFSET(装备属性!$F$1083,1+INT(COUNTA($Q$11:Q1570)/5),0),"[",""),"]","")+_xlfn.XLOOKUP(C1571,$M$3:$M$7,$N$3:$N$7)*100,R1570)</f>
        <v>#N/A</v>
      </c>
    </row>
    <row r="1572" customHeight="1" spans="1:18">
      <c r="A1572" s="78" t="str">
        <f ca="1" t="shared" si="72"/>
        <v/>
      </c>
      <c r="B1572" s="82" t="str">
        <f ca="1">IFERROR(R1572+COUNTIFS($R$11:$R1572,R1572),"")</f>
        <v/>
      </c>
      <c r="C1572" s="83">
        <f ca="1">IF(MOD(COUNTIF($Q$11:Q1571,Q1571),5)=0,OFFSET(装备属性!$D$1083,1+INT(COUNTA($Q$11:Q1571)/5),0),C1571)</f>
        <v>0</v>
      </c>
      <c r="D1572" s="82">
        <f t="shared" si="74"/>
        <v>2500</v>
      </c>
      <c r="F1572" s="82" t="str">
        <f ca="1" t="shared" si="73"/>
        <v/>
      </c>
      <c r="G1572" s="78" t="str">
        <f ca="1">IF(AND(LEFT("[{"&amp;M1572&amp;","&amp;CEILING(N1572*10000+(O1572-N1572)/4*(COUNTIF($F$11:F1572,F1572)-1)*10000,10)&amp;"}]",7)="[{equip",MID("[{"&amp;M1572&amp;","&amp;CEILING(N1572*10000+(O1572-N1572)/4*(COUNTIF($F$11:F1572,F1572)-1)*10000,10)&amp;"}]",8,1)&lt;&gt;"_"),"[{"&amp;M1572&amp;","&amp;1&amp;"}]","[{"&amp;M1572&amp;","&amp;CEILING(N1572*10000+(O1572-N1572)/4*(COUNTIF($F$11:F1572,F1572)-1)*10000,10)&amp;"}]")</f>
        <v>[{global_dmg_rate,22530}]</v>
      </c>
      <c r="H1572" s="82" t="s">
        <v>563</v>
      </c>
      <c r="J1572" s="78">
        <f ca="1">IF(MOD(COUNTIF($Q$11:Q1571,Q1571),5)=0,OFFSET(装备属性!$P$1083,1+INT(COUNTA($Q$11:Q1571)/5),0),J1571)</f>
        <v>2</v>
      </c>
      <c r="K1572" s="83" t="str">
        <f ca="1">IF(RIGHT(G1572,13)="rune_slot,1}]",_xlfn.XLOOKUP(LEFT(SUBSTITUTE(G1572,"[{",""),FIND(",",SUBSTITUTE(G1572,"[{",""))-1),Sheet2!B:B,Sheet2!C:C)&amp;"+"&amp;1,_xlfn.XLOOKUP(LEFT(SUBSTITUTE(G1572,"[{",""),FIND(",",SUBSTITUTE(G1572,"[{",""))-1),Sheet2!B:B,Sheet2!C:C)&amp;"+"&amp;SUBSTITUTE(RIGHT(G1572,LEN(G1572)-FIND(",",G1572)),"}]","")/100&amp;"%")</f>
        <v>伤害加成+225.3%</v>
      </c>
      <c r="L1572" s="83" t="str">
        <f ca="1">IF(MOD(COUNTIF($Q$11:Q1571,Q1571),5)=0,OFFSET(装备属性!$G$1083,1+INT(COUNTA($Q$11:Q1571)/5),0),L1571)</f>
        <v>全职小队Ⅱ</v>
      </c>
      <c r="M1572" s="89" t="str">
        <f ca="1">IF(MOD(COUNTIF($Q$11:Q1571,Q1571),5)=0,OFFSET(装备属性!$H$1083,1+INT(COUNTA($Q$11:Q1571)/5),0),M1571)</f>
        <v>global_dmg_rate</v>
      </c>
      <c r="N1572" s="76">
        <f ca="1">IF(MOD(COUNTIF($Q$11:Q1571,Q1571),5)=0,OFFSET(装备属性!$K$1083,1+INT(COUNTA($Q$11:Q1571)/5),0),N1571)</f>
        <v>0.044</v>
      </c>
      <c r="O1572" s="76">
        <f ca="1">IF(MOD(COUNTIF($Q$11:Q1571,Q1571),5)=0,OFFSET(装备属性!$L$1083,1+INT(COUNTA($Q$11:Q1571)/5),0),O1571)</f>
        <v>0.058</v>
      </c>
      <c r="Q1572" s="89" t="str">
        <f ca="1">IF(MOD(COUNTIF($Q$11:Q1571,Q1571),5)=0,OFFSET(装备属性!$M$1083,1+INT(COUNTA($Q$11:Q1571)/5),0),Q1571)</f>
        <v>通用属性</v>
      </c>
      <c r="R1572" s="83" t="e">
        <f ca="1">IF(MOD(COUNTIF($Q$11:Q1571,Q1571),5)=0,10000*SUBSTITUTE(SUBSTITUTE(OFFSET(装备属性!$F$1083,1+INT(COUNTA($Q$11:Q1571)/5),0),"[",""),"]","")+_xlfn.XLOOKUP(C1572,$M$3:$M$7,$N$3:$N$7)*100,R1571)</f>
        <v>#N/A</v>
      </c>
    </row>
    <row r="1573" customHeight="1" spans="1:18">
      <c r="A1573" s="78" t="str">
        <f ca="1" t="shared" si="72"/>
        <v/>
      </c>
      <c r="B1573" s="82" t="str">
        <f ca="1">IFERROR(R1573+COUNTIFS($R$11:$R1573,R1573),"")</f>
        <v/>
      </c>
      <c r="C1573" s="83">
        <f ca="1">IF(MOD(COUNTIF($Q$11:Q1572,Q1572),5)=0,OFFSET(装备属性!$D$1083,1+INT(COUNTA($Q$11:Q1572)/5),0),C1572)</f>
        <v>0</v>
      </c>
      <c r="D1573" s="82">
        <f t="shared" si="74"/>
        <v>2000</v>
      </c>
      <c r="F1573" s="82" t="str">
        <f ca="1" t="shared" si="73"/>
        <v/>
      </c>
      <c r="G1573" s="78" t="str">
        <f ca="1">IF(AND(LEFT("[{"&amp;M1573&amp;","&amp;CEILING(N1573*10000+(O1573-N1573)/4*(COUNTIF($F$11:F1573,F1573)-1)*10000,10)&amp;"}]",7)="[{equip",MID("[{"&amp;M1573&amp;","&amp;CEILING(N1573*10000+(O1573-N1573)/4*(COUNTIF($F$11:F1573,F1573)-1)*10000,10)&amp;"}]",8,1)&lt;&gt;"_"),"[{"&amp;M1573&amp;","&amp;1&amp;"}]","[{"&amp;M1573&amp;","&amp;CEILING(N1573*10000+(O1573-N1573)/4*(COUNTIF($F$11:F1573,F1573)-1)*10000,10)&amp;"}]")</f>
        <v>[{global_dmg_rate,22560}]</v>
      </c>
      <c r="H1573" s="82" t="s">
        <v>563</v>
      </c>
      <c r="J1573" s="78">
        <f ca="1">IF(MOD(COUNTIF($Q$11:Q1572,Q1572),5)=0,OFFSET(装备属性!$P$1083,1+INT(COUNTA($Q$11:Q1572)/5),0),J1572)</f>
        <v>2</v>
      </c>
      <c r="K1573" s="83" t="str">
        <f ca="1">IF(RIGHT(G1573,13)="rune_slot,1}]",_xlfn.XLOOKUP(LEFT(SUBSTITUTE(G1573,"[{",""),FIND(",",SUBSTITUTE(G1573,"[{",""))-1),Sheet2!B:B,Sheet2!C:C)&amp;"+"&amp;1,_xlfn.XLOOKUP(LEFT(SUBSTITUTE(G1573,"[{",""),FIND(",",SUBSTITUTE(G1573,"[{",""))-1),Sheet2!B:B,Sheet2!C:C)&amp;"+"&amp;SUBSTITUTE(RIGHT(G1573,LEN(G1573)-FIND(",",G1573)),"}]","")/100&amp;"%")</f>
        <v>伤害加成+225.6%</v>
      </c>
      <c r="L1573" s="83" t="str">
        <f ca="1">IF(MOD(COUNTIF($Q$11:Q1572,Q1572),5)=0,OFFSET(装备属性!$G$1083,1+INT(COUNTA($Q$11:Q1572)/5),0),L1572)</f>
        <v>全职小队Ⅱ</v>
      </c>
      <c r="M1573" s="89" t="str">
        <f ca="1">IF(MOD(COUNTIF($Q$11:Q1572,Q1572),5)=0,OFFSET(装备属性!$H$1083,1+INT(COUNTA($Q$11:Q1572)/5),0),M1572)</f>
        <v>global_dmg_rate</v>
      </c>
      <c r="N1573" s="76">
        <f ca="1">IF(MOD(COUNTIF($Q$11:Q1572,Q1572),5)=0,OFFSET(装备属性!$K$1083,1+INT(COUNTA($Q$11:Q1572)/5),0),N1572)</f>
        <v>0.044</v>
      </c>
      <c r="O1573" s="76">
        <f ca="1">IF(MOD(COUNTIF($Q$11:Q1572,Q1572),5)=0,OFFSET(装备属性!$L$1083,1+INT(COUNTA($Q$11:Q1572)/5),0),O1572)</f>
        <v>0.058</v>
      </c>
      <c r="Q1573" s="89" t="str">
        <f ca="1">IF(MOD(COUNTIF($Q$11:Q1572,Q1572),5)=0,OFFSET(装备属性!$M$1083,1+INT(COUNTA($Q$11:Q1572)/5),0),Q1572)</f>
        <v>通用属性</v>
      </c>
      <c r="R1573" s="83" t="e">
        <f ca="1">IF(MOD(COUNTIF($Q$11:Q1572,Q1572),5)=0,10000*SUBSTITUTE(SUBSTITUTE(OFFSET(装备属性!$F$1083,1+INT(COUNTA($Q$11:Q1572)/5),0),"[",""),"]","")+_xlfn.XLOOKUP(C1573,$M$3:$M$7,$N$3:$N$7)*100,R1572)</f>
        <v>#N/A</v>
      </c>
    </row>
    <row r="1574" customHeight="1" spans="1:18">
      <c r="A1574" s="78" t="str">
        <f ca="1" t="shared" si="72"/>
        <v/>
      </c>
      <c r="B1574" s="82" t="str">
        <f ca="1">IFERROR(R1574+COUNTIFS($R$11:$R1574,R1574),"")</f>
        <v/>
      </c>
      <c r="C1574" s="83">
        <f ca="1">IF(MOD(COUNTIF($Q$11:Q1573,Q1573),5)=0,OFFSET(装备属性!$D$1083,1+INT(COUNTA($Q$11:Q1573)/5),0),C1573)</f>
        <v>0</v>
      </c>
      <c r="D1574" s="82">
        <f t="shared" si="74"/>
        <v>1500</v>
      </c>
      <c r="F1574" s="82" t="str">
        <f ca="1" t="shared" si="73"/>
        <v/>
      </c>
      <c r="G1574" s="78" t="str">
        <f ca="1">IF(AND(LEFT("[{"&amp;M1574&amp;","&amp;CEILING(N1574*10000+(O1574-N1574)/4*(COUNTIF($F$11:F1574,F1574)-1)*10000,10)&amp;"}]",7)="[{equip",MID("[{"&amp;M1574&amp;","&amp;CEILING(N1574*10000+(O1574-N1574)/4*(COUNTIF($F$11:F1574,F1574)-1)*10000,10)&amp;"}]",8,1)&lt;&gt;"_"),"[{"&amp;M1574&amp;","&amp;1&amp;"}]","[{"&amp;M1574&amp;","&amp;CEILING(N1574*10000+(O1574-N1574)/4*(COUNTIF($F$11:F1574,F1574)-1)*10000,10)&amp;"}]")</f>
        <v>[{global_dmg_rate,22600}]</v>
      </c>
      <c r="H1574" s="82" t="s">
        <v>563</v>
      </c>
      <c r="J1574" s="78">
        <f ca="1">IF(MOD(COUNTIF($Q$11:Q1573,Q1573),5)=0,OFFSET(装备属性!$P$1083,1+INT(COUNTA($Q$11:Q1573)/5),0),J1573)</f>
        <v>2</v>
      </c>
      <c r="K1574" s="83" t="str">
        <f ca="1">IF(RIGHT(G1574,13)="rune_slot,1}]",_xlfn.XLOOKUP(LEFT(SUBSTITUTE(G1574,"[{",""),FIND(",",SUBSTITUTE(G1574,"[{",""))-1),Sheet2!B:B,Sheet2!C:C)&amp;"+"&amp;1,_xlfn.XLOOKUP(LEFT(SUBSTITUTE(G1574,"[{",""),FIND(",",SUBSTITUTE(G1574,"[{",""))-1),Sheet2!B:B,Sheet2!C:C)&amp;"+"&amp;SUBSTITUTE(RIGHT(G1574,LEN(G1574)-FIND(",",G1574)),"}]","")/100&amp;"%")</f>
        <v>伤害加成+226%</v>
      </c>
      <c r="L1574" s="83" t="str">
        <f ca="1">IF(MOD(COUNTIF($Q$11:Q1573,Q1573),5)=0,OFFSET(装备属性!$G$1083,1+INT(COUNTA($Q$11:Q1573)/5),0),L1573)</f>
        <v>全职小队Ⅱ</v>
      </c>
      <c r="M1574" s="89" t="str">
        <f ca="1">IF(MOD(COUNTIF($Q$11:Q1573,Q1573),5)=0,OFFSET(装备属性!$H$1083,1+INT(COUNTA($Q$11:Q1573)/5),0),M1573)</f>
        <v>global_dmg_rate</v>
      </c>
      <c r="N1574" s="76">
        <f ca="1">IF(MOD(COUNTIF($Q$11:Q1573,Q1573),5)=0,OFFSET(装备属性!$K$1083,1+INT(COUNTA($Q$11:Q1573)/5),0),N1573)</f>
        <v>0.044</v>
      </c>
      <c r="O1574" s="76">
        <f ca="1">IF(MOD(COUNTIF($Q$11:Q1573,Q1573),5)=0,OFFSET(装备属性!$L$1083,1+INT(COUNTA($Q$11:Q1573)/5),0),O1573)</f>
        <v>0.058</v>
      </c>
      <c r="Q1574" s="89" t="str">
        <f ca="1">IF(MOD(COUNTIF($Q$11:Q1573,Q1573),5)=0,OFFSET(装备属性!$M$1083,1+INT(COUNTA($Q$11:Q1573)/5),0),Q1573)</f>
        <v>通用属性</v>
      </c>
      <c r="R1574" s="83" t="e">
        <f ca="1">IF(MOD(COUNTIF($Q$11:Q1573,Q1573),5)=0,10000*SUBSTITUTE(SUBSTITUTE(OFFSET(装备属性!$F$1083,1+INT(COUNTA($Q$11:Q1573)/5),0),"[",""),"]","")+_xlfn.XLOOKUP(C1574,$M$3:$M$7,$N$3:$N$7)*100,R1573)</f>
        <v>#N/A</v>
      </c>
    </row>
    <row r="1575" customHeight="1" spans="1:18">
      <c r="A1575" s="78" t="str">
        <f ca="1" t="shared" si="72"/>
        <v/>
      </c>
      <c r="B1575" s="82" t="str">
        <f ca="1">IFERROR(R1575+COUNTIFS($R$11:$R1575,R1575),"")</f>
        <v/>
      </c>
      <c r="C1575" s="83">
        <f ca="1">IF(MOD(COUNTIF($Q$11:Q1574,Q1574),5)=0,OFFSET(装备属性!$D$1083,1+INT(COUNTA($Q$11:Q1574)/5),0),C1574)</f>
        <v>0</v>
      </c>
      <c r="D1575" s="82">
        <f t="shared" si="74"/>
        <v>1000</v>
      </c>
      <c r="F1575" s="82" t="str">
        <f ca="1" t="shared" si="73"/>
        <v/>
      </c>
      <c r="G1575" s="78" t="str">
        <f ca="1">IF(AND(LEFT("[{"&amp;M1575&amp;","&amp;CEILING(N1575*10000+(O1575-N1575)/4*(COUNTIF($F$11:F1575,F1575)-1)*10000,10)&amp;"}]",7)="[{equip",MID("[{"&amp;M1575&amp;","&amp;CEILING(N1575*10000+(O1575-N1575)/4*(COUNTIF($F$11:F1575,F1575)-1)*10000,10)&amp;"}]",8,1)&lt;&gt;"_"),"[{"&amp;M1575&amp;","&amp;1&amp;"}]","[{"&amp;M1575&amp;","&amp;CEILING(N1575*10000+(O1575-N1575)/4*(COUNTIF($F$11:F1575,F1575)-1)*10000,10)&amp;"}]")</f>
        <v>[{global_dmg_rate,22630}]</v>
      </c>
      <c r="H1575" s="82" t="s">
        <v>563</v>
      </c>
      <c r="J1575" s="78">
        <f ca="1">IF(MOD(COUNTIF($Q$11:Q1574,Q1574),5)=0,OFFSET(装备属性!$P$1083,1+INT(COUNTA($Q$11:Q1574)/5),0),J1574)</f>
        <v>2</v>
      </c>
      <c r="K1575" s="83" t="str">
        <f ca="1">IF(RIGHT(G1575,13)="rune_slot,1}]",_xlfn.XLOOKUP(LEFT(SUBSTITUTE(G1575,"[{",""),FIND(",",SUBSTITUTE(G1575,"[{",""))-1),Sheet2!B:B,Sheet2!C:C)&amp;"+"&amp;1,_xlfn.XLOOKUP(LEFT(SUBSTITUTE(G1575,"[{",""),FIND(",",SUBSTITUTE(G1575,"[{",""))-1),Sheet2!B:B,Sheet2!C:C)&amp;"+"&amp;SUBSTITUTE(RIGHT(G1575,LEN(G1575)-FIND(",",G1575)),"}]","")/100&amp;"%")</f>
        <v>伤害加成+226.3%</v>
      </c>
      <c r="L1575" s="83" t="str">
        <f ca="1">IF(MOD(COUNTIF($Q$11:Q1574,Q1574),5)=0,OFFSET(装备属性!$G$1083,1+INT(COUNTA($Q$11:Q1574)/5),0),L1574)</f>
        <v>全职小队Ⅱ</v>
      </c>
      <c r="M1575" s="89" t="str">
        <f ca="1">IF(MOD(COUNTIF($Q$11:Q1574,Q1574),5)=0,OFFSET(装备属性!$H$1083,1+INT(COUNTA($Q$11:Q1574)/5),0),M1574)</f>
        <v>global_dmg_rate</v>
      </c>
      <c r="N1575" s="76">
        <f ca="1">IF(MOD(COUNTIF($Q$11:Q1574,Q1574),5)=0,OFFSET(装备属性!$K$1083,1+INT(COUNTA($Q$11:Q1574)/5),0),N1574)</f>
        <v>0.044</v>
      </c>
      <c r="O1575" s="76">
        <f ca="1">IF(MOD(COUNTIF($Q$11:Q1574,Q1574),5)=0,OFFSET(装备属性!$L$1083,1+INT(COUNTA($Q$11:Q1574)/5),0),O1574)</f>
        <v>0.058</v>
      </c>
      <c r="Q1575" s="89" t="str">
        <f ca="1">IF(MOD(COUNTIF($Q$11:Q1574,Q1574),5)=0,OFFSET(装备属性!$M$1083,1+INT(COUNTA($Q$11:Q1574)/5),0),Q1574)</f>
        <v>通用属性</v>
      </c>
      <c r="R1575" s="83" t="e">
        <f ca="1">IF(MOD(COUNTIF($Q$11:Q1574,Q1574),5)=0,10000*SUBSTITUTE(SUBSTITUTE(OFFSET(装备属性!$F$1083,1+INT(COUNTA($Q$11:Q1574)/5),0),"[",""),"]","")+_xlfn.XLOOKUP(C1575,$M$3:$M$7,$N$3:$N$7)*100,R1574)</f>
        <v>#N/A</v>
      </c>
    </row>
    <row r="1576" customHeight="1" spans="1:18">
      <c r="A1576" s="78">
        <f ca="1" t="shared" si="72"/>
        <v>60501</v>
      </c>
      <c r="B1576" s="82">
        <f ca="1">IFERROR(R1576+COUNTIFS($R$11:$R1576,R1576),"")</f>
        <v>60501</v>
      </c>
      <c r="C1576" s="83" t="str">
        <f ca="1">IF(MOD(COUNTIF($Q$11:Q1575,Q1575),5)=0,OFFSET(装备属性!$D$1083,1+INT(COUNTA($Q$11:Q1575)/5),0),C1575)</f>
        <v>橙</v>
      </c>
      <c r="D1576" s="82">
        <f t="shared" si="74"/>
        <v>3000</v>
      </c>
      <c r="F1576" s="82">
        <f ca="1" t="shared" si="73"/>
        <v>60500</v>
      </c>
      <c r="G1576" s="78" t="str">
        <f ca="1">IF(AND(LEFT("[{"&amp;M1576&amp;","&amp;CEILING(N1576*10000+(O1576-N1576)/4*(COUNTIF($F$11:F1576,F1576)-1)*10000,10)&amp;"}]",7)="[{equip",MID("[{"&amp;M1576&amp;","&amp;CEILING(N1576*10000+(O1576-N1576)/4*(COUNTIF($F$11:F1576,F1576)-1)*10000,10)&amp;"}]",8,1)&lt;&gt;"_"),"[{"&amp;M1576&amp;","&amp;1&amp;"}]","[{"&amp;M1576&amp;","&amp;CEILING(N1576*10000+(O1576-N1576)/4*(COUNTIF($F$11:F1576,F1576)-1)*10000,10)&amp;"}]")</f>
        <v>[{dmg_red_rate,150}]</v>
      </c>
      <c r="H1576" s="82" t="s">
        <v>563</v>
      </c>
      <c r="J1576" s="78">
        <f ca="1">IF(MOD(COUNTIF($Q$11:Q1575,Q1575),5)=0,OFFSET(装备属性!$P$1083,1+INT(COUNTA($Q$11:Q1575)/5),0),J1575)</f>
        <v>6</v>
      </c>
      <c r="K1576" s="83" t="str">
        <f ca="1">IF(RIGHT(G1576,13)="rune_slot,1}]",_xlfn.XLOOKUP(LEFT(SUBSTITUTE(G1576,"[{",""),FIND(",",SUBSTITUTE(G1576,"[{",""))-1),Sheet2!B:B,Sheet2!C:C)&amp;"+"&amp;1,_xlfn.XLOOKUP(LEFT(SUBSTITUTE(G1576,"[{",""),FIND(",",SUBSTITUTE(G1576,"[{",""))-1),Sheet2!B:B,Sheet2!C:C)&amp;"+"&amp;SUBSTITUTE(RIGHT(G1576,LEN(G1576)-FIND(",",G1576)),"}]","")/100&amp;"%")</f>
        <v>伤害减免+1.5%</v>
      </c>
      <c r="L1576" s="83" t="str">
        <f ca="1">IF(MOD(COUNTIF($Q$11:Q1575,Q1575),5)=0,OFFSET(装备属性!$G$1083,1+INT(COUNTA($Q$11:Q1575)/5),0),L1575)</f>
        <v>全员抗揍Ⅱ</v>
      </c>
      <c r="M1576" s="89" t="str">
        <f ca="1">IF(MOD(COUNTIF($Q$11:Q1575,Q1575),5)=0,OFFSET(装备属性!$H$1083,1+INT(COUNTA($Q$11:Q1575)/5),0),M1575)</f>
        <v>dmg_red_rate</v>
      </c>
      <c r="N1576" s="76">
        <f ca="1">IF(MOD(COUNTIF($Q$11:Q1575,Q1575),5)=0,OFFSET(装备属性!$K$1083,1+INT(COUNTA($Q$11:Q1575)/5),0),N1575)</f>
        <v>0.015</v>
      </c>
      <c r="O1576" s="76">
        <f ca="1">IF(MOD(COUNTIF($Q$11:Q1575,Q1575),5)=0,OFFSET(装备属性!$L$1083,1+INT(COUNTA($Q$11:Q1575)/5),0),O1575)</f>
        <v>0.019</v>
      </c>
      <c r="Q1576" s="89" t="str">
        <f ca="1">IF(MOD(COUNTIF($Q$11:Q1575,Q1575),5)=0,OFFSET(装备属性!$M$1083,1+INT(COUNTA($Q$11:Q1575)/5),0),Q1575)</f>
        <v>通用属性</v>
      </c>
      <c r="R1576" s="83">
        <f ca="1">IF(MOD(COUNTIF($Q$11:Q1575,Q1575),5)=0,10000*SUBSTITUTE(SUBSTITUTE(OFFSET(装备属性!$F$1083,1+INT(COUNTA($Q$11:Q1575)/5),0),"[",""),"]","")+_xlfn.XLOOKUP(C1576,$M$3:$M$7,$N$3:$N$7)*100,R1575)</f>
        <v>60500</v>
      </c>
    </row>
    <row r="1577" customHeight="1" spans="1:18">
      <c r="A1577" s="78">
        <f ca="1" t="shared" si="72"/>
        <v>60501</v>
      </c>
      <c r="B1577" s="82">
        <f ca="1">IFERROR(R1577+COUNTIFS($R$11:$R1577,R1577),"")</f>
        <v>60502</v>
      </c>
      <c r="C1577" s="83" t="str">
        <f ca="1">IF(MOD(COUNTIF($Q$11:Q1576,Q1576),5)=0,OFFSET(装备属性!$D$1083,1+INT(COUNTA($Q$11:Q1576)/5),0),C1576)</f>
        <v>橙</v>
      </c>
      <c r="D1577" s="82">
        <f t="shared" si="74"/>
        <v>2500</v>
      </c>
      <c r="F1577" s="82">
        <f ca="1" t="shared" si="73"/>
        <v>60500</v>
      </c>
      <c r="G1577" s="78" t="str">
        <f ca="1">IF(AND(LEFT("[{"&amp;M1577&amp;","&amp;CEILING(N1577*10000+(O1577-N1577)/4*(COUNTIF($F$11:F1577,F1577)-1)*10000,10)&amp;"}]",7)="[{equip",MID("[{"&amp;M1577&amp;","&amp;CEILING(N1577*10000+(O1577-N1577)/4*(COUNTIF($F$11:F1577,F1577)-1)*10000,10)&amp;"}]",8,1)&lt;&gt;"_"),"[{"&amp;M1577&amp;","&amp;1&amp;"}]","[{"&amp;M1577&amp;","&amp;CEILING(N1577*10000+(O1577-N1577)/4*(COUNTIF($F$11:F1577,F1577)-1)*10000,10)&amp;"}]")</f>
        <v>[{dmg_red_rate,160}]</v>
      </c>
      <c r="H1577" s="82" t="s">
        <v>563</v>
      </c>
      <c r="J1577" s="78">
        <f ca="1">IF(MOD(COUNTIF($Q$11:Q1576,Q1576),5)=0,OFFSET(装备属性!$P$1083,1+INT(COUNTA($Q$11:Q1576)/5),0),J1576)</f>
        <v>6</v>
      </c>
      <c r="K1577" s="83" t="str">
        <f ca="1">IF(RIGHT(G1577,13)="rune_slot,1}]",_xlfn.XLOOKUP(LEFT(SUBSTITUTE(G1577,"[{",""),FIND(",",SUBSTITUTE(G1577,"[{",""))-1),Sheet2!B:B,Sheet2!C:C)&amp;"+"&amp;1,_xlfn.XLOOKUP(LEFT(SUBSTITUTE(G1577,"[{",""),FIND(",",SUBSTITUTE(G1577,"[{",""))-1),Sheet2!B:B,Sheet2!C:C)&amp;"+"&amp;SUBSTITUTE(RIGHT(G1577,LEN(G1577)-FIND(",",G1577)),"}]","")/100&amp;"%")</f>
        <v>伤害减免+1.6%</v>
      </c>
      <c r="L1577" s="83" t="str">
        <f ca="1">IF(MOD(COUNTIF($Q$11:Q1576,Q1576),5)=0,OFFSET(装备属性!$G$1083,1+INT(COUNTA($Q$11:Q1576)/5),0),L1576)</f>
        <v>全员抗揍Ⅱ</v>
      </c>
      <c r="M1577" s="89" t="str">
        <f ca="1">IF(MOD(COUNTIF($Q$11:Q1576,Q1576),5)=0,OFFSET(装备属性!$H$1083,1+INT(COUNTA($Q$11:Q1576)/5),0),M1576)</f>
        <v>dmg_red_rate</v>
      </c>
      <c r="N1577" s="76">
        <f ca="1">IF(MOD(COUNTIF($Q$11:Q1576,Q1576),5)=0,OFFSET(装备属性!$K$1083,1+INT(COUNTA($Q$11:Q1576)/5),0),N1576)</f>
        <v>0.015</v>
      </c>
      <c r="O1577" s="76">
        <f ca="1">IF(MOD(COUNTIF($Q$11:Q1576,Q1576),5)=0,OFFSET(装备属性!$L$1083,1+INT(COUNTA($Q$11:Q1576)/5),0),O1576)</f>
        <v>0.019</v>
      </c>
      <c r="Q1577" s="89" t="str">
        <f ca="1">IF(MOD(COUNTIF($Q$11:Q1576,Q1576),5)=0,OFFSET(装备属性!$M$1083,1+INT(COUNTA($Q$11:Q1576)/5),0),Q1576)</f>
        <v>通用属性</v>
      </c>
      <c r="R1577" s="83">
        <f ca="1">IF(MOD(COUNTIF($Q$11:Q1576,Q1576),5)=0,10000*SUBSTITUTE(SUBSTITUTE(OFFSET(装备属性!$F$1083,1+INT(COUNTA($Q$11:Q1576)/5),0),"[",""),"]","")+_xlfn.XLOOKUP(C1577,$M$3:$M$7,$N$3:$N$7)*100,R1576)</f>
        <v>60500</v>
      </c>
    </row>
    <row r="1578" customHeight="1" spans="1:18">
      <c r="A1578" s="78">
        <f ca="1" t="shared" si="72"/>
        <v>60501</v>
      </c>
      <c r="B1578" s="82">
        <f ca="1">IFERROR(R1578+COUNTIFS($R$11:$R1578,R1578),"")</f>
        <v>60503</v>
      </c>
      <c r="C1578" s="83" t="str">
        <f ca="1">IF(MOD(COUNTIF($Q$11:Q1577,Q1577),5)=0,OFFSET(装备属性!$D$1083,1+INT(COUNTA($Q$11:Q1577)/5),0),C1577)</f>
        <v>橙</v>
      </c>
      <c r="D1578" s="82">
        <f t="shared" si="74"/>
        <v>2000</v>
      </c>
      <c r="F1578" s="82">
        <f ca="1" t="shared" si="73"/>
        <v>60500</v>
      </c>
      <c r="G1578" s="78" t="str">
        <f ca="1">IF(AND(LEFT("[{"&amp;M1578&amp;","&amp;CEILING(N1578*10000+(O1578-N1578)/4*(COUNTIF($F$11:F1578,F1578)-1)*10000,10)&amp;"}]",7)="[{equip",MID("[{"&amp;M1578&amp;","&amp;CEILING(N1578*10000+(O1578-N1578)/4*(COUNTIF($F$11:F1578,F1578)-1)*10000,10)&amp;"}]",8,1)&lt;&gt;"_"),"[{"&amp;M1578&amp;","&amp;1&amp;"}]","[{"&amp;M1578&amp;","&amp;CEILING(N1578*10000+(O1578-N1578)/4*(COUNTIF($F$11:F1578,F1578)-1)*10000,10)&amp;"}]")</f>
        <v>[{dmg_red_rate,170}]</v>
      </c>
      <c r="H1578" s="82" t="s">
        <v>563</v>
      </c>
      <c r="J1578" s="78">
        <f ca="1">IF(MOD(COUNTIF($Q$11:Q1577,Q1577),5)=0,OFFSET(装备属性!$P$1083,1+INT(COUNTA($Q$11:Q1577)/5),0),J1577)</f>
        <v>6</v>
      </c>
      <c r="K1578" s="83" t="str">
        <f ca="1">IF(RIGHT(G1578,13)="rune_slot,1}]",_xlfn.XLOOKUP(LEFT(SUBSTITUTE(G1578,"[{",""),FIND(",",SUBSTITUTE(G1578,"[{",""))-1),Sheet2!B:B,Sheet2!C:C)&amp;"+"&amp;1,_xlfn.XLOOKUP(LEFT(SUBSTITUTE(G1578,"[{",""),FIND(",",SUBSTITUTE(G1578,"[{",""))-1),Sheet2!B:B,Sheet2!C:C)&amp;"+"&amp;SUBSTITUTE(RIGHT(G1578,LEN(G1578)-FIND(",",G1578)),"}]","")/100&amp;"%")</f>
        <v>伤害减免+1.7%</v>
      </c>
      <c r="L1578" s="83" t="str">
        <f ca="1">IF(MOD(COUNTIF($Q$11:Q1577,Q1577),5)=0,OFFSET(装备属性!$G$1083,1+INT(COUNTA($Q$11:Q1577)/5),0),L1577)</f>
        <v>全员抗揍Ⅱ</v>
      </c>
      <c r="M1578" s="89" t="str">
        <f ca="1">IF(MOD(COUNTIF($Q$11:Q1577,Q1577),5)=0,OFFSET(装备属性!$H$1083,1+INT(COUNTA($Q$11:Q1577)/5),0),M1577)</f>
        <v>dmg_red_rate</v>
      </c>
      <c r="N1578" s="76">
        <f ca="1">IF(MOD(COUNTIF($Q$11:Q1577,Q1577),5)=0,OFFSET(装备属性!$K$1083,1+INT(COUNTA($Q$11:Q1577)/5),0),N1577)</f>
        <v>0.015</v>
      </c>
      <c r="O1578" s="76">
        <f ca="1">IF(MOD(COUNTIF($Q$11:Q1577,Q1577),5)=0,OFFSET(装备属性!$L$1083,1+INT(COUNTA($Q$11:Q1577)/5),0),O1577)</f>
        <v>0.019</v>
      </c>
      <c r="Q1578" s="89" t="str">
        <f ca="1">IF(MOD(COUNTIF($Q$11:Q1577,Q1577),5)=0,OFFSET(装备属性!$M$1083,1+INT(COUNTA($Q$11:Q1577)/5),0),Q1577)</f>
        <v>通用属性</v>
      </c>
      <c r="R1578" s="83">
        <f ca="1">IF(MOD(COUNTIF($Q$11:Q1577,Q1577),5)=0,10000*SUBSTITUTE(SUBSTITUTE(OFFSET(装备属性!$F$1083,1+INT(COUNTA($Q$11:Q1577)/5),0),"[",""),"]","")+_xlfn.XLOOKUP(C1578,$M$3:$M$7,$N$3:$N$7)*100,R1577)</f>
        <v>60500</v>
      </c>
    </row>
    <row r="1579" customHeight="1" spans="1:18">
      <c r="A1579" s="78">
        <f ca="1" t="shared" si="72"/>
        <v>60501</v>
      </c>
      <c r="B1579" s="82">
        <f ca="1">IFERROR(R1579+COUNTIFS($R$11:$R1579,R1579),"")</f>
        <v>60504</v>
      </c>
      <c r="C1579" s="83" t="str">
        <f ca="1">IF(MOD(COUNTIF($Q$11:Q1578,Q1578),5)=0,OFFSET(装备属性!$D$1083,1+INT(COUNTA($Q$11:Q1578)/5),0),C1578)</f>
        <v>橙</v>
      </c>
      <c r="D1579" s="82">
        <f t="shared" si="74"/>
        <v>1500</v>
      </c>
      <c r="F1579" s="82">
        <f ca="1" t="shared" si="73"/>
        <v>60500</v>
      </c>
      <c r="G1579" s="78" t="str">
        <f ca="1">IF(AND(LEFT("[{"&amp;M1579&amp;","&amp;CEILING(N1579*10000+(O1579-N1579)/4*(COUNTIF($F$11:F1579,F1579)-1)*10000,10)&amp;"}]",7)="[{equip",MID("[{"&amp;M1579&amp;","&amp;CEILING(N1579*10000+(O1579-N1579)/4*(COUNTIF($F$11:F1579,F1579)-1)*10000,10)&amp;"}]",8,1)&lt;&gt;"_"),"[{"&amp;M1579&amp;","&amp;1&amp;"}]","[{"&amp;M1579&amp;","&amp;CEILING(N1579*10000+(O1579-N1579)/4*(COUNTIF($F$11:F1579,F1579)-1)*10000,10)&amp;"}]")</f>
        <v>[{dmg_red_rate,180}]</v>
      </c>
      <c r="H1579" s="82" t="s">
        <v>563</v>
      </c>
      <c r="J1579" s="78">
        <f ca="1">IF(MOD(COUNTIF($Q$11:Q1578,Q1578),5)=0,OFFSET(装备属性!$P$1083,1+INT(COUNTA($Q$11:Q1578)/5),0),J1578)</f>
        <v>6</v>
      </c>
      <c r="K1579" s="83" t="str">
        <f ca="1">IF(RIGHT(G1579,13)="rune_slot,1}]",_xlfn.XLOOKUP(LEFT(SUBSTITUTE(G1579,"[{",""),FIND(",",SUBSTITUTE(G1579,"[{",""))-1),Sheet2!B:B,Sheet2!C:C)&amp;"+"&amp;1,_xlfn.XLOOKUP(LEFT(SUBSTITUTE(G1579,"[{",""),FIND(",",SUBSTITUTE(G1579,"[{",""))-1),Sheet2!B:B,Sheet2!C:C)&amp;"+"&amp;SUBSTITUTE(RIGHT(G1579,LEN(G1579)-FIND(",",G1579)),"}]","")/100&amp;"%")</f>
        <v>伤害减免+1.8%</v>
      </c>
      <c r="L1579" s="83" t="str">
        <f ca="1">IF(MOD(COUNTIF($Q$11:Q1578,Q1578),5)=0,OFFSET(装备属性!$G$1083,1+INT(COUNTA($Q$11:Q1578)/5),0),L1578)</f>
        <v>全员抗揍Ⅱ</v>
      </c>
      <c r="M1579" s="89" t="str">
        <f ca="1">IF(MOD(COUNTIF($Q$11:Q1578,Q1578),5)=0,OFFSET(装备属性!$H$1083,1+INT(COUNTA($Q$11:Q1578)/5),0),M1578)</f>
        <v>dmg_red_rate</v>
      </c>
      <c r="N1579" s="76">
        <f ca="1">IF(MOD(COUNTIF($Q$11:Q1578,Q1578),5)=0,OFFSET(装备属性!$K$1083,1+INT(COUNTA($Q$11:Q1578)/5),0),N1578)</f>
        <v>0.015</v>
      </c>
      <c r="O1579" s="76">
        <f ca="1">IF(MOD(COUNTIF($Q$11:Q1578,Q1578),5)=0,OFFSET(装备属性!$L$1083,1+INT(COUNTA($Q$11:Q1578)/5),0),O1578)</f>
        <v>0.019</v>
      </c>
      <c r="Q1579" s="89" t="str">
        <f ca="1">IF(MOD(COUNTIF($Q$11:Q1578,Q1578),5)=0,OFFSET(装备属性!$M$1083,1+INT(COUNTA($Q$11:Q1578)/5),0),Q1578)</f>
        <v>通用属性</v>
      </c>
      <c r="R1579" s="83">
        <f ca="1">IF(MOD(COUNTIF($Q$11:Q1578,Q1578),5)=0,10000*SUBSTITUTE(SUBSTITUTE(OFFSET(装备属性!$F$1083,1+INT(COUNTA($Q$11:Q1578)/5),0),"[",""),"]","")+_xlfn.XLOOKUP(C1579,$M$3:$M$7,$N$3:$N$7)*100,R1578)</f>
        <v>60500</v>
      </c>
    </row>
    <row r="1580" customHeight="1" spans="1:18">
      <c r="A1580" s="78">
        <f ca="1" t="shared" si="72"/>
        <v>60501</v>
      </c>
      <c r="B1580" s="82">
        <f ca="1">IFERROR(R1580+COUNTIFS($R$11:$R1580,R1580),"")</f>
        <v>60505</v>
      </c>
      <c r="C1580" s="83" t="str">
        <f ca="1">IF(MOD(COUNTIF($Q$11:Q1579,Q1579),5)=0,OFFSET(装备属性!$D$1083,1+INT(COUNTA($Q$11:Q1579)/5),0),C1579)</f>
        <v>橙</v>
      </c>
      <c r="D1580" s="82">
        <f t="shared" si="74"/>
        <v>1000</v>
      </c>
      <c r="F1580" s="82">
        <f ca="1" t="shared" si="73"/>
        <v>60500</v>
      </c>
      <c r="G1580" s="78" t="str">
        <f ca="1">IF(AND(LEFT("[{"&amp;M1580&amp;","&amp;CEILING(N1580*10000+(O1580-N1580)/4*(COUNTIF($F$11:F1580,F1580)-1)*10000,10)&amp;"}]",7)="[{equip",MID("[{"&amp;M1580&amp;","&amp;CEILING(N1580*10000+(O1580-N1580)/4*(COUNTIF($F$11:F1580,F1580)-1)*10000,10)&amp;"}]",8,1)&lt;&gt;"_"),"[{"&amp;M1580&amp;","&amp;1&amp;"}]","[{"&amp;M1580&amp;","&amp;CEILING(N1580*10000+(O1580-N1580)/4*(COUNTIF($F$11:F1580,F1580)-1)*10000,10)&amp;"}]")</f>
        <v>[{dmg_red_rate,190}]</v>
      </c>
      <c r="H1580" s="82" t="s">
        <v>563</v>
      </c>
      <c r="J1580" s="78">
        <f ca="1">IF(MOD(COUNTIF($Q$11:Q1579,Q1579),5)=0,OFFSET(装备属性!$P$1083,1+INT(COUNTA($Q$11:Q1579)/5),0),J1579)</f>
        <v>6</v>
      </c>
      <c r="K1580" s="83" t="str">
        <f ca="1">IF(RIGHT(G1580,13)="rune_slot,1}]",_xlfn.XLOOKUP(LEFT(SUBSTITUTE(G1580,"[{",""),FIND(",",SUBSTITUTE(G1580,"[{",""))-1),Sheet2!B:B,Sheet2!C:C)&amp;"+"&amp;1,_xlfn.XLOOKUP(LEFT(SUBSTITUTE(G1580,"[{",""),FIND(",",SUBSTITUTE(G1580,"[{",""))-1),Sheet2!B:B,Sheet2!C:C)&amp;"+"&amp;SUBSTITUTE(RIGHT(G1580,LEN(G1580)-FIND(",",G1580)),"}]","")/100&amp;"%")</f>
        <v>伤害减免+1.9%</v>
      </c>
      <c r="L1580" s="83" t="str">
        <f ca="1">IF(MOD(COUNTIF($Q$11:Q1579,Q1579),5)=0,OFFSET(装备属性!$G$1083,1+INT(COUNTA($Q$11:Q1579)/5),0),L1579)</f>
        <v>全员抗揍Ⅱ</v>
      </c>
      <c r="M1580" s="89" t="str">
        <f ca="1">IF(MOD(COUNTIF($Q$11:Q1579,Q1579),5)=0,OFFSET(装备属性!$H$1083,1+INT(COUNTA($Q$11:Q1579)/5),0),M1579)</f>
        <v>dmg_red_rate</v>
      </c>
      <c r="N1580" s="76">
        <f ca="1">IF(MOD(COUNTIF($Q$11:Q1579,Q1579),5)=0,OFFSET(装备属性!$K$1083,1+INT(COUNTA($Q$11:Q1579)/5),0),N1579)</f>
        <v>0.015</v>
      </c>
      <c r="O1580" s="76">
        <f ca="1">IF(MOD(COUNTIF($Q$11:Q1579,Q1579),5)=0,OFFSET(装备属性!$L$1083,1+INT(COUNTA($Q$11:Q1579)/5),0),O1579)</f>
        <v>0.019</v>
      </c>
      <c r="Q1580" s="89" t="str">
        <f ca="1">IF(MOD(COUNTIF($Q$11:Q1579,Q1579),5)=0,OFFSET(装备属性!$M$1083,1+INT(COUNTA($Q$11:Q1579)/5),0),Q1579)</f>
        <v>通用属性</v>
      </c>
      <c r="R1580" s="83">
        <f ca="1">IF(MOD(COUNTIF($Q$11:Q1579,Q1579),5)=0,10000*SUBSTITUTE(SUBSTITUTE(OFFSET(装备属性!$F$1083,1+INT(COUNTA($Q$11:Q1579)/5),0),"[",""),"]","")+_xlfn.XLOOKUP(C1580,$M$3:$M$7,$N$3:$N$7)*100,R1579)</f>
        <v>60500</v>
      </c>
    </row>
    <row r="1581" customHeight="1" spans="1:18">
      <c r="A1581" s="78">
        <f ca="1" t="shared" si="72"/>
        <v>60501</v>
      </c>
      <c r="B1581" s="82">
        <f ca="1">IFERROR(R1581+COUNTIFS($R$11:$R1581,R1581),"")</f>
        <v>60506</v>
      </c>
      <c r="C1581" s="83" t="str">
        <f ca="1">IF(MOD(COUNTIF($Q$11:Q1580,Q1580),5)=0,OFFSET(装备属性!$D$1083,1+INT(COUNTA($Q$11:Q1580)/5),0),C1580)</f>
        <v>橙</v>
      </c>
      <c r="D1581" s="82">
        <f t="shared" si="74"/>
        <v>3000</v>
      </c>
      <c r="F1581" s="82">
        <f ca="1" t="shared" si="73"/>
        <v>60501</v>
      </c>
      <c r="G1581" s="78" t="str">
        <f ca="1">IF(AND(LEFT("[{"&amp;M1581&amp;","&amp;CEILING(N1581*10000+(O1581-N1581)/4*(COUNTIF($F$11:F1581,F1581)-1)*10000,10)&amp;"}]",7)="[{equip",MID("[{"&amp;M1581&amp;","&amp;CEILING(N1581*10000+(O1581-N1581)/4*(COUNTIF($F$11:F1581,F1581)-1)*10000,10)&amp;"}]",8,1)&lt;&gt;"_"),"[{"&amp;M1581&amp;","&amp;1&amp;"}]","[{"&amp;M1581&amp;","&amp;CEILING(N1581*10000+(O1581-N1581)/4*(COUNTIF($F$11:F1581,F1581)-1)*10000,10)&amp;"}]")</f>
        <v>[{all_class_dmg,440}]</v>
      </c>
      <c r="H1581" s="82" t="s">
        <v>563</v>
      </c>
      <c r="J1581" s="78">
        <f ca="1">IF(MOD(COUNTIF($Q$11:Q1580,Q1580),5)=0,OFFSET(装备属性!$P$1083,1+INT(COUNTA($Q$11:Q1580)/5),0),J1580)</f>
        <v>2</v>
      </c>
      <c r="K1581" s="83" t="str">
        <f ca="1">IF(RIGHT(G1581,13)="rune_slot,1}]",_xlfn.XLOOKUP(LEFT(SUBSTITUTE(G1581,"[{",""),FIND(",",SUBSTITUTE(G1581,"[{",""))-1),Sheet2!B:B,Sheet2!C:C)&amp;"+"&amp;1,_xlfn.XLOOKUP(LEFT(SUBSTITUTE(G1581,"[{",""),FIND(",",SUBSTITUTE(G1581,"[{",""))-1),Sheet2!B:B,Sheet2!C:C)&amp;"+"&amp;SUBSTITUTE(RIGHT(G1581,LEN(G1581)-FIND(",",G1581)),"}]","")/100&amp;"%")</f>
        <v>上阵五个不同职业增伤+4.4%</v>
      </c>
      <c r="L1581" s="83" t="str">
        <f ca="1">IF(MOD(COUNTIF($Q$11:Q1580,Q1580),5)=0,OFFSET(装备属性!$G$1083,1+INT(COUNTA($Q$11:Q1580)/5),0),L1580)</f>
        <v>全员出力Ⅱ</v>
      </c>
      <c r="M1581" s="89" t="str">
        <f ca="1">IF(MOD(COUNTIF($Q$11:Q1580,Q1580),5)=0,OFFSET(装备属性!$H$1083,1+INT(COUNTA($Q$11:Q1580)/5),0),M1580)</f>
        <v>all_class_dmg</v>
      </c>
      <c r="N1581" s="76">
        <f ca="1">IF(MOD(COUNTIF($Q$11:Q1580,Q1580),5)=0,OFFSET(装备属性!$K$1083,1+INT(COUNTA($Q$11:Q1580)/5),0),N1580)</f>
        <v>0.044</v>
      </c>
      <c r="O1581" s="76">
        <f ca="1">IF(MOD(COUNTIF($Q$11:Q1580,Q1580),5)=0,OFFSET(装备属性!$L$1083,1+INT(COUNTA($Q$11:Q1580)/5),0),O1580)</f>
        <v>0.058</v>
      </c>
      <c r="Q1581" s="89" t="str">
        <f ca="1">IF(MOD(COUNTIF($Q$11:Q1580,Q1580),5)=0,OFFSET(装备属性!$M$1083,1+INT(COUNTA($Q$11:Q1580)/5),0),Q1580)</f>
        <v>通用属性</v>
      </c>
      <c r="R1581" s="83">
        <f ca="1">IF(MOD(COUNTIF($Q$11:Q1580,Q1580),5)=0,10000*SUBSTITUTE(SUBSTITUTE(OFFSET(装备属性!$F$1083,1+INT(COUNTA($Q$11:Q1580)/5),0),"[",""),"]","")+_xlfn.XLOOKUP(C1581,$M$3:$M$7,$N$3:$N$7)*100,R1580)</f>
        <v>60500</v>
      </c>
    </row>
    <row r="1582" customHeight="1" spans="1:18">
      <c r="A1582" s="78">
        <f ca="1" t="shared" si="72"/>
        <v>60501</v>
      </c>
      <c r="B1582" s="82">
        <f ca="1">IFERROR(R1582+COUNTIFS($R$11:$R1582,R1582),"")</f>
        <v>60507</v>
      </c>
      <c r="C1582" s="83" t="str">
        <f ca="1">IF(MOD(COUNTIF($Q$11:Q1581,Q1581),5)=0,OFFSET(装备属性!$D$1083,1+INT(COUNTA($Q$11:Q1581)/5),0),C1581)</f>
        <v>橙</v>
      </c>
      <c r="D1582" s="82">
        <f t="shared" si="74"/>
        <v>2500</v>
      </c>
      <c r="F1582" s="82">
        <f ca="1" t="shared" si="73"/>
        <v>60501</v>
      </c>
      <c r="G1582" s="78" t="str">
        <f ca="1">IF(AND(LEFT("[{"&amp;M1582&amp;","&amp;CEILING(N1582*10000+(O1582-N1582)/4*(COUNTIF($F$11:F1582,F1582)-1)*10000,10)&amp;"}]",7)="[{equip",MID("[{"&amp;M1582&amp;","&amp;CEILING(N1582*10000+(O1582-N1582)/4*(COUNTIF($F$11:F1582,F1582)-1)*10000,10)&amp;"}]",8,1)&lt;&gt;"_"),"[{"&amp;M1582&amp;","&amp;1&amp;"}]","[{"&amp;M1582&amp;","&amp;CEILING(N1582*10000+(O1582-N1582)/4*(COUNTIF($F$11:F1582,F1582)-1)*10000,10)&amp;"}]")</f>
        <v>[{all_class_dmg,480}]</v>
      </c>
      <c r="H1582" s="82" t="s">
        <v>563</v>
      </c>
      <c r="J1582" s="78">
        <f ca="1">IF(MOD(COUNTIF($Q$11:Q1581,Q1581),5)=0,OFFSET(装备属性!$P$1083,1+INT(COUNTA($Q$11:Q1581)/5),0),J1581)</f>
        <v>2</v>
      </c>
      <c r="K1582" s="83" t="str">
        <f ca="1">IF(RIGHT(G1582,13)="rune_slot,1}]",_xlfn.XLOOKUP(LEFT(SUBSTITUTE(G1582,"[{",""),FIND(",",SUBSTITUTE(G1582,"[{",""))-1),Sheet2!B:B,Sheet2!C:C)&amp;"+"&amp;1,_xlfn.XLOOKUP(LEFT(SUBSTITUTE(G1582,"[{",""),FIND(",",SUBSTITUTE(G1582,"[{",""))-1),Sheet2!B:B,Sheet2!C:C)&amp;"+"&amp;SUBSTITUTE(RIGHT(G1582,LEN(G1582)-FIND(",",G1582)),"}]","")/100&amp;"%")</f>
        <v>上阵五个不同职业增伤+4.8%</v>
      </c>
      <c r="L1582" s="83" t="str">
        <f ca="1">IF(MOD(COUNTIF($Q$11:Q1581,Q1581),5)=0,OFFSET(装备属性!$G$1083,1+INT(COUNTA($Q$11:Q1581)/5),0),L1581)</f>
        <v>全员出力Ⅱ</v>
      </c>
      <c r="M1582" s="89" t="str">
        <f ca="1">IF(MOD(COUNTIF($Q$11:Q1581,Q1581),5)=0,OFFSET(装备属性!$H$1083,1+INT(COUNTA($Q$11:Q1581)/5),0),M1581)</f>
        <v>all_class_dmg</v>
      </c>
      <c r="N1582" s="76">
        <f ca="1">IF(MOD(COUNTIF($Q$11:Q1581,Q1581),5)=0,OFFSET(装备属性!$K$1083,1+INT(COUNTA($Q$11:Q1581)/5),0),N1581)</f>
        <v>0.044</v>
      </c>
      <c r="O1582" s="76">
        <f ca="1">IF(MOD(COUNTIF($Q$11:Q1581,Q1581),5)=0,OFFSET(装备属性!$L$1083,1+INT(COUNTA($Q$11:Q1581)/5),0),O1581)</f>
        <v>0.058</v>
      </c>
      <c r="Q1582" s="89" t="str">
        <f ca="1">IF(MOD(COUNTIF($Q$11:Q1581,Q1581),5)=0,OFFSET(装备属性!$M$1083,1+INT(COUNTA($Q$11:Q1581)/5),0),Q1581)</f>
        <v>通用属性</v>
      </c>
      <c r="R1582" s="83">
        <f ca="1">IF(MOD(COUNTIF($Q$11:Q1581,Q1581),5)=0,10000*SUBSTITUTE(SUBSTITUTE(OFFSET(装备属性!$F$1083,1+INT(COUNTA($Q$11:Q1581)/5),0),"[",""),"]","")+_xlfn.XLOOKUP(C1582,$M$3:$M$7,$N$3:$N$7)*100,R1581)</f>
        <v>60500</v>
      </c>
    </row>
    <row r="1583" customHeight="1" spans="1:18">
      <c r="A1583" s="78">
        <f ca="1" t="shared" si="72"/>
        <v>60501</v>
      </c>
      <c r="B1583" s="82">
        <f ca="1">IFERROR(R1583+COUNTIFS($R$11:$R1583,R1583),"")</f>
        <v>60508</v>
      </c>
      <c r="C1583" s="83" t="str">
        <f ca="1">IF(MOD(COUNTIF($Q$11:Q1582,Q1582),5)=0,OFFSET(装备属性!$D$1083,1+INT(COUNTA($Q$11:Q1582)/5),0),C1582)</f>
        <v>橙</v>
      </c>
      <c r="D1583" s="82">
        <f t="shared" si="74"/>
        <v>2000</v>
      </c>
      <c r="F1583" s="82">
        <f ca="1" t="shared" si="73"/>
        <v>60501</v>
      </c>
      <c r="G1583" s="78" t="str">
        <f ca="1">IF(AND(LEFT("[{"&amp;M1583&amp;","&amp;CEILING(N1583*10000+(O1583-N1583)/4*(COUNTIF($F$11:F1583,F1583)-1)*10000,10)&amp;"}]",7)="[{equip",MID("[{"&amp;M1583&amp;","&amp;CEILING(N1583*10000+(O1583-N1583)/4*(COUNTIF($F$11:F1583,F1583)-1)*10000,10)&amp;"}]",8,1)&lt;&gt;"_"),"[{"&amp;M1583&amp;","&amp;1&amp;"}]","[{"&amp;M1583&amp;","&amp;CEILING(N1583*10000+(O1583-N1583)/4*(COUNTIF($F$11:F1583,F1583)-1)*10000,10)&amp;"}]")</f>
        <v>[{all_class_dmg,510}]</v>
      </c>
      <c r="H1583" s="82" t="s">
        <v>563</v>
      </c>
      <c r="J1583" s="78">
        <f ca="1">IF(MOD(COUNTIF($Q$11:Q1582,Q1582),5)=0,OFFSET(装备属性!$P$1083,1+INT(COUNTA($Q$11:Q1582)/5),0),J1582)</f>
        <v>2</v>
      </c>
      <c r="K1583" s="83" t="str">
        <f ca="1">IF(RIGHT(G1583,13)="rune_slot,1}]",_xlfn.XLOOKUP(LEFT(SUBSTITUTE(G1583,"[{",""),FIND(",",SUBSTITUTE(G1583,"[{",""))-1),Sheet2!B:B,Sheet2!C:C)&amp;"+"&amp;1,_xlfn.XLOOKUP(LEFT(SUBSTITUTE(G1583,"[{",""),FIND(",",SUBSTITUTE(G1583,"[{",""))-1),Sheet2!B:B,Sheet2!C:C)&amp;"+"&amp;SUBSTITUTE(RIGHT(G1583,LEN(G1583)-FIND(",",G1583)),"}]","")/100&amp;"%")</f>
        <v>上阵五个不同职业增伤+5.1%</v>
      </c>
      <c r="L1583" s="83" t="str">
        <f ca="1">IF(MOD(COUNTIF($Q$11:Q1582,Q1582),5)=0,OFFSET(装备属性!$G$1083,1+INT(COUNTA($Q$11:Q1582)/5),0),L1582)</f>
        <v>全员出力Ⅱ</v>
      </c>
      <c r="M1583" s="89" t="str">
        <f ca="1">IF(MOD(COUNTIF($Q$11:Q1582,Q1582),5)=0,OFFSET(装备属性!$H$1083,1+INT(COUNTA($Q$11:Q1582)/5),0),M1582)</f>
        <v>all_class_dmg</v>
      </c>
      <c r="N1583" s="76">
        <f ca="1">IF(MOD(COUNTIF($Q$11:Q1582,Q1582),5)=0,OFFSET(装备属性!$K$1083,1+INT(COUNTA($Q$11:Q1582)/5),0),N1582)</f>
        <v>0.044</v>
      </c>
      <c r="O1583" s="76">
        <f ca="1">IF(MOD(COUNTIF($Q$11:Q1582,Q1582),5)=0,OFFSET(装备属性!$L$1083,1+INT(COUNTA($Q$11:Q1582)/5),0),O1582)</f>
        <v>0.058</v>
      </c>
      <c r="Q1583" s="89" t="str">
        <f ca="1">IF(MOD(COUNTIF($Q$11:Q1582,Q1582),5)=0,OFFSET(装备属性!$M$1083,1+INT(COUNTA($Q$11:Q1582)/5),0),Q1582)</f>
        <v>通用属性</v>
      </c>
      <c r="R1583" s="83">
        <f ca="1">IF(MOD(COUNTIF($Q$11:Q1582,Q1582),5)=0,10000*SUBSTITUTE(SUBSTITUTE(OFFSET(装备属性!$F$1083,1+INT(COUNTA($Q$11:Q1582)/5),0),"[",""),"]","")+_xlfn.XLOOKUP(C1583,$M$3:$M$7,$N$3:$N$7)*100,R1582)</f>
        <v>60500</v>
      </c>
    </row>
    <row r="1584" customHeight="1" spans="1:18">
      <c r="A1584" s="78">
        <f ca="1" t="shared" si="72"/>
        <v>60501</v>
      </c>
      <c r="B1584" s="82">
        <f ca="1">IFERROR(R1584+COUNTIFS($R$11:$R1584,R1584),"")</f>
        <v>60509</v>
      </c>
      <c r="C1584" s="83" t="str">
        <f ca="1">IF(MOD(COUNTIF($Q$11:Q1583,Q1583),5)=0,OFFSET(装备属性!$D$1083,1+INT(COUNTA($Q$11:Q1583)/5),0),C1583)</f>
        <v>橙</v>
      </c>
      <c r="D1584" s="82">
        <f t="shared" si="74"/>
        <v>1500</v>
      </c>
      <c r="F1584" s="82">
        <f ca="1" t="shared" si="73"/>
        <v>60501</v>
      </c>
      <c r="G1584" s="78" t="str">
        <f ca="1">IF(AND(LEFT("[{"&amp;M1584&amp;","&amp;CEILING(N1584*10000+(O1584-N1584)/4*(COUNTIF($F$11:F1584,F1584)-1)*10000,10)&amp;"}]",7)="[{equip",MID("[{"&amp;M1584&amp;","&amp;CEILING(N1584*10000+(O1584-N1584)/4*(COUNTIF($F$11:F1584,F1584)-1)*10000,10)&amp;"}]",8,1)&lt;&gt;"_"),"[{"&amp;M1584&amp;","&amp;1&amp;"}]","[{"&amp;M1584&amp;","&amp;CEILING(N1584*10000+(O1584-N1584)/4*(COUNTIF($F$11:F1584,F1584)-1)*10000,10)&amp;"}]")</f>
        <v>[{all_class_dmg,550}]</v>
      </c>
      <c r="H1584" s="82" t="s">
        <v>563</v>
      </c>
      <c r="J1584" s="78">
        <f ca="1">IF(MOD(COUNTIF($Q$11:Q1583,Q1583),5)=0,OFFSET(装备属性!$P$1083,1+INT(COUNTA($Q$11:Q1583)/5),0),J1583)</f>
        <v>2</v>
      </c>
      <c r="K1584" s="83" t="str">
        <f ca="1">IF(RIGHT(G1584,13)="rune_slot,1}]",_xlfn.XLOOKUP(LEFT(SUBSTITUTE(G1584,"[{",""),FIND(",",SUBSTITUTE(G1584,"[{",""))-1),Sheet2!B:B,Sheet2!C:C)&amp;"+"&amp;1,_xlfn.XLOOKUP(LEFT(SUBSTITUTE(G1584,"[{",""),FIND(",",SUBSTITUTE(G1584,"[{",""))-1),Sheet2!B:B,Sheet2!C:C)&amp;"+"&amp;SUBSTITUTE(RIGHT(G1584,LEN(G1584)-FIND(",",G1584)),"}]","")/100&amp;"%")</f>
        <v>上阵五个不同职业增伤+5.5%</v>
      </c>
      <c r="L1584" s="83" t="str">
        <f ca="1">IF(MOD(COUNTIF($Q$11:Q1583,Q1583),5)=0,OFFSET(装备属性!$G$1083,1+INT(COUNTA($Q$11:Q1583)/5),0),L1583)</f>
        <v>全员出力Ⅱ</v>
      </c>
      <c r="M1584" s="89" t="str">
        <f ca="1">IF(MOD(COUNTIF($Q$11:Q1583,Q1583),5)=0,OFFSET(装备属性!$H$1083,1+INT(COUNTA($Q$11:Q1583)/5),0),M1583)</f>
        <v>all_class_dmg</v>
      </c>
      <c r="N1584" s="76">
        <f ca="1">IF(MOD(COUNTIF($Q$11:Q1583,Q1583),5)=0,OFFSET(装备属性!$K$1083,1+INT(COUNTA($Q$11:Q1583)/5),0),N1583)</f>
        <v>0.044</v>
      </c>
      <c r="O1584" s="76">
        <f ca="1">IF(MOD(COUNTIF($Q$11:Q1583,Q1583),5)=0,OFFSET(装备属性!$L$1083,1+INT(COUNTA($Q$11:Q1583)/5),0),O1583)</f>
        <v>0.058</v>
      </c>
      <c r="Q1584" s="89" t="str">
        <f ca="1">IF(MOD(COUNTIF($Q$11:Q1583,Q1583),5)=0,OFFSET(装备属性!$M$1083,1+INT(COUNTA($Q$11:Q1583)/5),0),Q1583)</f>
        <v>通用属性</v>
      </c>
      <c r="R1584" s="83">
        <f ca="1">IF(MOD(COUNTIF($Q$11:Q1583,Q1583),5)=0,10000*SUBSTITUTE(SUBSTITUTE(OFFSET(装备属性!$F$1083,1+INT(COUNTA($Q$11:Q1583)/5),0),"[",""),"]","")+_xlfn.XLOOKUP(C1584,$M$3:$M$7,$N$3:$N$7)*100,R1583)</f>
        <v>60500</v>
      </c>
    </row>
    <row r="1585" customHeight="1" spans="1:18">
      <c r="A1585" s="78">
        <f ca="1" t="shared" si="72"/>
        <v>60501</v>
      </c>
      <c r="B1585" s="82">
        <f ca="1">IFERROR(R1585+COUNTIFS($R$11:$R1585,R1585),"")</f>
        <v>60510</v>
      </c>
      <c r="C1585" s="83" t="str">
        <f ca="1">IF(MOD(COUNTIF($Q$11:Q1584,Q1584),5)=0,OFFSET(装备属性!$D$1083,1+INT(COUNTA($Q$11:Q1584)/5),0),C1584)</f>
        <v>橙</v>
      </c>
      <c r="D1585" s="82">
        <f t="shared" si="74"/>
        <v>1000</v>
      </c>
      <c r="F1585" s="82">
        <f ca="1" t="shared" si="73"/>
        <v>60501</v>
      </c>
      <c r="G1585" s="78" t="str">
        <f ca="1">IF(AND(LEFT("[{"&amp;M1585&amp;","&amp;CEILING(N1585*10000+(O1585-N1585)/4*(COUNTIF($F$11:F1585,F1585)-1)*10000,10)&amp;"}]",7)="[{equip",MID("[{"&amp;M1585&amp;","&amp;CEILING(N1585*10000+(O1585-N1585)/4*(COUNTIF($F$11:F1585,F1585)-1)*10000,10)&amp;"}]",8,1)&lt;&gt;"_"),"[{"&amp;M1585&amp;","&amp;1&amp;"}]","[{"&amp;M1585&amp;","&amp;CEILING(N1585*10000+(O1585-N1585)/4*(COUNTIF($F$11:F1585,F1585)-1)*10000,10)&amp;"}]")</f>
        <v>[{all_class_dmg,580}]</v>
      </c>
      <c r="H1585" s="82" t="s">
        <v>563</v>
      </c>
      <c r="J1585" s="78">
        <f ca="1">IF(MOD(COUNTIF($Q$11:Q1584,Q1584),5)=0,OFFSET(装备属性!$P$1083,1+INT(COUNTA($Q$11:Q1584)/5),0),J1584)</f>
        <v>2</v>
      </c>
      <c r="K1585" s="83" t="str">
        <f ca="1">IF(RIGHT(G1585,13)="rune_slot,1}]",_xlfn.XLOOKUP(LEFT(SUBSTITUTE(G1585,"[{",""),FIND(",",SUBSTITUTE(G1585,"[{",""))-1),Sheet2!B:B,Sheet2!C:C)&amp;"+"&amp;1,_xlfn.XLOOKUP(LEFT(SUBSTITUTE(G1585,"[{",""),FIND(",",SUBSTITUTE(G1585,"[{",""))-1),Sheet2!B:B,Sheet2!C:C)&amp;"+"&amp;SUBSTITUTE(RIGHT(G1585,LEN(G1585)-FIND(",",G1585)),"}]","")/100&amp;"%")</f>
        <v>上阵五个不同职业增伤+5.8%</v>
      </c>
      <c r="L1585" s="83" t="str">
        <f ca="1">IF(MOD(COUNTIF($Q$11:Q1584,Q1584),5)=0,OFFSET(装备属性!$G$1083,1+INT(COUNTA($Q$11:Q1584)/5),0),L1584)</f>
        <v>全员出力Ⅱ</v>
      </c>
      <c r="M1585" s="89" t="str">
        <f ca="1">IF(MOD(COUNTIF($Q$11:Q1584,Q1584),5)=0,OFFSET(装备属性!$H$1083,1+INT(COUNTA($Q$11:Q1584)/5),0),M1584)</f>
        <v>all_class_dmg</v>
      </c>
      <c r="N1585" s="76">
        <f ca="1">IF(MOD(COUNTIF($Q$11:Q1584,Q1584),5)=0,OFFSET(装备属性!$K$1083,1+INT(COUNTA($Q$11:Q1584)/5),0),N1584)</f>
        <v>0.044</v>
      </c>
      <c r="O1585" s="76">
        <f ca="1">IF(MOD(COUNTIF($Q$11:Q1584,Q1584),5)=0,OFFSET(装备属性!$L$1083,1+INT(COUNTA($Q$11:Q1584)/5),0),O1584)</f>
        <v>0.058</v>
      </c>
      <c r="Q1585" s="89" t="str">
        <f ca="1">IF(MOD(COUNTIF($Q$11:Q1584,Q1584),5)=0,OFFSET(装备属性!$M$1083,1+INT(COUNTA($Q$11:Q1584)/5),0),Q1584)</f>
        <v>通用属性</v>
      </c>
      <c r="R1585" s="83">
        <f ca="1">IF(MOD(COUNTIF($Q$11:Q1584,Q1584),5)=0,10000*SUBSTITUTE(SUBSTITUTE(OFFSET(装备属性!$F$1083,1+INT(COUNTA($Q$11:Q1584)/5),0),"[",""),"]","")+_xlfn.XLOOKUP(C1585,$M$3:$M$7,$N$3:$N$7)*100,R1584)</f>
        <v>60500</v>
      </c>
    </row>
    <row r="1586" customHeight="1" spans="1:18">
      <c r="A1586" s="78" t="str">
        <f ca="1" t="shared" si="72"/>
        <v/>
      </c>
      <c r="B1586" s="82" t="str">
        <f ca="1">IFERROR(R1586+COUNTIFS($R$11:$R1586,R1586),"")</f>
        <v/>
      </c>
      <c r="C1586" s="83">
        <f ca="1">IF(MOD(COUNTIF($Q$11:Q1585,Q1585),5)=0,OFFSET(装备属性!$D$1083,1+INT(COUNTA($Q$11:Q1585)/5),0),C1585)</f>
        <v>0</v>
      </c>
      <c r="D1586" s="82">
        <f t="shared" si="74"/>
        <v>3000</v>
      </c>
      <c r="F1586" s="82" t="str">
        <f ca="1" t="shared" si="73"/>
        <v/>
      </c>
      <c r="G1586" s="78" t="str">
        <f ca="1">IF(AND(LEFT("[{"&amp;M1586&amp;","&amp;CEILING(N1586*10000+(O1586-N1586)/4*(COUNTIF($F$11:F1586,F1586)-1)*10000,10)&amp;"}]",7)="[{equip",MID("[{"&amp;M1586&amp;","&amp;CEILING(N1586*10000+(O1586-N1586)/4*(COUNTIF($F$11:F1586,F1586)-1)*10000,10)&amp;"}]",8,1)&lt;&gt;"_"),"[{"&amp;M1586&amp;","&amp;1&amp;"}]","[{"&amp;M1586&amp;","&amp;CEILING(N1586*10000+(O1586-N1586)/4*(COUNTIF($F$11:F1586,F1586)-1)*10000,10)&amp;"}]")</f>
        <v>[{exp_boost,2000}]</v>
      </c>
      <c r="H1586" s="82" t="s">
        <v>563</v>
      </c>
      <c r="J1586" s="78">
        <f ca="1">IF(MOD(COUNTIF($Q$11:Q1585,Q1585),5)=0,OFFSET(装备属性!$P$1083,1+INT(COUNTA($Q$11:Q1585)/5),0),J1585)</f>
        <v>9</v>
      </c>
      <c r="K1586" s="83" t="str">
        <f ca="1">IF(RIGHT(G1586,13)="rune_slot,1}]",_xlfn.XLOOKUP(LEFT(SUBSTITUTE(G1586,"[{",""),FIND(",",SUBSTITUTE(G1586,"[{",""))-1),Sheet2!B:B,Sheet2!C:C)&amp;"+"&amp;1,_xlfn.XLOOKUP(LEFT(SUBSTITUTE(G1586,"[{",""),FIND(",",SUBSTITUTE(G1586,"[{",""))-1),Sheet2!B:B,Sheet2!C:C)&amp;"+"&amp;SUBSTITUTE(RIGHT(G1586,LEN(G1586)-FIND(",",G1586)),"}]","")/100&amp;"%")</f>
        <v>经验加成+20%</v>
      </c>
      <c r="L1586" s="83" t="str">
        <f ca="1">IF(MOD(COUNTIF($Q$11:Q1585,Q1585),5)=0,OFFSET(装备属性!$G$1083,1+INT(COUNTA($Q$11:Q1585)/5),0),L1585)</f>
        <v>涨见识</v>
      </c>
      <c r="M1586" s="89" t="str">
        <f ca="1">IF(MOD(COUNTIF($Q$11:Q1585,Q1585),5)=0,OFFSET(装备属性!$H$1083,1+INT(COUNTA($Q$11:Q1585)/5),0),M1585)</f>
        <v>exp_boost</v>
      </c>
      <c r="N1586" s="76">
        <f ca="1">IF(MOD(COUNTIF($Q$11:Q1585,Q1585),5)=0,OFFSET(装备属性!$K$1083,1+INT(COUNTA($Q$11:Q1585)/5),0),N1585)</f>
        <v>0.2</v>
      </c>
      <c r="O1586" s="76">
        <f ca="1">IF(MOD(COUNTIF($Q$11:Q1585,Q1585),5)=0,OFFSET(装备属性!$L$1083,1+INT(COUNTA($Q$11:Q1585)/5),0),O1585)</f>
        <v>0.2</v>
      </c>
      <c r="Q1586" s="89" t="str">
        <f ca="1">IF(MOD(COUNTIF($Q$11:Q1585,Q1585),5)=0,OFFSET(装备属性!$M$1083,1+INT(COUNTA($Q$11:Q1585)/5),0),Q1585)</f>
        <v>稀有词条</v>
      </c>
      <c r="R1586" s="83" t="e">
        <f ca="1">IF(MOD(COUNTIF($Q$11:Q1585,Q1585),5)=0,10000*SUBSTITUTE(SUBSTITUTE(OFFSET(装备属性!$F$1083,1+INT(COUNTA($Q$11:Q1585)/5),0),"[",""),"]","")+_xlfn.XLOOKUP(C1586,$M$3:$M$7,$N$3:$N$7)*100,R1585)</f>
        <v>#N/A</v>
      </c>
    </row>
    <row r="1587" customHeight="1" spans="1:18">
      <c r="A1587" s="78" t="str">
        <f ca="1" t="shared" si="72"/>
        <v/>
      </c>
      <c r="B1587" s="82" t="str">
        <f ca="1">IFERROR(R1587+COUNTIFS($R$11:$R1587,R1587),"")</f>
        <v/>
      </c>
      <c r="C1587" s="83">
        <f ca="1">IF(MOD(COUNTIF($Q$11:Q1586,Q1586),5)=0,OFFSET(装备属性!$D$1083,1+INT(COUNTA($Q$11:Q1586)/5),0),C1586)</f>
        <v>0</v>
      </c>
      <c r="D1587" s="82">
        <f t="shared" si="74"/>
        <v>2500</v>
      </c>
      <c r="F1587" s="82" t="str">
        <f ca="1" t="shared" si="73"/>
        <v/>
      </c>
      <c r="G1587" s="78" t="str">
        <f ca="1">IF(AND(LEFT("[{"&amp;M1587&amp;","&amp;CEILING(N1587*10000+(O1587-N1587)/4*(COUNTIF($F$11:F1587,F1587)-1)*10000,10)&amp;"}]",7)="[{equip",MID("[{"&amp;M1587&amp;","&amp;CEILING(N1587*10000+(O1587-N1587)/4*(COUNTIF($F$11:F1587,F1587)-1)*10000,10)&amp;"}]",8,1)&lt;&gt;"_"),"[{"&amp;M1587&amp;","&amp;1&amp;"}]","[{"&amp;M1587&amp;","&amp;CEILING(N1587*10000+(O1587-N1587)/4*(COUNTIF($F$11:F1587,F1587)-1)*10000,10)&amp;"}]")</f>
        <v>[{exp_boost,2000}]</v>
      </c>
      <c r="H1587" s="82" t="s">
        <v>563</v>
      </c>
      <c r="J1587" s="78">
        <f ca="1">IF(MOD(COUNTIF($Q$11:Q1586,Q1586),5)=0,OFFSET(装备属性!$P$1083,1+INT(COUNTA($Q$11:Q1586)/5),0),J1586)</f>
        <v>9</v>
      </c>
      <c r="K1587" s="83" t="str">
        <f ca="1">IF(RIGHT(G1587,13)="rune_slot,1}]",_xlfn.XLOOKUP(LEFT(SUBSTITUTE(G1587,"[{",""),FIND(",",SUBSTITUTE(G1587,"[{",""))-1),Sheet2!B:B,Sheet2!C:C)&amp;"+"&amp;1,_xlfn.XLOOKUP(LEFT(SUBSTITUTE(G1587,"[{",""),FIND(",",SUBSTITUTE(G1587,"[{",""))-1),Sheet2!B:B,Sheet2!C:C)&amp;"+"&amp;SUBSTITUTE(RIGHT(G1587,LEN(G1587)-FIND(",",G1587)),"}]","")/100&amp;"%")</f>
        <v>经验加成+20%</v>
      </c>
      <c r="L1587" s="83" t="str">
        <f ca="1">IF(MOD(COUNTIF($Q$11:Q1586,Q1586),5)=0,OFFSET(装备属性!$G$1083,1+INT(COUNTA($Q$11:Q1586)/5),0),L1586)</f>
        <v>涨见识</v>
      </c>
      <c r="M1587" s="89" t="str">
        <f ca="1">IF(MOD(COUNTIF($Q$11:Q1586,Q1586),5)=0,OFFSET(装备属性!$H$1083,1+INT(COUNTA($Q$11:Q1586)/5),0),M1586)</f>
        <v>exp_boost</v>
      </c>
      <c r="N1587" s="76">
        <f ca="1">IF(MOD(COUNTIF($Q$11:Q1586,Q1586),5)=0,OFFSET(装备属性!$K$1083,1+INT(COUNTA($Q$11:Q1586)/5),0),N1586)</f>
        <v>0.2</v>
      </c>
      <c r="O1587" s="76">
        <f ca="1">IF(MOD(COUNTIF($Q$11:Q1586,Q1586),5)=0,OFFSET(装备属性!$L$1083,1+INT(COUNTA($Q$11:Q1586)/5),0),O1586)</f>
        <v>0.2</v>
      </c>
      <c r="Q1587" s="89" t="str">
        <f ca="1">IF(MOD(COUNTIF($Q$11:Q1586,Q1586),5)=0,OFFSET(装备属性!$M$1083,1+INT(COUNTA($Q$11:Q1586)/5),0),Q1586)</f>
        <v>稀有词条</v>
      </c>
      <c r="R1587" s="83" t="e">
        <f ca="1">IF(MOD(COUNTIF($Q$11:Q1586,Q1586),5)=0,10000*SUBSTITUTE(SUBSTITUTE(OFFSET(装备属性!$F$1083,1+INT(COUNTA($Q$11:Q1586)/5),0),"[",""),"]","")+_xlfn.XLOOKUP(C1587,$M$3:$M$7,$N$3:$N$7)*100,R1586)</f>
        <v>#N/A</v>
      </c>
    </row>
    <row r="1588" customHeight="1" spans="1:18">
      <c r="A1588" s="78" t="str">
        <f ca="1" t="shared" si="72"/>
        <v/>
      </c>
      <c r="B1588" s="82" t="str">
        <f ca="1">IFERROR(R1588+COUNTIFS($R$11:$R1588,R1588),"")</f>
        <v/>
      </c>
      <c r="C1588" s="83">
        <f ca="1">IF(MOD(COUNTIF($Q$11:Q1587,Q1587),5)=0,OFFSET(装备属性!$D$1083,1+INT(COUNTA($Q$11:Q1587)/5),0),C1587)</f>
        <v>0</v>
      </c>
      <c r="D1588" s="82">
        <f t="shared" si="74"/>
        <v>2000</v>
      </c>
      <c r="F1588" s="82" t="str">
        <f ca="1" t="shared" si="73"/>
        <v/>
      </c>
      <c r="G1588" s="78" t="str">
        <f ca="1">IF(AND(LEFT("[{"&amp;M1588&amp;","&amp;CEILING(N1588*10000+(O1588-N1588)/4*(COUNTIF($F$11:F1588,F1588)-1)*10000,10)&amp;"}]",7)="[{equip",MID("[{"&amp;M1588&amp;","&amp;CEILING(N1588*10000+(O1588-N1588)/4*(COUNTIF($F$11:F1588,F1588)-1)*10000,10)&amp;"}]",8,1)&lt;&gt;"_"),"[{"&amp;M1588&amp;","&amp;1&amp;"}]","[{"&amp;M1588&amp;","&amp;CEILING(N1588*10000+(O1588-N1588)/4*(COUNTIF($F$11:F1588,F1588)-1)*10000,10)&amp;"}]")</f>
        <v>[{exp_boost,2000}]</v>
      </c>
      <c r="H1588" s="82" t="s">
        <v>563</v>
      </c>
      <c r="J1588" s="78">
        <f ca="1">IF(MOD(COUNTIF($Q$11:Q1587,Q1587),5)=0,OFFSET(装备属性!$P$1083,1+INT(COUNTA($Q$11:Q1587)/5),0),J1587)</f>
        <v>9</v>
      </c>
      <c r="K1588" s="83" t="str">
        <f ca="1">IF(RIGHT(G1588,13)="rune_slot,1}]",_xlfn.XLOOKUP(LEFT(SUBSTITUTE(G1588,"[{",""),FIND(",",SUBSTITUTE(G1588,"[{",""))-1),Sheet2!B:B,Sheet2!C:C)&amp;"+"&amp;1,_xlfn.XLOOKUP(LEFT(SUBSTITUTE(G1588,"[{",""),FIND(",",SUBSTITUTE(G1588,"[{",""))-1),Sheet2!B:B,Sheet2!C:C)&amp;"+"&amp;SUBSTITUTE(RIGHT(G1588,LEN(G1588)-FIND(",",G1588)),"}]","")/100&amp;"%")</f>
        <v>经验加成+20%</v>
      </c>
      <c r="L1588" s="83" t="str">
        <f ca="1">IF(MOD(COUNTIF($Q$11:Q1587,Q1587),5)=0,OFFSET(装备属性!$G$1083,1+INT(COUNTA($Q$11:Q1587)/5),0),L1587)</f>
        <v>涨见识</v>
      </c>
      <c r="M1588" s="89" t="str">
        <f ca="1">IF(MOD(COUNTIF($Q$11:Q1587,Q1587),5)=0,OFFSET(装备属性!$H$1083,1+INT(COUNTA($Q$11:Q1587)/5),0),M1587)</f>
        <v>exp_boost</v>
      </c>
      <c r="N1588" s="76">
        <f ca="1">IF(MOD(COUNTIF($Q$11:Q1587,Q1587),5)=0,OFFSET(装备属性!$K$1083,1+INT(COUNTA($Q$11:Q1587)/5),0),N1587)</f>
        <v>0.2</v>
      </c>
      <c r="O1588" s="76">
        <f ca="1">IF(MOD(COUNTIF($Q$11:Q1587,Q1587),5)=0,OFFSET(装备属性!$L$1083,1+INT(COUNTA($Q$11:Q1587)/5),0),O1587)</f>
        <v>0.2</v>
      </c>
      <c r="Q1588" s="89" t="str">
        <f ca="1">IF(MOD(COUNTIF($Q$11:Q1587,Q1587),5)=0,OFFSET(装备属性!$M$1083,1+INT(COUNTA($Q$11:Q1587)/5),0),Q1587)</f>
        <v>稀有词条</v>
      </c>
      <c r="R1588" s="83" t="e">
        <f ca="1">IF(MOD(COUNTIF($Q$11:Q1587,Q1587),5)=0,10000*SUBSTITUTE(SUBSTITUTE(OFFSET(装备属性!$F$1083,1+INT(COUNTA($Q$11:Q1587)/5),0),"[",""),"]","")+_xlfn.XLOOKUP(C1588,$M$3:$M$7,$N$3:$N$7)*100,R1587)</f>
        <v>#N/A</v>
      </c>
    </row>
    <row r="1589" customHeight="1" spans="1:18">
      <c r="A1589" s="78" t="str">
        <f ca="1" t="shared" si="72"/>
        <v/>
      </c>
      <c r="B1589" s="82" t="str">
        <f ca="1">IFERROR(R1589+COUNTIFS($R$11:$R1589,R1589),"")</f>
        <v/>
      </c>
      <c r="C1589" s="83">
        <f ca="1">IF(MOD(COUNTIF($Q$11:Q1588,Q1588),5)=0,OFFSET(装备属性!$D$1083,1+INT(COUNTA($Q$11:Q1588)/5),0),C1588)</f>
        <v>0</v>
      </c>
      <c r="D1589" s="82">
        <f t="shared" si="74"/>
        <v>1500</v>
      </c>
      <c r="F1589" s="82" t="str">
        <f ca="1" t="shared" si="73"/>
        <v/>
      </c>
      <c r="G1589" s="78" t="str">
        <f ca="1">IF(AND(LEFT("[{"&amp;M1589&amp;","&amp;CEILING(N1589*10000+(O1589-N1589)/4*(COUNTIF($F$11:F1589,F1589)-1)*10000,10)&amp;"}]",7)="[{equip",MID("[{"&amp;M1589&amp;","&amp;CEILING(N1589*10000+(O1589-N1589)/4*(COUNTIF($F$11:F1589,F1589)-1)*10000,10)&amp;"}]",8,1)&lt;&gt;"_"),"[{"&amp;M1589&amp;","&amp;1&amp;"}]","[{"&amp;M1589&amp;","&amp;CEILING(N1589*10000+(O1589-N1589)/4*(COUNTIF($F$11:F1589,F1589)-1)*10000,10)&amp;"}]")</f>
        <v>[{exp_boost,2000}]</v>
      </c>
      <c r="H1589" s="82" t="s">
        <v>563</v>
      </c>
      <c r="J1589" s="78">
        <f ca="1">IF(MOD(COUNTIF($Q$11:Q1588,Q1588),5)=0,OFFSET(装备属性!$P$1083,1+INT(COUNTA($Q$11:Q1588)/5),0),J1588)</f>
        <v>9</v>
      </c>
      <c r="K1589" s="83" t="str">
        <f ca="1">IF(RIGHT(G1589,13)="rune_slot,1}]",_xlfn.XLOOKUP(LEFT(SUBSTITUTE(G1589,"[{",""),FIND(",",SUBSTITUTE(G1589,"[{",""))-1),Sheet2!B:B,Sheet2!C:C)&amp;"+"&amp;1,_xlfn.XLOOKUP(LEFT(SUBSTITUTE(G1589,"[{",""),FIND(",",SUBSTITUTE(G1589,"[{",""))-1),Sheet2!B:B,Sheet2!C:C)&amp;"+"&amp;SUBSTITUTE(RIGHT(G1589,LEN(G1589)-FIND(",",G1589)),"}]","")/100&amp;"%")</f>
        <v>经验加成+20%</v>
      </c>
      <c r="L1589" s="83" t="str">
        <f ca="1">IF(MOD(COUNTIF($Q$11:Q1588,Q1588),5)=0,OFFSET(装备属性!$G$1083,1+INT(COUNTA($Q$11:Q1588)/5),0),L1588)</f>
        <v>涨见识</v>
      </c>
      <c r="M1589" s="89" t="str">
        <f ca="1">IF(MOD(COUNTIF($Q$11:Q1588,Q1588),5)=0,OFFSET(装备属性!$H$1083,1+INT(COUNTA($Q$11:Q1588)/5),0),M1588)</f>
        <v>exp_boost</v>
      </c>
      <c r="N1589" s="76">
        <f ca="1">IF(MOD(COUNTIF($Q$11:Q1588,Q1588),5)=0,OFFSET(装备属性!$K$1083,1+INT(COUNTA($Q$11:Q1588)/5),0),N1588)</f>
        <v>0.2</v>
      </c>
      <c r="O1589" s="76">
        <f ca="1">IF(MOD(COUNTIF($Q$11:Q1588,Q1588),5)=0,OFFSET(装备属性!$L$1083,1+INT(COUNTA($Q$11:Q1588)/5),0),O1588)</f>
        <v>0.2</v>
      </c>
      <c r="Q1589" s="89" t="str">
        <f ca="1">IF(MOD(COUNTIF($Q$11:Q1588,Q1588),5)=0,OFFSET(装备属性!$M$1083,1+INT(COUNTA($Q$11:Q1588)/5),0),Q1588)</f>
        <v>稀有词条</v>
      </c>
      <c r="R1589" s="83" t="e">
        <f ca="1">IF(MOD(COUNTIF($Q$11:Q1588,Q1588),5)=0,10000*SUBSTITUTE(SUBSTITUTE(OFFSET(装备属性!$F$1083,1+INT(COUNTA($Q$11:Q1588)/5),0),"[",""),"]","")+_xlfn.XLOOKUP(C1589,$M$3:$M$7,$N$3:$N$7)*100,R1588)</f>
        <v>#N/A</v>
      </c>
    </row>
    <row r="1590" customHeight="1" spans="1:18">
      <c r="A1590" s="78" t="str">
        <f ca="1" t="shared" si="72"/>
        <v/>
      </c>
      <c r="B1590" s="82" t="str">
        <f ca="1">IFERROR(R1590+COUNTIFS($R$11:$R1590,R1590),"")</f>
        <v/>
      </c>
      <c r="C1590" s="83">
        <f ca="1">IF(MOD(COUNTIF($Q$11:Q1589,Q1589),5)=0,OFFSET(装备属性!$D$1083,1+INT(COUNTA($Q$11:Q1589)/5),0),C1589)</f>
        <v>0</v>
      </c>
      <c r="D1590" s="82">
        <f t="shared" si="74"/>
        <v>1000</v>
      </c>
      <c r="F1590" s="82" t="str">
        <f ca="1" t="shared" si="73"/>
        <v/>
      </c>
      <c r="G1590" s="78" t="str">
        <f ca="1">IF(AND(LEFT("[{"&amp;M1590&amp;","&amp;CEILING(N1590*10000+(O1590-N1590)/4*(COUNTIF($F$11:F1590,F1590)-1)*10000,10)&amp;"}]",7)="[{equip",MID("[{"&amp;M1590&amp;","&amp;CEILING(N1590*10000+(O1590-N1590)/4*(COUNTIF($F$11:F1590,F1590)-1)*10000,10)&amp;"}]",8,1)&lt;&gt;"_"),"[{"&amp;M1590&amp;","&amp;1&amp;"}]","[{"&amp;M1590&amp;","&amp;CEILING(N1590*10000+(O1590-N1590)/4*(COUNTIF($F$11:F1590,F1590)-1)*10000,10)&amp;"}]")</f>
        <v>[{exp_boost,2000}]</v>
      </c>
      <c r="H1590" s="82" t="s">
        <v>563</v>
      </c>
      <c r="J1590" s="78">
        <f ca="1">IF(MOD(COUNTIF($Q$11:Q1589,Q1589),5)=0,OFFSET(装备属性!$P$1083,1+INT(COUNTA($Q$11:Q1589)/5),0),J1589)</f>
        <v>9</v>
      </c>
      <c r="K1590" s="83" t="str">
        <f ca="1">IF(RIGHT(G1590,13)="rune_slot,1}]",_xlfn.XLOOKUP(LEFT(SUBSTITUTE(G1590,"[{",""),FIND(",",SUBSTITUTE(G1590,"[{",""))-1),Sheet2!B:B,Sheet2!C:C)&amp;"+"&amp;1,_xlfn.XLOOKUP(LEFT(SUBSTITUTE(G1590,"[{",""),FIND(",",SUBSTITUTE(G1590,"[{",""))-1),Sheet2!B:B,Sheet2!C:C)&amp;"+"&amp;SUBSTITUTE(RIGHT(G1590,LEN(G1590)-FIND(",",G1590)),"}]","")/100&amp;"%")</f>
        <v>经验加成+20%</v>
      </c>
      <c r="L1590" s="83" t="str">
        <f ca="1">IF(MOD(COUNTIF($Q$11:Q1589,Q1589),5)=0,OFFSET(装备属性!$G$1083,1+INT(COUNTA($Q$11:Q1589)/5),0),L1589)</f>
        <v>涨见识</v>
      </c>
      <c r="M1590" s="89" t="str">
        <f ca="1">IF(MOD(COUNTIF($Q$11:Q1589,Q1589),5)=0,OFFSET(装备属性!$H$1083,1+INT(COUNTA($Q$11:Q1589)/5),0),M1589)</f>
        <v>exp_boost</v>
      </c>
      <c r="N1590" s="76">
        <f ca="1">IF(MOD(COUNTIF($Q$11:Q1589,Q1589),5)=0,OFFSET(装备属性!$K$1083,1+INT(COUNTA($Q$11:Q1589)/5),0),N1589)</f>
        <v>0.2</v>
      </c>
      <c r="O1590" s="76">
        <f ca="1">IF(MOD(COUNTIF($Q$11:Q1589,Q1589),5)=0,OFFSET(装备属性!$L$1083,1+INT(COUNTA($Q$11:Q1589)/5),0),O1589)</f>
        <v>0.2</v>
      </c>
      <c r="Q1590" s="89" t="str">
        <f ca="1">IF(MOD(COUNTIF($Q$11:Q1589,Q1589),5)=0,OFFSET(装备属性!$M$1083,1+INT(COUNTA($Q$11:Q1589)/5),0),Q1589)</f>
        <v>稀有词条</v>
      </c>
      <c r="R1590" s="83" t="e">
        <f ca="1">IF(MOD(COUNTIF($Q$11:Q1589,Q1589),5)=0,10000*SUBSTITUTE(SUBSTITUTE(OFFSET(装备属性!$F$1083,1+INT(COUNTA($Q$11:Q1589)/5),0),"[",""),"]","")+_xlfn.XLOOKUP(C1590,$M$3:$M$7,$N$3:$N$7)*100,R1589)</f>
        <v>#N/A</v>
      </c>
    </row>
    <row r="1591" customHeight="1" spans="1:18">
      <c r="A1591" s="78" t="str">
        <f ca="1" t="shared" si="72"/>
        <v/>
      </c>
      <c r="B1591" s="82" t="str">
        <f ca="1">IFERROR(R1591+COUNTIFS($R$11:$R1591,R1591),"")</f>
        <v/>
      </c>
      <c r="C1591" s="83">
        <f ca="1">IF(MOD(COUNTIF($Q$11:Q1590,Q1590),5)=0,OFFSET(装备属性!$D$1083,1+INT(COUNTA($Q$11:Q1590)/5),0),C1590)</f>
        <v>0</v>
      </c>
      <c r="D1591" s="82">
        <f t="shared" si="74"/>
        <v>3000</v>
      </c>
      <c r="F1591" s="82" t="str">
        <f ca="1" t="shared" si="73"/>
        <v/>
      </c>
      <c r="G1591" s="78" t="str">
        <f ca="1">IF(AND(LEFT("[{"&amp;M1591&amp;","&amp;CEILING(N1591*10000+(O1591-N1591)/4*(COUNTIF($F$11:F1591,F1591)-1)*10000,10)&amp;"}]",7)="[{equip",MID("[{"&amp;M1591&amp;","&amp;CEILING(N1591*10000+(O1591-N1591)/4*(COUNTIF($F$11:F1591,F1591)-1)*10000,10)&amp;"}]",8,1)&lt;&gt;"_"),"[{"&amp;M1591&amp;","&amp;1&amp;"}]","[{"&amp;M1591&amp;","&amp;CEILING(N1591*10000+(O1591-N1591)/4*(COUNTIF($F$11:F1591,F1591)-1)*10000,10)&amp;"}]")</f>
        <v>[{equip_base_attr,2500}]</v>
      </c>
      <c r="H1591" s="82" t="s">
        <v>563</v>
      </c>
      <c r="J1591" s="78">
        <f ca="1">IF(MOD(COUNTIF($Q$11:Q1590,Q1590),5)=0,OFFSET(装备属性!$P$1083,1+INT(COUNTA($Q$11:Q1590)/5),0),J1590)</f>
        <v>7</v>
      </c>
      <c r="K1591" s="83" t="str">
        <f ca="1">IF(RIGHT(G1591,13)="rune_slot,1}]",_xlfn.XLOOKUP(LEFT(SUBSTITUTE(G1591,"[{",""),FIND(",",SUBSTITUTE(G1591,"[{",""))-1),Sheet2!B:B,Sheet2!C:C)&amp;"+"&amp;1,_xlfn.XLOOKUP(LEFT(SUBSTITUTE(G1591,"[{",""),FIND(",",SUBSTITUTE(G1591,"[{",""))-1),Sheet2!B:B,Sheet2!C:C)&amp;"+"&amp;SUBSTITUTE(RIGHT(G1591,LEN(G1591)-FIND(",",G1591)),"}]","")/100&amp;"%")</f>
        <v>装备基础属性加成+25%</v>
      </c>
      <c r="L1591" s="83" t="str">
        <f ca="1">IF(MOD(COUNTIF($Q$11:Q1590,Q1590),5)=0,OFFSET(装备属性!$G$1083,1+INT(COUNTA($Q$11:Q1590)/5),0),L1590)</f>
        <v>厚底子</v>
      </c>
      <c r="M1591" s="89" t="str">
        <f ca="1">IF(MOD(COUNTIF($Q$11:Q1590,Q1590),5)=0,OFFSET(装备属性!$H$1083,1+INT(COUNTA($Q$11:Q1590)/5),0),M1590)</f>
        <v>equip_base_attr</v>
      </c>
      <c r="N1591" s="76">
        <f ca="1">IF(MOD(COUNTIF($Q$11:Q1590,Q1590),5)=0,OFFSET(装备属性!$K$1083,1+INT(COUNTA($Q$11:Q1590)/5),0),N1590)</f>
        <v>0.25</v>
      </c>
      <c r="O1591" s="76">
        <f ca="1">IF(MOD(COUNTIF($Q$11:Q1590,Q1590),5)=0,OFFSET(装备属性!$L$1083,1+INT(COUNTA($Q$11:Q1590)/5),0),O1590)</f>
        <v>0.25</v>
      </c>
      <c r="Q1591" s="89" t="str">
        <f ca="1">IF(MOD(COUNTIF($Q$11:Q1590,Q1590),5)=0,OFFSET(装备属性!$M$1083,1+INT(COUNTA($Q$11:Q1590)/5),0),Q1590)</f>
        <v>稀有词条</v>
      </c>
      <c r="R1591" s="83" t="e">
        <f ca="1">IF(MOD(COUNTIF($Q$11:Q1590,Q1590),5)=0,10000*SUBSTITUTE(SUBSTITUTE(OFFSET(装备属性!$F$1083,1+INT(COUNTA($Q$11:Q1590)/5),0),"[",""),"]","")+_xlfn.XLOOKUP(C1591,$M$3:$M$7,$N$3:$N$7)*100,R1590)</f>
        <v>#N/A</v>
      </c>
    </row>
    <row r="1592" customHeight="1" spans="1:18">
      <c r="A1592" s="78" t="str">
        <f ca="1" t="shared" si="72"/>
        <v/>
      </c>
      <c r="B1592" s="82" t="str">
        <f ca="1">IFERROR(R1592+COUNTIFS($R$11:$R1592,R1592),"")</f>
        <v/>
      </c>
      <c r="C1592" s="83">
        <f ca="1">IF(MOD(COUNTIF($Q$11:Q1591,Q1591),5)=0,OFFSET(装备属性!$D$1083,1+INT(COUNTA($Q$11:Q1591)/5),0),C1591)</f>
        <v>0</v>
      </c>
      <c r="D1592" s="82">
        <f t="shared" si="74"/>
        <v>2500</v>
      </c>
      <c r="F1592" s="82" t="str">
        <f ca="1" t="shared" si="73"/>
        <v/>
      </c>
      <c r="G1592" s="78" t="str">
        <f ca="1">IF(AND(LEFT("[{"&amp;M1592&amp;","&amp;CEILING(N1592*10000+(O1592-N1592)/4*(COUNTIF($F$11:F1592,F1592)-1)*10000,10)&amp;"}]",7)="[{equip",MID("[{"&amp;M1592&amp;","&amp;CEILING(N1592*10000+(O1592-N1592)/4*(COUNTIF($F$11:F1592,F1592)-1)*10000,10)&amp;"}]",8,1)&lt;&gt;"_"),"[{"&amp;M1592&amp;","&amp;1&amp;"}]","[{"&amp;M1592&amp;","&amp;CEILING(N1592*10000+(O1592-N1592)/4*(COUNTIF($F$11:F1592,F1592)-1)*10000,10)&amp;"}]")</f>
        <v>[{equip_base_attr,2500}]</v>
      </c>
      <c r="H1592" s="82" t="s">
        <v>563</v>
      </c>
      <c r="J1592" s="78">
        <f ca="1">IF(MOD(COUNTIF($Q$11:Q1591,Q1591),5)=0,OFFSET(装备属性!$P$1083,1+INT(COUNTA($Q$11:Q1591)/5),0),J1591)</f>
        <v>7</v>
      </c>
      <c r="K1592" s="83" t="str">
        <f ca="1">IF(RIGHT(G1592,13)="rune_slot,1}]",_xlfn.XLOOKUP(LEFT(SUBSTITUTE(G1592,"[{",""),FIND(",",SUBSTITUTE(G1592,"[{",""))-1),Sheet2!B:B,Sheet2!C:C)&amp;"+"&amp;1,_xlfn.XLOOKUP(LEFT(SUBSTITUTE(G1592,"[{",""),FIND(",",SUBSTITUTE(G1592,"[{",""))-1),Sheet2!B:B,Sheet2!C:C)&amp;"+"&amp;SUBSTITUTE(RIGHT(G1592,LEN(G1592)-FIND(",",G1592)),"}]","")/100&amp;"%")</f>
        <v>装备基础属性加成+25%</v>
      </c>
      <c r="L1592" s="83" t="str">
        <f ca="1">IF(MOD(COUNTIF($Q$11:Q1591,Q1591),5)=0,OFFSET(装备属性!$G$1083,1+INT(COUNTA($Q$11:Q1591)/5),0),L1591)</f>
        <v>厚底子</v>
      </c>
      <c r="M1592" s="89" t="str">
        <f ca="1">IF(MOD(COUNTIF($Q$11:Q1591,Q1591),5)=0,OFFSET(装备属性!$H$1083,1+INT(COUNTA($Q$11:Q1591)/5),0),M1591)</f>
        <v>equip_base_attr</v>
      </c>
      <c r="N1592" s="76">
        <f ca="1">IF(MOD(COUNTIF($Q$11:Q1591,Q1591),5)=0,OFFSET(装备属性!$K$1083,1+INT(COUNTA($Q$11:Q1591)/5),0),N1591)</f>
        <v>0.25</v>
      </c>
      <c r="O1592" s="76">
        <f ca="1">IF(MOD(COUNTIF($Q$11:Q1591,Q1591),5)=0,OFFSET(装备属性!$L$1083,1+INT(COUNTA($Q$11:Q1591)/5),0),O1591)</f>
        <v>0.25</v>
      </c>
      <c r="Q1592" s="89" t="str">
        <f ca="1">IF(MOD(COUNTIF($Q$11:Q1591,Q1591),5)=0,OFFSET(装备属性!$M$1083,1+INT(COUNTA($Q$11:Q1591)/5),0),Q1591)</f>
        <v>稀有词条</v>
      </c>
      <c r="R1592" s="83" t="e">
        <f ca="1">IF(MOD(COUNTIF($Q$11:Q1591,Q1591),5)=0,10000*SUBSTITUTE(SUBSTITUTE(OFFSET(装备属性!$F$1083,1+INT(COUNTA($Q$11:Q1591)/5),0),"[",""),"]","")+_xlfn.XLOOKUP(C1592,$M$3:$M$7,$N$3:$N$7)*100,R1591)</f>
        <v>#N/A</v>
      </c>
    </row>
    <row r="1593" customHeight="1" spans="1:18">
      <c r="A1593" s="78" t="str">
        <f ca="1" t="shared" si="72"/>
        <v/>
      </c>
      <c r="B1593" s="82" t="str">
        <f ca="1">IFERROR(R1593+COUNTIFS($R$11:$R1593,R1593),"")</f>
        <v/>
      </c>
      <c r="C1593" s="83">
        <f ca="1">IF(MOD(COUNTIF($Q$11:Q1592,Q1592),5)=0,OFFSET(装备属性!$D$1083,1+INT(COUNTA($Q$11:Q1592)/5),0),C1592)</f>
        <v>0</v>
      </c>
      <c r="D1593" s="82">
        <f t="shared" si="74"/>
        <v>2000</v>
      </c>
      <c r="F1593" s="82" t="str">
        <f ca="1" t="shared" si="73"/>
        <v/>
      </c>
      <c r="G1593" s="78" t="str">
        <f ca="1">IF(AND(LEFT("[{"&amp;M1593&amp;","&amp;CEILING(N1593*10000+(O1593-N1593)/4*(COUNTIF($F$11:F1593,F1593)-1)*10000,10)&amp;"}]",7)="[{equip",MID("[{"&amp;M1593&amp;","&amp;CEILING(N1593*10000+(O1593-N1593)/4*(COUNTIF($F$11:F1593,F1593)-1)*10000,10)&amp;"}]",8,1)&lt;&gt;"_"),"[{"&amp;M1593&amp;","&amp;1&amp;"}]","[{"&amp;M1593&amp;","&amp;CEILING(N1593*10000+(O1593-N1593)/4*(COUNTIF($F$11:F1593,F1593)-1)*10000,10)&amp;"}]")</f>
        <v>[{equip_base_attr,2500}]</v>
      </c>
      <c r="H1593" s="82" t="s">
        <v>563</v>
      </c>
      <c r="J1593" s="78">
        <f ca="1">IF(MOD(COUNTIF($Q$11:Q1592,Q1592),5)=0,OFFSET(装备属性!$P$1083,1+INT(COUNTA($Q$11:Q1592)/5),0),J1592)</f>
        <v>7</v>
      </c>
      <c r="K1593" s="83" t="str">
        <f ca="1">IF(RIGHT(G1593,13)="rune_slot,1}]",_xlfn.XLOOKUP(LEFT(SUBSTITUTE(G1593,"[{",""),FIND(",",SUBSTITUTE(G1593,"[{",""))-1),Sheet2!B:B,Sheet2!C:C)&amp;"+"&amp;1,_xlfn.XLOOKUP(LEFT(SUBSTITUTE(G1593,"[{",""),FIND(",",SUBSTITUTE(G1593,"[{",""))-1),Sheet2!B:B,Sheet2!C:C)&amp;"+"&amp;SUBSTITUTE(RIGHT(G1593,LEN(G1593)-FIND(",",G1593)),"}]","")/100&amp;"%")</f>
        <v>装备基础属性加成+25%</v>
      </c>
      <c r="L1593" s="83" t="str">
        <f ca="1">IF(MOD(COUNTIF($Q$11:Q1592,Q1592),5)=0,OFFSET(装备属性!$G$1083,1+INT(COUNTA($Q$11:Q1592)/5),0),L1592)</f>
        <v>厚底子</v>
      </c>
      <c r="M1593" s="89" t="str">
        <f ca="1">IF(MOD(COUNTIF($Q$11:Q1592,Q1592),5)=0,OFFSET(装备属性!$H$1083,1+INT(COUNTA($Q$11:Q1592)/5),0),M1592)</f>
        <v>equip_base_attr</v>
      </c>
      <c r="N1593" s="76">
        <f ca="1">IF(MOD(COUNTIF($Q$11:Q1592,Q1592),5)=0,OFFSET(装备属性!$K$1083,1+INT(COUNTA($Q$11:Q1592)/5),0),N1592)</f>
        <v>0.25</v>
      </c>
      <c r="O1593" s="76">
        <f ca="1">IF(MOD(COUNTIF($Q$11:Q1592,Q1592),5)=0,OFFSET(装备属性!$L$1083,1+INT(COUNTA($Q$11:Q1592)/5),0),O1592)</f>
        <v>0.25</v>
      </c>
      <c r="Q1593" s="89" t="str">
        <f ca="1">IF(MOD(COUNTIF($Q$11:Q1592,Q1592),5)=0,OFFSET(装备属性!$M$1083,1+INT(COUNTA($Q$11:Q1592)/5),0),Q1592)</f>
        <v>稀有词条</v>
      </c>
      <c r="R1593" s="83" t="e">
        <f ca="1">IF(MOD(COUNTIF($Q$11:Q1592,Q1592),5)=0,10000*SUBSTITUTE(SUBSTITUTE(OFFSET(装备属性!$F$1083,1+INT(COUNTA($Q$11:Q1592)/5),0),"[",""),"]","")+_xlfn.XLOOKUP(C1593,$M$3:$M$7,$N$3:$N$7)*100,R1592)</f>
        <v>#N/A</v>
      </c>
    </row>
    <row r="1594" customHeight="1" spans="1:18">
      <c r="A1594" s="78" t="str">
        <f ca="1" t="shared" si="72"/>
        <v/>
      </c>
      <c r="B1594" s="82" t="str">
        <f ca="1">IFERROR(R1594+COUNTIFS($R$11:$R1594,R1594),"")</f>
        <v/>
      </c>
      <c r="C1594" s="83">
        <f ca="1">IF(MOD(COUNTIF($Q$11:Q1593,Q1593),5)=0,OFFSET(装备属性!$D$1083,1+INT(COUNTA($Q$11:Q1593)/5),0),C1593)</f>
        <v>0</v>
      </c>
      <c r="D1594" s="82">
        <f t="shared" si="74"/>
        <v>1500</v>
      </c>
      <c r="F1594" s="82" t="str">
        <f ca="1" t="shared" si="73"/>
        <v/>
      </c>
      <c r="G1594" s="78" t="str">
        <f ca="1">IF(AND(LEFT("[{"&amp;M1594&amp;","&amp;CEILING(N1594*10000+(O1594-N1594)/4*(COUNTIF($F$11:F1594,F1594)-1)*10000,10)&amp;"}]",7)="[{equip",MID("[{"&amp;M1594&amp;","&amp;CEILING(N1594*10000+(O1594-N1594)/4*(COUNTIF($F$11:F1594,F1594)-1)*10000,10)&amp;"}]",8,1)&lt;&gt;"_"),"[{"&amp;M1594&amp;","&amp;1&amp;"}]","[{"&amp;M1594&amp;","&amp;CEILING(N1594*10000+(O1594-N1594)/4*(COUNTIF($F$11:F1594,F1594)-1)*10000,10)&amp;"}]")</f>
        <v>[{equip_base_attr,2500}]</v>
      </c>
      <c r="H1594" s="82" t="s">
        <v>563</v>
      </c>
      <c r="J1594" s="78">
        <f ca="1">IF(MOD(COUNTIF($Q$11:Q1593,Q1593),5)=0,OFFSET(装备属性!$P$1083,1+INT(COUNTA($Q$11:Q1593)/5),0),J1593)</f>
        <v>7</v>
      </c>
      <c r="K1594" s="83" t="str">
        <f ca="1">IF(RIGHT(G1594,13)="rune_slot,1}]",_xlfn.XLOOKUP(LEFT(SUBSTITUTE(G1594,"[{",""),FIND(",",SUBSTITUTE(G1594,"[{",""))-1),Sheet2!B:B,Sheet2!C:C)&amp;"+"&amp;1,_xlfn.XLOOKUP(LEFT(SUBSTITUTE(G1594,"[{",""),FIND(",",SUBSTITUTE(G1594,"[{",""))-1),Sheet2!B:B,Sheet2!C:C)&amp;"+"&amp;SUBSTITUTE(RIGHT(G1594,LEN(G1594)-FIND(",",G1594)),"}]","")/100&amp;"%")</f>
        <v>装备基础属性加成+25%</v>
      </c>
      <c r="L1594" s="83" t="str">
        <f ca="1">IF(MOD(COUNTIF($Q$11:Q1593,Q1593),5)=0,OFFSET(装备属性!$G$1083,1+INT(COUNTA($Q$11:Q1593)/5),0),L1593)</f>
        <v>厚底子</v>
      </c>
      <c r="M1594" s="89" t="str">
        <f ca="1">IF(MOD(COUNTIF($Q$11:Q1593,Q1593),5)=0,OFFSET(装备属性!$H$1083,1+INT(COUNTA($Q$11:Q1593)/5),0),M1593)</f>
        <v>equip_base_attr</v>
      </c>
      <c r="N1594" s="76">
        <f ca="1">IF(MOD(COUNTIF($Q$11:Q1593,Q1593),5)=0,OFFSET(装备属性!$K$1083,1+INT(COUNTA($Q$11:Q1593)/5),0),N1593)</f>
        <v>0.25</v>
      </c>
      <c r="O1594" s="76">
        <f ca="1">IF(MOD(COUNTIF($Q$11:Q1593,Q1593),5)=0,OFFSET(装备属性!$L$1083,1+INT(COUNTA($Q$11:Q1593)/5),0),O1593)</f>
        <v>0.25</v>
      </c>
      <c r="Q1594" s="89" t="str">
        <f ca="1">IF(MOD(COUNTIF($Q$11:Q1593,Q1593),5)=0,OFFSET(装备属性!$M$1083,1+INT(COUNTA($Q$11:Q1593)/5),0),Q1593)</f>
        <v>稀有词条</v>
      </c>
      <c r="R1594" s="83" t="e">
        <f ca="1">IF(MOD(COUNTIF($Q$11:Q1593,Q1593),5)=0,10000*SUBSTITUTE(SUBSTITUTE(OFFSET(装备属性!$F$1083,1+INT(COUNTA($Q$11:Q1593)/5),0),"[",""),"]","")+_xlfn.XLOOKUP(C1594,$M$3:$M$7,$N$3:$N$7)*100,R1593)</f>
        <v>#N/A</v>
      </c>
    </row>
    <row r="1595" customHeight="1" spans="1:18">
      <c r="A1595" s="78" t="str">
        <f ca="1" t="shared" si="72"/>
        <v/>
      </c>
      <c r="B1595" s="82" t="str">
        <f ca="1">IFERROR(R1595+COUNTIFS($R$11:$R1595,R1595),"")</f>
        <v/>
      </c>
      <c r="C1595" s="83">
        <f ca="1">IF(MOD(COUNTIF($Q$11:Q1594,Q1594),5)=0,OFFSET(装备属性!$D$1083,1+INT(COUNTA($Q$11:Q1594)/5),0),C1594)</f>
        <v>0</v>
      </c>
      <c r="D1595" s="82">
        <f t="shared" si="74"/>
        <v>1000</v>
      </c>
      <c r="F1595" s="82" t="str">
        <f ca="1" t="shared" si="73"/>
        <v/>
      </c>
      <c r="G1595" s="78" t="str">
        <f ca="1">IF(AND(LEFT("[{"&amp;M1595&amp;","&amp;CEILING(N1595*10000+(O1595-N1595)/4*(COUNTIF($F$11:F1595,F1595)-1)*10000,10)&amp;"}]",7)="[{equip",MID("[{"&amp;M1595&amp;","&amp;CEILING(N1595*10000+(O1595-N1595)/4*(COUNTIF($F$11:F1595,F1595)-1)*10000,10)&amp;"}]",8,1)&lt;&gt;"_"),"[{"&amp;M1595&amp;","&amp;1&amp;"}]","[{"&amp;M1595&amp;","&amp;CEILING(N1595*10000+(O1595-N1595)/4*(COUNTIF($F$11:F1595,F1595)-1)*10000,10)&amp;"}]")</f>
        <v>[{equip_base_attr,2500}]</v>
      </c>
      <c r="H1595" s="82" t="s">
        <v>563</v>
      </c>
      <c r="J1595" s="78">
        <f ca="1">IF(MOD(COUNTIF($Q$11:Q1594,Q1594),5)=0,OFFSET(装备属性!$P$1083,1+INT(COUNTA($Q$11:Q1594)/5),0),J1594)</f>
        <v>7</v>
      </c>
      <c r="K1595" s="83" t="str">
        <f ca="1">IF(RIGHT(G1595,13)="rune_slot,1}]",_xlfn.XLOOKUP(LEFT(SUBSTITUTE(G1595,"[{",""),FIND(",",SUBSTITUTE(G1595,"[{",""))-1),Sheet2!B:B,Sheet2!C:C)&amp;"+"&amp;1,_xlfn.XLOOKUP(LEFT(SUBSTITUTE(G1595,"[{",""),FIND(",",SUBSTITUTE(G1595,"[{",""))-1),Sheet2!B:B,Sheet2!C:C)&amp;"+"&amp;SUBSTITUTE(RIGHT(G1595,LEN(G1595)-FIND(",",G1595)),"}]","")/100&amp;"%")</f>
        <v>装备基础属性加成+25%</v>
      </c>
      <c r="L1595" s="83" t="str">
        <f ca="1">IF(MOD(COUNTIF($Q$11:Q1594,Q1594),5)=0,OFFSET(装备属性!$G$1083,1+INT(COUNTA($Q$11:Q1594)/5),0),L1594)</f>
        <v>厚底子</v>
      </c>
      <c r="M1595" s="89" t="str">
        <f ca="1">IF(MOD(COUNTIF($Q$11:Q1594,Q1594),5)=0,OFFSET(装备属性!$H$1083,1+INT(COUNTA($Q$11:Q1594)/5),0),M1594)</f>
        <v>equip_base_attr</v>
      </c>
      <c r="N1595" s="76">
        <f ca="1">IF(MOD(COUNTIF($Q$11:Q1594,Q1594),5)=0,OFFSET(装备属性!$K$1083,1+INT(COUNTA($Q$11:Q1594)/5),0),N1594)</f>
        <v>0.25</v>
      </c>
      <c r="O1595" s="76">
        <f ca="1">IF(MOD(COUNTIF($Q$11:Q1594,Q1594),5)=0,OFFSET(装备属性!$L$1083,1+INT(COUNTA($Q$11:Q1594)/5),0),O1594)</f>
        <v>0.25</v>
      </c>
      <c r="Q1595" s="89" t="str">
        <f ca="1">IF(MOD(COUNTIF($Q$11:Q1594,Q1594),5)=0,OFFSET(装备属性!$M$1083,1+INT(COUNTA($Q$11:Q1594)/5),0),Q1594)</f>
        <v>稀有词条</v>
      </c>
      <c r="R1595" s="83" t="e">
        <f ca="1">IF(MOD(COUNTIF($Q$11:Q1594,Q1594),5)=0,10000*SUBSTITUTE(SUBSTITUTE(OFFSET(装备属性!$F$1083,1+INT(COUNTA($Q$11:Q1594)/5),0),"[",""),"]","")+_xlfn.XLOOKUP(C1595,$M$3:$M$7,$N$3:$N$7)*100,R1594)</f>
        <v>#N/A</v>
      </c>
    </row>
    <row r="1596" customHeight="1" spans="1:18">
      <c r="A1596" s="78" t="str">
        <f ca="1" t="shared" si="72"/>
        <v/>
      </c>
      <c r="B1596" s="82" t="str">
        <f ca="1">IFERROR(R1596+COUNTIFS($R$11:$R1596,R1596),"")</f>
        <v/>
      </c>
      <c r="C1596" s="83">
        <f ca="1">IF(MOD(COUNTIF($Q$11:Q1595,Q1595),5)=0,OFFSET(装备属性!$D$1083,1+INT(COUNTA($Q$11:Q1595)/5),0),C1595)</f>
        <v>0</v>
      </c>
      <c r="D1596" s="82">
        <f t="shared" si="74"/>
        <v>3000</v>
      </c>
      <c r="F1596" s="82" t="str">
        <f ca="1" t="shared" si="73"/>
        <v/>
      </c>
      <c r="G1596" s="78" t="str">
        <f ca="1">IF(AND(LEFT("[{"&amp;M1596&amp;","&amp;CEILING(N1596*10000+(O1596-N1596)/4*(COUNTIF($F$11:F1596,F1596)-1)*10000,10)&amp;"}]",7)="[{equip",MID("[{"&amp;M1596&amp;","&amp;CEILING(N1596*10000+(O1596-N1596)/4*(COUNTIF($F$11:F1596,F1596)-1)*10000,10)&amp;"}]",8,1)&lt;&gt;"_"),"[{"&amp;M1596&amp;","&amp;1&amp;"}]","[{"&amp;M1596&amp;","&amp;CEILING(N1596*10000+(O1596-N1596)/4*(COUNTIF($F$11:F1596,F1596)-1)*10000,10)&amp;"}]")</f>
        <v>[{equip_extra_attr,5000}]</v>
      </c>
      <c r="H1596" s="82" t="s">
        <v>563</v>
      </c>
      <c r="J1596" s="78">
        <f ca="1">IF(MOD(COUNTIF($Q$11:Q1595,Q1595),5)=0,OFFSET(装备属性!$P$1083,1+INT(COUNTA($Q$11:Q1595)/5),0),J1595)</f>
        <v>8</v>
      </c>
      <c r="K1596" s="83" t="str">
        <f ca="1">IF(RIGHT(G1596,13)="rune_slot,1}]",_xlfn.XLOOKUP(LEFT(SUBSTITUTE(G1596,"[{",""),FIND(",",SUBSTITUTE(G1596,"[{",""))-1),Sheet2!B:B,Sheet2!C:C)&amp;"+"&amp;1,_xlfn.XLOOKUP(LEFT(SUBSTITUTE(G1596,"[{",""),FIND(",",SUBSTITUTE(G1596,"[{",""))-1),Sheet2!B:B,Sheet2!C:C)&amp;"+"&amp;SUBSTITUTE(RIGHT(G1596,LEN(G1596)-FIND(",",G1596)),"}]","")/100&amp;"%")</f>
        <v>装备附加属性加成+50%</v>
      </c>
      <c r="L1596" s="83" t="str">
        <f ca="1">IF(MOD(COUNTIF($Q$11:Q1595,Q1595),5)=0,OFFSET(装备属性!$G$1083,1+INT(COUNTA($Q$11:Q1595)/5),0),L1595)</f>
        <v>提成色</v>
      </c>
      <c r="M1596" s="89" t="str">
        <f ca="1">IF(MOD(COUNTIF($Q$11:Q1595,Q1595),5)=0,OFFSET(装备属性!$H$1083,1+INT(COUNTA($Q$11:Q1595)/5),0),M1595)</f>
        <v>equip_extra_attr</v>
      </c>
      <c r="N1596" s="76">
        <f ca="1">IF(MOD(COUNTIF($Q$11:Q1595,Q1595),5)=0,OFFSET(装备属性!$K$1083,1+INT(COUNTA($Q$11:Q1595)/5),0),N1595)</f>
        <v>0.5</v>
      </c>
      <c r="O1596" s="76">
        <f ca="1">IF(MOD(COUNTIF($Q$11:Q1595,Q1595),5)=0,OFFSET(装备属性!$L$1083,1+INT(COUNTA($Q$11:Q1595)/5),0),O1595)</f>
        <v>0.5</v>
      </c>
      <c r="Q1596" s="89" t="str">
        <f ca="1">IF(MOD(COUNTIF($Q$11:Q1595,Q1595),5)=0,OFFSET(装备属性!$M$1083,1+INT(COUNTA($Q$11:Q1595)/5),0),Q1595)</f>
        <v>稀有词条</v>
      </c>
      <c r="R1596" s="83" t="e">
        <f ca="1">IF(MOD(COUNTIF($Q$11:Q1595,Q1595),5)=0,10000*SUBSTITUTE(SUBSTITUTE(OFFSET(装备属性!$F$1083,1+INT(COUNTA($Q$11:Q1595)/5),0),"[",""),"]","")+_xlfn.XLOOKUP(C1596,$M$3:$M$7,$N$3:$N$7)*100,R1595)</f>
        <v>#N/A</v>
      </c>
    </row>
    <row r="1597" customHeight="1" spans="1:18">
      <c r="A1597" s="78" t="str">
        <f ca="1" t="shared" si="72"/>
        <v/>
      </c>
      <c r="B1597" s="82" t="str">
        <f ca="1">IFERROR(R1597+COUNTIFS($R$11:$R1597,R1597),"")</f>
        <v/>
      </c>
      <c r="C1597" s="83">
        <f ca="1">IF(MOD(COUNTIF($Q$11:Q1596,Q1596),5)=0,OFFSET(装备属性!$D$1083,1+INT(COUNTA($Q$11:Q1596)/5),0),C1596)</f>
        <v>0</v>
      </c>
      <c r="D1597" s="82">
        <f t="shared" si="74"/>
        <v>2500</v>
      </c>
      <c r="F1597" s="82" t="str">
        <f ca="1" t="shared" si="73"/>
        <v/>
      </c>
      <c r="G1597" s="78" t="str">
        <f ca="1">IF(AND(LEFT("[{"&amp;M1597&amp;","&amp;CEILING(N1597*10000+(O1597-N1597)/4*(COUNTIF($F$11:F1597,F1597)-1)*10000,10)&amp;"}]",7)="[{equip",MID("[{"&amp;M1597&amp;","&amp;CEILING(N1597*10000+(O1597-N1597)/4*(COUNTIF($F$11:F1597,F1597)-1)*10000,10)&amp;"}]",8,1)&lt;&gt;"_"),"[{"&amp;M1597&amp;","&amp;1&amp;"}]","[{"&amp;M1597&amp;","&amp;CEILING(N1597*10000+(O1597-N1597)/4*(COUNTIF($F$11:F1597,F1597)-1)*10000,10)&amp;"}]")</f>
        <v>[{equip_extra_attr,5000}]</v>
      </c>
      <c r="H1597" s="82" t="s">
        <v>563</v>
      </c>
      <c r="J1597" s="78">
        <f ca="1">IF(MOD(COUNTIF($Q$11:Q1596,Q1596),5)=0,OFFSET(装备属性!$P$1083,1+INT(COUNTA($Q$11:Q1596)/5),0),J1596)</f>
        <v>8</v>
      </c>
      <c r="K1597" s="83" t="str">
        <f ca="1">IF(RIGHT(G1597,13)="rune_slot,1}]",_xlfn.XLOOKUP(LEFT(SUBSTITUTE(G1597,"[{",""),FIND(",",SUBSTITUTE(G1597,"[{",""))-1),Sheet2!B:B,Sheet2!C:C)&amp;"+"&amp;1,_xlfn.XLOOKUP(LEFT(SUBSTITUTE(G1597,"[{",""),FIND(",",SUBSTITUTE(G1597,"[{",""))-1),Sheet2!B:B,Sheet2!C:C)&amp;"+"&amp;SUBSTITUTE(RIGHT(G1597,LEN(G1597)-FIND(",",G1597)),"}]","")/100&amp;"%")</f>
        <v>装备附加属性加成+50%</v>
      </c>
      <c r="L1597" s="83" t="str">
        <f ca="1">IF(MOD(COUNTIF($Q$11:Q1596,Q1596),5)=0,OFFSET(装备属性!$G$1083,1+INT(COUNTA($Q$11:Q1596)/5),0),L1596)</f>
        <v>提成色</v>
      </c>
      <c r="M1597" s="89" t="str">
        <f ca="1">IF(MOD(COUNTIF($Q$11:Q1596,Q1596),5)=0,OFFSET(装备属性!$H$1083,1+INT(COUNTA($Q$11:Q1596)/5),0),M1596)</f>
        <v>equip_extra_attr</v>
      </c>
      <c r="N1597" s="76">
        <f ca="1">IF(MOD(COUNTIF($Q$11:Q1596,Q1596),5)=0,OFFSET(装备属性!$K$1083,1+INT(COUNTA($Q$11:Q1596)/5),0),N1596)</f>
        <v>0.5</v>
      </c>
      <c r="O1597" s="76">
        <f ca="1">IF(MOD(COUNTIF($Q$11:Q1596,Q1596),5)=0,OFFSET(装备属性!$L$1083,1+INT(COUNTA($Q$11:Q1596)/5),0),O1596)</f>
        <v>0.5</v>
      </c>
      <c r="Q1597" s="89" t="str">
        <f ca="1">IF(MOD(COUNTIF($Q$11:Q1596,Q1596),5)=0,OFFSET(装备属性!$M$1083,1+INT(COUNTA($Q$11:Q1596)/5),0),Q1596)</f>
        <v>稀有词条</v>
      </c>
      <c r="R1597" s="83" t="e">
        <f ca="1">IF(MOD(COUNTIF($Q$11:Q1596,Q1596),5)=0,10000*SUBSTITUTE(SUBSTITUTE(OFFSET(装备属性!$F$1083,1+INT(COUNTA($Q$11:Q1596)/5),0),"[",""),"]","")+_xlfn.XLOOKUP(C1597,$M$3:$M$7,$N$3:$N$7)*100,R1596)</f>
        <v>#N/A</v>
      </c>
    </row>
    <row r="1598" customHeight="1" spans="1:18">
      <c r="A1598" s="78" t="str">
        <f ca="1" t="shared" si="72"/>
        <v/>
      </c>
      <c r="B1598" s="82" t="str">
        <f ca="1">IFERROR(R1598+COUNTIFS($R$11:$R1598,R1598),"")</f>
        <v/>
      </c>
      <c r="C1598" s="83">
        <f ca="1">IF(MOD(COUNTIF($Q$11:Q1597,Q1597),5)=0,OFFSET(装备属性!$D$1083,1+INT(COUNTA($Q$11:Q1597)/5),0),C1597)</f>
        <v>0</v>
      </c>
      <c r="D1598" s="82">
        <f t="shared" si="74"/>
        <v>2000</v>
      </c>
      <c r="F1598" s="82" t="str">
        <f ca="1" t="shared" si="73"/>
        <v/>
      </c>
      <c r="G1598" s="78" t="str">
        <f ca="1">IF(AND(LEFT("[{"&amp;M1598&amp;","&amp;CEILING(N1598*10000+(O1598-N1598)/4*(COUNTIF($F$11:F1598,F1598)-1)*10000,10)&amp;"}]",7)="[{equip",MID("[{"&amp;M1598&amp;","&amp;CEILING(N1598*10000+(O1598-N1598)/4*(COUNTIF($F$11:F1598,F1598)-1)*10000,10)&amp;"}]",8,1)&lt;&gt;"_"),"[{"&amp;M1598&amp;","&amp;1&amp;"}]","[{"&amp;M1598&amp;","&amp;CEILING(N1598*10000+(O1598-N1598)/4*(COUNTIF($F$11:F1598,F1598)-1)*10000,10)&amp;"}]")</f>
        <v>[{equip_extra_attr,5000}]</v>
      </c>
      <c r="H1598" s="82" t="s">
        <v>563</v>
      </c>
      <c r="J1598" s="78">
        <f ca="1">IF(MOD(COUNTIF($Q$11:Q1597,Q1597),5)=0,OFFSET(装备属性!$P$1083,1+INT(COUNTA($Q$11:Q1597)/5),0),J1597)</f>
        <v>8</v>
      </c>
      <c r="K1598" s="83" t="str">
        <f ca="1">IF(RIGHT(G1598,13)="rune_slot,1}]",_xlfn.XLOOKUP(LEFT(SUBSTITUTE(G1598,"[{",""),FIND(",",SUBSTITUTE(G1598,"[{",""))-1),Sheet2!B:B,Sheet2!C:C)&amp;"+"&amp;1,_xlfn.XLOOKUP(LEFT(SUBSTITUTE(G1598,"[{",""),FIND(",",SUBSTITUTE(G1598,"[{",""))-1),Sheet2!B:B,Sheet2!C:C)&amp;"+"&amp;SUBSTITUTE(RIGHT(G1598,LEN(G1598)-FIND(",",G1598)),"}]","")/100&amp;"%")</f>
        <v>装备附加属性加成+50%</v>
      </c>
      <c r="L1598" s="83" t="str">
        <f ca="1">IF(MOD(COUNTIF($Q$11:Q1597,Q1597),5)=0,OFFSET(装备属性!$G$1083,1+INT(COUNTA($Q$11:Q1597)/5),0),L1597)</f>
        <v>提成色</v>
      </c>
      <c r="M1598" s="89" t="str">
        <f ca="1">IF(MOD(COUNTIF($Q$11:Q1597,Q1597),5)=0,OFFSET(装备属性!$H$1083,1+INT(COUNTA($Q$11:Q1597)/5),0),M1597)</f>
        <v>equip_extra_attr</v>
      </c>
      <c r="N1598" s="76">
        <f ca="1">IF(MOD(COUNTIF($Q$11:Q1597,Q1597),5)=0,OFFSET(装备属性!$K$1083,1+INT(COUNTA($Q$11:Q1597)/5),0),N1597)</f>
        <v>0.5</v>
      </c>
      <c r="O1598" s="76">
        <f ca="1">IF(MOD(COUNTIF($Q$11:Q1597,Q1597),5)=0,OFFSET(装备属性!$L$1083,1+INT(COUNTA($Q$11:Q1597)/5),0),O1597)</f>
        <v>0.5</v>
      </c>
      <c r="Q1598" s="89" t="str">
        <f ca="1">IF(MOD(COUNTIF($Q$11:Q1597,Q1597),5)=0,OFFSET(装备属性!$M$1083,1+INT(COUNTA($Q$11:Q1597)/5),0),Q1597)</f>
        <v>稀有词条</v>
      </c>
      <c r="R1598" s="83" t="e">
        <f ca="1">IF(MOD(COUNTIF($Q$11:Q1597,Q1597),5)=0,10000*SUBSTITUTE(SUBSTITUTE(OFFSET(装备属性!$F$1083,1+INT(COUNTA($Q$11:Q1597)/5),0),"[",""),"]","")+_xlfn.XLOOKUP(C1598,$M$3:$M$7,$N$3:$N$7)*100,R1597)</f>
        <v>#N/A</v>
      </c>
    </row>
    <row r="1599" customHeight="1" spans="1:18">
      <c r="A1599" s="78" t="str">
        <f ca="1" t="shared" si="72"/>
        <v/>
      </c>
      <c r="B1599" s="82" t="str">
        <f ca="1">IFERROR(R1599+COUNTIFS($R$11:$R1599,R1599),"")</f>
        <v/>
      </c>
      <c r="C1599" s="83">
        <f ca="1">IF(MOD(COUNTIF($Q$11:Q1598,Q1598),5)=0,OFFSET(装备属性!$D$1083,1+INT(COUNTA($Q$11:Q1598)/5),0),C1598)</f>
        <v>0</v>
      </c>
      <c r="D1599" s="82">
        <f t="shared" si="74"/>
        <v>1500</v>
      </c>
      <c r="F1599" s="82" t="str">
        <f ca="1" t="shared" si="73"/>
        <v/>
      </c>
      <c r="G1599" s="78" t="str">
        <f ca="1">IF(AND(LEFT("[{"&amp;M1599&amp;","&amp;CEILING(N1599*10000+(O1599-N1599)/4*(COUNTIF($F$11:F1599,F1599)-1)*10000,10)&amp;"}]",7)="[{equip",MID("[{"&amp;M1599&amp;","&amp;CEILING(N1599*10000+(O1599-N1599)/4*(COUNTIF($F$11:F1599,F1599)-1)*10000,10)&amp;"}]",8,1)&lt;&gt;"_"),"[{"&amp;M1599&amp;","&amp;1&amp;"}]","[{"&amp;M1599&amp;","&amp;CEILING(N1599*10000+(O1599-N1599)/4*(COUNTIF($F$11:F1599,F1599)-1)*10000,10)&amp;"}]")</f>
        <v>[{equip_extra_attr,5000}]</v>
      </c>
      <c r="H1599" s="82" t="s">
        <v>563</v>
      </c>
      <c r="J1599" s="78">
        <f ca="1">IF(MOD(COUNTIF($Q$11:Q1598,Q1598),5)=0,OFFSET(装备属性!$P$1083,1+INT(COUNTA($Q$11:Q1598)/5),0),J1598)</f>
        <v>8</v>
      </c>
      <c r="K1599" s="83" t="str">
        <f ca="1">IF(RIGHT(G1599,13)="rune_slot,1}]",_xlfn.XLOOKUP(LEFT(SUBSTITUTE(G1599,"[{",""),FIND(",",SUBSTITUTE(G1599,"[{",""))-1),Sheet2!B:B,Sheet2!C:C)&amp;"+"&amp;1,_xlfn.XLOOKUP(LEFT(SUBSTITUTE(G1599,"[{",""),FIND(",",SUBSTITUTE(G1599,"[{",""))-1),Sheet2!B:B,Sheet2!C:C)&amp;"+"&amp;SUBSTITUTE(RIGHT(G1599,LEN(G1599)-FIND(",",G1599)),"}]","")/100&amp;"%")</f>
        <v>装备附加属性加成+50%</v>
      </c>
      <c r="L1599" s="83" t="str">
        <f ca="1">IF(MOD(COUNTIF($Q$11:Q1598,Q1598),5)=0,OFFSET(装备属性!$G$1083,1+INT(COUNTA($Q$11:Q1598)/5),0),L1598)</f>
        <v>提成色</v>
      </c>
      <c r="M1599" s="89" t="str">
        <f ca="1">IF(MOD(COUNTIF($Q$11:Q1598,Q1598),5)=0,OFFSET(装备属性!$H$1083,1+INT(COUNTA($Q$11:Q1598)/5),0),M1598)</f>
        <v>equip_extra_attr</v>
      </c>
      <c r="N1599" s="76">
        <f ca="1">IF(MOD(COUNTIF($Q$11:Q1598,Q1598),5)=0,OFFSET(装备属性!$K$1083,1+INT(COUNTA($Q$11:Q1598)/5),0),N1598)</f>
        <v>0.5</v>
      </c>
      <c r="O1599" s="76">
        <f ca="1">IF(MOD(COUNTIF($Q$11:Q1598,Q1598),5)=0,OFFSET(装备属性!$L$1083,1+INT(COUNTA($Q$11:Q1598)/5),0),O1598)</f>
        <v>0.5</v>
      </c>
      <c r="Q1599" s="89" t="str">
        <f ca="1">IF(MOD(COUNTIF($Q$11:Q1598,Q1598),5)=0,OFFSET(装备属性!$M$1083,1+INT(COUNTA($Q$11:Q1598)/5),0),Q1598)</f>
        <v>稀有词条</v>
      </c>
      <c r="R1599" s="83" t="e">
        <f ca="1">IF(MOD(COUNTIF($Q$11:Q1598,Q1598),5)=0,10000*SUBSTITUTE(SUBSTITUTE(OFFSET(装备属性!$F$1083,1+INT(COUNTA($Q$11:Q1598)/5),0),"[",""),"]","")+_xlfn.XLOOKUP(C1599,$M$3:$M$7,$N$3:$N$7)*100,R1598)</f>
        <v>#N/A</v>
      </c>
    </row>
    <row r="1600" customHeight="1" spans="1:18">
      <c r="A1600" s="78" t="str">
        <f ca="1" t="shared" si="72"/>
        <v/>
      </c>
      <c r="B1600" s="82" t="str">
        <f ca="1">IFERROR(R1600+COUNTIFS($R$11:$R1600,R1600),"")</f>
        <v/>
      </c>
      <c r="C1600" s="83">
        <f ca="1">IF(MOD(COUNTIF($Q$11:Q1599,Q1599),5)=0,OFFSET(装备属性!$D$1083,1+INT(COUNTA($Q$11:Q1599)/5),0),C1599)</f>
        <v>0</v>
      </c>
      <c r="D1600" s="82">
        <f t="shared" si="74"/>
        <v>1000</v>
      </c>
      <c r="F1600" s="82" t="str">
        <f ca="1" t="shared" si="73"/>
        <v/>
      </c>
      <c r="G1600" s="78" t="str">
        <f ca="1">IF(AND(LEFT("[{"&amp;M1600&amp;","&amp;CEILING(N1600*10000+(O1600-N1600)/4*(COUNTIF($F$11:F1600,F1600)-1)*10000,10)&amp;"}]",7)="[{equip",MID("[{"&amp;M1600&amp;","&amp;CEILING(N1600*10000+(O1600-N1600)/4*(COUNTIF($F$11:F1600,F1600)-1)*10000,10)&amp;"}]",8,1)&lt;&gt;"_"),"[{"&amp;M1600&amp;","&amp;1&amp;"}]","[{"&amp;M1600&amp;","&amp;CEILING(N1600*10000+(O1600-N1600)/4*(COUNTIF($F$11:F1600,F1600)-1)*10000,10)&amp;"}]")</f>
        <v>[{equip_extra_attr,5000}]</v>
      </c>
      <c r="H1600" s="82" t="s">
        <v>563</v>
      </c>
      <c r="J1600" s="78">
        <f ca="1">IF(MOD(COUNTIF($Q$11:Q1599,Q1599),5)=0,OFFSET(装备属性!$P$1083,1+INT(COUNTA($Q$11:Q1599)/5),0),J1599)</f>
        <v>8</v>
      </c>
      <c r="K1600" s="83" t="str">
        <f ca="1">IF(RIGHT(G1600,13)="rune_slot,1}]",_xlfn.XLOOKUP(LEFT(SUBSTITUTE(G1600,"[{",""),FIND(",",SUBSTITUTE(G1600,"[{",""))-1),Sheet2!B:B,Sheet2!C:C)&amp;"+"&amp;1,_xlfn.XLOOKUP(LEFT(SUBSTITUTE(G1600,"[{",""),FIND(",",SUBSTITUTE(G1600,"[{",""))-1),Sheet2!B:B,Sheet2!C:C)&amp;"+"&amp;SUBSTITUTE(RIGHT(G1600,LEN(G1600)-FIND(",",G1600)),"}]","")/100&amp;"%")</f>
        <v>装备附加属性加成+50%</v>
      </c>
      <c r="L1600" s="83" t="str">
        <f ca="1">IF(MOD(COUNTIF($Q$11:Q1599,Q1599),5)=0,OFFSET(装备属性!$G$1083,1+INT(COUNTA($Q$11:Q1599)/5),0),L1599)</f>
        <v>提成色</v>
      </c>
      <c r="M1600" s="89" t="str">
        <f ca="1">IF(MOD(COUNTIF($Q$11:Q1599,Q1599),5)=0,OFFSET(装备属性!$H$1083,1+INT(COUNTA($Q$11:Q1599)/5),0),M1599)</f>
        <v>equip_extra_attr</v>
      </c>
      <c r="N1600" s="76">
        <f ca="1">IF(MOD(COUNTIF($Q$11:Q1599,Q1599),5)=0,OFFSET(装备属性!$K$1083,1+INT(COUNTA($Q$11:Q1599)/5),0),N1599)</f>
        <v>0.5</v>
      </c>
      <c r="O1600" s="76">
        <f ca="1">IF(MOD(COUNTIF($Q$11:Q1599,Q1599),5)=0,OFFSET(装备属性!$L$1083,1+INT(COUNTA($Q$11:Q1599)/5),0),O1599)</f>
        <v>0.5</v>
      </c>
      <c r="Q1600" s="89" t="str">
        <f ca="1">IF(MOD(COUNTIF($Q$11:Q1599,Q1599),5)=0,OFFSET(装备属性!$M$1083,1+INT(COUNTA($Q$11:Q1599)/5),0),Q1599)</f>
        <v>稀有词条</v>
      </c>
      <c r="R1600" s="83" t="e">
        <f ca="1">IF(MOD(COUNTIF($Q$11:Q1599,Q1599),5)=0,10000*SUBSTITUTE(SUBSTITUTE(OFFSET(装备属性!$F$1083,1+INT(COUNTA($Q$11:Q1599)/5),0),"[",""),"]","")+_xlfn.XLOOKUP(C1600,$M$3:$M$7,$N$3:$N$7)*100,R1599)</f>
        <v>#N/A</v>
      </c>
    </row>
    <row r="1601" customHeight="1" spans="1:18">
      <c r="A1601" s="78" t="str">
        <f ca="1" t="shared" si="72"/>
        <v/>
      </c>
      <c r="B1601" s="82" t="str">
        <f ca="1">IFERROR(R1601+COUNTIFS($R$11:$R1601,R1601),"")</f>
        <v/>
      </c>
      <c r="C1601" s="83">
        <f ca="1">IF(MOD(COUNTIF($Q$11:Q1600,Q1600),5)=0,OFFSET(装备属性!$D$1083,1+INT(COUNTA($Q$11:Q1600)/5),0),C1600)</f>
        <v>0</v>
      </c>
      <c r="D1601" s="82">
        <f t="shared" si="74"/>
        <v>3000</v>
      </c>
      <c r="F1601" s="82" t="str">
        <f ca="1" t="shared" si="73"/>
        <v/>
      </c>
      <c r="G1601" s="78" t="str">
        <f ca="1">IF(AND(LEFT("[{"&amp;M1601&amp;","&amp;CEILING(N1601*10000+(O1601-N1601)/4*(COUNTIF($F$11:F1601,F1601)-1)*10000,10)&amp;"}]",7)="[{equip",MID("[{"&amp;M1601&amp;","&amp;CEILING(N1601*10000+(O1601-N1601)/4*(COUNTIF($F$11:F1601,F1601)-1)*10000,10)&amp;"}]",8,1)&lt;&gt;"_"),"[{"&amp;M1601&amp;","&amp;1&amp;"}]","[{"&amp;M1601&amp;","&amp;CEILING(N1601*10000+(O1601-N1601)/4*(COUNTIF($F$11:F1601,F1601)-1)*10000,10)&amp;"}]")</f>
        <v>[{equip4_rune_slot,1}]</v>
      </c>
      <c r="H1601" s="82" t="s">
        <v>563</v>
      </c>
      <c r="J1601" s="78">
        <f ca="1">IF(MOD(COUNTIF($Q$11:Q1600,Q1600),5)=0,OFFSET(装备属性!$P$1083,1+INT(COUNTA($Q$11:Q1600)/5),0),J1600)</f>
        <v>1</v>
      </c>
      <c r="K1601" s="83" t="str">
        <f ca="1">IF(RIGHT(G1601,13)="rune_slot,1}]",_xlfn.XLOOKUP(LEFT(SUBSTITUTE(G1601,"[{",""),FIND(",",SUBSTITUTE(G1601,"[{",""))-1),Sheet2!B:B,Sheet2!C:C)&amp;"+"&amp;1,_xlfn.XLOOKUP(LEFT(SUBSTITUTE(G1601,"[{",""),FIND(",",SUBSTITUTE(G1601,"[{",""))-1),Sheet2!B:B,Sheet2!C:C)&amp;"+"&amp;SUBSTITUTE(RIGHT(G1601,LEN(G1601)-FIND(",",G1601)),"}]","")/100&amp;"%")</f>
        <v>手套符文孔位+1</v>
      </c>
      <c r="L1601" s="83" t="str">
        <f ca="1">IF(MOD(COUNTIF($Q$11:Q1600,Q1600),5)=0,OFFSET(装备属性!$G$1083,1+INT(COUNTA($Q$11:Q1600)/5),0),L1600)</f>
        <v>扩符槽</v>
      </c>
      <c r="M1601" s="89" t="str">
        <f ca="1">IF(MOD(COUNTIF($Q$11:Q1600,Q1600),5)=0,OFFSET(装备属性!$H$1083,1+INT(COUNTA($Q$11:Q1600)/5),0),M1600)</f>
        <v>equip4_rune_slot</v>
      </c>
      <c r="N1601" s="76">
        <f ca="1">IF(MOD(COUNTIF($Q$11:Q1600,Q1600),5)=0,OFFSET(装备属性!$K$1083,1+INT(COUNTA($Q$11:Q1600)/5),0),N1600)</f>
        <v>1</v>
      </c>
      <c r="O1601" s="76">
        <f ca="1">IF(MOD(COUNTIF($Q$11:Q1600,Q1600),5)=0,OFFSET(装备属性!$L$1083,1+INT(COUNTA($Q$11:Q1600)/5),0),O1600)</f>
        <v>1</v>
      </c>
      <c r="Q1601" s="89" t="str">
        <f ca="1">IF(MOD(COUNTIF($Q$11:Q1600,Q1600),5)=0,OFFSET(装备属性!$M$1083,1+INT(COUNTA($Q$11:Q1600)/5),0),Q1600)</f>
        <v>稀有词条</v>
      </c>
      <c r="R1601" s="83" t="e">
        <f ca="1">IF(MOD(COUNTIF($Q$11:Q1600,Q1600),5)=0,10000*SUBSTITUTE(SUBSTITUTE(OFFSET(装备属性!$F$1083,1+INT(COUNTA($Q$11:Q1600)/5),0),"[",""),"]","")+_xlfn.XLOOKUP(C1601,$M$3:$M$7,$N$3:$N$7)*100,R1600)</f>
        <v>#N/A</v>
      </c>
    </row>
    <row r="1602" customHeight="1" spans="1:18">
      <c r="A1602" s="78" t="str">
        <f ca="1" t="shared" si="72"/>
        <v/>
      </c>
      <c r="B1602" s="82" t="str">
        <f ca="1">IFERROR(R1602+COUNTIFS($R$11:$R1602,R1602),"")</f>
        <v/>
      </c>
      <c r="C1602" s="83">
        <f ca="1">IF(MOD(COUNTIF($Q$11:Q1601,Q1601),5)=0,OFFSET(装备属性!$D$1083,1+INT(COUNTA($Q$11:Q1601)/5),0),C1601)</f>
        <v>0</v>
      </c>
      <c r="D1602" s="82">
        <f t="shared" si="74"/>
        <v>2500</v>
      </c>
      <c r="F1602" s="82" t="str">
        <f ca="1" t="shared" si="73"/>
        <v/>
      </c>
      <c r="G1602" s="78" t="str">
        <f ca="1">IF(AND(LEFT("[{"&amp;M1602&amp;","&amp;CEILING(N1602*10000+(O1602-N1602)/4*(COUNTIF($F$11:F1602,F1602)-1)*10000,10)&amp;"}]",7)="[{equip",MID("[{"&amp;M1602&amp;","&amp;CEILING(N1602*10000+(O1602-N1602)/4*(COUNTIF($F$11:F1602,F1602)-1)*10000,10)&amp;"}]",8,1)&lt;&gt;"_"),"[{"&amp;M1602&amp;","&amp;1&amp;"}]","[{"&amp;M1602&amp;","&amp;CEILING(N1602*10000+(O1602-N1602)/4*(COUNTIF($F$11:F1602,F1602)-1)*10000,10)&amp;"}]")</f>
        <v>[{equip4_rune_slot,1}]</v>
      </c>
      <c r="H1602" s="82" t="s">
        <v>563</v>
      </c>
      <c r="J1602" s="78">
        <f ca="1">IF(MOD(COUNTIF($Q$11:Q1601,Q1601),5)=0,OFFSET(装备属性!$P$1083,1+INT(COUNTA($Q$11:Q1601)/5),0),J1601)</f>
        <v>1</v>
      </c>
      <c r="K1602" s="83" t="str">
        <f ca="1">IF(RIGHT(G1602,13)="rune_slot,1}]",_xlfn.XLOOKUP(LEFT(SUBSTITUTE(G1602,"[{",""),FIND(",",SUBSTITUTE(G1602,"[{",""))-1),Sheet2!B:B,Sheet2!C:C)&amp;"+"&amp;1,_xlfn.XLOOKUP(LEFT(SUBSTITUTE(G1602,"[{",""),FIND(",",SUBSTITUTE(G1602,"[{",""))-1),Sheet2!B:B,Sheet2!C:C)&amp;"+"&amp;SUBSTITUTE(RIGHT(G1602,LEN(G1602)-FIND(",",G1602)),"}]","")/100&amp;"%")</f>
        <v>手套符文孔位+1</v>
      </c>
      <c r="L1602" s="83" t="str">
        <f ca="1">IF(MOD(COUNTIF($Q$11:Q1601,Q1601),5)=0,OFFSET(装备属性!$G$1083,1+INT(COUNTA($Q$11:Q1601)/5),0),L1601)</f>
        <v>扩符槽</v>
      </c>
      <c r="M1602" s="89" t="str">
        <f ca="1">IF(MOD(COUNTIF($Q$11:Q1601,Q1601),5)=0,OFFSET(装备属性!$H$1083,1+INT(COUNTA($Q$11:Q1601)/5),0),M1601)</f>
        <v>equip4_rune_slot</v>
      </c>
      <c r="N1602" s="76">
        <f ca="1">IF(MOD(COUNTIF($Q$11:Q1601,Q1601),5)=0,OFFSET(装备属性!$K$1083,1+INT(COUNTA($Q$11:Q1601)/5),0),N1601)</f>
        <v>1</v>
      </c>
      <c r="O1602" s="76">
        <f ca="1">IF(MOD(COUNTIF($Q$11:Q1601,Q1601),5)=0,OFFSET(装备属性!$L$1083,1+INT(COUNTA($Q$11:Q1601)/5),0),O1601)</f>
        <v>1</v>
      </c>
      <c r="Q1602" s="89" t="str">
        <f ca="1">IF(MOD(COUNTIF($Q$11:Q1601,Q1601),5)=0,OFFSET(装备属性!$M$1083,1+INT(COUNTA($Q$11:Q1601)/5),0),Q1601)</f>
        <v>稀有词条</v>
      </c>
      <c r="R1602" s="83" t="e">
        <f ca="1">IF(MOD(COUNTIF($Q$11:Q1601,Q1601),5)=0,10000*SUBSTITUTE(SUBSTITUTE(OFFSET(装备属性!$F$1083,1+INT(COUNTA($Q$11:Q1601)/5),0),"[",""),"]","")+_xlfn.XLOOKUP(C1602,$M$3:$M$7,$N$3:$N$7)*100,R1601)</f>
        <v>#N/A</v>
      </c>
    </row>
    <row r="1603" customHeight="1" spans="1:18">
      <c r="A1603" s="78" t="str">
        <f ca="1" t="shared" si="72"/>
        <v/>
      </c>
      <c r="B1603" s="82" t="str">
        <f ca="1">IFERROR(R1603+COUNTIFS($R$11:$R1603,R1603),"")</f>
        <v/>
      </c>
      <c r="C1603" s="83">
        <f ca="1">IF(MOD(COUNTIF($Q$11:Q1602,Q1602),5)=0,OFFSET(装备属性!$D$1083,1+INT(COUNTA($Q$11:Q1602)/5),0),C1602)</f>
        <v>0</v>
      </c>
      <c r="D1603" s="82">
        <f t="shared" si="74"/>
        <v>2000</v>
      </c>
      <c r="F1603" s="82" t="str">
        <f ca="1" t="shared" si="73"/>
        <v/>
      </c>
      <c r="G1603" s="78" t="str">
        <f ca="1">IF(AND(LEFT("[{"&amp;M1603&amp;","&amp;CEILING(N1603*10000+(O1603-N1603)/4*(COUNTIF($F$11:F1603,F1603)-1)*10000,10)&amp;"}]",7)="[{equip",MID("[{"&amp;M1603&amp;","&amp;CEILING(N1603*10000+(O1603-N1603)/4*(COUNTIF($F$11:F1603,F1603)-1)*10000,10)&amp;"}]",8,1)&lt;&gt;"_"),"[{"&amp;M1603&amp;","&amp;1&amp;"}]","[{"&amp;M1603&amp;","&amp;CEILING(N1603*10000+(O1603-N1603)/4*(COUNTIF($F$11:F1603,F1603)-1)*10000,10)&amp;"}]")</f>
        <v>[{equip4_rune_slot,1}]</v>
      </c>
      <c r="H1603" s="82" t="s">
        <v>563</v>
      </c>
      <c r="J1603" s="78">
        <f ca="1">IF(MOD(COUNTIF($Q$11:Q1602,Q1602),5)=0,OFFSET(装备属性!$P$1083,1+INT(COUNTA($Q$11:Q1602)/5),0),J1602)</f>
        <v>1</v>
      </c>
      <c r="K1603" s="83" t="str">
        <f ca="1">IF(RIGHT(G1603,13)="rune_slot,1}]",_xlfn.XLOOKUP(LEFT(SUBSTITUTE(G1603,"[{",""),FIND(",",SUBSTITUTE(G1603,"[{",""))-1),Sheet2!B:B,Sheet2!C:C)&amp;"+"&amp;1,_xlfn.XLOOKUP(LEFT(SUBSTITUTE(G1603,"[{",""),FIND(",",SUBSTITUTE(G1603,"[{",""))-1),Sheet2!B:B,Sheet2!C:C)&amp;"+"&amp;SUBSTITUTE(RIGHT(G1603,LEN(G1603)-FIND(",",G1603)),"}]","")/100&amp;"%")</f>
        <v>手套符文孔位+1</v>
      </c>
      <c r="L1603" s="83" t="str">
        <f ca="1">IF(MOD(COUNTIF($Q$11:Q1602,Q1602),5)=0,OFFSET(装备属性!$G$1083,1+INT(COUNTA($Q$11:Q1602)/5),0),L1602)</f>
        <v>扩符槽</v>
      </c>
      <c r="M1603" s="89" t="str">
        <f ca="1">IF(MOD(COUNTIF($Q$11:Q1602,Q1602),5)=0,OFFSET(装备属性!$H$1083,1+INT(COUNTA($Q$11:Q1602)/5),0),M1602)</f>
        <v>equip4_rune_slot</v>
      </c>
      <c r="N1603" s="76">
        <f ca="1">IF(MOD(COUNTIF($Q$11:Q1602,Q1602),5)=0,OFFSET(装备属性!$K$1083,1+INT(COUNTA($Q$11:Q1602)/5),0),N1602)</f>
        <v>1</v>
      </c>
      <c r="O1603" s="76">
        <f ca="1">IF(MOD(COUNTIF($Q$11:Q1602,Q1602),5)=0,OFFSET(装备属性!$L$1083,1+INT(COUNTA($Q$11:Q1602)/5),0),O1602)</f>
        <v>1</v>
      </c>
      <c r="Q1603" s="89" t="str">
        <f ca="1">IF(MOD(COUNTIF($Q$11:Q1602,Q1602),5)=0,OFFSET(装备属性!$M$1083,1+INT(COUNTA($Q$11:Q1602)/5),0),Q1602)</f>
        <v>稀有词条</v>
      </c>
      <c r="R1603" s="83" t="e">
        <f ca="1">IF(MOD(COUNTIF($Q$11:Q1602,Q1602),5)=0,10000*SUBSTITUTE(SUBSTITUTE(OFFSET(装备属性!$F$1083,1+INT(COUNTA($Q$11:Q1602)/5),0),"[",""),"]","")+_xlfn.XLOOKUP(C1603,$M$3:$M$7,$N$3:$N$7)*100,R1602)</f>
        <v>#N/A</v>
      </c>
    </row>
    <row r="1604" customHeight="1" spans="1:18">
      <c r="A1604" s="78" t="str">
        <f ca="1" t="shared" si="72"/>
        <v/>
      </c>
      <c r="B1604" s="82" t="str">
        <f ca="1">IFERROR(R1604+COUNTIFS($R$11:$R1604,R1604),"")</f>
        <v/>
      </c>
      <c r="C1604" s="83">
        <f ca="1">IF(MOD(COUNTIF($Q$11:Q1603,Q1603),5)=0,OFFSET(装备属性!$D$1083,1+INT(COUNTA($Q$11:Q1603)/5),0),C1603)</f>
        <v>0</v>
      </c>
      <c r="D1604" s="82">
        <f t="shared" si="74"/>
        <v>1500</v>
      </c>
      <c r="F1604" s="82" t="str">
        <f ca="1" t="shared" si="73"/>
        <v/>
      </c>
      <c r="G1604" s="78" t="str">
        <f ca="1">IF(AND(LEFT("[{"&amp;M1604&amp;","&amp;CEILING(N1604*10000+(O1604-N1604)/4*(COUNTIF($F$11:F1604,F1604)-1)*10000,10)&amp;"}]",7)="[{equip",MID("[{"&amp;M1604&amp;","&amp;CEILING(N1604*10000+(O1604-N1604)/4*(COUNTIF($F$11:F1604,F1604)-1)*10000,10)&amp;"}]",8,1)&lt;&gt;"_"),"[{"&amp;M1604&amp;","&amp;1&amp;"}]","[{"&amp;M1604&amp;","&amp;CEILING(N1604*10000+(O1604-N1604)/4*(COUNTIF($F$11:F1604,F1604)-1)*10000,10)&amp;"}]")</f>
        <v>[{equip4_rune_slot,1}]</v>
      </c>
      <c r="H1604" s="82" t="s">
        <v>563</v>
      </c>
      <c r="J1604" s="78">
        <f ca="1">IF(MOD(COUNTIF($Q$11:Q1603,Q1603),5)=0,OFFSET(装备属性!$P$1083,1+INT(COUNTA($Q$11:Q1603)/5),0),J1603)</f>
        <v>1</v>
      </c>
      <c r="K1604" s="83" t="str">
        <f ca="1">IF(RIGHT(G1604,13)="rune_slot,1}]",_xlfn.XLOOKUP(LEFT(SUBSTITUTE(G1604,"[{",""),FIND(",",SUBSTITUTE(G1604,"[{",""))-1),Sheet2!B:B,Sheet2!C:C)&amp;"+"&amp;1,_xlfn.XLOOKUP(LEFT(SUBSTITUTE(G1604,"[{",""),FIND(",",SUBSTITUTE(G1604,"[{",""))-1),Sheet2!B:B,Sheet2!C:C)&amp;"+"&amp;SUBSTITUTE(RIGHT(G1604,LEN(G1604)-FIND(",",G1604)),"}]","")/100&amp;"%")</f>
        <v>手套符文孔位+1</v>
      </c>
      <c r="L1604" s="83" t="str">
        <f ca="1">IF(MOD(COUNTIF($Q$11:Q1603,Q1603),5)=0,OFFSET(装备属性!$G$1083,1+INT(COUNTA($Q$11:Q1603)/5),0),L1603)</f>
        <v>扩符槽</v>
      </c>
      <c r="M1604" s="89" t="str">
        <f ca="1">IF(MOD(COUNTIF($Q$11:Q1603,Q1603),5)=0,OFFSET(装备属性!$H$1083,1+INT(COUNTA($Q$11:Q1603)/5),0),M1603)</f>
        <v>equip4_rune_slot</v>
      </c>
      <c r="N1604" s="76">
        <f ca="1">IF(MOD(COUNTIF($Q$11:Q1603,Q1603),5)=0,OFFSET(装备属性!$K$1083,1+INT(COUNTA($Q$11:Q1603)/5),0),N1603)</f>
        <v>1</v>
      </c>
      <c r="O1604" s="76">
        <f ca="1">IF(MOD(COUNTIF($Q$11:Q1603,Q1603),5)=0,OFFSET(装备属性!$L$1083,1+INT(COUNTA($Q$11:Q1603)/5),0),O1603)</f>
        <v>1</v>
      </c>
      <c r="Q1604" s="89" t="str">
        <f ca="1">IF(MOD(COUNTIF($Q$11:Q1603,Q1603),5)=0,OFFSET(装备属性!$M$1083,1+INT(COUNTA($Q$11:Q1603)/5),0),Q1603)</f>
        <v>稀有词条</v>
      </c>
      <c r="R1604" s="83" t="e">
        <f ca="1">IF(MOD(COUNTIF($Q$11:Q1603,Q1603),5)=0,10000*SUBSTITUTE(SUBSTITUTE(OFFSET(装备属性!$F$1083,1+INT(COUNTA($Q$11:Q1603)/5),0),"[",""),"]","")+_xlfn.XLOOKUP(C1604,$M$3:$M$7,$N$3:$N$7)*100,R1603)</f>
        <v>#N/A</v>
      </c>
    </row>
    <row r="1605" customHeight="1" spans="1:18">
      <c r="A1605" s="78" t="str">
        <f ca="1" t="shared" si="72"/>
        <v/>
      </c>
      <c r="B1605" s="82" t="str">
        <f ca="1">IFERROR(R1605+COUNTIFS($R$11:$R1605,R1605),"")</f>
        <v/>
      </c>
      <c r="C1605" s="83">
        <f ca="1">IF(MOD(COUNTIF($Q$11:Q1604,Q1604),5)=0,OFFSET(装备属性!$D$1083,1+INT(COUNTA($Q$11:Q1604)/5),0),C1604)</f>
        <v>0</v>
      </c>
      <c r="D1605" s="82">
        <f t="shared" si="74"/>
        <v>1000</v>
      </c>
      <c r="F1605" s="82" t="str">
        <f ca="1" t="shared" si="73"/>
        <v/>
      </c>
      <c r="G1605" s="78" t="str">
        <f ca="1">IF(AND(LEFT("[{"&amp;M1605&amp;","&amp;CEILING(N1605*10000+(O1605-N1605)/4*(COUNTIF($F$11:F1605,F1605)-1)*10000,10)&amp;"}]",7)="[{equip",MID("[{"&amp;M1605&amp;","&amp;CEILING(N1605*10000+(O1605-N1605)/4*(COUNTIF($F$11:F1605,F1605)-1)*10000,10)&amp;"}]",8,1)&lt;&gt;"_"),"[{"&amp;M1605&amp;","&amp;1&amp;"}]","[{"&amp;M1605&amp;","&amp;CEILING(N1605*10000+(O1605-N1605)/4*(COUNTIF($F$11:F1605,F1605)-1)*10000,10)&amp;"}]")</f>
        <v>[{equip4_rune_slot,1}]</v>
      </c>
      <c r="H1605" s="82" t="s">
        <v>563</v>
      </c>
      <c r="J1605" s="78">
        <f ca="1">IF(MOD(COUNTIF($Q$11:Q1604,Q1604),5)=0,OFFSET(装备属性!$P$1083,1+INT(COUNTA($Q$11:Q1604)/5),0),J1604)</f>
        <v>1</v>
      </c>
      <c r="K1605" s="83" t="str">
        <f ca="1">IF(RIGHT(G1605,13)="rune_slot,1}]",_xlfn.XLOOKUP(LEFT(SUBSTITUTE(G1605,"[{",""),FIND(",",SUBSTITUTE(G1605,"[{",""))-1),Sheet2!B:B,Sheet2!C:C)&amp;"+"&amp;1,_xlfn.XLOOKUP(LEFT(SUBSTITUTE(G1605,"[{",""),FIND(",",SUBSTITUTE(G1605,"[{",""))-1),Sheet2!B:B,Sheet2!C:C)&amp;"+"&amp;SUBSTITUTE(RIGHT(G1605,LEN(G1605)-FIND(",",G1605)),"}]","")/100&amp;"%")</f>
        <v>手套符文孔位+1</v>
      </c>
      <c r="L1605" s="83" t="str">
        <f ca="1">IF(MOD(COUNTIF($Q$11:Q1604,Q1604),5)=0,OFFSET(装备属性!$G$1083,1+INT(COUNTA($Q$11:Q1604)/5),0),L1604)</f>
        <v>扩符槽</v>
      </c>
      <c r="M1605" s="89" t="str">
        <f ca="1">IF(MOD(COUNTIF($Q$11:Q1604,Q1604),5)=0,OFFSET(装备属性!$H$1083,1+INT(COUNTA($Q$11:Q1604)/5),0),M1604)</f>
        <v>equip4_rune_slot</v>
      </c>
      <c r="N1605" s="76">
        <f ca="1">IF(MOD(COUNTIF($Q$11:Q1604,Q1604),5)=0,OFFSET(装备属性!$K$1083,1+INT(COUNTA($Q$11:Q1604)/5),0),N1604)</f>
        <v>1</v>
      </c>
      <c r="O1605" s="76">
        <f ca="1">IF(MOD(COUNTIF($Q$11:Q1604,Q1604),5)=0,OFFSET(装备属性!$L$1083,1+INT(COUNTA($Q$11:Q1604)/5),0),O1604)</f>
        <v>1</v>
      </c>
      <c r="Q1605" s="89" t="str">
        <f ca="1">IF(MOD(COUNTIF($Q$11:Q1604,Q1604),5)=0,OFFSET(装备属性!$M$1083,1+INT(COUNTA($Q$11:Q1604)/5),0),Q1604)</f>
        <v>稀有词条</v>
      </c>
      <c r="R1605" s="83" t="e">
        <f ca="1">IF(MOD(COUNTIF($Q$11:Q1604,Q1604),5)=0,10000*SUBSTITUTE(SUBSTITUTE(OFFSET(装备属性!$F$1083,1+INT(COUNTA($Q$11:Q1604)/5),0),"[",""),"]","")+_xlfn.XLOOKUP(C1605,$M$3:$M$7,$N$3:$N$7)*100,R1604)</f>
        <v>#N/A</v>
      </c>
    </row>
    <row r="1606" customHeight="1" spans="1:18">
      <c r="A1606" s="78" t="str">
        <f ca="1" t="shared" si="72"/>
        <v/>
      </c>
      <c r="B1606" s="82" t="str">
        <f ca="1">IFERROR(R1606+COUNTIFS($R$11:$R1606,R1606),"")</f>
        <v/>
      </c>
      <c r="C1606" s="83">
        <f ca="1">IF(MOD(COUNTIF($Q$11:Q1605,Q1605),5)=0,OFFSET(装备属性!$D$1083,1+INT(COUNTA($Q$11:Q1605)/5),0),C1605)</f>
        <v>0</v>
      </c>
      <c r="D1606" s="82">
        <f t="shared" si="74"/>
        <v>3000</v>
      </c>
      <c r="F1606" s="82" t="str">
        <f ca="1" t="shared" si="73"/>
        <v/>
      </c>
      <c r="G1606" s="78" t="str">
        <f ca="1">IF(AND(LEFT("[{"&amp;M1606&amp;","&amp;CEILING(N1606*10000+(O1606-N1606)/4*(COUNTIF($F$11:F1606,F1606)-1)*10000,10)&amp;"}]",7)="[{equip",MID("[{"&amp;M1606&amp;","&amp;CEILING(N1606*10000+(O1606-N1606)/4*(COUNTIF($F$11:F1606,F1606)-1)*10000,10)&amp;"}]",8,1)&lt;&gt;"_"),"[{"&amp;M1606&amp;","&amp;1&amp;"}]","[{"&amp;M1606&amp;","&amp;CEILING(N1606*10000+(O1606-N1606)/4*(COUNTIF($F$11:F1606,F1606)-1)*10000,10)&amp;"}]")</f>
        <v>[{elitist_monster_hit_rate,20390}]</v>
      </c>
      <c r="H1606" s="82" t="s">
        <v>563</v>
      </c>
      <c r="J1606" s="78">
        <f ca="1">IF(MOD(COUNTIF($Q$11:Q1605,Q1605),5)=0,OFFSET(装备属性!$P$1083,1+INT(COUNTA($Q$11:Q1605)/5),0),J1605)</f>
        <v>6</v>
      </c>
      <c r="K1606" s="83" t="str">
        <f ca="1">IF(RIGHT(G1606,13)="rune_slot,1}]",_xlfn.XLOOKUP(LEFT(SUBSTITUTE(G1606,"[{",""),FIND(",",SUBSTITUTE(G1606,"[{",""))-1),Sheet2!B:B,Sheet2!C:C)&amp;"+"&amp;1,_xlfn.XLOOKUP(LEFT(SUBSTITUTE(G1606,"[{",""),FIND(",",SUBSTITUTE(G1606,"[{",""))-1),Sheet2!B:B,Sheet2!C:C)&amp;"+"&amp;SUBSTITUTE(RIGHT(G1606,LEN(G1606)-FIND(",",G1606)),"}]","")/100&amp;"%")</f>
        <v>对精英增伤+203.9%</v>
      </c>
      <c r="L1606" s="83" t="str">
        <f ca="1">IF(MOD(COUNTIF($Q$11:Q1605,Q1605),5)=0,OFFSET(装备属性!$G$1083,1+INT(COUNTA($Q$11:Q1605)/5),0),L1605)</f>
        <v>Boss加餐Ⅱ</v>
      </c>
      <c r="M1606" s="89" t="str">
        <f ca="1">IF(MOD(COUNTIF($Q$11:Q1605,Q1605),5)=0,OFFSET(装备属性!$H$1083,1+INT(COUNTA($Q$11:Q1605)/5),0),M1605)</f>
        <v>elitist_monster_hit_rate</v>
      </c>
      <c r="N1606" s="76">
        <f ca="1">IF(MOD(COUNTIF($Q$11:Q1605,Q1605),5)=0,OFFSET(装备属性!$K$1083,1+INT(COUNTA($Q$11:Q1605)/5),0),N1605)</f>
        <v>0.074</v>
      </c>
      <c r="O1606" s="76">
        <f ca="1">IF(MOD(COUNTIF($Q$11:Q1605,Q1605),5)=0,OFFSET(装备属性!$L$1083,1+INT(COUNTA($Q$11:Q1605)/5),0),O1605)</f>
        <v>0.086</v>
      </c>
      <c r="Q1606" s="89" t="str">
        <f ca="1">IF(MOD(COUNTIF($Q$11:Q1605,Q1605),5)=0,OFFSET(装备属性!$M$1083,1+INT(COUNTA($Q$11:Q1605)/5),0),Q1605)</f>
        <v>玩法类</v>
      </c>
      <c r="R1606" s="83" t="e">
        <f ca="1">IF(MOD(COUNTIF($Q$11:Q1605,Q1605),5)=0,10000*SUBSTITUTE(SUBSTITUTE(OFFSET(装备属性!$F$1083,1+INT(COUNTA($Q$11:Q1605)/5),0),"[",""),"]","")+_xlfn.XLOOKUP(C1606,$M$3:$M$7,$N$3:$N$7)*100,R1605)</f>
        <v>#N/A</v>
      </c>
    </row>
    <row r="1607" customHeight="1" spans="1:18">
      <c r="A1607" s="78" t="str">
        <f ca="1" t="shared" si="72"/>
        <v/>
      </c>
      <c r="B1607" s="82" t="str">
        <f ca="1">IFERROR(R1607+COUNTIFS($R$11:$R1607,R1607),"")</f>
        <v/>
      </c>
      <c r="C1607" s="83">
        <f ca="1">IF(MOD(COUNTIF($Q$11:Q1606,Q1606),5)=0,OFFSET(装备属性!$D$1083,1+INT(COUNTA($Q$11:Q1606)/5),0),C1606)</f>
        <v>0</v>
      </c>
      <c r="D1607" s="82">
        <f t="shared" si="74"/>
        <v>2500</v>
      </c>
      <c r="F1607" s="82" t="str">
        <f ca="1" t="shared" si="73"/>
        <v/>
      </c>
      <c r="G1607" s="78" t="str">
        <f ca="1">IF(AND(LEFT("[{"&amp;M1607&amp;","&amp;CEILING(N1607*10000+(O1607-N1607)/4*(COUNTIF($F$11:F1607,F1607)-1)*10000,10)&amp;"}]",7)="[{equip",MID("[{"&amp;M1607&amp;","&amp;CEILING(N1607*10000+(O1607-N1607)/4*(COUNTIF($F$11:F1607,F1607)-1)*10000,10)&amp;"}]",8,1)&lt;&gt;"_"),"[{"&amp;M1607&amp;","&amp;1&amp;"}]","[{"&amp;M1607&amp;","&amp;CEILING(N1607*10000+(O1607-N1607)/4*(COUNTIF($F$11:F1607,F1607)-1)*10000,10)&amp;"}]")</f>
        <v>[{elitist_monster_hit_rate,20420}]</v>
      </c>
      <c r="H1607" s="82" t="s">
        <v>563</v>
      </c>
      <c r="J1607" s="78">
        <f ca="1">IF(MOD(COUNTIF($Q$11:Q1606,Q1606),5)=0,OFFSET(装备属性!$P$1083,1+INT(COUNTA($Q$11:Q1606)/5),0),J1606)</f>
        <v>6</v>
      </c>
      <c r="K1607" s="83" t="str">
        <f ca="1">IF(RIGHT(G1607,13)="rune_slot,1}]",_xlfn.XLOOKUP(LEFT(SUBSTITUTE(G1607,"[{",""),FIND(",",SUBSTITUTE(G1607,"[{",""))-1),Sheet2!B:B,Sheet2!C:C)&amp;"+"&amp;1,_xlfn.XLOOKUP(LEFT(SUBSTITUTE(G1607,"[{",""),FIND(",",SUBSTITUTE(G1607,"[{",""))-1),Sheet2!B:B,Sheet2!C:C)&amp;"+"&amp;SUBSTITUTE(RIGHT(G1607,LEN(G1607)-FIND(",",G1607)),"}]","")/100&amp;"%")</f>
        <v>对精英增伤+204.2%</v>
      </c>
      <c r="L1607" s="83" t="str">
        <f ca="1">IF(MOD(COUNTIF($Q$11:Q1606,Q1606),5)=0,OFFSET(装备属性!$G$1083,1+INT(COUNTA($Q$11:Q1606)/5),0),L1606)</f>
        <v>Boss加餐Ⅱ</v>
      </c>
      <c r="M1607" s="89" t="str">
        <f ca="1">IF(MOD(COUNTIF($Q$11:Q1606,Q1606),5)=0,OFFSET(装备属性!$H$1083,1+INT(COUNTA($Q$11:Q1606)/5),0),M1606)</f>
        <v>elitist_monster_hit_rate</v>
      </c>
      <c r="N1607" s="76">
        <f ca="1">IF(MOD(COUNTIF($Q$11:Q1606,Q1606),5)=0,OFFSET(装备属性!$K$1083,1+INT(COUNTA($Q$11:Q1606)/5),0),N1606)</f>
        <v>0.074</v>
      </c>
      <c r="O1607" s="76">
        <f ca="1">IF(MOD(COUNTIF($Q$11:Q1606,Q1606),5)=0,OFFSET(装备属性!$L$1083,1+INT(COUNTA($Q$11:Q1606)/5),0),O1606)</f>
        <v>0.086</v>
      </c>
      <c r="Q1607" s="89" t="str">
        <f ca="1">IF(MOD(COUNTIF($Q$11:Q1606,Q1606),5)=0,OFFSET(装备属性!$M$1083,1+INT(COUNTA($Q$11:Q1606)/5),0),Q1606)</f>
        <v>玩法类</v>
      </c>
      <c r="R1607" s="83" t="e">
        <f ca="1">IF(MOD(COUNTIF($Q$11:Q1606,Q1606),5)=0,10000*SUBSTITUTE(SUBSTITUTE(OFFSET(装备属性!$F$1083,1+INT(COUNTA($Q$11:Q1606)/5),0),"[",""),"]","")+_xlfn.XLOOKUP(C1607,$M$3:$M$7,$N$3:$N$7)*100,R1606)</f>
        <v>#N/A</v>
      </c>
    </row>
    <row r="1608" customHeight="1" spans="1:18">
      <c r="A1608" s="78" t="str">
        <f ca="1" t="shared" si="72"/>
        <v/>
      </c>
      <c r="B1608" s="82" t="str">
        <f ca="1">IFERROR(R1608+COUNTIFS($R$11:$R1608,R1608),"")</f>
        <v/>
      </c>
      <c r="C1608" s="83">
        <f ca="1">IF(MOD(COUNTIF($Q$11:Q1607,Q1607),5)=0,OFFSET(装备属性!$D$1083,1+INT(COUNTA($Q$11:Q1607)/5),0),C1607)</f>
        <v>0</v>
      </c>
      <c r="D1608" s="82">
        <f t="shared" si="74"/>
        <v>2000</v>
      </c>
      <c r="F1608" s="82" t="str">
        <f ca="1" t="shared" si="73"/>
        <v/>
      </c>
      <c r="G1608" s="78" t="str">
        <f ca="1">IF(AND(LEFT("[{"&amp;M1608&amp;","&amp;CEILING(N1608*10000+(O1608-N1608)/4*(COUNTIF($F$11:F1608,F1608)-1)*10000,10)&amp;"}]",7)="[{equip",MID("[{"&amp;M1608&amp;","&amp;CEILING(N1608*10000+(O1608-N1608)/4*(COUNTIF($F$11:F1608,F1608)-1)*10000,10)&amp;"}]",8,1)&lt;&gt;"_"),"[{"&amp;M1608&amp;","&amp;1&amp;"}]","[{"&amp;M1608&amp;","&amp;CEILING(N1608*10000+(O1608-N1608)/4*(COUNTIF($F$11:F1608,F1608)-1)*10000,10)&amp;"}]")</f>
        <v>[{elitist_monster_hit_rate,20450}]</v>
      </c>
      <c r="H1608" s="82" t="s">
        <v>563</v>
      </c>
      <c r="J1608" s="78">
        <f ca="1">IF(MOD(COUNTIF($Q$11:Q1607,Q1607),5)=0,OFFSET(装备属性!$P$1083,1+INT(COUNTA($Q$11:Q1607)/5),0),J1607)</f>
        <v>6</v>
      </c>
      <c r="K1608" s="83" t="str">
        <f ca="1">IF(RIGHT(G1608,13)="rune_slot,1}]",_xlfn.XLOOKUP(LEFT(SUBSTITUTE(G1608,"[{",""),FIND(",",SUBSTITUTE(G1608,"[{",""))-1),Sheet2!B:B,Sheet2!C:C)&amp;"+"&amp;1,_xlfn.XLOOKUP(LEFT(SUBSTITUTE(G1608,"[{",""),FIND(",",SUBSTITUTE(G1608,"[{",""))-1),Sheet2!B:B,Sheet2!C:C)&amp;"+"&amp;SUBSTITUTE(RIGHT(G1608,LEN(G1608)-FIND(",",G1608)),"}]","")/100&amp;"%")</f>
        <v>对精英增伤+204.5%</v>
      </c>
      <c r="L1608" s="83" t="str">
        <f ca="1">IF(MOD(COUNTIF($Q$11:Q1607,Q1607),5)=0,OFFSET(装备属性!$G$1083,1+INT(COUNTA($Q$11:Q1607)/5),0),L1607)</f>
        <v>Boss加餐Ⅱ</v>
      </c>
      <c r="M1608" s="89" t="str">
        <f ca="1">IF(MOD(COUNTIF($Q$11:Q1607,Q1607),5)=0,OFFSET(装备属性!$H$1083,1+INT(COUNTA($Q$11:Q1607)/5),0),M1607)</f>
        <v>elitist_monster_hit_rate</v>
      </c>
      <c r="N1608" s="76">
        <f ca="1">IF(MOD(COUNTIF($Q$11:Q1607,Q1607),5)=0,OFFSET(装备属性!$K$1083,1+INT(COUNTA($Q$11:Q1607)/5),0),N1607)</f>
        <v>0.074</v>
      </c>
      <c r="O1608" s="76">
        <f ca="1">IF(MOD(COUNTIF($Q$11:Q1607,Q1607),5)=0,OFFSET(装备属性!$L$1083,1+INT(COUNTA($Q$11:Q1607)/5),0),O1607)</f>
        <v>0.086</v>
      </c>
      <c r="Q1608" s="89" t="str">
        <f ca="1">IF(MOD(COUNTIF($Q$11:Q1607,Q1607),5)=0,OFFSET(装备属性!$M$1083,1+INT(COUNTA($Q$11:Q1607)/5),0),Q1607)</f>
        <v>玩法类</v>
      </c>
      <c r="R1608" s="83" t="e">
        <f ca="1">IF(MOD(COUNTIF($Q$11:Q1607,Q1607),5)=0,10000*SUBSTITUTE(SUBSTITUTE(OFFSET(装备属性!$F$1083,1+INT(COUNTA($Q$11:Q1607)/5),0),"[",""),"]","")+_xlfn.XLOOKUP(C1608,$M$3:$M$7,$N$3:$N$7)*100,R1607)</f>
        <v>#N/A</v>
      </c>
    </row>
    <row r="1609" customHeight="1" spans="1:18">
      <c r="A1609" s="78" t="str">
        <f ca="1" t="shared" si="72"/>
        <v/>
      </c>
      <c r="B1609" s="82" t="str">
        <f ca="1">IFERROR(R1609+COUNTIFS($R$11:$R1609,R1609),"")</f>
        <v/>
      </c>
      <c r="C1609" s="83">
        <f ca="1">IF(MOD(COUNTIF($Q$11:Q1608,Q1608),5)=0,OFFSET(装备属性!$D$1083,1+INT(COUNTA($Q$11:Q1608)/5),0),C1608)</f>
        <v>0</v>
      </c>
      <c r="D1609" s="82">
        <f t="shared" si="74"/>
        <v>1500</v>
      </c>
      <c r="F1609" s="82" t="str">
        <f ca="1" t="shared" si="73"/>
        <v/>
      </c>
      <c r="G1609" s="78" t="str">
        <f ca="1">IF(AND(LEFT("[{"&amp;M1609&amp;","&amp;CEILING(N1609*10000+(O1609-N1609)/4*(COUNTIF($F$11:F1609,F1609)-1)*10000,10)&amp;"}]",7)="[{equip",MID("[{"&amp;M1609&amp;","&amp;CEILING(N1609*10000+(O1609-N1609)/4*(COUNTIF($F$11:F1609,F1609)-1)*10000,10)&amp;"}]",8,1)&lt;&gt;"_"),"[{"&amp;M1609&amp;","&amp;1&amp;"}]","[{"&amp;M1609&amp;","&amp;CEILING(N1609*10000+(O1609-N1609)/4*(COUNTIF($F$11:F1609,F1609)-1)*10000,10)&amp;"}]")</f>
        <v>[{elitist_monster_hit_rate,20480}]</v>
      </c>
      <c r="H1609" s="82" t="s">
        <v>563</v>
      </c>
      <c r="J1609" s="78">
        <f ca="1">IF(MOD(COUNTIF($Q$11:Q1608,Q1608),5)=0,OFFSET(装备属性!$P$1083,1+INT(COUNTA($Q$11:Q1608)/5),0),J1608)</f>
        <v>6</v>
      </c>
      <c r="K1609" s="83" t="str">
        <f ca="1">IF(RIGHT(G1609,13)="rune_slot,1}]",_xlfn.XLOOKUP(LEFT(SUBSTITUTE(G1609,"[{",""),FIND(",",SUBSTITUTE(G1609,"[{",""))-1),Sheet2!B:B,Sheet2!C:C)&amp;"+"&amp;1,_xlfn.XLOOKUP(LEFT(SUBSTITUTE(G1609,"[{",""),FIND(",",SUBSTITUTE(G1609,"[{",""))-1),Sheet2!B:B,Sheet2!C:C)&amp;"+"&amp;SUBSTITUTE(RIGHT(G1609,LEN(G1609)-FIND(",",G1609)),"}]","")/100&amp;"%")</f>
        <v>对精英增伤+204.8%</v>
      </c>
      <c r="L1609" s="83" t="str">
        <f ca="1">IF(MOD(COUNTIF($Q$11:Q1608,Q1608),5)=0,OFFSET(装备属性!$G$1083,1+INT(COUNTA($Q$11:Q1608)/5),0),L1608)</f>
        <v>Boss加餐Ⅱ</v>
      </c>
      <c r="M1609" s="89" t="str">
        <f ca="1">IF(MOD(COUNTIF($Q$11:Q1608,Q1608),5)=0,OFFSET(装备属性!$H$1083,1+INT(COUNTA($Q$11:Q1608)/5),0),M1608)</f>
        <v>elitist_monster_hit_rate</v>
      </c>
      <c r="N1609" s="76">
        <f ca="1">IF(MOD(COUNTIF($Q$11:Q1608,Q1608),5)=0,OFFSET(装备属性!$K$1083,1+INT(COUNTA($Q$11:Q1608)/5),0),N1608)</f>
        <v>0.074</v>
      </c>
      <c r="O1609" s="76">
        <f ca="1">IF(MOD(COUNTIF($Q$11:Q1608,Q1608),5)=0,OFFSET(装备属性!$L$1083,1+INT(COUNTA($Q$11:Q1608)/5),0),O1608)</f>
        <v>0.086</v>
      </c>
      <c r="Q1609" s="89" t="str">
        <f ca="1">IF(MOD(COUNTIF($Q$11:Q1608,Q1608),5)=0,OFFSET(装备属性!$M$1083,1+INT(COUNTA($Q$11:Q1608)/5),0),Q1608)</f>
        <v>玩法类</v>
      </c>
      <c r="R1609" s="83" t="e">
        <f ca="1">IF(MOD(COUNTIF($Q$11:Q1608,Q1608),5)=0,10000*SUBSTITUTE(SUBSTITUTE(OFFSET(装备属性!$F$1083,1+INT(COUNTA($Q$11:Q1608)/5),0),"[",""),"]","")+_xlfn.XLOOKUP(C1609,$M$3:$M$7,$N$3:$N$7)*100,R1608)</f>
        <v>#N/A</v>
      </c>
    </row>
    <row r="1610" customHeight="1" spans="1:18">
      <c r="A1610" s="78" t="str">
        <f ca="1" t="shared" si="72"/>
        <v/>
      </c>
      <c r="B1610" s="82" t="str">
        <f ca="1">IFERROR(R1610+COUNTIFS($R$11:$R1610,R1610),"")</f>
        <v/>
      </c>
      <c r="C1610" s="83">
        <f ca="1">IF(MOD(COUNTIF($Q$11:Q1609,Q1609),5)=0,OFFSET(装备属性!$D$1083,1+INT(COUNTA($Q$11:Q1609)/5),0),C1609)</f>
        <v>0</v>
      </c>
      <c r="D1610" s="82">
        <f t="shared" si="74"/>
        <v>1000</v>
      </c>
      <c r="F1610" s="82" t="str">
        <f ca="1" t="shared" si="73"/>
        <v/>
      </c>
      <c r="G1610" s="78" t="str">
        <f ca="1">IF(AND(LEFT("[{"&amp;M1610&amp;","&amp;CEILING(N1610*10000+(O1610-N1610)/4*(COUNTIF($F$11:F1610,F1610)-1)*10000,10)&amp;"}]",7)="[{equip",MID("[{"&amp;M1610&amp;","&amp;CEILING(N1610*10000+(O1610-N1610)/4*(COUNTIF($F$11:F1610,F1610)-1)*10000,10)&amp;"}]",8,1)&lt;&gt;"_"),"[{"&amp;M1610&amp;","&amp;1&amp;"}]","[{"&amp;M1610&amp;","&amp;CEILING(N1610*10000+(O1610-N1610)/4*(COUNTIF($F$11:F1610,F1610)-1)*10000,10)&amp;"}]")</f>
        <v>[{elitist_monster_hit_rate,20510}]</v>
      </c>
      <c r="H1610" s="82" t="s">
        <v>563</v>
      </c>
      <c r="J1610" s="78">
        <f ca="1">IF(MOD(COUNTIF($Q$11:Q1609,Q1609),5)=0,OFFSET(装备属性!$P$1083,1+INT(COUNTA($Q$11:Q1609)/5),0),J1609)</f>
        <v>6</v>
      </c>
      <c r="K1610" s="83" t="str">
        <f ca="1">IF(RIGHT(G1610,13)="rune_slot,1}]",_xlfn.XLOOKUP(LEFT(SUBSTITUTE(G1610,"[{",""),FIND(",",SUBSTITUTE(G1610,"[{",""))-1),Sheet2!B:B,Sheet2!C:C)&amp;"+"&amp;1,_xlfn.XLOOKUP(LEFT(SUBSTITUTE(G1610,"[{",""),FIND(",",SUBSTITUTE(G1610,"[{",""))-1),Sheet2!B:B,Sheet2!C:C)&amp;"+"&amp;SUBSTITUTE(RIGHT(G1610,LEN(G1610)-FIND(",",G1610)),"}]","")/100&amp;"%")</f>
        <v>对精英增伤+205.1%</v>
      </c>
      <c r="L1610" s="83" t="str">
        <f ca="1">IF(MOD(COUNTIF($Q$11:Q1609,Q1609),5)=0,OFFSET(装备属性!$G$1083,1+INT(COUNTA($Q$11:Q1609)/5),0),L1609)</f>
        <v>Boss加餐Ⅱ</v>
      </c>
      <c r="M1610" s="89" t="str">
        <f ca="1">IF(MOD(COUNTIF($Q$11:Q1609,Q1609),5)=0,OFFSET(装备属性!$H$1083,1+INT(COUNTA($Q$11:Q1609)/5),0),M1609)</f>
        <v>elitist_monster_hit_rate</v>
      </c>
      <c r="N1610" s="76">
        <f ca="1">IF(MOD(COUNTIF($Q$11:Q1609,Q1609),5)=0,OFFSET(装备属性!$K$1083,1+INT(COUNTA($Q$11:Q1609)/5),0),N1609)</f>
        <v>0.074</v>
      </c>
      <c r="O1610" s="76">
        <f ca="1">IF(MOD(COUNTIF($Q$11:Q1609,Q1609),5)=0,OFFSET(装备属性!$L$1083,1+INT(COUNTA($Q$11:Q1609)/5),0),O1609)</f>
        <v>0.086</v>
      </c>
      <c r="Q1610" s="89" t="str">
        <f ca="1">IF(MOD(COUNTIF($Q$11:Q1609,Q1609),5)=0,OFFSET(装备属性!$M$1083,1+INT(COUNTA($Q$11:Q1609)/5),0),Q1609)</f>
        <v>玩法类</v>
      </c>
      <c r="R1610" s="83" t="e">
        <f ca="1">IF(MOD(COUNTIF($Q$11:Q1609,Q1609),5)=0,10000*SUBSTITUTE(SUBSTITUTE(OFFSET(装备属性!$F$1083,1+INT(COUNTA($Q$11:Q1609)/5),0),"[",""),"]","")+_xlfn.XLOOKUP(C1610,$M$3:$M$7,$N$3:$N$7)*100,R1609)</f>
        <v>#N/A</v>
      </c>
    </row>
    <row r="1611" customHeight="1" spans="1:18">
      <c r="A1611" s="78">
        <f ca="1" t="shared" si="72"/>
        <v>60501</v>
      </c>
      <c r="B1611" s="82">
        <f ca="1">IFERROR(R1611+COUNTIFS($R$11:$R1611,R1611),"")</f>
        <v>60511</v>
      </c>
      <c r="C1611" s="83" t="str">
        <f ca="1">IF(MOD(COUNTIF($Q$11:Q1610,Q1610),5)=0,OFFSET(装备属性!$D$1083,1+INT(COUNTA($Q$11:Q1610)/5),0),C1610)</f>
        <v>橙</v>
      </c>
      <c r="D1611" s="82">
        <f t="shared" si="74"/>
        <v>3000</v>
      </c>
      <c r="F1611" s="82">
        <f ca="1" t="shared" si="73"/>
        <v>60502</v>
      </c>
      <c r="G1611" s="78" t="str">
        <f ca="1">IF(AND(LEFT("[{"&amp;M1611&amp;","&amp;CEILING(N1611*10000+(O1611-N1611)/4*(COUNTIF($F$11:F1611,F1611)-1)*10000,10)&amp;"}]",7)="[{equip",MID("[{"&amp;M1611&amp;","&amp;CEILING(N1611*10000+(O1611-N1611)/4*(COUNTIF($F$11:F1611,F1611)-1)*10000,10)&amp;"}]",8,1)&lt;&gt;"_"),"[{"&amp;M1611&amp;","&amp;1&amp;"}]","[{"&amp;M1611&amp;","&amp;CEILING(N1611*10000+(O1611-N1611)/4*(COUNTIF($F$11:F1611,F1611)-1)*10000,10)&amp;"}]")</f>
        <v>[{summon_dmg_rate,580}]</v>
      </c>
      <c r="H1611" s="82" t="s">
        <v>563</v>
      </c>
      <c r="J1611" s="78">
        <f ca="1">IF(MOD(COUNTIF($Q$11:Q1610,Q1610),5)=0,OFFSET(装备属性!$P$1083,1+INT(COUNTA($Q$11:Q1610)/5),0),J1610)</f>
        <v>5</v>
      </c>
      <c r="K1611" s="83" t="str">
        <f ca="1">IF(RIGHT(G1611,13)="rune_slot,1}]",_xlfn.XLOOKUP(LEFT(SUBSTITUTE(G1611,"[{",""),FIND(",",SUBSTITUTE(G1611,"[{",""))-1),Sheet2!B:B,Sheet2!C:C)&amp;"+"&amp;1,_xlfn.XLOOKUP(LEFT(SUBSTITUTE(G1611,"[{",""),FIND(",",SUBSTITUTE(G1611,"[{",""))-1),Sheet2!B:B,Sheet2!C:C)&amp;"+"&amp;SUBSTITUTE(RIGHT(G1611,LEN(G1611)-FIND(",",G1611)),"}]","")/100&amp;"%")</f>
        <v>召唤伤害+5.8%</v>
      </c>
      <c r="L1611" s="83" t="str">
        <f ca="1">IF(MOD(COUNTIF($Q$11:Q1610,Q1610),5)=0,OFFSET(装备属性!$G$1083,1+INT(COUNTA($Q$11:Q1610)/5),0),L1610)</f>
        <v>召唤加班Ⅱ</v>
      </c>
      <c r="M1611" s="89" t="str">
        <f ca="1">IF(MOD(COUNTIF($Q$11:Q1610,Q1610),5)=0,OFFSET(装备属性!$H$1083,1+INT(COUNTA($Q$11:Q1610)/5),0),M1610)</f>
        <v>summon_dmg_rate</v>
      </c>
      <c r="N1611" s="76">
        <f ca="1">IF(MOD(COUNTIF($Q$11:Q1610,Q1610),5)=0,OFFSET(装备属性!$K$1083,1+INT(COUNTA($Q$11:Q1610)/5),0),N1610)</f>
        <v>0.058</v>
      </c>
      <c r="O1611" s="76">
        <f ca="1">IF(MOD(COUNTIF($Q$11:Q1610,Q1610),5)=0,OFFSET(装备属性!$L$1083,1+INT(COUNTA($Q$11:Q1610)/5),0),O1610)</f>
        <v>0.072</v>
      </c>
      <c r="Q1611" s="89" t="str">
        <f ca="1">IF(MOD(COUNTIF($Q$11:Q1610,Q1610),5)=0,OFFSET(装备属性!$M$1083,1+INT(COUNTA($Q$11:Q1610)/5),0),Q1610)</f>
        <v>通用属性</v>
      </c>
      <c r="R1611" s="83">
        <f ca="1">IF(MOD(COUNTIF($Q$11:Q1610,Q1610),5)=0,10000*SUBSTITUTE(SUBSTITUTE(OFFSET(装备属性!$F$1083,1+INT(COUNTA($Q$11:Q1610)/5),0),"[",""),"]","")+_xlfn.XLOOKUP(C1611,$M$3:$M$7,$N$3:$N$7)*100,R1610)</f>
        <v>60500</v>
      </c>
    </row>
    <row r="1612" customHeight="1" spans="1:18">
      <c r="A1612" s="78">
        <f ca="1" t="shared" ref="A1612:A1675" si="75">IFERROR(R1612+IF(Q1612="通用属性",1,IF(Q1612="玩法类",2,IF(Q1612="稀有词条",3,0))),"")</f>
        <v>60501</v>
      </c>
      <c r="B1612" s="82">
        <f ca="1">IFERROR(R1612+COUNTIFS($R$11:$R1612,R1612),"")</f>
        <v>60512</v>
      </c>
      <c r="C1612" s="83" t="str">
        <f ca="1">IF(MOD(COUNTIF($Q$11:Q1611,Q1611),5)=0,OFFSET(装备属性!$D$1083,1+INT(COUNTA($Q$11:Q1611)/5),0),C1611)</f>
        <v>橙</v>
      </c>
      <c r="D1612" s="82">
        <f t="shared" si="74"/>
        <v>2500</v>
      </c>
      <c r="F1612" s="82">
        <f ca="1" t="shared" ref="F1612:F1675" si="76">IFERROR(R1612+INT((B1612-R1612-1)/5),"")</f>
        <v>60502</v>
      </c>
      <c r="G1612" s="78" t="str">
        <f ca="1">IF(AND(LEFT("[{"&amp;M1612&amp;","&amp;CEILING(N1612*10000+(O1612-N1612)/4*(COUNTIF($F$11:F1612,F1612)-1)*10000,10)&amp;"}]",7)="[{equip",MID("[{"&amp;M1612&amp;","&amp;CEILING(N1612*10000+(O1612-N1612)/4*(COUNTIF($F$11:F1612,F1612)-1)*10000,10)&amp;"}]",8,1)&lt;&gt;"_"),"[{"&amp;M1612&amp;","&amp;1&amp;"}]","[{"&amp;M1612&amp;","&amp;CEILING(N1612*10000+(O1612-N1612)/4*(COUNTIF($F$11:F1612,F1612)-1)*10000,10)&amp;"}]")</f>
        <v>[{summon_dmg_rate,620}]</v>
      </c>
      <c r="H1612" s="82" t="s">
        <v>563</v>
      </c>
      <c r="J1612" s="78">
        <f ca="1">IF(MOD(COUNTIF($Q$11:Q1611,Q1611),5)=0,OFFSET(装备属性!$P$1083,1+INT(COUNTA($Q$11:Q1611)/5),0),J1611)</f>
        <v>5</v>
      </c>
      <c r="K1612" s="83" t="str">
        <f ca="1">IF(RIGHT(G1612,13)="rune_slot,1}]",_xlfn.XLOOKUP(LEFT(SUBSTITUTE(G1612,"[{",""),FIND(",",SUBSTITUTE(G1612,"[{",""))-1),Sheet2!B:B,Sheet2!C:C)&amp;"+"&amp;1,_xlfn.XLOOKUP(LEFT(SUBSTITUTE(G1612,"[{",""),FIND(",",SUBSTITUTE(G1612,"[{",""))-1),Sheet2!B:B,Sheet2!C:C)&amp;"+"&amp;SUBSTITUTE(RIGHT(G1612,LEN(G1612)-FIND(",",G1612)),"}]","")/100&amp;"%")</f>
        <v>召唤伤害+6.2%</v>
      </c>
      <c r="L1612" s="83" t="str">
        <f ca="1">IF(MOD(COUNTIF($Q$11:Q1611,Q1611),5)=0,OFFSET(装备属性!$G$1083,1+INT(COUNTA($Q$11:Q1611)/5),0),L1611)</f>
        <v>召唤加班Ⅱ</v>
      </c>
      <c r="M1612" s="89" t="str">
        <f ca="1">IF(MOD(COUNTIF($Q$11:Q1611,Q1611),5)=0,OFFSET(装备属性!$H$1083,1+INT(COUNTA($Q$11:Q1611)/5),0),M1611)</f>
        <v>summon_dmg_rate</v>
      </c>
      <c r="N1612" s="76">
        <f ca="1">IF(MOD(COUNTIF($Q$11:Q1611,Q1611),5)=0,OFFSET(装备属性!$K$1083,1+INT(COUNTA($Q$11:Q1611)/5),0),N1611)</f>
        <v>0.058</v>
      </c>
      <c r="O1612" s="76">
        <f ca="1">IF(MOD(COUNTIF($Q$11:Q1611,Q1611),5)=0,OFFSET(装备属性!$L$1083,1+INT(COUNTA($Q$11:Q1611)/5),0),O1611)</f>
        <v>0.072</v>
      </c>
      <c r="Q1612" s="89" t="str">
        <f ca="1">IF(MOD(COUNTIF($Q$11:Q1611,Q1611),5)=0,OFFSET(装备属性!$M$1083,1+INT(COUNTA($Q$11:Q1611)/5),0),Q1611)</f>
        <v>通用属性</v>
      </c>
      <c r="R1612" s="83">
        <f ca="1">IF(MOD(COUNTIF($Q$11:Q1611,Q1611),5)=0,10000*SUBSTITUTE(SUBSTITUTE(OFFSET(装备属性!$F$1083,1+INT(COUNTA($Q$11:Q1611)/5),0),"[",""),"]","")+_xlfn.XLOOKUP(C1612,$M$3:$M$7,$N$3:$N$7)*100,R1611)</f>
        <v>60500</v>
      </c>
    </row>
    <row r="1613" customHeight="1" spans="1:18">
      <c r="A1613" s="78">
        <f ca="1" t="shared" si="75"/>
        <v>60501</v>
      </c>
      <c r="B1613" s="82">
        <f ca="1">IFERROR(R1613+COUNTIFS($R$11:$R1613,R1613),"")</f>
        <v>60513</v>
      </c>
      <c r="C1613" s="83" t="str">
        <f ca="1">IF(MOD(COUNTIF($Q$11:Q1612,Q1612),5)=0,OFFSET(装备属性!$D$1083,1+INT(COUNTA($Q$11:Q1612)/5),0),C1612)</f>
        <v>橙</v>
      </c>
      <c r="D1613" s="82">
        <f t="shared" si="74"/>
        <v>2000</v>
      </c>
      <c r="F1613" s="82">
        <f ca="1" t="shared" si="76"/>
        <v>60502</v>
      </c>
      <c r="G1613" s="78" t="str">
        <f ca="1">IF(AND(LEFT("[{"&amp;M1613&amp;","&amp;CEILING(N1613*10000+(O1613-N1613)/4*(COUNTIF($F$11:F1613,F1613)-1)*10000,10)&amp;"}]",7)="[{equip",MID("[{"&amp;M1613&amp;","&amp;CEILING(N1613*10000+(O1613-N1613)/4*(COUNTIF($F$11:F1613,F1613)-1)*10000,10)&amp;"}]",8,1)&lt;&gt;"_"),"[{"&amp;M1613&amp;","&amp;1&amp;"}]","[{"&amp;M1613&amp;","&amp;CEILING(N1613*10000+(O1613-N1613)/4*(COUNTIF($F$11:F1613,F1613)-1)*10000,10)&amp;"}]")</f>
        <v>[{summon_dmg_rate,650}]</v>
      </c>
      <c r="H1613" s="82" t="s">
        <v>563</v>
      </c>
      <c r="J1613" s="78">
        <f ca="1">IF(MOD(COUNTIF($Q$11:Q1612,Q1612),5)=0,OFFSET(装备属性!$P$1083,1+INT(COUNTA($Q$11:Q1612)/5),0),J1612)</f>
        <v>5</v>
      </c>
      <c r="K1613" s="83" t="str">
        <f ca="1">IF(RIGHT(G1613,13)="rune_slot,1}]",_xlfn.XLOOKUP(LEFT(SUBSTITUTE(G1613,"[{",""),FIND(",",SUBSTITUTE(G1613,"[{",""))-1),Sheet2!B:B,Sheet2!C:C)&amp;"+"&amp;1,_xlfn.XLOOKUP(LEFT(SUBSTITUTE(G1613,"[{",""),FIND(",",SUBSTITUTE(G1613,"[{",""))-1),Sheet2!B:B,Sheet2!C:C)&amp;"+"&amp;SUBSTITUTE(RIGHT(G1613,LEN(G1613)-FIND(",",G1613)),"}]","")/100&amp;"%")</f>
        <v>召唤伤害+6.5%</v>
      </c>
      <c r="L1613" s="83" t="str">
        <f ca="1">IF(MOD(COUNTIF($Q$11:Q1612,Q1612),5)=0,OFFSET(装备属性!$G$1083,1+INT(COUNTA($Q$11:Q1612)/5),0),L1612)</f>
        <v>召唤加班Ⅱ</v>
      </c>
      <c r="M1613" s="89" t="str">
        <f ca="1">IF(MOD(COUNTIF($Q$11:Q1612,Q1612),5)=0,OFFSET(装备属性!$H$1083,1+INT(COUNTA($Q$11:Q1612)/5),0),M1612)</f>
        <v>summon_dmg_rate</v>
      </c>
      <c r="N1613" s="76">
        <f ca="1">IF(MOD(COUNTIF($Q$11:Q1612,Q1612),5)=0,OFFSET(装备属性!$K$1083,1+INT(COUNTA($Q$11:Q1612)/5),0),N1612)</f>
        <v>0.058</v>
      </c>
      <c r="O1613" s="76">
        <f ca="1">IF(MOD(COUNTIF($Q$11:Q1612,Q1612),5)=0,OFFSET(装备属性!$L$1083,1+INT(COUNTA($Q$11:Q1612)/5),0),O1612)</f>
        <v>0.072</v>
      </c>
      <c r="Q1613" s="89" t="str">
        <f ca="1">IF(MOD(COUNTIF($Q$11:Q1612,Q1612),5)=0,OFFSET(装备属性!$M$1083,1+INT(COUNTA($Q$11:Q1612)/5),0),Q1612)</f>
        <v>通用属性</v>
      </c>
      <c r="R1613" s="83">
        <f ca="1">IF(MOD(COUNTIF($Q$11:Q1612,Q1612),5)=0,10000*SUBSTITUTE(SUBSTITUTE(OFFSET(装备属性!$F$1083,1+INT(COUNTA($Q$11:Q1612)/5),0),"[",""),"]","")+_xlfn.XLOOKUP(C1613,$M$3:$M$7,$N$3:$N$7)*100,R1612)</f>
        <v>60500</v>
      </c>
    </row>
    <row r="1614" customHeight="1" spans="1:18">
      <c r="A1614" s="78">
        <f ca="1" t="shared" si="75"/>
        <v>60501</v>
      </c>
      <c r="B1614" s="82">
        <f ca="1">IFERROR(R1614+COUNTIFS($R$11:$R1614,R1614),"")</f>
        <v>60514</v>
      </c>
      <c r="C1614" s="83" t="str">
        <f ca="1">IF(MOD(COUNTIF($Q$11:Q1613,Q1613),5)=0,OFFSET(装备属性!$D$1083,1+INT(COUNTA($Q$11:Q1613)/5),0),C1613)</f>
        <v>橙</v>
      </c>
      <c r="D1614" s="82">
        <f t="shared" si="74"/>
        <v>1500</v>
      </c>
      <c r="F1614" s="82">
        <f ca="1" t="shared" si="76"/>
        <v>60502</v>
      </c>
      <c r="G1614" s="78" t="str">
        <f ca="1">IF(AND(LEFT("[{"&amp;M1614&amp;","&amp;CEILING(N1614*10000+(O1614-N1614)/4*(COUNTIF($F$11:F1614,F1614)-1)*10000,10)&amp;"}]",7)="[{equip",MID("[{"&amp;M1614&amp;","&amp;CEILING(N1614*10000+(O1614-N1614)/4*(COUNTIF($F$11:F1614,F1614)-1)*10000,10)&amp;"}]",8,1)&lt;&gt;"_"),"[{"&amp;M1614&amp;","&amp;1&amp;"}]","[{"&amp;M1614&amp;","&amp;CEILING(N1614*10000+(O1614-N1614)/4*(COUNTIF($F$11:F1614,F1614)-1)*10000,10)&amp;"}]")</f>
        <v>[{summon_dmg_rate,690}]</v>
      </c>
      <c r="H1614" s="82" t="s">
        <v>563</v>
      </c>
      <c r="J1614" s="78">
        <f ca="1">IF(MOD(COUNTIF($Q$11:Q1613,Q1613),5)=0,OFFSET(装备属性!$P$1083,1+INT(COUNTA($Q$11:Q1613)/5),0),J1613)</f>
        <v>5</v>
      </c>
      <c r="K1614" s="83" t="str">
        <f ca="1">IF(RIGHT(G1614,13)="rune_slot,1}]",_xlfn.XLOOKUP(LEFT(SUBSTITUTE(G1614,"[{",""),FIND(",",SUBSTITUTE(G1614,"[{",""))-1),Sheet2!B:B,Sheet2!C:C)&amp;"+"&amp;1,_xlfn.XLOOKUP(LEFT(SUBSTITUTE(G1614,"[{",""),FIND(",",SUBSTITUTE(G1614,"[{",""))-1),Sheet2!B:B,Sheet2!C:C)&amp;"+"&amp;SUBSTITUTE(RIGHT(G1614,LEN(G1614)-FIND(",",G1614)),"}]","")/100&amp;"%")</f>
        <v>召唤伤害+6.9%</v>
      </c>
      <c r="L1614" s="83" t="str">
        <f ca="1">IF(MOD(COUNTIF($Q$11:Q1613,Q1613),5)=0,OFFSET(装备属性!$G$1083,1+INT(COUNTA($Q$11:Q1613)/5),0),L1613)</f>
        <v>召唤加班Ⅱ</v>
      </c>
      <c r="M1614" s="89" t="str">
        <f ca="1">IF(MOD(COUNTIF($Q$11:Q1613,Q1613),5)=0,OFFSET(装备属性!$H$1083,1+INT(COUNTA($Q$11:Q1613)/5),0),M1613)</f>
        <v>summon_dmg_rate</v>
      </c>
      <c r="N1614" s="76">
        <f ca="1">IF(MOD(COUNTIF($Q$11:Q1613,Q1613),5)=0,OFFSET(装备属性!$K$1083,1+INT(COUNTA($Q$11:Q1613)/5),0),N1613)</f>
        <v>0.058</v>
      </c>
      <c r="O1614" s="76">
        <f ca="1">IF(MOD(COUNTIF($Q$11:Q1613,Q1613),5)=0,OFFSET(装备属性!$L$1083,1+INT(COUNTA($Q$11:Q1613)/5),0),O1613)</f>
        <v>0.072</v>
      </c>
      <c r="Q1614" s="89" t="str">
        <f ca="1">IF(MOD(COUNTIF($Q$11:Q1613,Q1613),5)=0,OFFSET(装备属性!$M$1083,1+INT(COUNTA($Q$11:Q1613)/5),0),Q1613)</f>
        <v>通用属性</v>
      </c>
      <c r="R1614" s="83">
        <f ca="1">IF(MOD(COUNTIF($Q$11:Q1613,Q1613),5)=0,10000*SUBSTITUTE(SUBSTITUTE(OFFSET(装备属性!$F$1083,1+INT(COUNTA($Q$11:Q1613)/5),0),"[",""),"]","")+_xlfn.XLOOKUP(C1614,$M$3:$M$7,$N$3:$N$7)*100,R1613)</f>
        <v>60500</v>
      </c>
    </row>
    <row r="1615" customHeight="1" spans="1:18">
      <c r="A1615" s="78">
        <f ca="1" t="shared" si="75"/>
        <v>60501</v>
      </c>
      <c r="B1615" s="82">
        <f ca="1">IFERROR(R1615+COUNTIFS($R$11:$R1615,R1615),"")</f>
        <v>60515</v>
      </c>
      <c r="C1615" s="83" t="str">
        <f ca="1">IF(MOD(COUNTIF($Q$11:Q1614,Q1614),5)=0,OFFSET(装备属性!$D$1083,1+INT(COUNTA($Q$11:Q1614)/5),0),C1614)</f>
        <v>橙</v>
      </c>
      <c r="D1615" s="82">
        <f t="shared" si="74"/>
        <v>1000</v>
      </c>
      <c r="F1615" s="82">
        <f ca="1" t="shared" si="76"/>
        <v>60502</v>
      </c>
      <c r="G1615" s="78" t="str">
        <f ca="1">IF(AND(LEFT("[{"&amp;M1615&amp;","&amp;CEILING(N1615*10000+(O1615-N1615)/4*(COUNTIF($F$11:F1615,F1615)-1)*10000,10)&amp;"}]",7)="[{equip",MID("[{"&amp;M1615&amp;","&amp;CEILING(N1615*10000+(O1615-N1615)/4*(COUNTIF($F$11:F1615,F1615)-1)*10000,10)&amp;"}]",8,1)&lt;&gt;"_"),"[{"&amp;M1615&amp;","&amp;1&amp;"}]","[{"&amp;M1615&amp;","&amp;CEILING(N1615*10000+(O1615-N1615)/4*(COUNTIF($F$11:F1615,F1615)-1)*10000,10)&amp;"}]")</f>
        <v>[{summon_dmg_rate,720}]</v>
      </c>
      <c r="H1615" s="82" t="s">
        <v>563</v>
      </c>
      <c r="J1615" s="78">
        <f ca="1">IF(MOD(COUNTIF($Q$11:Q1614,Q1614),5)=0,OFFSET(装备属性!$P$1083,1+INT(COUNTA($Q$11:Q1614)/5),0),J1614)</f>
        <v>5</v>
      </c>
      <c r="K1615" s="83" t="str">
        <f ca="1">IF(RIGHT(G1615,13)="rune_slot,1}]",_xlfn.XLOOKUP(LEFT(SUBSTITUTE(G1615,"[{",""),FIND(",",SUBSTITUTE(G1615,"[{",""))-1),Sheet2!B:B,Sheet2!C:C)&amp;"+"&amp;1,_xlfn.XLOOKUP(LEFT(SUBSTITUTE(G1615,"[{",""),FIND(",",SUBSTITUTE(G1615,"[{",""))-1),Sheet2!B:B,Sheet2!C:C)&amp;"+"&amp;SUBSTITUTE(RIGHT(G1615,LEN(G1615)-FIND(",",G1615)),"}]","")/100&amp;"%")</f>
        <v>召唤伤害+7.2%</v>
      </c>
      <c r="L1615" s="83" t="str">
        <f ca="1">IF(MOD(COUNTIF($Q$11:Q1614,Q1614),5)=0,OFFSET(装备属性!$G$1083,1+INT(COUNTA($Q$11:Q1614)/5),0),L1614)</f>
        <v>召唤加班Ⅱ</v>
      </c>
      <c r="M1615" s="89" t="str">
        <f ca="1">IF(MOD(COUNTIF($Q$11:Q1614,Q1614),5)=0,OFFSET(装备属性!$H$1083,1+INT(COUNTA($Q$11:Q1614)/5),0),M1614)</f>
        <v>summon_dmg_rate</v>
      </c>
      <c r="N1615" s="76">
        <f ca="1">IF(MOD(COUNTIF($Q$11:Q1614,Q1614),5)=0,OFFSET(装备属性!$K$1083,1+INT(COUNTA($Q$11:Q1614)/5),0),N1614)</f>
        <v>0.058</v>
      </c>
      <c r="O1615" s="76">
        <f ca="1">IF(MOD(COUNTIF($Q$11:Q1614,Q1614),5)=0,OFFSET(装备属性!$L$1083,1+INT(COUNTA($Q$11:Q1614)/5),0),O1614)</f>
        <v>0.072</v>
      </c>
      <c r="Q1615" s="89" t="str">
        <f ca="1">IF(MOD(COUNTIF($Q$11:Q1614,Q1614),5)=0,OFFSET(装备属性!$M$1083,1+INT(COUNTA($Q$11:Q1614)/5),0),Q1614)</f>
        <v>通用属性</v>
      </c>
      <c r="R1615" s="83">
        <f ca="1">IF(MOD(COUNTIF($Q$11:Q1614,Q1614),5)=0,10000*SUBSTITUTE(SUBSTITUTE(OFFSET(装备属性!$F$1083,1+INT(COUNTA($Q$11:Q1614)/5),0),"[",""),"]","")+_xlfn.XLOOKUP(C1615,$M$3:$M$7,$N$3:$N$7)*100,R1614)</f>
        <v>60500</v>
      </c>
    </row>
    <row r="1616" customHeight="1" spans="1:18">
      <c r="A1616" s="78">
        <f ca="1" t="shared" si="75"/>
        <v>60501</v>
      </c>
      <c r="B1616" s="82">
        <f ca="1">IFERROR(R1616+COUNTIFS($R$11:$R1616,R1616),"")</f>
        <v>60516</v>
      </c>
      <c r="C1616" s="83" t="str">
        <f ca="1">IF(MOD(COUNTIF($Q$11:Q1615,Q1615),5)=0,OFFSET(装备属性!$D$1083,1+INT(COUNTA($Q$11:Q1615)/5),0),C1615)</f>
        <v>橙</v>
      </c>
      <c r="D1616" s="82">
        <f t="shared" si="74"/>
        <v>3000</v>
      </c>
      <c r="F1616" s="82">
        <f ca="1" t="shared" si="76"/>
        <v>60503</v>
      </c>
      <c r="G1616" s="78" t="str">
        <f ca="1">IF(AND(LEFT("[{"&amp;M1616&amp;","&amp;CEILING(N1616*10000+(O1616-N1616)/4*(COUNTIF($F$11:F1616,F1616)-1)*10000,10)&amp;"}]",7)="[{equip",MID("[{"&amp;M1616&amp;","&amp;CEILING(N1616*10000+(O1616-N1616)/4*(COUNTIF($F$11:F1616,F1616)-1)*10000,10)&amp;"}]",8,1)&lt;&gt;"_"),"[{"&amp;M1616&amp;","&amp;1&amp;"}]","[{"&amp;M1616&amp;","&amp;CEILING(N1616*10000+(O1616-N1616)/4*(COUNTIF($F$11:F1616,F1616)-1)*10000,10)&amp;"}]")</f>
        <v>[{summon_dmg_red_rate,200}]</v>
      </c>
      <c r="H1616" s="82" t="s">
        <v>563</v>
      </c>
      <c r="J1616" s="78">
        <f ca="1">IF(MOD(COUNTIF($Q$11:Q1615,Q1615),5)=0,OFFSET(装备属性!$P$1083,1+INT(COUNTA($Q$11:Q1615)/5),0),J1615)</f>
        <v>3</v>
      </c>
      <c r="K1616" s="83" t="str">
        <f ca="1">IF(RIGHT(G1616,13)="rune_slot,1}]",_xlfn.XLOOKUP(LEFT(SUBSTITUTE(G1616,"[{",""),FIND(",",SUBSTITUTE(G1616,"[{",""))-1),Sheet2!B:B,Sheet2!C:C)&amp;"+"&amp;1,_xlfn.XLOOKUP(LEFT(SUBSTITUTE(G1616,"[{",""),FIND(",",SUBSTITUTE(G1616,"[{",""))-1),Sheet2!B:B,Sheet2!C:C)&amp;"+"&amp;SUBSTITUTE(RIGHT(G1616,LEN(G1616)-FIND(",",G1616)),"}]","")/100&amp;"%")</f>
        <v>召唤伤害减免+2%</v>
      </c>
      <c r="L1616" s="83" t="str">
        <f ca="1">IF(MOD(COUNTIF($Q$11:Q1615,Q1615),5)=0,OFFSET(装备属性!$G$1083,1+INT(COUNTA($Q$11:Q1615)/5),0),L1615)</f>
        <v>召唤硬吃Ⅱ</v>
      </c>
      <c r="M1616" s="89" t="str">
        <f ca="1">IF(MOD(COUNTIF($Q$11:Q1615,Q1615),5)=0,OFFSET(装备属性!$H$1083,1+INT(COUNTA($Q$11:Q1615)/5),0),M1615)</f>
        <v>summon_dmg_red_rate</v>
      </c>
      <c r="N1616" s="76">
        <f ca="1">IF(MOD(COUNTIF($Q$11:Q1615,Q1615),5)=0,OFFSET(装备属性!$K$1083,1+INT(COUNTA($Q$11:Q1615)/5),0),N1615)</f>
        <v>0.02</v>
      </c>
      <c r="O1616" s="76">
        <f ca="1">IF(MOD(COUNTIF($Q$11:Q1615,Q1615),5)=0,OFFSET(装备属性!$L$1083,1+INT(COUNTA($Q$11:Q1615)/5),0),O1615)</f>
        <v>0.024</v>
      </c>
      <c r="Q1616" s="89" t="str">
        <f ca="1">IF(MOD(COUNTIF($Q$11:Q1615,Q1615),5)=0,OFFSET(装备属性!$M$1083,1+INT(COUNTA($Q$11:Q1615)/5),0),Q1615)</f>
        <v>通用属性</v>
      </c>
      <c r="R1616" s="83">
        <f ca="1">IF(MOD(COUNTIF($Q$11:Q1615,Q1615),5)=0,10000*SUBSTITUTE(SUBSTITUTE(OFFSET(装备属性!$F$1083,1+INT(COUNTA($Q$11:Q1615)/5),0),"[",""),"]","")+_xlfn.XLOOKUP(C1616,$M$3:$M$7,$N$3:$N$7)*100,R1615)</f>
        <v>60500</v>
      </c>
    </row>
    <row r="1617" customHeight="1" spans="1:18">
      <c r="A1617" s="78">
        <f ca="1" t="shared" si="75"/>
        <v>60501</v>
      </c>
      <c r="B1617" s="82">
        <f ca="1">IFERROR(R1617+COUNTIFS($R$11:$R1617,R1617),"")</f>
        <v>60517</v>
      </c>
      <c r="C1617" s="83" t="str">
        <f ca="1">IF(MOD(COUNTIF($Q$11:Q1616,Q1616),5)=0,OFFSET(装备属性!$D$1083,1+INT(COUNTA($Q$11:Q1616)/5),0),C1616)</f>
        <v>橙</v>
      </c>
      <c r="D1617" s="82">
        <f t="shared" ref="D1617:D1660" si="77">D1612</f>
        <v>2500</v>
      </c>
      <c r="F1617" s="82">
        <f ca="1" t="shared" si="76"/>
        <v>60503</v>
      </c>
      <c r="G1617" s="78" t="str">
        <f ca="1">IF(AND(LEFT("[{"&amp;M1617&amp;","&amp;CEILING(N1617*10000+(O1617-N1617)/4*(COUNTIF($F$11:F1617,F1617)-1)*10000,10)&amp;"}]",7)="[{equip",MID("[{"&amp;M1617&amp;","&amp;CEILING(N1617*10000+(O1617-N1617)/4*(COUNTIF($F$11:F1617,F1617)-1)*10000,10)&amp;"}]",8,1)&lt;&gt;"_"),"[{"&amp;M1617&amp;","&amp;1&amp;"}]","[{"&amp;M1617&amp;","&amp;CEILING(N1617*10000+(O1617-N1617)/4*(COUNTIF($F$11:F1617,F1617)-1)*10000,10)&amp;"}]")</f>
        <v>[{summon_dmg_red_rate,210}]</v>
      </c>
      <c r="H1617" s="82" t="s">
        <v>563</v>
      </c>
      <c r="J1617" s="78">
        <f ca="1">IF(MOD(COUNTIF($Q$11:Q1616,Q1616),5)=0,OFFSET(装备属性!$P$1083,1+INT(COUNTA($Q$11:Q1616)/5),0),J1616)</f>
        <v>3</v>
      </c>
      <c r="K1617" s="83" t="str">
        <f ca="1">IF(RIGHT(G1617,13)="rune_slot,1}]",_xlfn.XLOOKUP(LEFT(SUBSTITUTE(G1617,"[{",""),FIND(",",SUBSTITUTE(G1617,"[{",""))-1),Sheet2!B:B,Sheet2!C:C)&amp;"+"&amp;1,_xlfn.XLOOKUP(LEFT(SUBSTITUTE(G1617,"[{",""),FIND(",",SUBSTITUTE(G1617,"[{",""))-1),Sheet2!B:B,Sheet2!C:C)&amp;"+"&amp;SUBSTITUTE(RIGHT(G1617,LEN(G1617)-FIND(",",G1617)),"}]","")/100&amp;"%")</f>
        <v>召唤伤害减免+2.1%</v>
      </c>
      <c r="L1617" s="83" t="str">
        <f ca="1">IF(MOD(COUNTIF($Q$11:Q1616,Q1616),5)=0,OFFSET(装备属性!$G$1083,1+INT(COUNTA($Q$11:Q1616)/5),0),L1616)</f>
        <v>召唤硬吃Ⅱ</v>
      </c>
      <c r="M1617" s="89" t="str">
        <f ca="1">IF(MOD(COUNTIF($Q$11:Q1616,Q1616),5)=0,OFFSET(装备属性!$H$1083,1+INT(COUNTA($Q$11:Q1616)/5),0),M1616)</f>
        <v>summon_dmg_red_rate</v>
      </c>
      <c r="N1617" s="76">
        <f ca="1">IF(MOD(COUNTIF($Q$11:Q1616,Q1616),5)=0,OFFSET(装备属性!$K$1083,1+INT(COUNTA($Q$11:Q1616)/5),0),N1616)</f>
        <v>0.02</v>
      </c>
      <c r="O1617" s="76">
        <f ca="1">IF(MOD(COUNTIF($Q$11:Q1616,Q1616),5)=0,OFFSET(装备属性!$L$1083,1+INT(COUNTA($Q$11:Q1616)/5),0),O1616)</f>
        <v>0.024</v>
      </c>
      <c r="Q1617" s="89" t="str">
        <f ca="1">IF(MOD(COUNTIF($Q$11:Q1616,Q1616),5)=0,OFFSET(装备属性!$M$1083,1+INT(COUNTA($Q$11:Q1616)/5),0),Q1616)</f>
        <v>通用属性</v>
      </c>
      <c r="R1617" s="83">
        <f ca="1">IF(MOD(COUNTIF($Q$11:Q1616,Q1616),5)=0,10000*SUBSTITUTE(SUBSTITUTE(OFFSET(装备属性!$F$1083,1+INT(COUNTA($Q$11:Q1616)/5),0),"[",""),"]","")+_xlfn.XLOOKUP(C1617,$M$3:$M$7,$N$3:$N$7)*100,R1616)</f>
        <v>60500</v>
      </c>
    </row>
    <row r="1618" customHeight="1" spans="1:18">
      <c r="A1618" s="78">
        <f ca="1" t="shared" si="75"/>
        <v>60501</v>
      </c>
      <c r="B1618" s="82">
        <f ca="1">IFERROR(R1618+COUNTIFS($R$11:$R1618,R1618),"")</f>
        <v>60518</v>
      </c>
      <c r="C1618" s="83" t="str">
        <f ca="1">IF(MOD(COUNTIF($Q$11:Q1617,Q1617),5)=0,OFFSET(装备属性!$D$1083,1+INT(COUNTA($Q$11:Q1617)/5),0),C1617)</f>
        <v>橙</v>
      </c>
      <c r="D1618" s="82">
        <f t="shared" si="77"/>
        <v>2000</v>
      </c>
      <c r="F1618" s="82">
        <f ca="1" t="shared" si="76"/>
        <v>60503</v>
      </c>
      <c r="G1618" s="78" t="str">
        <f ca="1">IF(AND(LEFT("[{"&amp;M1618&amp;","&amp;CEILING(N1618*10000+(O1618-N1618)/4*(COUNTIF($F$11:F1618,F1618)-1)*10000,10)&amp;"}]",7)="[{equip",MID("[{"&amp;M1618&amp;","&amp;CEILING(N1618*10000+(O1618-N1618)/4*(COUNTIF($F$11:F1618,F1618)-1)*10000,10)&amp;"}]",8,1)&lt;&gt;"_"),"[{"&amp;M1618&amp;","&amp;1&amp;"}]","[{"&amp;M1618&amp;","&amp;CEILING(N1618*10000+(O1618-N1618)/4*(COUNTIF($F$11:F1618,F1618)-1)*10000,10)&amp;"}]")</f>
        <v>[{summon_dmg_red_rate,220}]</v>
      </c>
      <c r="H1618" s="82" t="s">
        <v>563</v>
      </c>
      <c r="J1618" s="78">
        <f ca="1">IF(MOD(COUNTIF($Q$11:Q1617,Q1617),5)=0,OFFSET(装备属性!$P$1083,1+INT(COUNTA($Q$11:Q1617)/5),0),J1617)</f>
        <v>3</v>
      </c>
      <c r="K1618" s="83" t="str">
        <f ca="1">IF(RIGHT(G1618,13)="rune_slot,1}]",_xlfn.XLOOKUP(LEFT(SUBSTITUTE(G1618,"[{",""),FIND(",",SUBSTITUTE(G1618,"[{",""))-1),Sheet2!B:B,Sheet2!C:C)&amp;"+"&amp;1,_xlfn.XLOOKUP(LEFT(SUBSTITUTE(G1618,"[{",""),FIND(",",SUBSTITUTE(G1618,"[{",""))-1),Sheet2!B:B,Sheet2!C:C)&amp;"+"&amp;SUBSTITUTE(RIGHT(G1618,LEN(G1618)-FIND(",",G1618)),"}]","")/100&amp;"%")</f>
        <v>召唤伤害减免+2.2%</v>
      </c>
      <c r="L1618" s="83" t="str">
        <f ca="1">IF(MOD(COUNTIF($Q$11:Q1617,Q1617),5)=0,OFFSET(装备属性!$G$1083,1+INT(COUNTA($Q$11:Q1617)/5),0),L1617)</f>
        <v>召唤硬吃Ⅱ</v>
      </c>
      <c r="M1618" s="89" t="str">
        <f ca="1">IF(MOD(COUNTIF($Q$11:Q1617,Q1617),5)=0,OFFSET(装备属性!$H$1083,1+INT(COUNTA($Q$11:Q1617)/5),0),M1617)</f>
        <v>summon_dmg_red_rate</v>
      </c>
      <c r="N1618" s="76">
        <f ca="1">IF(MOD(COUNTIF($Q$11:Q1617,Q1617),5)=0,OFFSET(装备属性!$K$1083,1+INT(COUNTA($Q$11:Q1617)/5),0),N1617)</f>
        <v>0.02</v>
      </c>
      <c r="O1618" s="76">
        <f ca="1">IF(MOD(COUNTIF($Q$11:Q1617,Q1617),5)=0,OFFSET(装备属性!$L$1083,1+INT(COUNTA($Q$11:Q1617)/5),0),O1617)</f>
        <v>0.024</v>
      </c>
      <c r="Q1618" s="89" t="str">
        <f ca="1">IF(MOD(COUNTIF($Q$11:Q1617,Q1617),5)=0,OFFSET(装备属性!$M$1083,1+INT(COUNTA($Q$11:Q1617)/5),0),Q1617)</f>
        <v>通用属性</v>
      </c>
      <c r="R1618" s="83">
        <f ca="1">IF(MOD(COUNTIF($Q$11:Q1617,Q1617),5)=0,10000*SUBSTITUTE(SUBSTITUTE(OFFSET(装备属性!$F$1083,1+INT(COUNTA($Q$11:Q1617)/5),0),"[",""),"]","")+_xlfn.XLOOKUP(C1618,$M$3:$M$7,$N$3:$N$7)*100,R1617)</f>
        <v>60500</v>
      </c>
    </row>
    <row r="1619" customHeight="1" spans="1:18">
      <c r="A1619" s="78">
        <f ca="1" t="shared" si="75"/>
        <v>60501</v>
      </c>
      <c r="B1619" s="82">
        <f ca="1">IFERROR(R1619+COUNTIFS($R$11:$R1619,R1619),"")</f>
        <v>60519</v>
      </c>
      <c r="C1619" s="83" t="str">
        <f ca="1">IF(MOD(COUNTIF($Q$11:Q1618,Q1618),5)=0,OFFSET(装备属性!$D$1083,1+INT(COUNTA($Q$11:Q1618)/5),0),C1618)</f>
        <v>橙</v>
      </c>
      <c r="D1619" s="82">
        <f t="shared" si="77"/>
        <v>1500</v>
      </c>
      <c r="F1619" s="82">
        <f ca="1" t="shared" si="76"/>
        <v>60503</v>
      </c>
      <c r="G1619" s="78" t="str">
        <f ca="1">IF(AND(LEFT("[{"&amp;M1619&amp;","&amp;CEILING(N1619*10000+(O1619-N1619)/4*(COUNTIF($F$11:F1619,F1619)-1)*10000,10)&amp;"}]",7)="[{equip",MID("[{"&amp;M1619&amp;","&amp;CEILING(N1619*10000+(O1619-N1619)/4*(COUNTIF($F$11:F1619,F1619)-1)*10000,10)&amp;"}]",8,1)&lt;&gt;"_"),"[{"&amp;M1619&amp;","&amp;1&amp;"}]","[{"&amp;M1619&amp;","&amp;CEILING(N1619*10000+(O1619-N1619)/4*(COUNTIF($F$11:F1619,F1619)-1)*10000,10)&amp;"}]")</f>
        <v>[{summon_dmg_red_rate,230}]</v>
      </c>
      <c r="H1619" s="82" t="s">
        <v>563</v>
      </c>
      <c r="J1619" s="78">
        <f ca="1">IF(MOD(COUNTIF($Q$11:Q1618,Q1618),5)=0,OFFSET(装备属性!$P$1083,1+INT(COUNTA($Q$11:Q1618)/5),0),J1618)</f>
        <v>3</v>
      </c>
      <c r="K1619" s="83" t="str">
        <f ca="1">IF(RIGHT(G1619,13)="rune_slot,1}]",_xlfn.XLOOKUP(LEFT(SUBSTITUTE(G1619,"[{",""),FIND(",",SUBSTITUTE(G1619,"[{",""))-1),Sheet2!B:B,Sheet2!C:C)&amp;"+"&amp;1,_xlfn.XLOOKUP(LEFT(SUBSTITUTE(G1619,"[{",""),FIND(",",SUBSTITUTE(G1619,"[{",""))-1),Sheet2!B:B,Sheet2!C:C)&amp;"+"&amp;SUBSTITUTE(RIGHT(G1619,LEN(G1619)-FIND(",",G1619)),"}]","")/100&amp;"%")</f>
        <v>召唤伤害减免+2.3%</v>
      </c>
      <c r="L1619" s="83" t="str">
        <f ca="1">IF(MOD(COUNTIF($Q$11:Q1618,Q1618),5)=0,OFFSET(装备属性!$G$1083,1+INT(COUNTA($Q$11:Q1618)/5),0),L1618)</f>
        <v>召唤硬吃Ⅱ</v>
      </c>
      <c r="M1619" s="89" t="str">
        <f ca="1">IF(MOD(COUNTIF($Q$11:Q1618,Q1618),5)=0,OFFSET(装备属性!$H$1083,1+INT(COUNTA($Q$11:Q1618)/5),0),M1618)</f>
        <v>summon_dmg_red_rate</v>
      </c>
      <c r="N1619" s="76">
        <f ca="1">IF(MOD(COUNTIF($Q$11:Q1618,Q1618),5)=0,OFFSET(装备属性!$K$1083,1+INT(COUNTA($Q$11:Q1618)/5),0),N1618)</f>
        <v>0.02</v>
      </c>
      <c r="O1619" s="76">
        <f ca="1">IF(MOD(COUNTIF($Q$11:Q1618,Q1618),5)=0,OFFSET(装备属性!$L$1083,1+INT(COUNTA($Q$11:Q1618)/5),0),O1618)</f>
        <v>0.024</v>
      </c>
      <c r="Q1619" s="89" t="str">
        <f ca="1">IF(MOD(COUNTIF($Q$11:Q1618,Q1618),5)=0,OFFSET(装备属性!$M$1083,1+INT(COUNTA($Q$11:Q1618)/5),0),Q1618)</f>
        <v>通用属性</v>
      </c>
      <c r="R1619" s="83">
        <f ca="1">IF(MOD(COUNTIF($Q$11:Q1618,Q1618),5)=0,10000*SUBSTITUTE(SUBSTITUTE(OFFSET(装备属性!$F$1083,1+INT(COUNTA($Q$11:Q1618)/5),0),"[",""),"]","")+_xlfn.XLOOKUP(C1619,$M$3:$M$7,$N$3:$N$7)*100,R1618)</f>
        <v>60500</v>
      </c>
    </row>
    <row r="1620" customHeight="1" spans="1:18">
      <c r="A1620" s="78">
        <f ca="1" t="shared" si="75"/>
        <v>60501</v>
      </c>
      <c r="B1620" s="82">
        <f ca="1">IFERROR(R1620+COUNTIFS($R$11:$R1620,R1620),"")</f>
        <v>60520</v>
      </c>
      <c r="C1620" s="83" t="str">
        <f ca="1">IF(MOD(COUNTIF($Q$11:Q1619,Q1619),5)=0,OFFSET(装备属性!$D$1083,1+INT(COUNTA($Q$11:Q1619)/5),0),C1619)</f>
        <v>橙</v>
      </c>
      <c r="D1620" s="82">
        <f t="shared" si="77"/>
        <v>1000</v>
      </c>
      <c r="F1620" s="82">
        <f ca="1" t="shared" si="76"/>
        <v>60503</v>
      </c>
      <c r="G1620" s="78" t="str">
        <f ca="1">IF(AND(LEFT("[{"&amp;M1620&amp;","&amp;CEILING(N1620*10000+(O1620-N1620)/4*(COUNTIF($F$11:F1620,F1620)-1)*10000,10)&amp;"}]",7)="[{equip",MID("[{"&amp;M1620&amp;","&amp;CEILING(N1620*10000+(O1620-N1620)/4*(COUNTIF($F$11:F1620,F1620)-1)*10000,10)&amp;"}]",8,1)&lt;&gt;"_"),"[{"&amp;M1620&amp;","&amp;1&amp;"}]","[{"&amp;M1620&amp;","&amp;CEILING(N1620*10000+(O1620-N1620)/4*(COUNTIF($F$11:F1620,F1620)-1)*10000,10)&amp;"}]")</f>
        <v>[{summon_dmg_red_rate,240}]</v>
      </c>
      <c r="H1620" s="82" t="s">
        <v>563</v>
      </c>
      <c r="J1620" s="78">
        <f ca="1">IF(MOD(COUNTIF($Q$11:Q1619,Q1619),5)=0,OFFSET(装备属性!$P$1083,1+INT(COUNTA($Q$11:Q1619)/5),0),J1619)</f>
        <v>3</v>
      </c>
      <c r="K1620" s="83" t="str">
        <f ca="1">IF(RIGHT(G1620,13)="rune_slot,1}]",_xlfn.XLOOKUP(LEFT(SUBSTITUTE(G1620,"[{",""),FIND(",",SUBSTITUTE(G1620,"[{",""))-1),Sheet2!B:B,Sheet2!C:C)&amp;"+"&amp;1,_xlfn.XLOOKUP(LEFT(SUBSTITUTE(G1620,"[{",""),FIND(",",SUBSTITUTE(G1620,"[{",""))-1),Sheet2!B:B,Sheet2!C:C)&amp;"+"&amp;SUBSTITUTE(RIGHT(G1620,LEN(G1620)-FIND(",",G1620)),"}]","")/100&amp;"%")</f>
        <v>召唤伤害减免+2.4%</v>
      </c>
      <c r="L1620" s="83" t="str">
        <f ca="1">IF(MOD(COUNTIF($Q$11:Q1619,Q1619),5)=0,OFFSET(装备属性!$G$1083,1+INT(COUNTA($Q$11:Q1619)/5),0),L1619)</f>
        <v>召唤硬吃Ⅱ</v>
      </c>
      <c r="M1620" s="89" t="str">
        <f ca="1">IF(MOD(COUNTIF($Q$11:Q1619,Q1619),5)=0,OFFSET(装备属性!$H$1083,1+INT(COUNTA($Q$11:Q1619)/5),0),M1619)</f>
        <v>summon_dmg_red_rate</v>
      </c>
      <c r="N1620" s="76">
        <f ca="1">IF(MOD(COUNTIF($Q$11:Q1619,Q1619),5)=0,OFFSET(装备属性!$K$1083,1+INT(COUNTA($Q$11:Q1619)/5),0),N1619)</f>
        <v>0.02</v>
      </c>
      <c r="O1620" s="76">
        <f ca="1">IF(MOD(COUNTIF($Q$11:Q1619,Q1619),5)=0,OFFSET(装备属性!$L$1083,1+INT(COUNTA($Q$11:Q1619)/5),0),O1619)</f>
        <v>0.024</v>
      </c>
      <c r="Q1620" s="89" t="str">
        <f ca="1">IF(MOD(COUNTIF($Q$11:Q1619,Q1619),5)=0,OFFSET(装备属性!$M$1083,1+INT(COUNTA($Q$11:Q1619)/5),0),Q1619)</f>
        <v>通用属性</v>
      </c>
      <c r="R1620" s="83">
        <f ca="1">IF(MOD(COUNTIF($Q$11:Q1619,Q1619),5)=0,10000*SUBSTITUTE(SUBSTITUTE(OFFSET(装备属性!$F$1083,1+INT(COUNTA($Q$11:Q1619)/5),0),"[",""),"]","")+_xlfn.XLOOKUP(C1620,$M$3:$M$7,$N$3:$N$7)*100,R1619)</f>
        <v>60500</v>
      </c>
    </row>
    <row r="1621" customHeight="1" spans="1:18">
      <c r="A1621" s="78" t="str">
        <f ca="1" t="shared" si="75"/>
        <v/>
      </c>
      <c r="B1621" s="82" t="str">
        <f ca="1">IFERROR(R1621+COUNTIFS($R$11:$R1621,R1621),"")</f>
        <v/>
      </c>
      <c r="C1621" s="83">
        <f ca="1">IF(MOD(COUNTIF($Q$11:Q1620,Q1620),5)=0,OFFSET(装备属性!$D$1083,1+INT(COUNTA($Q$11:Q1620)/5),0),C1620)</f>
        <v>0</v>
      </c>
      <c r="D1621" s="82">
        <f t="shared" si="77"/>
        <v>3000</v>
      </c>
      <c r="F1621" s="82" t="str">
        <f ca="1" t="shared" si="76"/>
        <v/>
      </c>
      <c r="G1621" s="78" t="str">
        <f ca="1">IF(AND(LEFT("[{"&amp;M1621&amp;","&amp;CEILING(N1621*10000+(O1621-N1621)/4*(COUNTIF($F$11:F1621,F1621)-1)*10000,10)&amp;"}]",7)="[{equip",MID("[{"&amp;M1621&amp;","&amp;CEILING(N1621*10000+(O1621-N1621)/4*(COUNTIF($F$11:F1621,F1621)-1)*10000,10)&amp;"}]",8,1)&lt;&gt;"_"),"[{"&amp;M1621&amp;","&amp;1&amp;"}]","[{"&amp;M1621&amp;","&amp;CEILING(N1621*10000+(O1621-N1621)/4*(COUNTIF($F$11:F1621,F1621)-1)*10000,10)&amp;"}]")</f>
        <v>[{summon_class_dmg_rate,25500}]</v>
      </c>
      <c r="H1621" s="82" t="s">
        <v>563</v>
      </c>
      <c r="J1621" s="78">
        <f ca="1">IF(MOD(COUNTIF($Q$11:Q1620,Q1620),5)=0,OFFSET(装备属性!$P$1083,1+INT(COUNTA($Q$11:Q1620)/5),0),J1620)</f>
        <v>4</v>
      </c>
      <c r="K1621" s="83" t="str">
        <f ca="1">IF(RIGHT(G1621,13)="rune_slot,1}]",_xlfn.XLOOKUP(LEFT(SUBSTITUTE(G1621,"[{",""),FIND(",",SUBSTITUTE(G1621,"[{",""))-1),Sheet2!B:B,Sheet2!C:C)&amp;"+"&amp;1,_xlfn.XLOOKUP(LEFT(SUBSTITUTE(G1621,"[{",""),FIND(",",SUBSTITUTE(G1621,"[{",""))-1),Sheet2!B:B,Sheet2!C:C)&amp;"+"&amp;SUBSTITUTE(RIGHT(G1621,LEN(G1621)-FIND(",",G1621)),"}]","")/100&amp;"%")</f>
        <v>上阵两个召唤职业增伤+255%</v>
      </c>
      <c r="L1621" s="83" t="str">
        <f ca="1">IF(MOD(COUNTIF($Q$11:Q1620,Q1620),5)=0,OFFSET(装备属性!$G$1083,1+INT(COUNTA($Q$11:Q1620)/5),0),L1620)</f>
        <v>召唤小队Ⅱ</v>
      </c>
      <c r="M1621" s="89" t="str">
        <f ca="1">IF(MOD(COUNTIF($Q$11:Q1620,Q1620),5)=0,OFFSET(装备属性!$H$1083,1+INT(COUNTA($Q$11:Q1620)/5),0),M1620)</f>
        <v>summon_class_dmg_rate</v>
      </c>
      <c r="N1621" s="76">
        <f ca="1">IF(MOD(COUNTIF($Q$11:Q1620,Q1620),5)=0,OFFSET(装备属性!$K$1083,1+INT(COUNTA($Q$11:Q1620)/5),0),N1620)</f>
        <v>0.075</v>
      </c>
      <c r="O1621" s="76">
        <f ca="1">IF(MOD(COUNTIF($Q$11:Q1620,Q1620),5)=0,OFFSET(装备属性!$L$1083,1+INT(COUNTA($Q$11:Q1620)/5),0),O1620)</f>
        <v>0.09</v>
      </c>
      <c r="Q1621" s="89" t="str">
        <f ca="1">IF(MOD(COUNTIF($Q$11:Q1620,Q1620),5)=0,OFFSET(装备属性!$M$1083,1+INT(COUNTA($Q$11:Q1620)/5),0),Q1620)</f>
        <v>通用属性</v>
      </c>
      <c r="R1621" s="83" t="e">
        <f ca="1">IF(MOD(COUNTIF($Q$11:Q1620,Q1620),5)=0,10000*SUBSTITUTE(SUBSTITUTE(OFFSET(装备属性!$F$1083,1+INT(COUNTA($Q$11:Q1620)/5),0),"[",""),"]","")+_xlfn.XLOOKUP(C1621,$M$3:$M$7,$N$3:$N$7)*100,R1620)</f>
        <v>#N/A</v>
      </c>
    </row>
    <row r="1622" customHeight="1" spans="1:18">
      <c r="A1622" s="78" t="str">
        <f ca="1" t="shared" si="75"/>
        <v/>
      </c>
      <c r="B1622" s="82" t="str">
        <f ca="1">IFERROR(R1622+COUNTIFS($R$11:$R1622,R1622),"")</f>
        <v/>
      </c>
      <c r="C1622" s="83">
        <f ca="1">IF(MOD(COUNTIF($Q$11:Q1621,Q1621),5)=0,OFFSET(装备属性!$D$1083,1+INT(COUNTA($Q$11:Q1621)/5),0),C1621)</f>
        <v>0</v>
      </c>
      <c r="D1622" s="82">
        <f t="shared" si="77"/>
        <v>2500</v>
      </c>
      <c r="F1622" s="82" t="str">
        <f ca="1" t="shared" si="76"/>
        <v/>
      </c>
      <c r="G1622" s="78" t="str">
        <f ca="1">IF(AND(LEFT("[{"&amp;M1622&amp;","&amp;CEILING(N1622*10000+(O1622-N1622)/4*(COUNTIF($F$11:F1622,F1622)-1)*10000,10)&amp;"}]",7)="[{equip",MID("[{"&amp;M1622&amp;","&amp;CEILING(N1622*10000+(O1622-N1622)/4*(COUNTIF($F$11:F1622,F1622)-1)*10000,10)&amp;"}]",8,1)&lt;&gt;"_"),"[{"&amp;M1622&amp;","&amp;1&amp;"}]","[{"&amp;M1622&amp;","&amp;CEILING(N1622*10000+(O1622-N1622)/4*(COUNTIF($F$11:F1622,F1622)-1)*10000,10)&amp;"}]")</f>
        <v>[{summon_class_dmg_rate,25540}]</v>
      </c>
      <c r="H1622" s="82" t="s">
        <v>563</v>
      </c>
      <c r="J1622" s="78">
        <f ca="1">IF(MOD(COUNTIF($Q$11:Q1621,Q1621),5)=0,OFFSET(装备属性!$P$1083,1+INT(COUNTA($Q$11:Q1621)/5),0),J1621)</f>
        <v>4</v>
      </c>
      <c r="K1622" s="83" t="str">
        <f ca="1">IF(RIGHT(G1622,13)="rune_slot,1}]",_xlfn.XLOOKUP(LEFT(SUBSTITUTE(G1622,"[{",""),FIND(",",SUBSTITUTE(G1622,"[{",""))-1),Sheet2!B:B,Sheet2!C:C)&amp;"+"&amp;1,_xlfn.XLOOKUP(LEFT(SUBSTITUTE(G1622,"[{",""),FIND(",",SUBSTITUTE(G1622,"[{",""))-1),Sheet2!B:B,Sheet2!C:C)&amp;"+"&amp;SUBSTITUTE(RIGHT(G1622,LEN(G1622)-FIND(",",G1622)),"}]","")/100&amp;"%")</f>
        <v>上阵两个召唤职业增伤+255.4%</v>
      </c>
      <c r="L1622" s="83" t="str">
        <f ca="1">IF(MOD(COUNTIF($Q$11:Q1621,Q1621),5)=0,OFFSET(装备属性!$G$1083,1+INT(COUNTA($Q$11:Q1621)/5),0),L1621)</f>
        <v>召唤小队Ⅱ</v>
      </c>
      <c r="M1622" s="89" t="str">
        <f ca="1">IF(MOD(COUNTIF($Q$11:Q1621,Q1621),5)=0,OFFSET(装备属性!$H$1083,1+INT(COUNTA($Q$11:Q1621)/5),0),M1621)</f>
        <v>summon_class_dmg_rate</v>
      </c>
      <c r="N1622" s="76">
        <f ca="1">IF(MOD(COUNTIF($Q$11:Q1621,Q1621),5)=0,OFFSET(装备属性!$K$1083,1+INT(COUNTA($Q$11:Q1621)/5),0),N1621)</f>
        <v>0.075</v>
      </c>
      <c r="O1622" s="76">
        <f ca="1">IF(MOD(COUNTIF($Q$11:Q1621,Q1621),5)=0,OFFSET(装备属性!$L$1083,1+INT(COUNTA($Q$11:Q1621)/5),0),O1621)</f>
        <v>0.09</v>
      </c>
      <c r="Q1622" s="89" t="str">
        <f ca="1">IF(MOD(COUNTIF($Q$11:Q1621,Q1621),5)=0,OFFSET(装备属性!$M$1083,1+INT(COUNTA($Q$11:Q1621)/5),0),Q1621)</f>
        <v>通用属性</v>
      </c>
      <c r="R1622" s="83" t="e">
        <f ca="1">IF(MOD(COUNTIF($Q$11:Q1621,Q1621),5)=0,10000*SUBSTITUTE(SUBSTITUTE(OFFSET(装备属性!$F$1083,1+INT(COUNTA($Q$11:Q1621)/5),0),"[",""),"]","")+_xlfn.XLOOKUP(C1622,$M$3:$M$7,$N$3:$N$7)*100,R1621)</f>
        <v>#N/A</v>
      </c>
    </row>
    <row r="1623" customHeight="1" spans="1:18">
      <c r="A1623" s="78" t="str">
        <f ca="1" t="shared" si="75"/>
        <v/>
      </c>
      <c r="B1623" s="82" t="str">
        <f ca="1">IFERROR(R1623+COUNTIFS($R$11:$R1623,R1623),"")</f>
        <v/>
      </c>
      <c r="C1623" s="83">
        <f ca="1">IF(MOD(COUNTIF($Q$11:Q1622,Q1622),5)=0,OFFSET(装备属性!$D$1083,1+INT(COUNTA($Q$11:Q1622)/5),0),C1622)</f>
        <v>0</v>
      </c>
      <c r="D1623" s="82">
        <f t="shared" si="77"/>
        <v>2000</v>
      </c>
      <c r="F1623" s="82" t="str">
        <f ca="1" t="shared" si="76"/>
        <v/>
      </c>
      <c r="G1623" s="78" t="str">
        <f ca="1">IF(AND(LEFT("[{"&amp;M1623&amp;","&amp;CEILING(N1623*10000+(O1623-N1623)/4*(COUNTIF($F$11:F1623,F1623)-1)*10000,10)&amp;"}]",7)="[{equip",MID("[{"&amp;M1623&amp;","&amp;CEILING(N1623*10000+(O1623-N1623)/4*(COUNTIF($F$11:F1623,F1623)-1)*10000,10)&amp;"}]",8,1)&lt;&gt;"_"),"[{"&amp;M1623&amp;","&amp;1&amp;"}]","[{"&amp;M1623&amp;","&amp;CEILING(N1623*10000+(O1623-N1623)/4*(COUNTIF($F$11:F1623,F1623)-1)*10000,10)&amp;"}]")</f>
        <v>[{summon_class_dmg_rate,25580}]</v>
      </c>
      <c r="H1623" s="82" t="s">
        <v>563</v>
      </c>
      <c r="J1623" s="78">
        <f ca="1">IF(MOD(COUNTIF($Q$11:Q1622,Q1622),5)=0,OFFSET(装备属性!$P$1083,1+INT(COUNTA($Q$11:Q1622)/5),0),J1622)</f>
        <v>4</v>
      </c>
      <c r="K1623" s="83" t="str">
        <f ca="1">IF(RIGHT(G1623,13)="rune_slot,1}]",_xlfn.XLOOKUP(LEFT(SUBSTITUTE(G1623,"[{",""),FIND(",",SUBSTITUTE(G1623,"[{",""))-1),Sheet2!B:B,Sheet2!C:C)&amp;"+"&amp;1,_xlfn.XLOOKUP(LEFT(SUBSTITUTE(G1623,"[{",""),FIND(",",SUBSTITUTE(G1623,"[{",""))-1),Sheet2!B:B,Sheet2!C:C)&amp;"+"&amp;SUBSTITUTE(RIGHT(G1623,LEN(G1623)-FIND(",",G1623)),"}]","")/100&amp;"%")</f>
        <v>上阵两个召唤职业增伤+255.8%</v>
      </c>
      <c r="L1623" s="83" t="str">
        <f ca="1">IF(MOD(COUNTIF($Q$11:Q1622,Q1622),5)=0,OFFSET(装备属性!$G$1083,1+INT(COUNTA($Q$11:Q1622)/5),0),L1622)</f>
        <v>召唤小队Ⅱ</v>
      </c>
      <c r="M1623" s="89" t="str">
        <f ca="1">IF(MOD(COUNTIF($Q$11:Q1622,Q1622),5)=0,OFFSET(装备属性!$H$1083,1+INT(COUNTA($Q$11:Q1622)/5),0),M1622)</f>
        <v>summon_class_dmg_rate</v>
      </c>
      <c r="N1623" s="76">
        <f ca="1">IF(MOD(COUNTIF($Q$11:Q1622,Q1622),5)=0,OFFSET(装备属性!$K$1083,1+INT(COUNTA($Q$11:Q1622)/5),0),N1622)</f>
        <v>0.075</v>
      </c>
      <c r="O1623" s="76">
        <f ca="1">IF(MOD(COUNTIF($Q$11:Q1622,Q1622),5)=0,OFFSET(装备属性!$L$1083,1+INT(COUNTA($Q$11:Q1622)/5),0),O1622)</f>
        <v>0.09</v>
      </c>
      <c r="Q1623" s="89" t="str">
        <f ca="1">IF(MOD(COUNTIF($Q$11:Q1622,Q1622),5)=0,OFFSET(装备属性!$M$1083,1+INT(COUNTA($Q$11:Q1622)/5),0),Q1622)</f>
        <v>通用属性</v>
      </c>
      <c r="R1623" s="83" t="e">
        <f ca="1">IF(MOD(COUNTIF($Q$11:Q1622,Q1622),5)=0,10000*SUBSTITUTE(SUBSTITUTE(OFFSET(装备属性!$F$1083,1+INT(COUNTA($Q$11:Q1622)/5),0),"[",""),"]","")+_xlfn.XLOOKUP(C1623,$M$3:$M$7,$N$3:$N$7)*100,R1622)</f>
        <v>#N/A</v>
      </c>
    </row>
    <row r="1624" customHeight="1" spans="1:18">
      <c r="A1624" s="78" t="str">
        <f ca="1" t="shared" si="75"/>
        <v/>
      </c>
      <c r="B1624" s="82" t="str">
        <f ca="1">IFERROR(R1624+COUNTIFS($R$11:$R1624,R1624),"")</f>
        <v/>
      </c>
      <c r="C1624" s="83">
        <f ca="1">IF(MOD(COUNTIF($Q$11:Q1623,Q1623),5)=0,OFFSET(装备属性!$D$1083,1+INT(COUNTA($Q$11:Q1623)/5),0),C1623)</f>
        <v>0</v>
      </c>
      <c r="D1624" s="82">
        <f t="shared" si="77"/>
        <v>1500</v>
      </c>
      <c r="F1624" s="82" t="str">
        <f ca="1" t="shared" si="76"/>
        <v/>
      </c>
      <c r="G1624" s="78" t="str">
        <f ca="1">IF(AND(LEFT("[{"&amp;M1624&amp;","&amp;CEILING(N1624*10000+(O1624-N1624)/4*(COUNTIF($F$11:F1624,F1624)-1)*10000,10)&amp;"}]",7)="[{equip",MID("[{"&amp;M1624&amp;","&amp;CEILING(N1624*10000+(O1624-N1624)/4*(COUNTIF($F$11:F1624,F1624)-1)*10000,10)&amp;"}]",8,1)&lt;&gt;"_"),"[{"&amp;M1624&amp;","&amp;1&amp;"}]","[{"&amp;M1624&amp;","&amp;CEILING(N1624*10000+(O1624-N1624)/4*(COUNTIF($F$11:F1624,F1624)-1)*10000,10)&amp;"}]")</f>
        <v>[{summon_class_dmg_rate,25620}]</v>
      </c>
      <c r="H1624" s="82" t="s">
        <v>563</v>
      </c>
      <c r="J1624" s="78">
        <f ca="1">IF(MOD(COUNTIF($Q$11:Q1623,Q1623),5)=0,OFFSET(装备属性!$P$1083,1+INT(COUNTA($Q$11:Q1623)/5),0),J1623)</f>
        <v>4</v>
      </c>
      <c r="K1624" s="83" t="str">
        <f ca="1">IF(RIGHT(G1624,13)="rune_slot,1}]",_xlfn.XLOOKUP(LEFT(SUBSTITUTE(G1624,"[{",""),FIND(",",SUBSTITUTE(G1624,"[{",""))-1),Sheet2!B:B,Sheet2!C:C)&amp;"+"&amp;1,_xlfn.XLOOKUP(LEFT(SUBSTITUTE(G1624,"[{",""),FIND(",",SUBSTITUTE(G1624,"[{",""))-1),Sheet2!B:B,Sheet2!C:C)&amp;"+"&amp;SUBSTITUTE(RIGHT(G1624,LEN(G1624)-FIND(",",G1624)),"}]","")/100&amp;"%")</f>
        <v>上阵两个召唤职业增伤+256.2%</v>
      </c>
      <c r="L1624" s="83" t="str">
        <f ca="1">IF(MOD(COUNTIF($Q$11:Q1623,Q1623),5)=0,OFFSET(装备属性!$G$1083,1+INT(COUNTA($Q$11:Q1623)/5),0),L1623)</f>
        <v>召唤小队Ⅱ</v>
      </c>
      <c r="M1624" s="89" t="str">
        <f ca="1">IF(MOD(COUNTIF($Q$11:Q1623,Q1623),5)=0,OFFSET(装备属性!$H$1083,1+INT(COUNTA($Q$11:Q1623)/5),0),M1623)</f>
        <v>summon_class_dmg_rate</v>
      </c>
      <c r="N1624" s="76">
        <f ca="1">IF(MOD(COUNTIF($Q$11:Q1623,Q1623),5)=0,OFFSET(装备属性!$K$1083,1+INT(COUNTA($Q$11:Q1623)/5),0),N1623)</f>
        <v>0.075</v>
      </c>
      <c r="O1624" s="76">
        <f ca="1">IF(MOD(COUNTIF($Q$11:Q1623,Q1623),5)=0,OFFSET(装备属性!$L$1083,1+INT(COUNTA($Q$11:Q1623)/5),0),O1623)</f>
        <v>0.09</v>
      </c>
      <c r="Q1624" s="89" t="str">
        <f ca="1">IF(MOD(COUNTIF($Q$11:Q1623,Q1623),5)=0,OFFSET(装备属性!$M$1083,1+INT(COUNTA($Q$11:Q1623)/5),0),Q1623)</f>
        <v>通用属性</v>
      </c>
      <c r="R1624" s="83" t="e">
        <f ca="1">IF(MOD(COUNTIF($Q$11:Q1623,Q1623),5)=0,10000*SUBSTITUTE(SUBSTITUTE(OFFSET(装备属性!$F$1083,1+INT(COUNTA($Q$11:Q1623)/5),0),"[",""),"]","")+_xlfn.XLOOKUP(C1624,$M$3:$M$7,$N$3:$N$7)*100,R1623)</f>
        <v>#N/A</v>
      </c>
    </row>
    <row r="1625" customHeight="1" spans="1:18">
      <c r="A1625" s="78" t="str">
        <f ca="1" t="shared" si="75"/>
        <v/>
      </c>
      <c r="B1625" s="82" t="str">
        <f ca="1">IFERROR(R1625+COUNTIFS($R$11:$R1625,R1625),"")</f>
        <v/>
      </c>
      <c r="C1625" s="83">
        <f ca="1">IF(MOD(COUNTIF($Q$11:Q1624,Q1624),5)=0,OFFSET(装备属性!$D$1083,1+INT(COUNTA($Q$11:Q1624)/5),0),C1624)</f>
        <v>0</v>
      </c>
      <c r="D1625" s="82">
        <f t="shared" si="77"/>
        <v>1000</v>
      </c>
      <c r="F1625" s="82" t="str">
        <f ca="1" t="shared" si="76"/>
        <v/>
      </c>
      <c r="G1625" s="78" t="str">
        <f ca="1">IF(AND(LEFT("[{"&amp;M1625&amp;","&amp;CEILING(N1625*10000+(O1625-N1625)/4*(COUNTIF($F$11:F1625,F1625)-1)*10000,10)&amp;"}]",7)="[{equip",MID("[{"&amp;M1625&amp;","&amp;CEILING(N1625*10000+(O1625-N1625)/4*(COUNTIF($F$11:F1625,F1625)-1)*10000,10)&amp;"}]",8,1)&lt;&gt;"_"),"[{"&amp;M1625&amp;","&amp;1&amp;"}]","[{"&amp;M1625&amp;","&amp;CEILING(N1625*10000+(O1625-N1625)/4*(COUNTIF($F$11:F1625,F1625)-1)*10000,10)&amp;"}]")</f>
        <v>[{summon_class_dmg_rate,25650}]</v>
      </c>
      <c r="H1625" s="82" t="s">
        <v>563</v>
      </c>
      <c r="J1625" s="78">
        <f ca="1">IF(MOD(COUNTIF($Q$11:Q1624,Q1624),5)=0,OFFSET(装备属性!$P$1083,1+INT(COUNTA($Q$11:Q1624)/5),0),J1624)</f>
        <v>4</v>
      </c>
      <c r="K1625" s="83" t="str">
        <f ca="1">IF(RIGHT(G1625,13)="rune_slot,1}]",_xlfn.XLOOKUP(LEFT(SUBSTITUTE(G1625,"[{",""),FIND(",",SUBSTITUTE(G1625,"[{",""))-1),Sheet2!B:B,Sheet2!C:C)&amp;"+"&amp;1,_xlfn.XLOOKUP(LEFT(SUBSTITUTE(G1625,"[{",""),FIND(",",SUBSTITUTE(G1625,"[{",""))-1),Sheet2!B:B,Sheet2!C:C)&amp;"+"&amp;SUBSTITUTE(RIGHT(G1625,LEN(G1625)-FIND(",",G1625)),"}]","")/100&amp;"%")</f>
        <v>上阵两个召唤职业增伤+256.5%</v>
      </c>
      <c r="L1625" s="83" t="str">
        <f ca="1">IF(MOD(COUNTIF($Q$11:Q1624,Q1624),5)=0,OFFSET(装备属性!$G$1083,1+INT(COUNTA($Q$11:Q1624)/5),0),L1624)</f>
        <v>召唤小队Ⅱ</v>
      </c>
      <c r="M1625" s="89" t="str">
        <f ca="1">IF(MOD(COUNTIF($Q$11:Q1624,Q1624),5)=0,OFFSET(装备属性!$H$1083,1+INT(COUNTA($Q$11:Q1624)/5),0),M1624)</f>
        <v>summon_class_dmg_rate</v>
      </c>
      <c r="N1625" s="76">
        <f ca="1">IF(MOD(COUNTIF($Q$11:Q1624,Q1624),5)=0,OFFSET(装备属性!$K$1083,1+INT(COUNTA($Q$11:Q1624)/5),0),N1624)</f>
        <v>0.075</v>
      </c>
      <c r="O1625" s="76">
        <f ca="1">IF(MOD(COUNTIF($Q$11:Q1624,Q1624),5)=0,OFFSET(装备属性!$L$1083,1+INT(COUNTA($Q$11:Q1624)/5),0),O1624)</f>
        <v>0.09</v>
      </c>
      <c r="Q1625" s="89" t="str">
        <f ca="1">IF(MOD(COUNTIF($Q$11:Q1624,Q1624),5)=0,OFFSET(装备属性!$M$1083,1+INT(COUNTA($Q$11:Q1624)/5),0),Q1624)</f>
        <v>通用属性</v>
      </c>
      <c r="R1625" s="83" t="e">
        <f ca="1">IF(MOD(COUNTIF($Q$11:Q1624,Q1624),5)=0,10000*SUBSTITUTE(SUBSTITUTE(OFFSET(装备属性!$F$1083,1+INT(COUNTA($Q$11:Q1624)/5),0),"[",""),"]","")+_xlfn.XLOOKUP(C1625,$M$3:$M$7,$N$3:$N$7)*100,R1624)</f>
        <v>#N/A</v>
      </c>
    </row>
    <row r="1626" customHeight="1" spans="1:18">
      <c r="A1626" s="78">
        <f ca="1" t="shared" si="75"/>
        <v>60501</v>
      </c>
      <c r="B1626" s="82">
        <f ca="1">IFERROR(R1626+COUNTIFS($R$11:$R1626,R1626),"")</f>
        <v>60521</v>
      </c>
      <c r="C1626" s="83" t="str">
        <f ca="1">IF(MOD(COUNTIF($Q$11:Q1625,Q1625),5)=0,OFFSET(装备属性!$D$1083,1+INT(COUNTA($Q$11:Q1625)/5),0),C1625)</f>
        <v>橙</v>
      </c>
      <c r="D1626" s="82">
        <f t="shared" si="77"/>
        <v>3000</v>
      </c>
      <c r="F1626" s="82">
        <f ca="1" t="shared" si="76"/>
        <v>60504</v>
      </c>
      <c r="G1626" s="78" t="str">
        <f ca="1">IF(AND(LEFT("[{"&amp;M1626&amp;","&amp;CEILING(N1626*10000+(O1626-N1626)/4*(COUNTIF($F$11:F1626,F1626)-1)*10000,10)&amp;"}]",7)="[{equip",MID("[{"&amp;M1626&amp;","&amp;CEILING(N1626*10000+(O1626-N1626)/4*(COUNTIF($F$11:F1626,F1626)-1)*10000,10)&amp;"}]",8,1)&lt;&gt;"_"),"[{"&amp;M1626&amp;","&amp;1&amp;"}]","[{"&amp;M1626&amp;","&amp;CEILING(N1626*10000+(O1626-N1626)/4*(COUNTIF($F$11:F1626,F1626)-1)*10000,10)&amp;"}]")</f>
        <v>[{summon_crit_dmg,2400}]</v>
      </c>
      <c r="H1626" s="82" t="s">
        <v>563</v>
      </c>
      <c r="J1626" s="78">
        <f ca="1">IF(MOD(COUNTIF($Q$11:Q1625,Q1625),5)=0,OFFSET(装备属性!$P$1083,1+INT(COUNTA($Q$11:Q1625)/5),0),J1625)</f>
        <v>10</v>
      </c>
      <c r="K1626" s="83" t="str">
        <f ca="1">IF(RIGHT(G1626,13)="rune_slot,1}]",_xlfn.XLOOKUP(LEFT(SUBSTITUTE(G1626,"[{",""),FIND(",",SUBSTITUTE(G1626,"[{",""))-1),Sheet2!B:B,Sheet2!C:C)&amp;"+"&amp;1,_xlfn.XLOOKUP(LEFT(SUBSTITUTE(G1626,"[{",""),FIND(",",SUBSTITUTE(G1626,"[{",""))-1),Sheet2!B:B,Sheet2!C:C)&amp;"+"&amp;SUBSTITUTE(RIGHT(G1626,LEN(G1626)-FIND(",",G1626)),"}]","")/100&amp;"%")</f>
        <v>召唤暴击伤害+24%</v>
      </c>
      <c r="L1626" s="83" t="str">
        <f ca="1">IF(MOD(COUNTIF($Q$11:Q1625,Q1625),5)=0,OFFSET(装备属性!$G$1083,1+INT(COUNTA($Q$11:Q1625)/5),0),L1625)</f>
        <v>暴走召唤Ⅱ</v>
      </c>
      <c r="M1626" s="89" t="str">
        <f ca="1">IF(MOD(COUNTIF($Q$11:Q1625,Q1625),5)=0,OFFSET(装备属性!$H$1083,1+INT(COUNTA($Q$11:Q1625)/5),0),M1625)</f>
        <v>summon_crit_dmg</v>
      </c>
      <c r="N1626" s="76">
        <f ca="1">IF(MOD(COUNTIF($Q$11:Q1625,Q1625),5)=0,OFFSET(装备属性!$K$1083,1+INT(COUNTA($Q$11:Q1625)/5),0),N1625)</f>
        <v>0.24</v>
      </c>
      <c r="O1626" s="76">
        <f ca="1">IF(MOD(COUNTIF($Q$11:Q1625,Q1625),5)=0,OFFSET(装备属性!$L$1083,1+INT(COUNTA($Q$11:Q1625)/5),0),O1625)</f>
        <v>0.27</v>
      </c>
      <c r="Q1626" s="89" t="str">
        <f ca="1">IF(MOD(COUNTIF($Q$11:Q1625,Q1625),5)=0,OFFSET(装备属性!$M$1083,1+INT(COUNTA($Q$11:Q1625)/5),0),Q1625)</f>
        <v>通用属性</v>
      </c>
      <c r="R1626" s="83">
        <f ca="1">IF(MOD(COUNTIF($Q$11:Q1625,Q1625),5)=0,10000*SUBSTITUTE(SUBSTITUTE(OFFSET(装备属性!$F$1083,1+INT(COUNTA($Q$11:Q1625)/5),0),"[",""),"]","")+_xlfn.XLOOKUP(C1626,$M$3:$M$7,$N$3:$N$7)*100,R1625)</f>
        <v>60500</v>
      </c>
    </row>
    <row r="1627" customHeight="1" spans="1:18">
      <c r="A1627" s="78">
        <f ca="1" t="shared" si="75"/>
        <v>60501</v>
      </c>
      <c r="B1627" s="82">
        <f ca="1">IFERROR(R1627+COUNTIFS($R$11:$R1627,R1627),"")</f>
        <v>60522</v>
      </c>
      <c r="C1627" s="83" t="str">
        <f ca="1">IF(MOD(COUNTIF($Q$11:Q1626,Q1626),5)=0,OFFSET(装备属性!$D$1083,1+INT(COUNTA($Q$11:Q1626)/5),0),C1626)</f>
        <v>橙</v>
      </c>
      <c r="D1627" s="82">
        <f t="shared" si="77"/>
        <v>2500</v>
      </c>
      <c r="F1627" s="82">
        <f ca="1" t="shared" si="76"/>
        <v>60504</v>
      </c>
      <c r="G1627" s="78" t="str">
        <f ca="1">IF(AND(LEFT("[{"&amp;M1627&amp;","&amp;CEILING(N1627*10000+(O1627-N1627)/4*(COUNTIF($F$11:F1627,F1627)-1)*10000,10)&amp;"}]",7)="[{equip",MID("[{"&amp;M1627&amp;","&amp;CEILING(N1627*10000+(O1627-N1627)/4*(COUNTIF($F$11:F1627,F1627)-1)*10000,10)&amp;"}]",8,1)&lt;&gt;"_"),"[{"&amp;M1627&amp;","&amp;1&amp;"}]","[{"&amp;M1627&amp;","&amp;CEILING(N1627*10000+(O1627-N1627)/4*(COUNTIF($F$11:F1627,F1627)-1)*10000,10)&amp;"}]")</f>
        <v>[{summon_crit_dmg,2480}]</v>
      </c>
      <c r="H1627" s="82" t="s">
        <v>563</v>
      </c>
      <c r="J1627" s="78">
        <f ca="1">IF(MOD(COUNTIF($Q$11:Q1626,Q1626),5)=0,OFFSET(装备属性!$P$1083,1+INT(COUNTA($Q$11:Q1626)/5),0),J1626)</f>
        <v>10</v>
      </c>
      <c r="K1627" s="83" t="str">
        <f ca="1">IF(RIGHT(G1627,13)="rune_slot,1}]",_xlfn.XLOOKUP(LEFT(SUBSTITUTE(G1627,"[{",""),FIND(",",SUBSTITUTE(G1627,"[{",""))-1),Sheet2!B:B,Sheet2!C:C)&amp;"+"&amp;1,_xlfn.XLOOKUP(LEFT(SUBSTITUTE(G1627,"[{",""),FIND(",",SUBSTITUTE(G1627,"[{",""))-1),Sheet2!B:B,Sheet2!C:C)&amp;"+"&amp;SUBSTITUTE(RIGHT(G1627,LEN(G1627)-FIND(",",G1627)),"}]","")/100&amp;"%")</f>
        <v>召唤暴击伤害+24.8%</v>
      </c>
      <c r="L1627" s="83" t="str">
        <f ca="1">IF(MOD(COUNTIF($Q$11:Q1626,Q1626),5)=0,OFFSET(装备属性!$G$1083,1+INT(COUNTA($Q$11:Q1626)/5),0),L1626)</f>
        <v>暴走召唤Ⅱ</v>
      </c>
      <c r="M1627" s="89" t="str">
        <f ca="1">IF(MOD(COUNTIF($Q$11:Q1626,Q1626),5)=0,OFFSET(装备属性!$H$1083,1+INT(COUNTA($Q$11:Q1626)/5),0),M1626)</f>
        <v>summon_crit_dmg</v>
      </c>
      <c r="N1627" s="76">
        <f ca="1">IF(MOD(COUNTIF($Q$11:Q1626,Q1626),5)=0,OFFSET(装备属性!$K$1083,1+INT(COUNTA($Q$11:Q1626)/5),0),N1626)</f>
        <v>0.24</v>
      </c>
      <c r="O1627" s="76">
        <f ca="1">IF(MOD(COUNTIF($Q$11:Q1626,Q1626),5)=0,OFFSET(装备属性!$L$1083,1+INT(COUNTA($Q$11:Q1626)/5),0),O1626)</f>
        <v>0.27</v>
      </c>
      <c r="Q1627" s="89" t="str">
        <f ca="1">IF(MOD(COUNTIF($Q$11:Q1626,Q1626),5)=0,OFFSET(装备属性!$M$1083,1+INT(COUNTA($Q$11:Q1626)/5),0),Q1626)</f>
        <v>通用属性</v>
      </c>
      <c r="R1627" s="83">
        <f ca="1">IF(MOD(COUNTIF($Q$11:Q1626,Q1626),5)=0,10000*SUBSTITUTE(SUBSTITUTE(OFFSET(装备属性!$F$1083,1+INT(COUNTA($Q$11:Q1626)/5),0),"[",""),"]","")+_xlfn.XLOOKUP(C1627,$M$3:$M$7,$N$3:$N$7)*100,R1626)</f>
        <v>60500</v>
      </c>
    </row>
    <row r="1628" customHeight="1" spans="1:18">
      <c r="A1628" s="78">
        <f ca="1" t="shared" si="75"/>
        <v>60501</v>
      </c>
      <c r="B1628" s="82">
        <f ca="1">IFERROR(R1628+COUNTIFS($R$11:$R1628,R1628),"")</f>
        <v>60523</v>
      </c>
      <c r="C1628" s="83" t="str">
        <f ca="1">IF(MOD(COUNTIF($Q$11:Q1627,Q1627),5)=0,OFFSET(装备属性!$D$1083,1+INT(COUNTA($Q$11:Q1627)/5),0),C1627)</f>
        <v>橙</v>
      </c>
      <c r="D1628" s="82">
        <f t="shared" si="77"/>
        <v>2000</v>
      </c>
      <c r="F1628" s="82">
        <f ca="1" t="shared" si="76"/>
        <v>60504</v>
      </c>
      <c r="G1628" s="78" t="str">
        <f ca="1">IF(AND(LEFT("[{"&amp;M1628&amp;","&amp;CEILING(N1628*10000+(O1628-N1628)/4*(COUNTIF($F$11:F1628,F1628)-1)*10000,10)&amp;"}]",7)="[{equip",MID("[{"&amp;M1628&amp;","&amp;CEILING(N1628*10000+(O1628-N1628)/4*(COUNTIF($F$11:F1628,F1628)-1)*10000,10)&amp;"}]",8,1)&lt;&gt;"_"),"[{"&amp;M1628&amp;","&amp;1&amp;"}]","[{"&amp;M1628&amp;","&amp;CEILING(N1628*10000+(O1628-N1628)/4*(COUNTIF($F$11:F1628,F1628)-1)*10000,10)&amp;"}]")</f>
        <v>[{summon_crit_dmg,2550}]</v>
      </c>
      <c r="H1628" s="82" t="s">
        <v>563</v>
      </c>
      <c r="J1628" s="78">
        <f ca="1">IF(MOD(COUNTIF($Q$11:Q1627,Q1627),5)=0,OFFSET(装备属性!$P$1083,1+INT(COUNTA($Q$11:Q1627)/5),0),J1627)</f>
        <v>10</v>
      </c>
      <c r="K1628" s="83" t="str">
        <f ca="1">IF(RIGHT(G1628,13)="rune_slot,1}]",_xlfn.XLOOKUP(LEFT(SUBSTITUTE(G1628,"[{",""),FIND(",",SUBSTITUTE(G1628,"[{",""))-1),Sheet2!B:B,Sheet2!C:C)&amp;"+"&amp;1,_xlfn.XLOOKUP(LEFT(SUBSTITUTE(G1628,"[{",""),FIND(",",SUBSTITUTE(G1628,"[{",""))-1),Sheet2!B:B,Sheet2!C:C)&amp;"+"&amp;SUBSTITUTE(RIGHT(G1628,LEN(G1628)-FIND(",",G1628)),"}]","")/100&amp;"%")</f>
        <v>召唤暴击伤害+25.5%</v>
      </c>
      <c r="L1628" s="83" t="str">
        <f ca="1">IF(MOD(COUNTIF($Q$11:Q1627,Q1627),5)=0,OFFSET(装备属性!$G$1083,1+INT(COUNTA($Q$11:Q1627)/5),0),L1627)</f>
        <v>暴走召唤Ⅱ</v>
      </c>
      <c r="M1628" s="89" t="str">
        <f ca="1">IF(MOD(COUNTIF($Q$11:Q1627,Q1627),5)=0,OFFSET(装备属性!$H$1083,1+INT(COUNTA($Q$11:Q1627)/5),0),M1627)</f>
        <v>summon_crit_dmg</v>
      </c>
      <c r="N1628" s="76">
        <f ca="1">IF(MOD(COUNTIF($Q$11:Q1627,Q1627),5)=0,OFFSET(装备属性!$K$1083,1+INT(COUNTA($Q$11:Q1627)/5),0),N1627)</f>
        <v>0.24</v>
      </c>
      <c r="O1628" s="76">
        <f ca="1">IF(MOD(COUNTIF($Q$11:Q1627,Q1627),5)=0,OFFSET(装备属性!$L$1083,1+INT(COUNTA($Q$11:Q1627)/5),0),O1627)</f>
        <v>0.27</v>
      </c>
      <c r="Q1628" s="89" t="str">
        <f ca="1">IF(MOD(COUNTIF($Q$11:Q1627,Q1627),5)=0,OFFSET(装备属性!$M$1083,1+INT(COUNTA($Q$11:Q1627)/5),0),Q1627)</f>
        <v>通用属性</v>
      </c>
      <c r="R1628" s="83">
        <f ca="1">IF(MOD(COUNTIF($Q$11:Q1627,Q1627),5)=0,10000*SUBSTITUTE(SUBSTITUTE(OFFSET(装备属性!$F$1083,1+INT(COUNTA($Q$11:Q1627)/5),0),"[",""),"]","")+_xlfn.XLOOKUP(C1628,$M$3:$M$7,$N$3:$N$7)*100,R1627)</f>
        <v>60500</v>
      </c>
    </row>
    <row r="1629" customHeight="1" spans="1:18">
      <c r="A1629" s="78">
        <f ca="1" t="shared" si="75"/>
        <v>60501</v>
      </c>
      <c r="B1629" s="82">
        <f ca="1">IFERROR(R1629+COUNTIFS($R$11:$R1629,R1629),"")</f>
        <v>60524</v>
      </c>
      <c r="C1629" s="83" t="str">
        <f ca="1">IF(MOD(COUNTIF($Q$11:Q1628,Q1628),5)=0,OFFSET(装备属性!$D$1083,1+INT(COUNTA($Q$11:Q1628)/5),0),C1628)</f>
        <v>橙</v>
      </c>
      <c r="D1629" s="82">
        <f t="shared" si="77"/>
        <v>1500</v>
      </c>
      <c r="F1629" s="82">
        <f ca="1" t="shared" si="76"/>
        <v>60504</v>
      </c>
      <c r="G1629" s="78" t="str">
        <f ca="1">IF(AND(LEFT("[{"&amp;M1629&amp;","&amp;CEILING(N1629*10000+(O1629-N1629)/4*(COUNTIF($F$11:F1629,F1629)-1)*10000,10)&amp;"}]",7)="[{equip",MID("[{"&amp;M1629&amp;","&amp;CEILING(N1629*10000+(O1629-N1629)/4*(COUNTIF($F$11:F1629,F1629)-1)*10000,10)&amp;"}]",8,1)&lt;&gt;"_"),"[{"&amp;M1629&amp;","&amp;1&amp;"}]","[{"&amp;M1629&amp;","&amp;CEILING(N1629*10000+(O1629-N1629)/4*(COUNTIF($F$11:F1629,F1629)-1)*10000,10)&amp;"}]")</f>
        <v>[{summon_crit_dmg,2630}]</v>
      </c>
      <c r="H1629" s="82" t="s">
        <v>563</v>
      </c>
      <c r="J1629" s="78">
        <f ca="1">IF(MOD(COUNTIF($Q$11:Q1628,Q1628),5)=0,OFFSET(装备属性!$P$1083,1+INT(COUNTA($Q$11:Q1628)/5),0),J1628)</f>
        <v>10</v>
      </c>
      <c r="K1629" s="83" t="str">
        <f ca="1">IF(RIGHT(G1629,13)="rune_slot,1}]",_xlfn.XLOOKUP(LEFT(SUBSTITUTE(G1629,"[{",""),FIND(",",SUBSTITUTE(G1629,"[{",""))-1),Sheet2!B:B,Sheet2!C:C)&amp;"+"&amp;1,_xlfn.XLOOKUP(LEFT(SUBSTITUTE(G1629,"[{",""),FIND(",",SUBSTITUTE(G1629,"[{",""))-1),Sheet2!B:B,Sheet2!C:C)&amp;"+"&amp;SUBSTITUTE(RIGHT(G1629,LEN(G1629)-FIND(",",G1629)),"}]","")/100&amp;"%")</f>
        <v>召唤暴击伤害+26.3%</v>
      </c>
      <c r="L1629" s="83" t="str">
        <f ca="1">IF(MOD(COUNTIF($Q$11:Q1628,Q1628),5)=0,OFFSET(装备属性!$G$1083,1+INT(COUNTA($Q$11:Q1628)/5),0),L1628)</f>
        <v>暴走召唤Ⅱ</v>
      </c>
      <c r="M1629" s="89" t="str">
        <f ca="1">IF(MOD(COUNTIF($Q$11:Q1628,Q1628),5)=0,OFFSET(装备属性!$H$1083,1+INT(COUNTA($Q$11:Q1628)/5),0),M1628)</f>
        <v>summon_crit_dmg</v>
      </c>
      <c r="N1629" s="76">
        <f ca="1">IF(MOD(COUNTIF($Q$11:Q1628,Q1628),5)=0,OFFSET(装备属性!$K$1083,1+INT(COUNTA($Q$11:Q1628)/5),0),N1628)</f>
        <v>0.24</v>
      </c>
      <c r="O1629" s="76">
        <f ca="1">IF(MOD(COUNTIF($Q$11:Q1628,Q1628),5)=0,OFFSET(装备属性!$L$1083,1+INT(COUNTA($Q$11:Q1628)/5),0),O1628)</f>
        <v>0.27</v>
      </c>
      <c r="Q1629" s="89" t="str">
        <f ca="1">IF(MOD(COUNTIF($Q$11:Q1628,Q1628),5)=0,OFFSET(装备属性!$M$1083,1+INT(COUNTA($Q$11:Q1628)/5),0),Q1628)</f>
        <v>通用属性</v>
      </c>
      <c r="R1629" s="83">
        <f ca="1">IF(MOD(COUNTIF($Q$11:Q1628,Q1628),5)=0,10000*SUBSTITUTE(SUBSTITUTE(OFFSET(装备属性!$F$1083,1+INT(COUNTA($Q$11:Q1628)/5),0),"[",""),"]","")+_xlfn.XLOOKUP(C1629,$M$3:$M$7,$N$3:$N$7)*100,R1628)</f>
        <v>60500</v>
      </c>
    </row>
    <row r="1630" customHeight="1" spans="1:18">
      <c r="A1630" s="78">
        <f ca="1" t="shared" si="75"/>
        <v>60501</v>
      </c>
      <c r="B1630" s="82">
        <f ca="1">IFERROR(R1630+COUNTIFS($R$11:$R1630,R1630),"")</f>
        <v>60525</v>
      </c>
      <c r="C1630" s="83" t="str">
        <f ca="1">IF(MOD(COUNTIF($Q$11:Q1629,Q1629),5)=0,OFFSET(装备属性!$D$1083,1+INT(COUNTA($Q$11:Q1629)/5),0),C1629)</f>
        <v>橙</v>
      </c>
      <c r="D1630" s="82">
        <f t="shared" si="77"/>
        <v>1000</v>
      </c>
      <c r="F1630" s="82">
        <f ca="1" t="shared" si="76"/>
        <v>60504</v>
      </c>
      <c r="G1630" s="78" t="str">
        <f ca="1">IF(AND(LEFT("[{"&amp;M1630&amp;","&amp;CEILING(N1630*10000+(O1630-N1630)/4*(COUNTIF($F$11:F1630,F1630)-1)*10000,10)&amp;"}]",7)="[{equip",MID("[{"&amp;M1630&amp;","&amp;CEILING(N1630*10000+(O1630-N1630)/4*(COUNTIF($F$11:F1630,F1630)-1)*10000,10)&amp;"}]",8,1)&lt;&gt;"_"),"[{"&amp;M1630&amp;","&amp;1&amp;"}]","[{"&amp;M1630&amp;","&amp;CEILING(N1630*10000+(O1630-N1630)/4*(COUNTIF($F$11:F1630,F1630)-1)*10000,10)&amp;"}]")</f>
        <v>[{summon_crit_dmg,2700}]</v>
      </c>
      <c r="H1630" s="82" t="s">
        <v>563</v>
      </c>
      <c r="J1630" s="78">
        <f ca="1">IF(MOD(COUNTIF($Q$11:Q1629,Q1629),5)=0,OFFSET(装备属性!$P$1083,1+INT(COUNTA($Q$11:Q1629)/5),0),J1629)</f>
        <v>10</v>
      </c>
      <c r="K1630" s="83" t="str">
        <f ca="1">IF(RIGHT(G1630,13)="rune_slot,1}]",_xlfn.XLOOKUP(LEFT(SUBSTITUTE(G1630,"[{",""),FIND(",",SUBSTITUTE(G1630,"[{",""))-1),Sheet2!B:B,Sheet2!C:C)&amp;"+"&amp;1,_xlfn.XLOOKUP(LEFT(SUBSTITUTE(G1630,"[{",""),FIND(",",SUBSTITUTE(G1630,"[{",""))-1),Sheet2!B:B,Sheet2!C:C)&amp;"+"&amp;SUBSTITUTE(RIGHT(G1630,LEN(G1630)-FIND(",",G1630)),"}]","")/100&amp;"%")</f>
        <v>召唤暴击伤害+27%</v>
      </c>
      <c r="L1630" s="83" t="str">
        <f ca="1">IF(MOD(COUNTIF($Q$11:Q1629,Q1629),5)=0,OFFSET(装备属性!$G$1083,1+INT(COUNTA($Q$11:Q1629)/5),0),L1629)</f>
        <v>暴走召唤Ⅱ</v>
      </c>
      <c r="M1630" s="89" t="str">
        <f ca="1">IF(MOD(COUNTIF($Q$11:Q1629,Q1629),5)=0,OFFSET(装备属性!$H$1083,1+INT(COUNTA($Q$11:Q1629)/5),0),M1629)</f>
        <v>summon_crit_dmg</v>
      </c>
      <c r="N1630" s="76">
        <f ca="1">IF(MOD(COUNTIF($Q$11:Q1629,Q1629),5)=0,OFFSET(装备属性!$K$1083,1+INT(COUNTA($Q$11:Q1629)/5),0),N1629)</f>
        <v>0.24</v>
      </c>
      <c r="O1630" s="76">
        <f ca="1">IF(MOD(COUNTIF($Q$11:Q1629,Q1629),5)=0,OFFSET(装备属性!$L$1083,1+INT(COUNTA($Q$11:Q1629)/5),0),O1629)</f>
        <v>0.27</v>
      </c>
      <c r="Q1630" s="89" t="str">
        <f ca="1">IF(MOD(COUNTIF($Q$11:Q1629,Q1629),5)=0,OFFSET(装备属性!$M$1083,1+INT(COUNTA($Q$11:Q1629)/5),0),Q1629)</f>
        <v>通用属性</v>
      </c>
      <c r="R1630" s="83">
        <f ca="1">IF(MOD(COUNTIF($Q$11:Q1629,Q1629),5)=0,10000*SUBSTITUTE(SUBSTITUTE(OFFSET(装备属性!$F$1083,1+INT(COUNTA($Q$11:Q1629)/5),0),"[",""),"]","")+_xlfn.XLOOKUP(C1630,$M$3:$M$7,$N$3:$N$7)*100,R1629)</f>
        <v>60500</v>
      </c>
    </row>
    <row r="1631" customHeight="1" spans="1:18">
      <c r="A1631" s="78" t="str">
        <f ca="1" t="shared" si="75"/>
        <v/>
      </c>
      <c r="B1631" s="82" t="str">
        <f ca="1">IFERROR(R1631+COUNTIFS($R$11:$R1631,R1631),"")</f>
        <v/>
      </c>
      <c r="C1631" s="83">
        <f ca="1">IF(MOD(COUNTIF($Q$11:Q1630,Q1630),5)=0,OFFSET(装备属性!$D$1083,1+INT(COUNTA($Q$11:Q1630)/5),0),C1630)</f>
        <v>0</v>
      </c>
      <c r="D1631" s="82">
        <f t="shared" si="77"/>
        <v>3000</v>
      </c>
      <c r="F1631" s="82" t="str">
        <f ca="1" t="shared" si="76"/>
        <v/>
      </c>
      <c r="G1631" s="78" t="str">
        <f ca="1">IF(AND(LEFT("[{"&amp;M1631&amp;","&amp;CEILING(N1631*10000+(O1631-N1631)/4*(COUNTIF($F$11:F1631,F1631)-1)*10000,10)&amp;"}]",7)="[{equip",MID("[{"&amp;M1631&amp;","&amp;CEILING(N1631*10000+(O1631-N1631)/4*(COUNTIF($F$11:F1631,F1631)-1)*10000,10)&amp;"}]",8,1)&lt;&gt;"_"),"[{"&amp;M1631&amp;","&amp;1&amp;"}]","[{"&amp;M1631&amp;","&amp;CEILING(N1631*10000+(O1631-N1631)/4*(COUNTIF($F$11:F1631,F1631)-1)*10000,10)&amp;"}]")</f>
        <v>[{global_dmg_rate,10500}]</v>
      </c>
      <c r="H1631" s="82" t="s">
        <v>563</v>
      </c>
      <c r="J1631" s="78">
        <f ca="1">IF(MOD(COUNTIF($Q$11:Q1630,Q1630),5)=0,OFFSET(装备属性!$P$1083,1+INT(COUNTA($Q$11:Q1630)/5),0),J1630)</f>
        <v>2</v>
      </c>
      <c r="K1631" s="83" t="str">
        <f ca="1">IF(RIGHT(G1631,13)="rune_slot,1}]",_xlfn.XLOOKUP(LEFT(SUBSTITUTE(G1631,"[{",""),FIND(",",SUBSTITUTE(G1631,"[{",""))-1),Sheet2!B:B,Sheet2!C:C)&amp;"+"&amp;1,_xlfn.XLOOKUP(LEFT(SUBSTITUTE(G1631,"[{",""),FIND(",",SUBSTITUTE(G1631,"[{",""))-1),Sheet2!B:B,Sheet2!C:C)&amp;"+"&amp;SUBSTITUTE(RIGHT(G1631,LEN(G1631)-FIND(",",G1631)),"}]","")/100&amp;"%")</f>
        <v>伤害加成+105%</v>
      </c>
      <c r="L1631" s="83" t="str">
        <f ca="1">IF(MOD(COUNTIF($Q$11:Q1630,Q1630),5)=0,OFFSET(装备属性!$G$1083,1+INT(COUNTA($Q$11:Q1630)/5),0),L1630)</f>
        <v>全职小队Ⅲ</v>
      </c>
      <c r="M1631" s="89" t="str">
        <f ca="1">IF(MOD(COUNTIF($Q$11:Q1630,Q1630),5)=0,OFFSET(装备属性!$H$1083,1+INT(COUNTA($Q$11:Q1630)/5),0),M1630)</f>
        <v>global_dmg_rate</v>
      </c>
      <c r="N1631" s="76">
        <f ca="1">IF(MOD(COUNTIF($Q$11:Q1630,Q1630),5)=0,OFFSET(装备属性!$K$1083,1+INT(COUNTA($Q$11:Q1630)/5),0),N1630)</f>
        <v>0.052</v>
      </c>
      <c r="O1631" s="76">
        <f ca="1">IF(MOD(COUNTIF($Q$11:Q1630,Q1630),5)=0,OFFSET(装备属性!$L$1083,1+INT(COUNTA($Q$11:Q1630)/5),0),O1630)</f>
        <v>0.058</v>
      </c>
      <c r="Q1631" s="89" t="str">
        <f ca="1">IF(MOD(COUNTIF($Q$11:Q1630,Q1630),5)=0,OFFSET(装备属性!$M$1083,1+INT(COUNTA($Q$11:Q1630)/5),0),Q1630)</f>
        <v>通用属性</v>
      </c>
      <c r="R1631" s="83" t="e">
        <f ca="1">IF(MOD(COUNTIF($Q$11:Q1630,Q1630),5)=0,10000*SUBSTITUTE(SUBSTITUTE(OFFSET(装备属性!$F$1083,1+INT(COUNTA($Q$11:Q1630)/5),0),"[",""),"]","")+_xlfn.XLOOKUP(C1631,$M$3:$M$7,$N$3:$N$7)*100,R1630)</f>
        <v>#N/A</v>
      </c>
    </row>
    <row r="1632" customHeight="1" spans="1:18">
      <c r="A1632" s="78" t="str">
        <f ca="1" t="shared" si="75"/>
        <v/>
      </c>
      <c r="B1632" s="82" t="str">
        <f ca="1">IFERROR(R1632+COUNTIFS($R$11:$R1632,R1632),"")</f>
        <v/>
      </c>
      <c r="C1632" s="83">
        <f ca="1">IF(MOD(COUNTIF($Q$11:Q1631,Q1631),5)=0,OFFSET(装备属性!$D$1083,1+INT(COUNTA($Q$11:Q1631)/5),0),C1631)</f>
        <v>0</v>
      </c>
      <c r="D1632" s="82">
        <f t="shared" si="77"/>
        <v>2500</v>
      </c>
      <c r="F1632" s="82" t="str">
        <f ca="1" t="shared" si="76"/>
        <v/>
      </c>
      <c r="G1632" s="78" t="str">
        <f ca="1">IF(AND(LEFT("[{"&amp;M1632&amp;","&amp;CEILING(N1632*10000+(O1632-N1632)/4*(COUNTIF($F$11:F1632,F1632)-1)*10000,10)&amp;"}]",7)="[{equip",MID("[{"&amp;M1632&amp;","&amp;CEILING(N1632*10000+(O1632-N1632)/4*(COUNTIF($F$11:F1632,F1632)-1)*10000,10)&amp;"}]",8,1)&lt;&gt;"_"),"[{"&amp;M1632&amp;","&amp;1&amp;"}]","[{"&amp;M1632&amp;","&amp;CEILING(N1632*10000+(O1632-N1632)/4*(COUNTIF($F$11:F1632,F1632)-1)*10000,10)&amp;"}]")</f>
        <v>[{global_dmg_rate,10520}]</v>
      </c>
      <c r="H1632" s="82" t="s">
        <v>563</v>
      </c>
      <c r="J1632" s="78">
        <f ca="1">IF(MOD(COUNTIF($Q$11:Q1631,Q1631),5)=0,OFFSET(装备属性!$P$1083,1+INT(COUNTA($Q$11:Q1631)/5),0),J1631)</f>
        <v>2</v>
      </c>
      <c r="K1632" s="83" t="str">
        <f ca="1">IF(RIGHT(G1632,13)="rune_slot,1}]",_xlfn.XLOOKUP(LEFT(SUBSTITUTE(G1632,"[{",""),FIND(",",SUBSTITUTE(G1632,"[{",""))-1),Sheet2!B:B,Sheet2!C:C)&amp;"+"&amp;1,_xlfn.XLOOKUP(LEFT(SUBSTITUTE(G1632,"[{",""),FIND(",",SUBSTITUTE(G1632,"[{",""))-1),Sheet2!B:B,Sheet2!C:C)&amp;"+"&amp;SUBSTITUTE(RIGHT(G1632,LEN(G1632)-FIND(",",G1632)),"}]","")/100&amp;"%")</f>
        <v>伤害加成+105.2%</v>
      </c>
      <c r="L1632" s="83" t="str">
        <f ca="1">IF(MOD(COUNTIF($Q$11:Q1631,Q1631),5)=0,OFFSET(装备属性!$G$1083,1+INT(COUNTA($Q$11:Q1631)/5),0),L1631)</f>
        <v>全职小队Ⅲ</v>
      </c>
      <c r="M1632" s="89" t="str">
        <f ca="1">IF(MOD(COUNTIF($Q$11:Q1631,Q1631),5)=0,OFFSET(装备属性!$H$1083,1+INT(COUNTA($Q$11:Q1631)/5),0),M1631)</f>
        <v>global_dmg_rate</v>
      </c>
      <c r="N1632" s="76">
        <f ca="1">IF(MOD(COUNTIF($Q$11:Q1631,Q1631),5)=0,OFFSET(装备属性!$K$1083,1+INT(COUNTA($Q$11:Q1631)/5),0),N1631)</f>
        <v>0.052</v>
      </c>
      <c r="O1632" s="76">
        <f ca="1">IF(MOD(COUNTIF($Q$11:Q1631,Q1631),5)=0,OFFSET(装备属性!$L$1083,1+INT(COUNTA($Q$11:Q1631)/5),0),O1631)</f>
        <v>0.058</v>
      </c>
      <c r="Q1632" s="89" t="str">
        <f ca="1">IF(MOD(COUNTIF($Q$11:Q1631,Q1631),5)=0,OFFSET(装备属性!$M$1083,1+INT(COUNTA($Q$11:Q1631)/5),0),Q1631)</f>
        <v>通用属性</v>
      </c>
      <c r="R1632" s="83" t="e">
        <f ca="1">IF(MOD(COUNTIF($Q$11:Q1631,Q1631),5)=0,10000*SUBSTITUTE(SUBSTITUTE(OFFSET(装备属性!$F$1083,1+INT(COUNTA($Q$11:Q1631)/5),0),"[",""),"]","")+_xlfn.XLOOKUP(C1632,$M$3:$M$7,$N$3:$N$7)*100,R1631)</f>
        <v>#N/A</v>
      </c>
    </row>
    <row r="1633" customHeight="1" spans="1:18">
      <c r="A1633" s="78" t="str">
        <f ca="1" t="shared" si="75"/>
        <v/>
      </c>
      <c r="B1633" s="82" t="str">
        <f ca="1">IFERROR(R1633+COUNTIFS($R$11:$R1633,R1633),"")</f>
        <v/>
      </c>
      <c r="C1633" s="83">
        <f ca="1">IF(MOD(COUNTIF($Q$11:Q1632,Q1632),5)=0,OFFSET(装备属性!$D$1083,1+INT(COUNTA($Q$11:Q1632)/5),0),C1632)</f>
        <v>0</v>
      </c>
      <c r="D1633" s="82">
        <f t="shared" si="77"/>
        <v>2000</v>
      </c>
      <c r="F1633" s="82" t="str">
        <f ca="1" t="shared" si="76"/>
        <v/>
      </c>
      <c r="G1633" s="78" t="str">
        <f ca="1">IF(AND(LEFT("[{"&amp;M1633&amp;","&amp;CEILING(N1633*10000+(O1633-N1633)/4*(COUNTIF($F$11:F1633,F1633)-1)*10000,10)&amp;"}]",7)="[{equip",MID("[{"&amp;M1633&amp;","&amp;CEILING(N1633*10000+(O1633-N1633)/4*(COUNTIF($F$11:F1633,F1633)-1)*10000,10)&amp;"}]",8,1)&lt;&gt;"_"),"[{"&amp;M1633&amp;","&amp;1&amp;"}]","[{"&amp;M1633&amp;","&amp;CEILING(N1633*10000+(O1633-N1633)/4*(COUNTIF($F$11:F1633,F1633)-1)*10000,10)&amp;"}]")</f>
        <v>[{global_dmg_rate,10530}]</v>
      </c>
      <c r="H1633" s="82" t="s">
        <v>563</v>
      </c>
      <c r="J1633" s="78">
        <f ca="1">IF(MOD(COUNTIF($Q$11:Q1632,Q1632),5)=0,OFFSET(装备属性!$P$1083,1+INT(COUNTA($Q$11:Q1632)/5),0),J1632)</f>
        <v>2</v>
      </c>
      <c r="K1633" s="83" t="str">
        <f ca="1">IF(RIGHT(G1633,13)="rune_slot,1}]",_xlfn.XLOOKUP(LEFT(SUBSTITUTE(G1633,"[{",""),FIND(",",SUBSTITUTE(G1633,"[{",""))-1),Sheet2!B:B,Sheet2!C:C)&amp;"+"&amp;1,_xlfn.XLOOKUP(LEFT(SUBSTITUTE(G1633,"[{",""),FIND(",",SUBSTITUTE(G1633,"[{",""))-1),Sheet2!B:B,Sheet2!C:C)&amp;"+"&amp;SUBSTITUTE(RIGHT(G1633,LEN(G1633)-FIND(",",G1633)),"}]","")/100&amp;"%")</f>
        <v>伤害加成+105.3%</v>
      </c>
      <c r="L1633" s="83" t="str">
        <f ca="1">IF(MOD(COUNTIF($Q$11:Q1632,Q1632),5)=0,OFFSET(装备属性!$G$1083,1+INT(COUNTA($Q$11:Q1632)/5),0),L1632)</f>
        <v>全职小队Ⅲ</v>
      </c>
      <c r="M1633" s="89" t="str">
        <f ca="1">IF(MOD(COUNTIF($Q$11:Q1632,Q1632),5)=0,OFFSET(装备属性!$H$1083,1+INT(COUNTA($Q$11:Q1632)/5),0),M1632)</f>
        <v>global_dmg_rate</v>
      </c>
      <c r="N1633" s="76">
        <f ca="1">IF(MOD(COUNTIF($Q$11:Q1632,Q1632),5)=0,OFFSET(装备属性!$K$1083,1+INT(COUNTA($Q$11:Q1632)/5),0),N1632)</f>
        <v>0.052</v>
      </c>
      <c r="O1633" s="76">
        <f ca="1">IF(MOD(COUNTIF($Q$11:Q1632,Q1632),5)=0,OFFSET(装备属性!$L$1083,1+INT(COUNTA($Q$11:Q1632)/5),0),O1632)</f>
        <v>0.058</v>
      </c>
      <c r="Q1633" s="89" t="str">
        <f ca="1">IF(MOD(COUNTIF($Q$11:Q1632,Q1632),5)=0,OFFSET(装备属性!$M$1083,1+INT(COUNTA($Q$11:Q1632)/5),0),Q1632)</f>
        <v>通用属性</v>
      </c>
      <c r="R1633" s="83" t="e">
        <f ca="1">IF(MOD(COUNTIF($Q$11:Q1632,Q1632),5)=0,10000*SUBSTITUTE(SUBSTITUTE(OFFSET(装备属性!$F$1083,1+INT(COUNTA($Q$11:Q1632)/5),0),"[",""),"]","")+_xlfn.XLOOKUP(C1633,$M$3:$M$7,$N$3:$N$7)*100,R1632)</f>
        <v>#N/A</v>
      </c>
    </row>
    <row r="1634" customHeight="1" spans="1:18">
      <c r="A1634" s="78" t="str">
        <f ca="1" t="shared" si="75"/>
        <v/>
      </c>
      <c r="B1634" s="82" t="str">
        <f ca="1">IFERROR(R1634+COUNTIFS($R$11:$R1634,R1634),"")</f>
        <v/>
      </c>
      <c r="C1634" s="83">
        <f ca="1">IF(MOD(COUNTIF($Q$11:Q1633,Q1633),5)=0,OFFSET(装备属性!$D$1083,1+INT(COUNTA($Q$11:Q1633)/5),0),C1633)</f>
        <v>0</v>
      </c>
      <c r="D1634" s="82">
        <f t="shared" si="77"/>
        <v>1500</v>
      </c>
      <c r="F1634" s="82" t="str">
        <f ca="1" t="shared" si="76"/>
        <v/>
      </c>
      <c r="G1634" s="78" t="str">
        <f ca="1">IF(AND(LEFT("[{"&amp;M1634&amp;","&amp;CEILING(N1634*10000+(O1634-N1634)/4*(COUNTIF($F$11:F1634,F1634)-1)*10000,10)&amp;"}]",7)="[{equip",MID("[{"&amp;M1634&amp;","&amp;CEILING(N1634*10000+(O1634-N1634)/4*(COUNTIF($F$11:F1634,F1634)-1)*10000,10)&amp;"}]",8,1)&lt;&gt;"_"),"[{"&amp;M1634&amp;","&amp;1&amp;"}]","[{"&amp;M1634&amp;","&amp;CEILING(N1634*10000+(O1634-N1634)/4*(COUNTIF($F$11:F1634,F1634)-1)*10000,10)&amp;"}]")</f>
        <v>[{global_dmg_rate,10550}]</v>
      </c>
      <c r="H1634" s="82" t="s">
        <v>563</v>
      </c>
      <c r="J1634" s="78">
        <f ca="1">IF(MOD(COUNTIF($Q$11:Q1633,Q1633),5)=0,OFFSET(装备属性!$P$1083,1+INT(COUNTA($Q$11:Q1633)/5),0),J1633)</f>
        <v>2</v>
      </c>
      <c r="K1634" s="83" t="str">
        <f ca="1">IF(RIGHT(G1634,13)="rune_slot,1}]",_xlfn.XLOOKUP(LEFT(SUBSTITUTE(G1634,"[{",""),FIND(",",SUBSTITUTE(G1634,"[{",""))-1),Sheet2!B:B,Sheet2!C:C)&amp;"+"&amp;1,_xlfn.XLOOKUP(LEFT(SUBSTITUTE(G1634,"[{",""),FIND(",",SUBSTITUTE(G1634,"[{",""))-1),Sheet2!B:B,Sheet2!C:C)&amp;"+"&amp;SUBSTITUTE(RIGHT(G1634,LEN(G1634)-FIND(",",G1634)),"}]","")/100&amp;"%")</f>
        <v>伤害加成+105.5%</v>
      </c>
      <c r="L1634" s="83" t="str">
        <f ca="1">IF(MOD(COUNTIF($Q$11:Q1633,Q1633),5)=0,OFFSET(装备属性!$G$1083,1+INT(COUNTA($Q$11:Q1633)/5),0),L1633)</f>
        <v>全职小队Ⅲ</v>
      </c>
      <c r="M1634" s="89" t="str">
        <f ca="1">IF(MOD(COUNTIF($Q$11:Q1633,Q1633),5)=0,OFFSET(装备属性!$H$1083,1+INT(COUNTA($Q$11:Q1633)/5),0),M1633)</f>
        <v>global_dmg_rate</v>
      </c>
      <c r="N1634" s="76">
        <f ca="1">IF(MOD(COUNTIF($Q$11:Q1633,Q1633),5)=0,OFFSET(装备属性!$K$1083,1+INT(COUNTA($Q$11:Q1633)/5),0),N1633)</f>
        <v>0.052</v>
      </c>
      <c r="O1634" s="76">
        <f ca="1">IF(MOD(COUNTIF($Q$11:Q1633,Q1633),5)=0,OFFSET(装备属性!$L$1083,1+INT(COUNTA($Q$11:Q1633)/5),0),O1633)</f>
        <v>0.058</v>
      </c>
      <c r="Q1634" s="89" t="str">
        <f ca="1">IF(MOD(COUNTIF($Q$11:Q1633,Q1633),5)=0,OFFSET(装备属性!$M$1083,1+INT(COUNTA($Q$11:Q1633)/5),0),Q1633)</f>
        <v>通用属性</v>
      </c>
      <c r="R1634" s="83" t="e">
        <f ca="1">IF(MOD(COUNTIF($Q$11:Q1633,Q1633),5)=0,10000*SUBSTITUTE(SUBSTITUTE(OFFSET(装备属性!$F$1083,1+INT(COUNTA($Q$11:Q1633)/5),0),"[",""),"]","")+_xlfn.XLOOKUP(C1634,$M$3:$M$7,$N$3:$N$7)*100,R1633)</f>
        <v>#N/A</v>
      </c>
    </row>
    <row r="1635" customHeight="1" spans="1:18">
      <c r="A1635" s="78" t="str">
        <f ca="1" t="shared" si="75"/>
        <v/>
      </c>
      <c r="B1635" s="82" t="str">
        <f ca="1">IFERROR(R1635+COUNTIFS($R$11:$R1635,R1635),"")</f>
        <v/>
      </c>
      <c r="C1635" s="83">
        <f ca="1">IF(MOD(COUNTIF($Q$11:Q1634,Q1634),5)=0,OFFSET(装备属性!$D$1083,1+INT(COUNTA($Q$11:Q1634)/5),0),C1634)</f>
        <v>0</v>
      </c>
      <c r="D1635" s="82">
        <f t="shared" si="77"/>
        <v>1000</v>
      </c>
      <c r="F1635" s="82" t="str">
        <f ca="1" t="shared" si="76"/>
        <v/>
      </c>
      <c r="G1635" s="78" t="str">
        <f ca="1">IF(AND(LEFT("[{"&amp;M1635&amp;","&amp;CEILING(N1635*10000+(O1635-N1635)/4*(COUNTIF($F$11:F1635,F1635)-1)*10000,10)&amp;"}]",7)="[{equip",MID("[{"&amp;M1635&amp;","&amp;CEILING(N1635*10000+(O1635-N1635)/4*(COUNTIF($F$11:F1635,F1635)-1)*10000,10)&amp;"}]",8,1)&lt;&gt;"_"),"[{"&amp;M1635&amp;","&amp;1&amp;"}]","[{"&amp;M1635&amp;","&amp;CEILING(N1635*10000+(O1635-N1635)/4*(COUNTIF($F$11:F1635,F1635)-1)*10000,10)&amp;"}]")</f>
        <v>[{global_dmg_rate,10560}]</v>
      </c>
      <c r="H1635" s="82" t="s">
        <v>563</v>
      </c>
      <c r="J1635" s="78">
        <f ca="1">IF(MOD(COUNTIF($Q$11:Q1634,Q1634),5)=0,OFFSET(装备属性!$P$1083,1+INT(COUNTA($Q$11:Q1634)/5),0),J1634)</f>
        <v>2</v>
      </c>
      <c r="K1635" s="83" t="str">
        <f ca="1">IF(RIGHT(G1635,13)="rune_slot,1}]",_xlfn.XLOOKUP(LEFT(SUBSTITUTE(G1635,"[{",""),FIND(",",SUBSTITUTE(G1635,"[{",""))-1),Sheet2!B:B,Sheet2!C:C)&amp;"+"&amp;1,_xlfn.XLOOKUP(LEFT(SUBSTITUTE(G1635,"[{",""),FIND(",",SUBSTITUTE(G1635,"[{",""))-1),Sheet2!B:B,Sheet2!C:C)&amp;"+"&amp;SUBSTITUTE(RIGHT(G1635,LEN(G1635)-FIND(",",G1635)),"}]","")/100&amp;"%")</f>
        <v>伤害加成+105.6%</v>
      </c>
      <c r="L1635" s="83" t="str">
        <f ca="1">IF(MOD(COUNTIF($Q$11:Q1634,Q1634),5)=0,OFFSET(装备属性!$G$1083,1+INT(COUNTA($Q$11:Q1634)/5),0),L1634)</f>
        <v>全职小队Ⅲ</v>
      </c>
      <c r="M1635" s="89" t="str">
        <f ca="1">IF(MOD(COUNTIF($Q$11:Q1634,Q1634),5)=0,OFFSET(装备属性!$H$1083,1+INT(COUNTA($Q$11:Q1634)/5),0),M1634)</f>
        <v>global_dmg_rate</v>
      </c>
      <c r="N1635" s="76">
        <f ca="1">IF(MOD(COUNTIF($Q$11:Q1634,Q1634),5)=0,OFFSET(装备属性!$K$1083,1+INT(COUNTA($Q$11:Q1634)/5),0),N1634)</f>
        <v>0.052</v>
      </c>
      <c r="O1635" s="76">
        <f ca="1">IF(MOD(COUNTIF($Q$11:Q1634,Q1634),5)=0,OFFSET(装备属性!$L$1083,1+INT(COUNTA($Q$11:Q1634)/5),0),O1634)</f>
        <v>0.058</v>
      </c>
      <c r="Q1635" s="89" t="str">
        <f ca="1">IF(MOD(COUNTIF($Q$11:Q1634,Q1634),5)=0,OFFSET(装备属性!$M$1083,1+INT(COUNTA($Q$11:Q1634)/5),0),Q1634)</f>
        <v>通用属性</v>
      </c>
      <c r="R1635" s="83" t="e">
        <f ca="1">IF(MOD(COUNTIF($Q$11:Q1634,Q1634),5)=0,10000*SUBSTITUTE(SUBSTITUTE(OFFSET(装备属性!$F$1083,1+INT(COUNTA($Q$11:Q1634)/5),0),"[",""),"]","")+_xlfn.XLOOKUP(C1635,$M$3:$M$7,$N$3:$N$7)*100,R1634)</f>
        <v>#N/A</v>
      </c>
    </row>
    <row r="1636" customHeight="1" spans="1:18">
      <c r="A1636" s="78">
        <f ca="1" t="shared" si="75"/>
        <v>60601</v>
      </c>
      <c r="B1636" s="82">
        <f ca="1">IFERROR(R1636+COUNTIFS($R$11:$R1636,R1636),"")</f>
        <v>60601</v>
      </c>
      <c r="C1636" s="83" t="str">
        <f ca="1">IF(MOD(COUNTIF($Q$11:Q1635,Q1635),5)=0,OFFSET(装备属性!$D$1083,1+INT(COUNTA($Q$11:Q1635)/5),0),C1635)</f>
        <v>红</v>
      </c>
      <c r="D1636" s="82">
        <f t="shared" si="77"/>
        <v>3000</v>
      </c>
      <c r="F1636" s="82">
        <f ca="1" t="shared" si="76"/>
        <v>60600</v>
      </c>
      <c r="G1636" s="78" t="str">
        <f ca="1">IF(AND(LEFT("[{"&amp;M1636&amp;","&amp;CEILING(N1636*10000+(O1636-N1636)/4*(COUNTIF($F$11:F1636,F1636)-1)*10000,10)&amp;"}]",7)="[{equip",MID("[{"&amp;M1636&amp;","&amp;CEILING(N1636*10000+(O1636-N1636)/4*(COUNTIF($F$11:F1636,F1636)-1)*10000,10)&amp;"}]",8,1)&lt;&gt;"_"),"[{"&amp;M1636&amp;","&amp;1&amp;"}]","[{"&amp;M1636&amp;","&amp;CEILING(N1636*10000+(O1636-N1636)/4*(COUNTIF($F$11:F1636,F1636)-1)*10000,10)&amp;"}]")</f>
        <v>[{dmg_red_rate,200}]</v>
      </c>
      <c r="H1636" s="82" t="s">
        <v>563</v>
      </c>
      <c r="J1636" s="78">
        <f ca="1">IF(MOD(COUNTIF($Q$11:Q1635,Q1635),5)=0,OFFSET(装备属性!$P$1083,1+INT(COUNTA($Q$11:Q1635)/5),0),J1635)</f>
        <v>6</v>
      </c>
      <c r="K1636" s="83" t="str">
        <f ca="1">IF(RIGHT(G1636,13)="rune_slot,1}]",_xlfn.XLOOKUP(LEFT(SUBSTITUTE(G1636,"[{",""),FIND(",",SUBSTITUTE(G1636,"[{",""))-1),Sheet2!B:B,Sheet2!C:C)&amp;"+"&amp;1,_xlfn.XLOOKUP(LEFT(SUBSTITUTE(G1636,"[{",""),FIND(",",SUBSTITUTE(G1636,"[{",""))-1),Sheet2!B:B,Sheet2!C:C)&amp;"+"&amp;SUBSTITUTE(RIGHT(G1636,LEN(G1636)-FIND(",",G1636)),"}]","")/100&amp;"%")</f>
        <v>伤害减免+2%</v>
      </c>
      <c r="L1636" s="83" t="str">
        <f ca="1">IF(MOD(COUNTIF($Q$11:Q1635,Q1635),5)=0,OFFSET(装备属性!$G$1083,1+INT(COUNTA($Q$11:Q1635)/5),0),L1635)</f>
        <v>全员抗揍Ⅲ</v>
      </c>
      <c r="M1636" s="89" t="str">
        <f ca="1">IF(MOD(COUNTIF($Q$11:Q1635,Q1635),5)=0,OFFSET(装备属性!$H$1083,1+INT(COUNTA($Q$11:Q1635)/5),0),M1635)</f>
        <v>dmg_red_rate</v>
      </c>
      <c r="N1636" s="76">
        <f ca="1">IF(MOD(COUNTIF($Q$11:Q1635,Q1635),5)=0,OFFSET(装备属性!$K$1083,1+INT(COUNTA($Q$11:Q1635)/5),0),N1635)</f>
        <v>0.02</v>
      </c>
      <c r="O1636" s="76">
        <f ca="1">IF(MOD(COUNTIF($Q$11:Q1635,Q1635),5)=0,OFFSET(装备属性!$L$1083,1+INT(COUNTA($Q$11:Q1635)/5),0),O1635)</f>
        <v>0.024</v>
      </c>
      <c r="Q1636" s="89" t="str">
        <f ca="1">IF(MOD(COUNTIF($Q$11:Q1635,Q1635),5)=0,OFFSET(装备属性!$M$1083,1+INT(COUNTA($Q$11:Q1635)/5),0),Q1635)</f>
        <v>通用属性</v>
      </c>
      <c r="R1636" s="83">
        <f ca="1">IF(MOD(COUNTIF($Q$11:Q1635,Q1635),5)=0,10000*SUBSTITUTE(SUBSTITUTE(OFFSET(装备属性!$F$1083,1+INT(COUNTA($Q$11:Q1635)/5),0),"[",""),"]","")+_xlfn.XLOOKUP(C1636,$M$3:$M$7,$N$3:$N$7)*100,R1635)</f>
        <v>60600</v>
      </c>
    </row>
    <row r="1637" customHeight="1" spans="1:18">
      <c r="A1637" s="78">
        <f ca="1" t="shared" si="75"/>
        <v>60601</v>
      </c>
      <c r="B1637" s="82">
        <f ca="1">IFERROR(R1637+COUNTIFS($R$11:$R1637,R1637),"")</f>
        <v>60602</v>
      </c>
      <c r="C1637" s="83" t="str">
        <f ca="1">IF(MOD(COUNTIF($Q$11:Q1636,Q1636),5)=0,OFFSET(装备属性!$D$1083,1+INT(COUNTA($Q$11:Q1636)/5),0),C1636)</f>
        <v>红</v>
      </c>
      <c r="D1637" s="82">
        <f t="shared" si="77"/>
        <v>2500</v>
      </c>
      <c r="F1637" s="82">
        <f ca="1" t="shared" si="76"/>
        <v>60600</v>
      </c>
      <c r="G1637" s="78" t="str">
        <f ca="1">IF(AND(LEFT("[{"&amp;M1637&amp;","&amp;CEILING(N1637*10000+(O1637-N1637)/4*(COUNTIF($F$11:F1637,F1637)-1)*10000,10)&amp;"}]",7)="[{equip",MID("[{"&amp;M1637&amp;","&amp;CEILING(N1637*10000+(O1637-N1637)/4*(COUNTIF($F$11:F1637,F1637)-1)*10000,10)&amp;"}]",8,1)&lt;&gt;"_"),"[{"&amp;M1637&amp;","&amp;1&amp;"}]","[{"&amp;M1637&amp;","&amp;CEILING(N1637*10000+(O1637-N1637)/4*(COUNTIF($F$11:F1637,F1637)-1)*10000,10)&amp;"}]")</f>
        <v>[{dmg_red_rate,210}]</v>
      </c>
      <c r="H1637" s="82" t="s">
        <v>563</v>
      </c>
      <c r="J1637" s="78">
        <f ca="1">IF(MOD(COUNTIF($Q$11:Q1636,Q1636),5)=0,OFFSET(装备属性!$P$1083,1+INT(COUNTA($Q$11:Q1636)/5),0),J1636)</f>
        <v>6</v>
      </c>
      <c r="K1637" s="83" t="str">
        <f ca="1">IF(RIGHT(G1637,13)="rune_slot,1}]",_xlfn.XLOOKUP(LEFT(SUBSTITUTE(G1637,"[{",""),FIND(",",SUBSTITUTE(G1637,"[{",""))-1),Sheet2!B:B,Sheet2!C:C)&amp;"+"&amp;1,_xlfn.XLOOKUP(LEFT(SUBSTITUTE(G1637,"[{",""),FIND(",",SUBSTITUTE(G1637,"[{",""))-1),Sheet2!B:B,Sheet2!C:C)&amp;"+"&amp;SUBSTITUTE(RIGHT(G1637,LEN(G1637)-FIND(",",G1637)),"}]","")/100&amp;"%")</f>
        <v>伤害减免+2.1%</v>
      </c>
      <c r="L1637" s="83" t="str">
        <f ca="1">IF(MOD(COUNTIF($Q$11:Q1636,Q1636),5)=0,OFFSET(装备属性!$G$1083,1+INT(COUNTA($Q$11:Q1636)/5),0),L1636)</f>
        <v>全员抗揍Ⅲ</v>
      </c>
      <c r="M1637" s="89" t="str">
        <f ca="1">IF(MOD(COUNTIF($Q$11:Q1636,Q1636),5)=0,OFFSET(装备属性!$H$1083,1+INT(COUNTA($Q$11:Q1636)/5),0),M1636)</f>
        <v>dmg_red_rate</v>
      </c>
      <c r="N1637" s="76">
        <f ca="1">IF(MOD(COUNTIF($Q$11:Q1636,Q1636),5)=0,OFFSET(装备属性!$K$1083,1+INT(COUNTA($Q$11:Q1636)/5),0),N1636)</f>
        <v>0.02</v>
      </c>
      <c r="O1637" s="76">
        <f ca="1">IF(MOD(COUNTIF($Q$11:Q1636,Q1636),5)=0,OFFSET(装备属性!$L$1083,1+INT(COUNTA($Q$11:Q1636)/5),0),O1636)</f>
        <v>0.024</v>
      </c>
      <c r="Q1637" s="89" t="str">
        <f ca="1">IF(MOD(COUNTIF($Q$11:Q1636,Q1636),5)=0,OFFSET(装备属性!$M$1083,1+INT(COUNTA($Q$11:Q1636)/5),0),Q1636)</f>
        <v>通用属性</v>
      </c>
      <c r="R1637" s="83">
        <f ca="1">IF(MOD(COUNTIF($Q$11:Q1636,Q1636),5)=0,10000*SUBSTITUTE(SUBSTITUTE(OFFSET(装备属性!$F$1083,1+INT(COUNTA($Q$11:Q1636)/5),0),"[",""),"]","")+_xlfn.XLOOKUP(C1637,$M$3:$M$7,$N$3:$N$7)*100,R1636)</f>
        <v>60600</v>
      </c>
    </row>
    <row r="1638" customHeight="1" spans="1:18">
      <c r="A1638" s="78">
        <f ca="1" t="shared" si="75"/>
        <v>60601</v>
      </c>
      <c r="B1638" s="82">
        <f ca="1">IFERROR(R1638+COUNTIFS($R$11:$R1638,R1638),"")</f>
        <v>60603</v>
      </c>
      <c r="C1638" s="83" t="str">
        <f ca="1">IF(MOD(COUNTIF($Q$11:Q1637,Q1637),5)=0,OFFSET(装备属性!$D$1083,1+INT(COUNTA($Q$11:Q1637)/5),0),C1637)</f>
        <v>红</v>
      </c>
      <c r="D1638" s="82">
        <f t="shared" si="77"/>
        <v>2000</v>
      </c>
      <c r="F1638" s="82">
        <f ca="1" t="shared" si="76"/>
        <v>60600</v>
      </c>
      <c r="G1638" s="78" t="str">
        <f ca="1">IF(AND(LEFT("[{"&amp;M1638&amp;","&amp;CEILING(N1638*10000+(O1638-N1638)/4*(COUNTIF($F$11:F1638,F1638)-1)*10000,10)&amp;"}]",7)="[{equip",MID("[{"&amp;M1638&amp;","&amp;CEILING(N1638*10000+(O1638-N1638)/4*(COUNTIF($F$11:F1638,F1638)-1)*10000,10)&amp;"}]",8,1)&lt;&gt;"_"),"[{"&amp;M1638&amp;","&amp;1&amp;"}]","[{"&amp;M1638&amp;","&amp;CEILING(N1638*10000+(O1638-N1638)/4*(COUNTIF($F$11:F1638,F1638)-1)*10000,10)&amp;"}]")</f>
        <v>[{dmg_red_rate,220}]</v>
      </c>
      <c r="H1638" s="82" t="s">
        <v>563</v>
      </c>
      <c r="J1638" s="78">
        <f ca="1">IF(MOD(COUNTIF($Q$11:Q1637,Q1637),5)=0,OFFSET(装备属性!$P$1083,1+INT(COUNTA($Q$11:Q1637)/5),0),J1637)</f>
        <v>6</v>
      </c>
      <c r="K1638" s="83" t="str">
        <f ca="1">IF(RIGHT(G1638,13)="rune_slot,1}]",_xlfn.XLOOKUP(LEFT(SUBSTITUTE(G1638,"[{",""),FIND(",",SUBSTITUTE(G1638,"[{",""))-1),Sheet2!B:B,Sheet2!C:C)&amp;"+"&amp;1,_xlfn.XLOOKUP(LEFT(SUBSTITUTE(G1638,"[{",""),FIND(",",SUBSTITUTE(G1638,"[{",""))-1),Sheet2!B:B,Sheet2!C:C)&amp;"+"&amp;SUBSTITUTE(RIGHT(G1638,LEN(G1638)-FIND(",",G1638)),"}]","")/100&amp;"%")</f>
        <v>伤害减免+2.2%</v>
      </c>
      <c r="L1638" s="83" t="str">
        <f ca="1">IF(MOD(COUNTIF($Q$11:Q1637,Q1637),5)=0,OFFSET(装备属性!$G$1083,1+INT(COUNTA($Q$11:Q1637)/5),0),L1637)</f>
        <v>全员抗揍Ⅲ</v>
      </c>
      <c r="M1638" s="89" t="str">
        <f ca="1">IF(MOD(COUNTIF($Q$11:Q1637,Q1637),5)=0,OFFSET(装备属性!$H$1083,1+INT(COUNTA($Q$11:Q1637)/5),0),M1637)</f>
        <v>dmg_red_rate</v>
      </c>
      <c r="N1638" s="76">
        <f ca="1">IF(MOD(COUNTIF($Q$11:Q1637,Q1637),5)=0,OFFSET(装备属性!$K$1083,1+INT(COUNTA($Q$11:Q1637)/5),0),N1637)</f>
        <v>0.02</v>
      </c>
      <c r="O1638" s="76">
        <f ca="1">IF(MOD(COUNTIF($Q$11:Q1637,Q1637),5)=0,OFFSET(装备属性!$L$1083,1+INT(COUNTA($Q$11:Q1637)/5),0),O1637)</f>
        <v>0.024</v>
      </c>
      <c r="Q1638" s="89" t="str">
        <f ca="1">IF(MOD(COUNTIF($Q$11:Q1637,Q1637),5)=0,OFFSET(装备属性!$M$1083,1+INT(COUNTA($Q$11:Q1637)/5),0),Q1637)</f>
        <v>通用属性</v>
      </c>
      <c r="R1638" s="83">
        <f ca="1">IF(MOD(COUNTIF($Q$11:Q1637,Q1637),5)=0,10000*SUBSTITUTE(SUBSTITUTE(OFFSET(装备属性!$F$1083,1+INT(COUNTA($Q$11:Q1637)/5),0),"[",""),"]","")+_xlfn.XLOOKUP(C1638,$M$3:$M$7,$N$3:$N$7)*100,R1637)</f>
        <v>60600</v>
      </c>
    </row>
    <row r="1639" customHeight="1" spans="1:18">
      <c r="A1639" s="78">
        <f ca="1" t="shared" si="75"/>
        <v>60601</v>
      </c>
      <c r="B1639" s="82">
        <f ca="1">IFERROR(R1639+COUNTIFS($R$11:$R1639,R1639),"")</f>
        <v>60604</v>
      </c>
      <c r="C1639" s="83" t="str">
        <f ca="1">IF(MOD(COUNTIF($Q$11:Q1638,Q1638),5)=0,OFFSET(装备属性!$D$1083,1+INT(COUNTA($Q$11:Q1638)/5),0),C1638)</f>
        <v>红</v>
      </c>
      <c r="D1639" s="82">
        <f t="shared" si="77"/>
        <v>1500</v>
      </c>
      <c r="F1639" s="82">
        <f ca="1" t="shared" si="76"/>
        <v>60600</v>
      </c>
      <c r="G1639" s="78" t="str">
        <f ca="1">IF(AND(LEFT("[{"&amp;M1639&amp;","&amp;CEILING(N1639*10000+(O1639-N1639)/4*(COUNTIF($F$11:F1639,F1639)-1)*10000,10)&amp;"}]",7)="[{equip",MID("[{"&amp;M1639&amp;","&amp;CEILING(N1639*10000+(O1639-N1639)/4*(COUNTIF($F$11:F1639,F1639)-1)*10000,10)&amp;"}]",8,1)&lt;&gt;"_"),"[{"&amp;M1639&amp;","&amp;1&amp;"}]","[{"&amp;M1639&amp;","&amp;CEILING(N1639*10000+(O1639-N1639)/4*(COUNTIF($F$11:F1639,F1639)-1)*10000,10)&amp;"}]")</f>
        <v>[{dmg_red_rate,230}]</v>
      </c>
      <c r="H1639" s="82" t="s">
        <v>563</v>
      </c>
      <c r="J1639" s="78">
        <f ca="1">IF(MOD(COUNTIF($Q$11:Q1638,Q1638),5)=0,OFFSET(装备属性!$P$1083,1+INT(COUNTA($Q$11:Q1638)/5),0),J1638)</f>
        <v>6</v>
      </c>
      <c r="K1639" s="83" t="str">
        <f ca="1">IF(RIGHT(G1639,13)="rune_slot,1}]",_xlfn.XLOOKUP(LEFT(SUBSTITUTE(G1639,"[{",""),FIND(",",SUBSTITUTE(G1639,"[{",""))-1),Sheet2!B:B,Sheet2!C:C)&amp;"+"&amp;1,_xlfn.XLOOKUP(LEFT(SUBSTITUTE(G1639,"[{",""),FIND(",",SUBSTITUTE(G1639,"[{",""))-1),Sheet2!B:B,Sheet2!C:C)&amp;"+"&amp;SUBSTITUTE(RIGHT(G1639,LEN(G1639)-FIND(",",G1639)),"}]","")/100&amp;"%")</f>
        <v>伤害减免+2.3%</v>
      </c>
      <c r="L1639" s="83" t="str">
        <f ca="1">IF(MOD(COUNTIF($Q$11:Q1638,Q1638),5)=0,OFFSET(装备属性!$G$1083,1+INT(COUNTA($Q$11:Q1638)/5),0),L1638)</f>
        <v>全员抗揍Ⅲ</v>
      </c>
      <c r="M1639" s="89" t="str">
        <f ca="1">IF(MOD(COUNTIF($Q$11:Q1638,Q1638),5)=0,OFFSET(装备属性!$H$1083,1+INT(COUNTA($Q$11:Q1638)/5),0),M1638)</f>
        <v>dmg_red_rate</v>
      </c>
      <c r="N1639" s="76">
        <f ca="1">IF(MOD(COUNTIF($Q$11:Q1638,Q1638),5)=0,OFFSET(装备属性!$K$1083,1+INT(COUNTA($Q$11:Q1638)/5),0),N1638)</f>
        <v>0.02</v>
      </c>
      <c r="O1639" s="76">
        <f ca="1">IF(MOD(COUNTIF($Q$11:Q1638,Q1638),5)=0,OFFSET(装备属性!$L$1083,1+INT(COUNTA($Q$11:Q1638)/5),0),O1638)</f>
        <v>0.024</v>
      </c>
      <c r="Q1639" s="89" t="str">
        <f ca="1">IF(MOD(COUNTIF($Q$11:Q1638,Q1638),5)=0,OFFSET(装备属性!$M$1083,1+INT(COUNTA($Q$11:Q1638)/5),0),Q1638)</f>
        <v>通用属性</v>
      </c>
      <c r="R1639" s="83">
        <f ca="1">IF(MOD(COUNTIF($Q$11:Q1638,Q1638),5)=0,10000*SUBSTITUTE(SUBSTITUTE(OFFSET(装备属性!$F$1083,1+INT(COUNTA($Q$11:Q1638)/5),0),"[",""),"]","")+_xlfn.XLOOKUP(C1639,$M$3:$M$7,$N$3:$N$7)*100,R1638)</f>
        <v>60600</v>
      </c>
    </row>
    <row r="1640" customHeight="1" spans="1:18">
      <c r="A1640" s="78">
        <f ca="1" t="shared" si="75"/>
        <v>60601</v>
      </c>
      <c r="B1640" s="82">
        <f ca="1">IFERROR(R1640+COUNTIFS($R$11:$R1640,R1640),"")</f>
        <v>60605</v>
      </c>
      <c r="C1640" s="83" t="str">
        <f ca="1">IF(MOD(COUNTIF($Q$11:Q1639,Q1639),5)=0,OFFSET(装备属性!$D$1083,1+INT(COUNTA($Q$11:Q1639)/5),0),C1639)</f>
        <v>红</v>
      </c>
      <c r="D1640" s="82">
        <f t="shared" si="77"/>
        <v>1000</v>
      </c>
      <c r="F1640" s="82">
        <f ca="1" t="shared" si="76"/>
        <v>60600</v>
      </c>
      <c r="G1640" s="78" t="str">
        <f ca="1">IF(AND(LEFT("[{"&amp;M1640&amp;","&amp;CEILING(N1640*10000+(O1640-N1640)/4*(COUNTIF($F$11:F1640,F1640)-1)*10000,10)&amp;"}]",7)="[{equip",MID("[{"&amp;M1640&amp;","&amp;CEILING(N1640*10000+(O1640-N1640)/4*(COUNTIF($F$11:F1640,F1640)-1)*10000,10)&amp;"}]",8,1)&lt;&gt;"_"),"[{"&amp;M1640&amp;","&amp;1&amp;"}]","[{"&amp;M1640&amp;","&amp;CEILING(N1640*10000+(O1640-N1640)/4*(COUNTIF($F$11:F1640,F1640)-1)*10000,10)&amp;"}]")</f>
        <v>[{dmg_red_rate,240}]</v>
      </c>
      <c r="H1640" s="82" t="s">
        <v>563</v>
      </c>
      <c r="J1640" s="78">
        <f ca="1">IF(MOD(COUNTIF($Q$11:Q1639,Q1639),5)=0,OFFSET(装备属性!$P$1083,1+INT(COUNTA($Q$11:Q1639)/5),0),J1639)</f>
        <v>6</v>
      </c>
      <c r="K1640" s="83" t="str">
        <f ca="1">IF(RIGHT(G1640,13)="rune_slot,1}]",_xlfn.XLOOKUP(LEFT(SUBSTITUTE(G1640,"[{",""),FIND(",",SUBSTITUTE(G1640,"[{",""))-1),Sheet2!B:B,Sheet2!C:C)&amp;"+"&amp;1,_xlfn.XLOOKUP(LEFT(SUBSTITUTE(G1640,"[{",""),FIND(",",SUBSTITUTE(G1640,"[{",""))-1),Sheet2!B:B,Sheet2!C:C)&amp;"+"&amp;SUBSTITUTE(RIGHT(G1640,LEN(G1640)-FIND(",",G1640)),"}]","")/100&amp;"%")</f>
        <v>伤害减免+2.4%</v>
      </c>
      <c r="L1640" s="83" t="str">
        <f ca="1">IF(MOD(COUNTIF($Q$11:Q1639,Q1639),5)=0,OFFSET(装备属性!$G$1083,1+INT(COUNTA($Q$11:Q1639)/5),0),L1639)</f>
        <v>全员抗揍Ⅲ</v>
      </c>
      <c r="M1640" s="89" t="str">
        <f ca="1">IF(MOD(COUNTIF($Q$11:Q1639,Q1639),5)=0,OFFSET(装备属性!$H$1083,1+INT(COUNTA($Q$11:Q1639)/5),0),M1639)</f>
        <v>dmg_red_rate</v>
      </c>
      <c r="N1640" s="76">
        <f ca="1">IF(MOD(COUNTIF($Q$11:Q1639,Q1639),5)=0,OFFSET(装备属性!$K$1083,1+INT(COUNTA($Q$11:Q1639)/5),0),N1639)</f>
        <v>0.02</v>
      </c>
      <c r="O1640" s="76">
        <f ca="1">IF(MOD(COUNTIF($Q$11:Q1639,Q1639),5)=0,OFFSET(装备属性!$L$1083,1+INT(COUNTA($Q$11:Q1639)/5),0),O1639)</f>
        <v>0.024</v>
      </c>
      <c r="Q1640" s="89" t="str">
        <f ca="1">IF(MOD(COUNTIF($Q$11:Q1639,Q1639),5)=0,OFFSET(装备属性!$M$1083,1+INT(COUNTA($Q$11:Q1639)/5),0),Q1639)</f>
        <v>通用属性</v>
      </c>
      <c r="R1640" s="83">
        <f ca="1">IF(MOD(COUNTIF($Q$11:Q1639,Q1639),5)=0,10000*SUBSTITUTE(SUBSTITUTE(OFFSET(装备属性!$F$1083,1+INT(COUNTA($Q$11:Q1639)/5),0),"[",""),"]","")+_xlfn.XLOOKUP(C1640,$M$3:$M$7,$N$3:$N$7)*100,R1639)</f>
        <v>60600</v>
      </c>
    </row>
    <row r="1641" customHeight="1" spans="1:18">
      <c r="A1641" s="78">
        <f ca="1" t="shared" si="75"/>
        <v>60601</v>
      </c>
      <c r="B1641" s="82">
        <f ca="1">IFERROR(R1641+COUNTIFS($R$11:$R1641,R1641),"")</f>
        <v>60606</v>
      </c>
      <c r="C1641" s="83" t="str">
        <f ca="1">IF(MOD(COUNTIF($Q$11:Q1640,Q1640),5)=0,OFFSET(装备属性!$D$1083,1+INT(COUNTA($Q$11:Q1640)/5),0),C1640)</f>
        <v>红</v>
      </c>
      <c r="D1641" s="82">
        <f t="shared" si="77"/>
        <v>3000</v>
      </c>
      <c r="F1641" s="82">
        <f ca="1" t="shared" si="76"/>
        <v>60601</v>
      </c>
      <c r="G1641" s="78" t="str">
        <f ca="1">IF(AND(LEFT("[{"&amp;M1641&amp;","&amp;CEILING(N1641*10000+(O1641-N1641)/4*(COUNTIF($F$11:F1641,F1641)-1)*10000,10)&amp;"}]",7)="[{equip",MID("[{"&amp;M1641&amp;","&amp;CEILING(N1641*10000+(O1641-N1641)/4*(COUNTIF($F$11:F1641,F1641)-1)*10000,10)&amp;"}]",8,1)&lt;&gt;"_"),"[{"&amp;M1641&amp;","&amp;1&amp;"}]","[{"&amp;M1641&amp;","&amp;CEILING(N1641*10000+(O1641-N1641)/4*(COUNTIF($F$11:F1641,F1641)-1)*10000,10)&amp;"}]")</f>
        <v>[{all_class_dmg,520}]</v>
      </c>
      <c r="H1641" s="82" t="s">
        <v>563</v>
      </c>
      <c r="J1641" s="78">
        <f ca="1">IF(MOD(COUNTIF($Q$11:Q1640,Q1640),5)=0,OFFSET(装备属性!$P$1083,1+INT(COUNTA($Q$11:Q1640)/5),0),J1640)</f>
        <v>2</v>
      </c>
      <c r="K1641" s="83" t="str">
        <f ca="1">IF(RIGHT(G1641,13)="rune_slot,1}]",_xlfn.XLOOKUP(LEFT(SUBSTITUTE(G1641,"[{",""),FIND(",",SUBSTITUTE(G1641,"[{",""))-1),Sheet2!B:B,Sheet2!C:C)&amp;"+"&amp;1,_xlfn.XLOOKUP(LEFT(SUBSTITUTE(G1641,"[{",""),FIND(",",SUBSTITUTE(G1641,"[{",""))-1),Sheet2!B:B,Sheet2!C:C)&amp;"+"&amp;SUBSTITUTE(RIGHT(G1641,LEN(G1641)-FIND(",",G1641)),"}]","")/100&amp;"%")</f>
        <v>上阵五个不同职业增伤+5.2%</v>
      </c>
      <c r="L1641" s="83" t="str">
        <f ca="1">IF(MOD(COUNTIF($Q$11:Q1640,Q1640),5)=0,OFFSET(装备属性!$G$1083,1+INT(COUNTA($Q$11:Q1640)/5),0),L1640)</f>
        <v>全员出力Ⅲ</v>
      </c>
      <c r="M1641" s="89" t="str">
        <f ca="1">IF(MOD(COUNTIF($Q$11:Q1640,Q1640),5)=0,OFFSET(装备属性!$H$1083,1+INT(COUNTA($Q$11:Q1640)/5),0),M1640)</f>
        <v>all_class_dmg</v>
      </c>
      <c r="N1641" s="76">
        <f ca="1">IF(MOD(COUNTIF($Q$11:Q1640,Q1640),5)=0,OFFSET(装备属性!$K$1083,1+INT(COUNTA($Q$11:Q1640)/5),0),N1640)</f>
        <v>0.052</v>
      </c>
      <c r="O1641" s="76">
        <f ca="1">IF(MOD(COUNTIF($Q$11:Q1640,Q1640),5)=0,OFFSET(装备属性!$L$1083,1+INT(COUNTA($Q$11:Q1640)/5),0),O1640)</f>
        <v>0.058</v>
      </c>
      <c r="Q1641" s="89" t="str">
        <f ca="1">IF(MOD(COUNTIF($Q$11:Q1640,Q1640),5)=0,OFFSET(装备属性!$M$1083,1+INT(COUNTA($Q$11:Q1640)/5),0),Q1640)</f>
        <v>通用属性</v>
      </c>
      <c r="R1641" s="83">
        <f ca="1">IF(MOD(COUNTIF($Q$11:Q1640,Q1640),5)=0,10000*SUBSTITUTE(SUBSTITUTE(OFFSET(装备属性!$F$1083,1+INT(COUNTA($Q$11:Q1640)/5),0),"[",""),"]","")+_xlfn.XLOOKUP(C1641,$M$3:$M$7,$N$3:$N$7)*100,R1640)</f>
        <v>60600</v>
      </c>
    </row>
    <row r="1642" customHeight="1" spans="1:18">
      <c r="A1642" s="78">
        <f ca="1" t="shared" si="75"/>
        <v>60601</v>
      </c>
      <c r="B1642" s="82">
        <f ca="1">IFERROR(R1642+COUNTIFS($R$11:$R1642,R1642),"")</f>
        <v>60607</v>
      </c>
      <c r="C1642" s="83" t="str">
        <f ca="1">IF(MOD(COUNTIF($Q$11:Q1641,Q1641),5)=0,OFFSET(装备属性!$D$1083,1+INT(COUNTA($Q$11:Q1641)/5),0),C1641)</f>
        <v>红</v>
      </c>
      <c r="D1642" s="82">
        <f t="shared" si="77"/>
        <v>2500</v>
      </c>
      <c r="F1642" s="82">
        <f ca="1" t="shared" si="76"/>
        <v>60601</v>
      </c>
      <c r="G1642" s="78" t="str">
        <f ca="1">IF(AND(LEFT("[{"&amp;M1642&amp;","&amp;CEILING(N1642*10000+(O1642-N1642)/4*(COUNTIF($F$11:F1642,F1642)-1)*10000,10)&amp;"}]",7)="[{equip",MID("[{"&amp;M1642&amp;","&amp;CEILING(N1642*10000+(O1642-N1642)/4*(COUNTIF($F$11:F1642,F1642)-1)*10000,10)&amp;"}]",8,1)&lt;&gt;"_"),"[{"&amp;M1642&amp;","&amp;1&amp;"}]","[{"&amp;M1642&amp;","&amp;CEILING(N1642*10000+(O1642-N1642)/4*(COUNTIF($F$11:F1642,F1642)-1)*10000,10)&amp;"}]")</f>
        <v>[{all_class_dmg,540}]</v>
      </c>
      <c r="H1642" s="82" t="s">
        <v>563</v>
      </c>
      <c r="J1642" s="78">
        <f ca="1">IF(MOD(COUNTIF($Q$11:Q1641,Q1641),5)=0,OFFSET(装备属性!$P$1083,1+INT(COUNTA($Q$11:Q1641)/5),0),J1641)</f>
        <v>2</v>
      </c>
      <c r="K1642" s="83" t="str">
        <f ca="1">IF(RIGHT(G1642,13)="rune_slot,1}]",_xlfn.XLOOKUP(LEFT(SUBSTITUTE(G1642,"[{",""),FIND(",",SUBSTITUTE(G1642,"[{",""))-1),Sheet2!B:B,Sheet2!C:C)&amp;"+"&amp;1,_xlfn.XLOOKUP(LEFT(SUBSTITUTE(G1642,"[{",""),FIND(",",SUBSTITUTE(G1642,"[{",""))-1),Sheet2!B:B,Sheet2!C:C)&amp;"+"&amp;SUBSTITUTE(RIGHT(G1642,LEN(G1642)-FIND(",",G1642)),"}]","")/100&amp;"%")</f>
        <v>上阵五个不同职业增伤+5.4%</v>
      </c>
      <c r="L1642" s="83" t="str">
        <f ca="1">IF(MOD(COUNTIF($Q$11:Q1641,Q1641),5)=0,OFFSET(装备属性!$G$1083,1+INT(COUNTA($Q$11:Q1641)/5),0),L1641)</f>
        <v>全员出力Ⅲ</v>
      </c>
      <c r="M1642" s="89" t="str">
        <f ca="1">IF(MOD(COUNTIF($Q$11:Q1641,Q1641),5)=0,OFFSET(装备属性!$H$1083,1+INT(COUNTA($Q$11:Q1641)/5),0),M1641)</f>
        <v>all_class_dmg</v>
      </c>
      <c r="N1642" s="76">
        <f ca="1">IF(MOD(COUNTIF($Q$11:Q1641,Q1641),5)=0,OFFSET(装备属性!$K$1083,1+INT(COUNTA($Q$11:Q1641)/5),0),N1641)</f>
        <v>0.052</v>
      </c>
      <c r="O1642" s="76">
        <f ca="1">IF(MOD(COUNTIF($Q$11:Q1641,Q1641),5)=0,OFFSET(装备属性!$L$1083,1+INT(COUNTA($Q$11:Q1641)/5),0),O1641)</f>
        <v>0.058</v>
      </c>
      <c r="Q1642" s="89" t="str">
        <f ca="1">IF(MOD(COUNTIF($Q$11:Q1641,Q1641),5)=0,OFFSET(装备属性!$M$1083,1+INT(COUNTA($Q$11:Q1641)/5),0),Q1641)</f>
        <v>通用属性</v>
      </c>
      <c r="R1642" s="83">
        <f ca="1">IF(MOD(COUNTIF($Q$11:Q1641,Q1641),5)=0,10000*SUBSTITUTE(SUBSTITUTE(OFFSET(装备属性!$F$1083,1+INT(COUNTA($Q$11:Q1641)/5),0),"[",""),"]","")+_xlfn.XLOOKUP(C1642,$M$3:$M$7,$N$3:$N$7)*100,R1641)</f>
        <v>60600</v>
      </c>
    </row>
    <row r="1643" customHeight="1" spans="1:18">
      <c r="A1643" s="78">
        <f ca="1" t="shared" si="75"/>
        <v>60601</v>
      </c>
      <c r="B1643" s="82">
        <f ca="1">IFERROR(R1643+COUNTIFS($R$11:$R1643,R1643),"")</f>
        <v>60608</v>
      </c>
      <c r="C1643" s="83" t="str">
        <f ca="1">IF(MOD(COUNTIF($Q$11:Q1642,Q1642),5)=0,OFFSET(装备属性!$D$1083,1+INT(COUNTA($Q$11:Q1642)/5),0),C1642)</f>
        <v>红</v>
      </c>
      <c r="D1643" s="82">
        <f t="shared" si="77"/>
        <v>2000</v>
      </c>
      <c r="F1643" s="82">
        <f ca="1" t="shared" si="76"/>
        <v>60601</v>
      </c>
      <c r="G1643" s="78" t="str">
        <f ca="1">IF(AND(LEFT("[{"&amp;M1643&amp;","&amp;CEILING(N1643*10000+(O1643-N1643)/4*(COUNTIF($F$11:F1643,F1643)-1)*10000,10)&amp;"}]",7)="[{equip",MID("[{"&amp;M1643&amp;","&amp;CEILING(N1643*10000+(O1643-N1643)/4*(COUNTIF($F$11:F1643,F1643)-1)*10000,10)&amp;"}]",8,1)&lt;&gt;"_"),"[{"&amp;M1643&amp;","&amp;1&amp;"}]","[{"&amp;M1643&amp;","&amp;CEILING(N1643*10000+(O1643-N1643)/4*(COUNTIF($F$11:F1643,F1643)-1)*10000,10)&amp;"}]")</f>
        <v>[{all_class_dmg,550}]</v>
      </c>
      <c r="H1643" s="82" t="s">
        <v>563</v>
      </c>
      <c r="J1643" s="78">
        <f ca="1">IF(MOD(COUNTIF($Q$11:Q1642,Q1642),5)=0,OFFSET(装备属性!$P$1083,1+INT(COUNTA($Q$11:Q1642)/5),0),J1642)</f>
        <v>2</v>
      </c>
      <c r="K1643" s="83" t="str">
        <f ca="1">IF(RIGHT(G1643,13)="rune_slot,1}]",_xlfn.XLOOKUP(LEFT(SUBSTITUTE(G1643,"[{",""),FIND(",",SUBSTITUTE(G1643,"[{",""))-1),Sheet2!B:B,Sheet2!C:C)&amp;"+"&amp;1,_xlfn.XLOOKUP(LEFT(SUBSTITUTE(G1643,"[{",""),FIND(",",SUBSTITUTE(G1643,"[{",""))-1),Sheet2!B:B,Sheet2!C:C)&amp;"+"&amp;SUBSTITUTE(RIGHT(G1643,LEN(G1643)-FIND(",",G1643)),"}]","")/100&amp;"%")</f>
        <v>上阵五个不同职业增伤+5.5%</v>
      </c>
      <c r="L1643" s="83" t="str">
        <f ca="1">IF(MOD(COUNTIF($Q$11:Q1642,Q1642),5)=0,OFFSET(装备属性!$G$1083,1+INT(COUNTA($Q$11:Q1642)/5),0),L1642)</f>
        <v>全员出力Ⅲ</v>
      </c>
      <c r="M1643" s="89" t="str">
        <f ca="1">IF(MOD(COUNTIF($Q$11:Q1642,Q1642),5)=0,OFFSET(装备属性!$H$1083,1+INT(COUNTA($Q$11:Q1642)/5),0),M1642)</f>
        <v>all_class_dmg</v>
      </c>
      <c r="N1643" s="76">
        <f ca="1">IF(MOD(COUNTIF($Q$11:Q1642,Q1642),5)=0,OFFSET(装备属性!$K$1083,1+INT(COUNTA($Q$11:Q1642)/5),0),N1642)</f>
        <v>0.052</v>
      </c>
      <c r="O1643" s="76">
        <f ca="1">IF(MOD(COUNTIF($Q$11:Q1642,Q1642),5)=0,OFFSET(装备属性!$L$1083,1+INT(COUNTA($Q$11:Q1642)/5),0),O1642)</f>
        <v>0.058</v>
      </c>
      <c r="Q1643" s="89" t="str">
        <f ca="1">IF(MOD(COUNTIF($Q$11:Q1642,Q1642),5)=0,OFFSET(装备属性!$M$1083,1+INT(COUNTA($Q$11:Q1642)/5),0),Q1642)</f>
        <v>通用属性</v>
      </c>
      <c r="R1643" s="83">
        <f ca="1">IF(MOD(COUNTIF($Q$11:Q1642,Q1642),5)=0,10000*SUBSTITUTE(SUBSTITUTE(OFFSET(装备属性!$F$1083,1+INT(COUNTA($Q$11:Q1642)/5),0),"[",""),"]","")+_xlfn.XLOOKUP(C1643,$M$3:$M$7,$N$3:$N$7)*100,R1642)</f>
        <v>60600</v>
      </c>
    </row>
    <row r="1644" customHeight="1" spans="1:18">
      <c r="A1644" s="78">
        <f ca="1" t="shared" si="75"/>
        <v>60601</v>
      </c>
      <c r="B1644" s="82">
        <f ca="1">IFERROR(R1644+COUNTIFS($R$11:$R1644,R1644),"")</f>
        <v>60609</v>
      </c>
      <c r="C1644" s="83" t="str">
        <f ca="1">IF(MOD(COUNTIF($Q$11:Q1643,Q1643),5)=0,OFFSET(装备属性!$D$1083,1+INT(COUNTA($Q$11:Q1643)/5),0),C1643)</f>
        <v>红</v>
      </c>
      <c r="D1644" s="82">
        <f t="shared" si="77"/>
        <v>1500</v>
      </c>
      <c r="F1644" s="82">
        <f ca="1" t="shared" si="76"/>
        <v>60601</v>
      </c>
      <c r="G1644" s="78" t="str">
        <f ca="1">IF(AND(LEFT("[{"&amp;M1644&amp;","&amp;CEILING(N1644*10000+(O1644-N1644)/4*(COUNTIF($F$11:F1644,F1644)-1)*10000,10)&amp;"}]",7)="[{equip",MID("[{"&amp;M1644&amp;","&amp;CEILING(N1644*10000+(O1644-N1644)/4*(COUNTIF($F$11:F1644,F1644)-1)*10000,10)&amp;"}]",8,1)&lt;&gt;"_"),"[{"&amp;M1644&amp;","&amp;1&amp;"}]","[{"&amp;M1644&amp;","&amp;CEILING(N1644*10000+(O1644-N1644)/4*(COUNTIF($F$11:F1644,F1644)-1)*10000,10)&amp;"}]")</f>
        <v>[{all_class_dmg,570}]</v>
      </c>
      <c r="H1644" s="82" t="s">
        <v>563</v>
      </c>
      <c r="J1644" s="78">
        <f ca="1">IF(MOD(COUNTIF($Q$11:Q1643,Q1643),5)=0,OFFSET(装备属性!$P$1083,1+INT(COUNTA($Q$11:Q1643)/5),0),J1643)</f>
        <v>2</v>
      </c>
      <c r="K1644" s="83" t="str">
        <f ca="1">IF(RIGHT(G1644,13)="rune_slot,1}]",_xlfn.XLOOKUP(LEFT(SUBSTITUTE(G1644,"[{",""),FIND(",",SUBSTITUTE(G1644,"[{",""))-1),Sheet2!B:B,Sheet2!C:C)&amp;"+"&amp;1,_xlfn.XLOOKUP(LEFT(SUBSTITUTE(G1644,"[{",""),FIND(",",SUBSTITUTE(G1644,"[{",""))-1),Sheet2!B:B,Sheet2!C:C)&amp;"+"&amp;SUBSTITUTE(RIGHT(G1644,LEN(G1644)-FIND(",",G1644)),"}]","")/100&amp;"%")</f>
        <v>上阵五个不同职业增伤+5.7%</v>
      </c>
      <c r="L1644" s="83" t="str">
        <f ca="1">IF(MOD(COUNTIF($Q$11:Q1643,Q1643),5)=0,OFFSET(装备属性!$G$1083,1+INT(COUNTA($Q$11:Q1643)/5),0),L1643)</f>
        <v>全员出力Ⅲ</v>
      </c>
      <c r="M1644" s="89" t="str">
        <f ca="1">IF(MOD(COUNTIF($Q$11:Q1643,Q1643),5)=0,OFFSET(装备属性!$H$1083,1+INT(COUNTA($Q$11:Q1643)/5),0),M1643)</f>
        <v>all_class_dmg</v>
      </c>
      <c r="N1644" s="76">
        <f ca="1">IF(MOD(COUNTIF($Q$11:Q1643,Q1643),5)=0,OFFSET(装备属性!$K$1083,1+INT(COUNTA($Q$11:Q1643)/5),0),N1643)</f>
        <v>0.052</v>
      </c>
      <c r="O1644" s="76">
        <f ca="1">IF(MOD(COUNTIF($Q$11:Q1643,Q1643),5)=0,OFFSET(装备属性!$L$1083,1+INT(COUNTA($Q$11:Q1643)/5),0),O1643)</f>
        <v>0.058</v>
      </c>
      <c r="Q1644" s="89" t="str">
        <f ca="1">IF(MOD(COUNTIF($Q$11:Q1643,Q1643),5)=0,OFFSET(装备属性!$M$1083,1+INT(COUNTA($Q$11:Q1643)/5),0),Q1643)</f>
        <v>通用属性</v>
      </c>
      <c r="R1644" s="83">
        <f ca="1">IF(MOD(COUNTIF($Q$11:Q1643,Q1643),5)=0,10000*SUBSTITUTE(SUBSTITUTE(OFFSET(装备属性!$F$1083,1+INT(COUNTA($Q$11:Q1643)/5),0),"[",""),"]","")+_xlfn.XLOOKUP(C1644,$M$3:$M$7,$N$3:$N$7)*100,R1643)</f>
        <v>60600</v>
      </c>
    </row>
    <row r="1645" customHeight="1" spans="1:18">
      <c r="A1645" s="78">
        <f ca="1" t="shared" si="75"/>
        <v>60601</v>
      </c>
      <c r="B1645" s="82">
        <f ca="1">IFERROR(R1645+COUNTIFS($R$11:$R1645,R1645),"")</f>
        <v>60610</v>
      </c>
      <c r="C1645" s="83" t="str">
        <f ca="1">IF(MOD(COUNTIF($Q$11:Q1644,Q1644),5)=0,OFFSET(装备属性!$D$1083,1+INT(COUNTA($Q$11:Q1644)/5),0),C1644)</f>
        <v>红</v>
      </c>
      <c r="D1645" s="82">
        <f t="shared" si="77"/>
        <v>1000</v>
      </c>
      <c r="F1645" s="82">
        <f ca="1" t="shared" si="76"/>
        <v>60601</v>
      </c>
      <c r="G1645" s="78" t="str">
        <f ca="1">IF(AND(LEFT("[{"&amp;M1645&amp;","&amp;CEILING(N1645*10000+(O1645-N1645)/4*(COUNTIF($F$11:F1645,F1645)-1)*10000,10)&amp;"}]",7)="[{equip",MID("[{"&amp;M1645&amp;","&amp;CEILING(N1645*10000+(O1645-N1645)/4*(COUNTIF($F$11:F1645,F1645)-1)*10000,10)&amp;"}]",8,1)&lt;&gt;"_"),"[{"&amp;M1645&amp;","&amp;1&amp;"}]","[{"&amp;M1645&amp;","&amp;CEILING(N1645*10000+(O1645-N1645)/4*(COUNTIF($F$11:F1645,F1645)-1)*10000,10)&amp;"}]")</f>
        <v>[{all_class_dmg,580}]</v>
      </c>
      <c r="H1645" s="82" t="s">
        <v>563</v>
      </c>
      <c r="J1645" s="78">
        <f ca="1">IF(MOD(COUNTIF($Q$11:Q1644,Q1644),5)=0,OFFSET(装备属性!$P$1083,1+INT(COUNTA($Q$11:Q1644)/5),0),J1644)</f>
        <v>2</v>
      </c>
      <c r="K1645" s="83" t="str">
        <f ca="1">IF(RIGHT(G1645,13)="rune_slot,1}]",_xlfn.XLOOKUP(LEFT(SUBSTITUTE(G1645,"[{",""),FIND(",",SUBSTITUTE(G1645,"[{",""))-1),Sheet2!B:B,Sheet2!C:C)&amp;"+"&amp;1,_xlfn.XLOOKUP(LEFT(SUBSTITUTE(G1645,"[{",""),FIND(",",SUBSTITUTE(G1645,"[{",""))-1),Sheet2!B:B,Sheet2!C:C)&amp;"+"&amp;SUBSTITUTE(RIGHT(G1645,LEN(G1645)-FIND(",",G1645)),"}]","")/100&amp;"%")</f>
        <v>上阵五个不同职业增伤+5.8%</v>
      </c>
      <c r="L1645" s="83" t="str">
        <f ca="1">IF(MOD(COUNTIF($Q$11:Q1644,Q1644),5)=0,OFFSET(装备属性!$G$1083,1+INT(COUNTA($Q$11:Q1644)/5),0),L1644)</f>
        <v>全员出力Ⅲ</v>
      </c>
      <c r="M1645" s="89" t="str">
        <f ca="1">IF(MOD(COUNTIF($Q$11:Q1644,Q1644),5)=0,OFFSET(装备属性!$H$1083,1+INT(COUNTA($Q$11:Q1644)/5),0),M1644)</f>
        <v>all_class_dmg</v>
      </c>
      <c r="N1645" s="76">
        <f ca="1">IF(MOD(COUNTIF($Q$11:Q1644,Q1644),5)=0,OFFSET(装备属性!$K$1083,1+INT(COUNTA($Q$11:Q1644)/5),0),N1644)</f>
        <v>0.052</v>
      </c>
      <c r="O1645" s="76">
        <f ca="1">IF(MOD(COUNTIF($Q$11:Q1644,Q1644),5)=0,OFFSET(装备属性!$L$1083,1+INT(COUNTA($Q$11:Q1644)/5),0),O1644)</f>
        <v>0.058</v>
      </c>
      <c r="Q1645" s="89" t="str">
        <f ca="1">IF(MOD(COUNTIF($Q$11:Q1644,Q1644),5)=0,OFFSET(装备属性!$M$1083,1+INT(COUNTA($Q$11:Q1644)/5),0),Q1644)</f>
        <v>通用属性</v>
      </c>
      <c r="R1645" s="83">
        <f ca="1">IF(MOD(COUNTIF($Q$11:Q1644,Q1644),5)=0,10000*SUBSTITUTE(SUBSTITUTE(OFFSET(装备属性!$F$1083,1+INT(COUNTA($Q$11:Q1644)/5),0),"[",""),"]","")+_xlfn.XLOOKUP(C1645,$M$3:$M$7,$N$3:$N$7)*100,R1644)</f>
        <v>60600</v>
      </c>
    </row>
    <row r="1646" customHeight="1" spans="1:18">
      <c r="A1646" s="78" t="str">
        <f ca="1" t="shared" si="75"/>
        <v/>
      </c>
      <c r="B1646" s="82" t="str">
        <f ca="1">IFERROR(R1646+COUNTIFS($R$11:$R1646,R1646),"")</f>
        <v/>
      </c>
      <c r="C1646" s="83">
        <f ca="1">IF(MOD(COUNTIF($Q$11:Q1645,Q1645),5)=0,OFFSET(装备属性!$D$1083,1+INT(COUNTA($Q$11:Q1645)/5),0),C1645)</f>
        <v>0</v>
      </c>
      <c r="D1646" s="82">
        <f t="shared" si="77"/>
        <v>3000</v>
      </c>
      <c r="F1646" s="82" t="str">
        <f ca="1" t="shared" si="76"/>
        <v/>
      </c>
      <c r="G1646" s="78" t="str">
        <f ca="1">IF(AND(LEFT("[{"&amp;M1646&amp;","&amp;CEILING(N1646*10000+(O1646-N1646)/4*(COUNTIF($F$11:F1646,F1646)-1)*10000,10)&amp;"}]",7)="[{equip",MID("[{"&amp;M1646&amp;","&amp;CEILING(N1646*10000+(O1646-N1646)/4*(COUNTIF($F$11:F1646,F1646)-1)*10000,10)&amp;"}]",8,1)&lt;&gt;"_"),"[{"&amp;M1646&amp;","&amp;1&amp;"}]","[{"&amp;M1646&amp;","&amp;CEILING(N1646*10000+(O1646-N1646)/4*(COUNTIF($F$11:F1646,F1646)-1)*10000,10)&amp;"}]")</f>
        <v>[{exp_boost,2000}]</v>
      </c>
      <c r="H1646" s="82" t="s">
        <v>563</v>
      </c>
      <c r="J1646" s="78">
        <f ca="1">IF(MOD(COUNTIF($Q$11:Q1645,Q1645),5)=0,OFFSET(装备属性!$P$1083,1+INT(COUNTA($Q$11:Q1645)/5),0),J1645)</f>
        <v>9</v>
      </c>
      <c r="K1646" s="83" t="str">
        <f ca="1">IF(RIGHT(G1646,13)="rune_slot,1}]",_xlfn.XLOOKUP(LEFT(SUBSTITUTE(G1646,"[{",""),FIND(",",SUBSTITUTE(G1646,"[{",""))-1),Sheet2!B:B,Sheet2!C:C)&amp;"+"&amp;1,_xlfn.XLOOKUP(LEFT(SUBSTITUTE(G1646,"[{",""),FIND(",",SUBSTITUTE(G1646,"[{",""))-1),Sheet2!B:B,Sheet2!C:C)&amp;"+"&amp;SUBSTITUTE(RIGHT(G1646,LEN(G1646)-FIND(",",G1646)),"}]","")/100&amp;"%")</f>
        <v>经验加成+20%</v>
      </c>
      <c r="L1646" s="83" t="str">
        <f ca="1">IF(MOD(COUNTIF($Q$11:Q1645,Q1645),5)=0,OFFSET(装备属性!$G$1083,1+INT(COUNTA($Q$11:Q1645)/5),0),L1645)</f>
        <v>涨见识</v>
      </c>
      <c r="M1646" s="89" t="str">
        <f ca="1">IF(MOD(COUNTIF($Q$11:Q1645,Q1645),5)=0,OFFSET(装备属性!$H$1083,1+INT(COUNTA($Q$11:Q1645)/5),0),M1645)</f>
        <v>exp_boost</v>
      </c>
      <c r="N1646" s="76">
        <f ca="1">IF(MOD(COUNTIF($Q$11:Q1645,Q1645),5)=0,OFFSET(装备属性!$K$1083,1+INT(COUNTA($Q$11:Q1645)/5),0),N1645)</f>
        <v>0.2</v>
      </c>
      <c r="O1646" s="76">
        <f ca="1">IF(MOD(COUNTIF($Q$11:Q1645,Q1645),5)=0,OFFSET(装备属性!$L$1083,1+INT(COUNTA($Q$11:Q1645)/5),0),O1645)</f>
        <v>0.2</v>
      </c>
      <c r="Q1646" s="89" t="str">
        <f ca="1">IF(MOD(COUNTIF($Q$11:Q1645,Q1645),5)=0,OFFSET(装备属性!$M$1083,1+INT(COUNTA($Q$11:Q1645)/5),0),Q1645)</f>
        <v>稀有词条</v>
      </c>
      <c r="R1646" s="83" t="e">
        <f ca="1">IF(MOD(COUNTIF($Q$11:Q1645,Q1645),5)=0,10000*SUBSTITUTE(SUBSTITUTE(OFFSET(装备属性!$F$1083,1+INT(COUNTA($Q$11:Q1645)/5),0),"[",""),"]","")+_xlfn.XLOOKUP(C1646,$M$3:$M$7,$N$3:$N$7)*100,R1645)</f>
        <v>#N/A</v>
      </c>
    </row>
    <row r="1647" customHeight="1" spans="1:18">
      <c r="A1647" s="78" t="str">
        <f ca="1" t="shared" si="75"/>
        <v/>
      </c>
      <c r="B1647" s="82" t="str">
        <f ca="1">IFERROR(R1647+COUNTIFS($R$11:$R1647,R1647),"")</f>
        <v/>
      </c>
      <c r="C1647" s="83">
        <f ca="1">IF(MOD(COUNTIF($Q$11:Q1646,Q1646),5)=0,OFFSET(装备属性!$D$1083,1+INT(COUNTA($Q$11:Q1646)/5),0),C1646)</f>
        <v>0</v>
      </c>
      <c r="D1647" s="82">
        <f t="shared" si="77"/>
        <v>2500</v>
      </c>
      <c r="F1647" s="82" t="str">
        <f ca="1" t="shared" si="76"/>
        <v/>
      </c>
      <c r="G1647" s="78" t="str">
        <f ca="1">IF(AND(LEFT("[{"&amp;M1647&amp;","&amp;CEILING(N1647*10000+(O1647-N1647)/4*(COUNTIF($F$11:F1647,F1647)-1)*10000,10)&amp;"}]",7)="[{equip",MID("[{"&amp;M1647&amp;","&amp;CEILING(N1647*10000+(O1647-N1647)/4*(COUNTIF($F$11:F1647,F1647)-1)*10000,10)&amp;"}]",8,1)&lt;&gt;"_"),"[{"&amp;M1647&amp;","&amp;1&amp;"}]","[{"&amp;M1647&amp;","&amp;CEILING(N1647*10000+(O1647-N1647)/4*(COUNTIF($F$11:F1647,F1647)-1)*10000,10)&amp;"}]")</f>
        <v>[{exp_boost,2000}]</v>
      </c>
      <c r="H1647" s="82" t="s">
        <v>563</v>
      </c>
      <c r="J1647" s="78">
        <f ca="1">IF(MOD(COUNTIF($Q$11:Q1646,Q1646),5)=0,OFFSET(装备属性!$P$1083,1+INT(COUNTA($Q$11:Q1646)/5),0),J1646)</f>
        <v>9</v>
      </c>
      <c r="K1647" s="83" t="str">
        <f ca="1">IF(RIGHT(G1647,13)="rune_slot,1}]",_xlfn.XLOOKUP(LEFT(SUBSTITUTE(G1647,"[{",""),FIND(",",SUBSTITUTE(G1647,"[{",""))-1),Sheet2!B:B,Sheet2!C:C)&amp;"+"&amp;1,_xlfn.XLOOKUP(LEFT(SUBSTITUTE(G1647,"[{",""),FIND(",",SUBSTITUTE(G1647,"[{",""))-1),Sheet2!B:B,Sheet2!C:C)&amp;"+"&amp;SUBSTITUTE(RIGHT(G1647,LEN(G1647)-FIND(",",G1647)),"}]","")/100&amp;"%")</f>
        <v>经验加成+20%</v>
      </c>
      <c r="L1647" s="83" t="str">
        <f ca="1">IF(MOD(COUNTIF($Q$11:Q1646,Q1646),5)=0,OFFSET(装备属性!$G$1083,1+INT(COUNTA($Q$11:Q1646)/5),0),L1646)</f>
        <v>涨见识</v>
      </c>
      <c r="M1647" s="89" t="str">
        <f ca="1">IF(MOD(COUNTIF($Q$11:Q1646,Q1646),5)=0,OFFSET(装备属性!$H$1083,1+INT(COUNTA($Q$11:Q1646)/5),0),M1646)</f>
        <v>exp_boost</v>
      </c>
      <c r="N1647" s="76">
        <f ca="1">IF(MOD(COUNTIF($Q$11:Q1646,Q1646),5)=0,OFFSET(装备属性!$K$1083,1+INT(COUNTA($Q$11:Q1646)/5),0),N1646)</f>
        <v>0.2</v>
      </c>
      <c r="O1647" s="76">
        <f ca="1">IF(MOD(COUNTIF($Q$11:Q1646,Q1646),5)=0,OFFSET(装备属性!$L$1083,1+INT(COUNTA($Q$11:Q1646)/5),0),O1646)</f>
        <v>0.2</v>
      </c>
      <c r="Q1647" s="89" t="str">
        <f ca="1">IF(MOD(COUNTIF($Q$11:Q1646,Q1646),5)=0,OFFSET(装备属性!$M$1083,1+INT(COUNTA($Q$11:Q1646)/5),0),Q1646)</f>
        <v>稀有词条</v>
      </c>
      <c r="R1647" s="83" t="e">
        <f ca="1">IF(MOD(COUNTIF($Q$11:Q1646,Q1646),5)=0,10000*SUBSTITUTE(SUBSTITUTE(OFFSET(装备属性!$F$1083,1+INT(COUNTA($Q$11:Q1646)/5),0),"[",""),"]","")+_xlfn.XLOOKUP(C1647,$M$3:$M$7,$N$3:$N$7)*100,R1646)</f>
        <v>#N/A</v>
      </c>
    </row>
    <row r="1648" customHeight="1" spans="1:18">
      <c r="A1648" s="78" t="str">
        <f ca="1" t="shared" si="75"/>
        <v/>
      </c>
      <c r="B1648" s="82" t="str">
        <f ca="1">IFERROR(R1648+COUNTIFS($R$11:$R1648,R1648),"")</f>
        <v/>
      </c>
      <c r="C1648" s="83">
        <f ca="1">IF(MOD(COUNTIF($Q$11:Q1647,Q1647),5)=0,OFFSET(装备属性!$D$1083,1+INT(COUNTA($Q$11:Q1647)/5),0),C1647)</f>
        <v>0</v>
      </c>
      <c r="D1648" s="82">
        <f t="shared" si="77"/>
        <v>2000</v>
      </c>
      <c r="F1648" s="82" t="str">
        <f ca="1" t="shared" si="76"/>
        <v/>
      </c>
      <c r="G1648" s="78" t="str">
        <f ca="1">IF(AND(LEFT("[{"&amp;M1648&amp;","&amp;CEILING(N1648*10000+(O1648-N1648)/4*(COUNTIF($F$11:F1648,F1648)-1)*10000,10)&amp;"}]",7)="[{equip",MID("[{"&amp;M1648&amp;","&amp;CEILING(N1648*10000+(O1648-N1648)/4*(COUNTIF($F$11:F1648,F1648)-1)*10000,10)&amp;"}]",8,1)&lt;&gt;"_"),"[{"&amp;M1648&amp;","&amp;1&amp;"}]","[{"&amp;M1648&amp;","&amp;CEILING(N1648*10000+(O1648-N1648)/4*(COUNTIF($F$11:F1648,F1648)-1)*10000,10)&amp;"}]")</f>
        <v>[{exp_boost,2000}]</v>
      </c>
      <c r="H1648" s="82" t="s">
        <v>563</v>
      </c>
      <c r="J1648" s="78">
        <f ca="1">IF(MOD(COUNTIF($Q$11:Q1647,Q1647),5)=0,OFFSET(装备属性!$P$1083,1+INT(COUNTA($Q$11:Q1647)/5),0),J1647)</f>
        <v>9</v>
      </c>
      <c r="K1648" s="83" t="str">
        <f ca="1">IF(RIGHT(G1648,13)="rune_slot,1}]",_xlfn.XLOOKUP(LEFT(SUBSTITUTE(G1648,"[{",""),FIND(",",SUBSTITUTE(G1648,"[{",""))-1),Sheet2!B:B,Sheet2!C:C)&amp;"+"&amp;1,_xlfn.XLOOKUP(LEFT(SUBSTITUTE(G1648,"[{",""),FIND(",",SUBSTITUTE(G1648,"[{",""))-1),Sheet2!B:B,Sheet2!C:C)&amp;"+"&amp;SUBSTITUTE(RIGHT(G1648,LEN(G1648)-FIND(",",G1648)),"}]","")/100&amp;"%")</f>
        <v>经验加成+20%</v>
      </c>
      <c r="L1648" s="83" t="str">
        <f ca="1">IF(MOD(COUNTIF($Q$11:Q1647,Q1647),5)=0,OFFSET(装备属性!$G$1083,1+INT(COUNTA($Q$11:Q1647)/5),0),L1647)</f>
        <v>涨见识</v>
      </c>
      <c r="M1648" s="89" t="str">
        <f ca="1">IF(MOD(COUNTIF($Q$11:Q1647,Q1647),5)=0,OFFSET(装备属性!$H$1083,1+INT(COUNTA($Q$11:Q1647)/5),0),M1647)</f>
        <v>exp_boost</v>
      </c>
      <c r="N1648" s="76">
        <f ca="1">IF(MOD(COUNTIF($Q$11:Q1647,Q1647),5)=0,OFFSET(装备属性!$K$1083,1+INT(COUNTA($Q$11:Q1647)/5),0),N1647)</f>
        <v>0.2</v>
      </c>
      <c r="O1648" s="76">
        <f ca="1">IF(MOD(COUNTIF($Q$11:Q1647,Q1647),5)=0,OFFSET(装备属性!$L$1083,1+INT(COUNTA($Q$11:Q1647)/5),0),O1647)</f>
        <v>0.2</v>
      </c>
      <c r="Q1648" s="89" t="str">
        <f ca="1">IF(MOD(COUNTIF($Q$11:Q1647,Q1647),5)=0,OFFSET(装备属性!$M$1083,1+INT(COUNTA($Q$11:Q1647)/5),0),Q1647)</f>
        <v>稀有词条</v>
      </c>
      <c r="R1648" s="83" t="e">
        <f ca="1">IF(MOD(COUNTIF($Q$11:Q1647,Q1647),5)=0,10000*SUBSTITUTE(SUBSTITUTE(OFFSET(装备属性!$F$1083,1+INT(COUNTA($Q$11:Q1647)/5),0),"[",""),"]","")+_xlfn.XLOOKUP(C1648,$M$3:$M$7,$N$3:$N$7)*100,R1647)</f>
        <v>#N/A</v>
      </c>
    </row>
    <row r="1649" customHeight="1" spans="1:18">
      <c r="A1649" s="78" t="str">
        <f ca="1" t="shared" si="75"/>
        <v/>
      </c>
      <c r="B1649" s="82" t="str">
        <f ca="1">IFERROR(R1649+COUNTIFS($R$11:$R1649,R1649),"")</f>
        <v/>
      </c>
      <c r="C1649" s="83">
        <f ca="1">IF(MOD(COUNTIF($Q$11:Q1648,Q1648),5)=0,OFFSET(装备属性!$D$1083,1+INT(COUNTA($Q$11:Q1648)/5),0),C1648)</f>
        <v>0</v>
      </c>
      <c r="D1649" s="82">
        <f t="shared" si="77"/>
        <v>1500</v>
      </c>
      <c r="F1649" s="82" t="str">
        <f ca="1" t="shared" si="76"/>
        <v/>
      </c>
      <c r="G1649" s="78" t="str">
        <f ca="1">IF(AND(LEFT("[{"&amp;M1649&amp;","&amp;CEILING(N1649*10000+(O1649-N1649)/4*(COUNTIF($F$11:F1649,F1649)-1)*10000,10)&amp;"}]",7)="[{equip",MID("[{"&amp;M1649&amp;","&amp;CEILING(N1649*10000+(O1649-N1649)/4*(COUNTIF($F$11:F1649,F1649)-1)*10000,10)&amp;"}]",8,1)&lt;&gt;"_"),"[{"&amp;M1649&amp;","&amp;1&amp;"}]","[{"&amp;M1649&amp;","&amp;CEILING(N1649*10000+(O1649-N1649)/4*(COUNTIF($F$11:F1649,F1649)-1)*10000,10)&amp;"}]")</f>
        <v>[{exp_boost,2000}]</v>
      </c>
      <c r="H1649" s="82" t="s">
        <v>563</v>
      </c>
      <c r="J1649" s="78">
        <f ca="1">IF(MOD(COUNTIF($Q$11:Q1648,Q1648),5)=0,OFFSET(装备属性!$P$1083,1+INT(COUNTA($Q$11:Q1648)/5),0),J1648)</f>
        <v>9</v>
      </c>
      <c r="K1649" s="83" t="str">
        <f ca="1">IF(RIGHT(G1649,13)="rune_slot,1}]",_xlfn.XLOOKUP(LEFT(SUBSTITUTE(G1649,"[{",""),FIND(",",SUBSTITUTE(G1649,"[{",""))-1),Sheet2!B:B,Sheet2!C:C)&amp;"+"&amp;1,_xlfn.XLOOKUP(LEFT(SUBSTITUTE(G1649,"[{",""),FIND(",",SUBSTITUTE(G1649,"[{",""))-1),Sheet2!B:B,Sheet2!C:C)&amp;"+"&amp;SUBSTITUTE(RIGHT(G1649,LEN(G1649)-FIND(",",G1649)),"}]","")/100&amp;"%")</f>
        <v>经验加成+20%</v>
      </c>
      <c r="L1649" s="83" t="str">
        <f ca="1">IF(MOD(COUNTIF($Q$11:Q1648,Q1648),5)=0,OFFSET(装备属性!$G$1083,1+INT(COUNTA($Q$11:Q1648)/5),0),L1648)</f>
        <v>涨见识</v>
      </c>
      <c r="M1649" s="89" t="str">
        <f ca="1">IF(MOD(COUNTIF($Q$11:Q1648,Q1648),5)=0,OFFSET(装备属性!$H$1083,1+INT(COUNTA($Q$11:Q1648)/5),0),M1648)</f>
        <v>exp_boost</v>
      </c>
      <c r="N1649" s="76">
        <f ca="1">IF(MOD(COUNTIF($Q$11:Q1648,Q1648),5)=0,OFFSET(装备属性!$K$1083,1+INT(COUNTA($Q$11:Q1648)/5),0),N1648)</f>
        <v>0.2</v>
      </c>
      <c r="O1649" s="76">
        <f ca="1">IF(MOD(COUNTIF($Q$11:Q1648,Q1648),5)=0,OFFSET(装备属性!$L$1083,1+INT(COUNTA($Q$11:Q1648)/5),0),O1648)</f>
        <v>0.2</v>
      </c>
      <c r="Q1649" s="89" t="str">
        <f ca="1">IF(MOD(COUNTIF($Q$11:Q1648,Q1648),5)=0,OFFSET(装备属性!$M$1083,1+INT(COUNTA($Q$11:Q1648)/5),0),Q1648)</f>
        <v>稀有词条</v>
      </c>
      <c r="R1649" s="83" t="e">
        <f ca="1">IF(MOD(COUNTIF($Q$11:Q1648,Q1648),5)=0,10000*SUBSTITUTE(SUBSTITUTE(OFFSET(装备属性!$F$1083,1+INT(COUNTA($Q$11:Q1648)/5),0),"[",""),"]","")+_xlfn.XLOOKUP(C1649,$M$3:$M$7,$N$3:$N$7)*100,R1648)</f>
        <v>#N/A</v>
      </c>
    </row>
    <row r="1650" customHeight="1" spans="1:18">
      <c r="A1650" s="78" t="str">
        <f ca="1" t="shared" si="75"/>
        <v/>
      </c>
      <c r="B1650" s="82" t="str">
        <f ca="1">IFERROR(R1650+COUNTIFS($R$11:$R1650,R1650),"")</f>
        <v/>
      </c>
      <c r="C1650" s="83">
        <f ca="1">IF(MOD(COUNTIF($Q$11:Q1649,Q1649),5)=0,OFFSET(装备属性!$D$1083,1+INT(COUNTA($Q$11:Q1649)/5),0),C1649)</f>
        <v>0</v>
      </c>
      <c r="D1650" s="82">
        <f t="shared" si="77"/>
        <v>1000</v>
      </c>
      <c r="F1650" s="82" t="str">
        <f ca="1" t="shared" si="76"/>
        <v/>
      </c>
      <c r="G1650" s="78" t="str">
        <f ca="1">IF(AND(LEFT("[{"&amp;M1650&amp;","&amp;CEILING(N1650*10000+(O1650-N1650)/4*(COUNTIF($F$11:F1650,F1650)-1)*10000,10)&amp;"}]",7)="[{equip",MID("[{"&amp;M1650&amp;","&amp;CEILING(N1650*10000+(O1650-N1650)/4*(COUNTIF($F$11:F1650,F1650)-1)*10000,10)&amp;"}]",8,1)&lt;&gt;"_"),"[{"&amp;M1650&amp;","&amp;1&amp;"}]","[{"&amp;M1650&amp;","&amp;CEILING(N1650*10000+(O1650-N1650)/4*(COUNTIF($F$11:F1650,F1650)-1)*10000,10)&amp;"}]")</f>
        <v>[{exp_boost,2000}]</v>
      </c>
      <c r="H1650" s="82" t="s">
        <v>563</v>
      </c>
      <c r="J1650" s="78">
        <f ca="1">IF(MOD(COUNTIF($Q$11:Q1649,Q1649),5)=0,OFFSET(装备属性!$P$1083,1+INT(COUNTA($Q$11:Q1649)/5),0),J1649)</f>
        <v>9</v>
      </c>
      <c r="K1650" s="83" t="str">
        <f ca="1">IF(RIGHT(G1650,13)="rune_slot,1}]",_xlfn.XLOOKUP(LEFT(SUBSTITUTE(G1650,"[{",""),FIND(",",SUBSTITUTE(G1650,"[{",""))-1),Sheet2!B:B,Sheet2!C:C)&amp;"+"&amp;1,_xlfn.XLOOKUP(LEFT(SUBSTITUTE(G1650,"[{",""),FIND(",",SUBSTITUTE(G1650,"[{",""))-1),Sheet2!B:B,Sheet2!C:C)&amp;"+"&amp;SUBSTITUTE(RIGHT(G1650,LEN(G1650)-FIND(",",G1650)),"}]","")/100&amp;"%")</f>
        <v>经验加成+20%</v>
      </c>
      <c r="L1650" s="83" t="str">
        <f ca="1">IF(MOD(COUNTIF($Q$11:Q1649,Q1649),5)=0,OFFSET(装备属性!$G$1083,1+INT(COUNTA($Q$11:Q1649)/5),0),L1649)</f>
        <v>涨见识</v>
      </c>
      <c r="M1650" s="89" t="str">
        <f ca="1">IF(MOD(COUNTIF($Q$11:Q1649,Q1649),5)=0,OFFSET(装备属性!$H$1083,1+INT(COUNTA($Q$11:Q1649)/5),0),M1649)</f>
        <v>exp_boost</v>
      </c>
      <c r="N1650" s="76">
        <f ca="1">IF(MOD(COUNTIF($Q$11:Q1649,Q1649),5)=0,OFFSET(装备属性!$K$1083,1+INT(COUNTA($Q$11:Q1649)/5),0),N1649)</f>
        <v>0.2</v>
      </c>
      <c r="O1650" s="76">
        <f ca="1">IF(MOD(COUNTIF($Q$11:Q1649,Q1649),5)=0,OFFSET(装备属性!$L$1083,1+INT(COUNTA($Q$11:Q1649)/5),0),O1649)</f>
        <v>0.2</v>
      </c>
      <c r="Q1650" s="89" t="str">
        <f ca="1">IF(MOD(COUNTIF($Q$11:Q1649,Q1649),5)=0,OFFSET(装备属性!$M$1083,1+INT(COUNTA($Q$11:Q1649)/5),0),Q1649)</f>
        <v>稀有词条</v>
      </c>
      <c r="R1650" s="83" t="e">
        <f ca="1">IF(MOD(COUNTIF($Q$11:Q1649,Q1649),5)=0,10000*SUBSTITUTE(SUBSTITUTE(OFFSET(装备属性!$F$1083,1+INT(COUNTA($Q$11:Q1649)/5),0),"[",""),"]","")+_xlfn.XLOOKUP(C1650,$M$3:$M$7,$N$3:$N$7)*100,R1649)</f>
        <v>#N/A</v>
      </c>
    </row>
    <row r="1651" customHeight="1" spans="1:18">
      <c r="A1651" s="78" t="str">
        <f ca="1" t="shared" si="75"/>
        <v/>
      </c>
      <c r="B1651" s="82" t="str">
        <f ca="1">IFERROR(R1651+COUNTIFS($R$11:$R1651,R1651),"")</f>
        <v/>
      </c>
      <c r="C1651" s="83">
        <f ca="1">IF(MOD(COUNTIF($Q$11:Q1650,Q1650),5)=0,OFFSET(装备属性!$D$1083,1+INT(COUNTA($Q$11:Q1650)/5),0),C1650)</f>
        <v>0</v>
      </c>
      <c r="D1651" s="82">
        <f t="shared" si="77"/>
        <v>3000</v>
      </c>
      <c r="F1651" s="82" t="str">
        <f ca="1" t="shared" si="76"/>
        <v/>
      </c>
      <c r="G1651" s="78" t="str">
        <f ca="1">IF(AND(LEFT("[{"&amp;M1651&amp;","&amp;CEILING(N1651*10000+(O1651-N1651)/4*(COUNTIF($F$11:F1651,F1651)-1)*10000,10)&amp;"}]",7)="[{equip",MID("[{"&amp;M1651&amp;","&amp;CEILING(N1651*10000+(O1651-N1651)/4*(COUNTIF($F$11:F1651,F1651)-1)*10000,10)&amp;"}]",8,1)&lt;&gt;"_"),"[{"&amp;M1651&amp;","&amp;1&amp;"}]","[{"&amp;M1651&amp;","&amp;CEILING(N1651*10000+(O1651-N1651)/4*(COUNTIF($F$11:F1651,F1651)-1)*10000,10)&amp;"}]")</f>
        <v>[{equip_base_attr,2500}]</v>
      </c>
      <c r="H1651" s="82" t="s">
        <v>563</v>
      </c>
      <c r="J1651" s="78">
        <f ca="1">IF(MOD(COUNTIF($Q$11:Q1650,Q1650),5)=0,OFFSET(装备属性!$P$1083,1+INT(COUNTA($Q$11:Q1650)/5),0),J1650)</f>
        <v>7</v>
      </c>
      <c r="K1651" s="83" t="str">
        <f ca="1">IF(RIGHT(G1651,13)="rune_slot,1}]",_xlfn.XLOOKUP(LEFT(SUBSTITUTE(G1651,"[{",""),FIND(",",SUBSTITUTE(G1651,"[{",""))-1),Sheet2!B:B,Sheet2!C:C)&amp;"+"&amp;1,_xlfn.XLOOKUP(LEFT(SUBSTITUTE(G1651,"[{",""),FIND(",",SUBSTITUTE(G1651,"[{",""))-1),Sheet2!B:B,Sheet2!C:C)&amp;"+"&amp;SUBSTITUTE(RIGHT(G1651,LEN(G1651)-FIND(",",G1651)),"}]","")/100&amp;"%")</f>
        <v>装备基础属性加成+25%</v>
      </c>
      <c r="L1651" s="83" t="str">
        <f ca="1">IF(MOD(COUNTIF($Q$11:Q1650,Q1650),5)=0,OFFSET(装备属性!$G$1083,1+INT(COUNTA($Q$11:Q1650)/5),0),L1650)</f>
        <v>厚底子</v>
      </c>
      <c r="M1651" s="89" t="str">
        <f ca="1">IF(MOD(COUNTIF($Q$11:Q1650,Q1650),5)=0,OFFSET(装备属性!$H$1083,1+INT(COUNTA($Q$11:Q1650)/5),0),M1650)</f>
        <v>equip_base_attr</v>
      </c>
      <c r="N1651" s="76">
        <f ca="1">IF(MOD(COUNTIF($Q$11:Q1650,Q1650),5)=0,OFFSET(装备属性!$K$1083,1+INT(COUNTA($Q$11:Q1650)/5),0),N1650)</f>
        <v>0.25</v>
      </c>
      <c r="O1651" s="76">
        <f ca="1">IF(MOD(COUNTIF($Q$11:Q1650,Q1650),5)=0,OFFSET(装备属性!$L$1083,1+INT(COUNTA($Q$11:Q1650)/5),0),O1650)</f>
        <v>0.25</v>
      </c>
      <c r="Q1651" s="89" t="str">
        <f ca="1">IF(MOD(COUNTIF($Q$11:Q1650,Q1650),5)=0,OFFSET(装备属性!$M$1083,1+INT(COUNTA($Q$11:Q1650)/5),0),Q1650)</f>
        <v>稀有词条</v>
      </c>
      <c r="R1651" s="83" t="e">
        <f ca="1">IF(MOD(COUNTIF($Q$11:Q1650,Q1650),5)=0,10000*SUBSTITUTE(SUBSTITUTE(OFFSET(装备属性!$F$1083,1+INT(COUNTA($Q$11:Q1650)/5),0),"[",""),"]","")+_xlfn.XLOOKUP(C1651,$M$3:$M$7,$N$3:$N$7)*100,R1650)</f>
        <v>#N/A</v>
      </c>
    </row>
    <row r="1652" customHeight="1" spans="1:18">
      <c r="A1652" s="78" t="str">
        <f ca="1" t="shared" si="75"/>
        <v/>
      </c>
      <c r="B1652" s="82" t="str">
        <f ca="1">IFERROR(R1652+COUNTIFS($R$11:$R1652,R1652),"")</f>
        <v/>
      </c>
      <c r="C1652" s="83">
        <f ca="1">IF(MOD(COUNTIF($Q$11:Q1651,Q1651),5)=0,OFFSET(装备属性!$D$1083,1+INT(COUNTA($Q$11:Q1651)/5),0),C1651)</f>
        <v>0</v>
      </c>
      <c r="D1652" s="82">
        <f t="shared" si="77"/>
        <v>2500</v>
      </c>
      <c r="F1652" s="82" t="str">
        <f ca="1" t="shared" si="76"/>
        <v/>
      </c>
      <c r="G1652" s="78" t="str">
        <f ca="1">IF(AND(LEFT("[{"&amp;M1652&amp;","&amp;CEILING(N1652*10000+(O1652-N1652)/4*(COUNTIF($F$11:F1652,F1652)-1)*10000,10)&amp;"}]",7)="[{equip",MID("[{"&amp;M1652&amp;","&amp;CEILING(N1652*10000+(O1652-N1652)/4*(COUNTIF($F$11:F1652,F1652)-1)*10000,10)&amp;"}]",8,1)&lt;&gt;"_"),"[{"&amp;M1652&amp;","&amp;1&amp;"}]","[{"&amp;M1652&amp;","&amp;CEILING(N1652*10000+(O1652-N1652)/4*(COUNTIF($F$11:F1652,F1652)-1)*10000,10)&amp;"}]")</f>
        <v>[{equip_base_attr,2500}]</v>
      </c>
      <c r="H1652" s="82" t="s">
        <v>563</v>
      </c>
      <c r="J1652" s="78">
        <f ca="1">IF(MOD(COUNTIF($Q$11:Q1651,Q1651),5)=0,OFFSET(装备属性!$P$1083,1+INT(COUNTA($Q$11:Q1651)/5),0),J1651)</f>
        <v>7</v>
      </c>
      <c r="K1652" s="83" t="str">
        <f ca="1">IF(RIGHT(G1652,13)="rune_slot,1}]",_xlfn.XLOOKUP(LEFT(SUBSTITUTE(G1652,"[{",""),FIND(",",SUBSTITUTE(G1652,"[{",""))-1),Sheet2!B:B,Sheet2!C:C)&amp;"+"&amp;1,_xlfn.XLOOKUP(LEFT(SUBSTITUTE(G1652,"[{",""),FIND(",",SUBSTITUTE(G1652,"[{",""))-1),Sheet2!B:B,Sheet2!C:C)&amp;"+"&amp;SUBSTITUTE(RIGHT(G1652,LEN(G1652)-FIND(",",G1652)),"}]","")/100&amp;"%")</f>
        <v>装备基础属性加成+25%</v>
      </c>
      <c r="L1652" s="83" t="str">
        <f ca="1">IF(MOD(COUNTIF($Q$11:Q1651,Q1651),5)=0,OFFSET(装备属性!$G$1083,1+INT(COUNTA($Q$11:Q1651)/5),0),L1651)</f>
        <v>厚底子</v>
      </c>
      <c r="M1652" s="89" t="str">
        <f ca="1">IF(MOD(COUNTIF($Q$11:Q1651,Q1651),5)=0,OFFSET(装备属性!$H$1083,1+INT(COUNTA($Q$11:Q1651)/5),0),M1651)</f>
        <v>equip_base_attr</v>
      </c>
      <c r="N1652" s="76">
        <f ca="1">IF(MOD(COUNTIF($Q$11:Q1651,Q1651),5)=0,OFFSET(装备属性!$K$1083,1+INT(COUNTA($Q$11:Q1651)/5),0),N1651)</f>
        <v>0.25</v>
      </c>
      <c r="O1652" s="76">
        <f ca="1">IF(MOD(COUNTIF($Q$11:Q1651,Q1651),5)=0,OFFSET(装备属性!$L$1083,1+INT(COUNTA($Q$11:Q1651)/5),0),O1651)</f>
        <v>0.25</v>
      </c>
      <c r="Q1652" s="89" t="str">
        <f ca="1">IF(MOD(COUNTIF($Q$11:Q1651,Q1651),5)=0,OFFSET(装备属性!$M$1083,1+INT(COUNTA($Q$11:Q1651)/5),0),Q1651)</f>
        <v>稀有词条</v>
      </c>
      <c r="R1652" s="83" t="e">
        <f ca="1">IF(MOD(COUNTIF($Q$11:Q1651,Q1651),5)=0,10000*SUBSTITUTE(SUBSTITUTE(OFFSET(装备属性!$F$1083,1+INT(COUNTA($Q$11:Q1651)/5),0),"[",""),"]","")+_xlfn.XLOOKUP(C1652,$M$3:$M$7,$N$3:$N$7)*100,R1651)</f>
        <v>#N/A</v>
      </c>
    </row>
    <row r="1653" customHeight="1" spans="1:18">
      <c r="A1653" s="78" t="str">
        <f ca="1" t="shared" si="75"/>
        <v/>
      </c>
      <c r="B1653" s="82" t="str">
        <f ca="1">IFERROR(R1653+COUNTIFS($R$11:$R1653,R1653),"")</f>
        <v/>
      </c>
      <c r="C1653" s="83">
        <f ca="1">IF(MOD(COUNTIF($Q$11:Q1652,Q1652),5)=0,OFFSET(装备属性!$D$1083,1+INT(COUNTA($Q$11:Q1652)/5),0),C1652)</f>
        <v>0</v>
      </c>
      <c r="D1653" s="82">
        <f t="shared" si="77"/>
        <v>2000</v>
      </c>
      <c r="F1653" s="82" t="str">
        <f ca="1" t="shared" si="76"/>
        <v/>
      </c>
      <c r="G1653" s="78" t="str">
        <f ca="1">IF(AND(LEFT("[{"&amp;M1653&amp;","&amp;CEILING(N1653*10000+(O1653-N1653)/4*(COUNTIF($F$11:F1653,F1653)-1)*10000,10)&amp;"}]",7)="[{equip",MID("[{"&amp;M1653&amp;","&amp;CEILING(N1653*10000+(O1653-N1653)/4*(COUNTIF($F$11:F1653,F1653)-1)*10000,10)&amp;"}]",8,1)&lt;&gt;"_"),"[{"&amp;M1653&amp;","&amp;1&amp;"}]","[{"&amp;M1653&amp;","&amp;CEILING(N1653*10000+(O1653-N1653)/4*(COUNTIF($F$11:F1653,F1653)-1)*10000,10)&amp;"}]")</f>
        <v>[{equip_base_attr,2500}]</v>
      </c>
      <c r="H1653" s="82" t="s">
        <v>563</v>
      </c>
      <c r="J1653" s="78">
        <f ca="1">IF(MOD(COUNTIF($Q$11:Q1652,Q1652),5)=0,OFFSET(装备属性!$P$1083,1+INT(COUNTA($Q$11:Q1652)/5),0),J1652)</f>
        <v>7</v>
      </c>
      <c r="K1653" s="83" t="str">
        <f ca="1">IF(RIGHT(G1653,13)="rune_slot,1}]",_xlfn.XLOOKUP(LEFT(SUBSTITUTE(G1653,"[{",""),FIND(",",SUBSTITUTE(G1653,"[{",""))-1),Sheet2!B:B,Sheet2!C:C)&amp;"+"&amp;1,_xlfn.XLOOKUP(LEFT(SUBSTITUTE(G1653,"[{",""),FIND(",",SUBSTITUTE(G1653,"[{",""))-1),Sheet2!B:B,Sheet2!C:C)&amp;"+"&amp;SUBSTITUTE(RIGHT(G1653,LEN(G1653)-FIND(",",G1653)),"}]","")/100&amp;"%")</f>
        <v>装备基础属性加成+25%</v>
      </c>
      <c r="L1653" s="83" t="str">
        <f ca="1">IF(MOD(COUNTIF($Q$11:Q1652,Q1652),5)=0,OFFSET(装备属性!$G$1083,1+INT(COUNTA($Q$11:Q1652)/5),0),L1652)</f>
        <v>厚底子</v>
      </c>
      <c r="M1653" s="89" t="str">
        <f ca="1">IF(MOD(COUNTIF($Q$11:Q1652,Q1652),5)=0,OFFSET(装备属性!$H$1083,1+INT(COUNTA($Q$11:Q1652)/5),0),M1652)</f>
        <v>equip_base_attr</v>
      </c>
      <c r="N1653" s="76">
        <f ca="1">IF(MOD(COUNTIF($Q$11:Q1652,Q1652),5)=0,OFFSET(装备属性!$K$1083,1+INT(COUNTA($Q$11:Q1652)/5),0),N1652)</f>
        <v>0.25</v>
      </c>
      <c r="O1653" s="76">
        <f ca="1">IF(MOD(COUNTIF($Q$11:Q1652,Q1652),5)=0,OFFSET(装备属性!$L$1083,1+INT(COUNTA($Q$11:Q1652)/5),0),O1652)</f>
        <v>0.25</v>
      </c>
      <c r="Q1653" s="89" t="str">
        <f ca="1">IF(MOD(COUNTIF($Q$11:Q1652,Q1652),5)=0,OFFSET(装备属性!$M$1083,1+INT(COUNTA($Q$11:Q1652)/5),0),Q1652)</f>
        <v>稀有词条</v>
      </c>
      <c r="R1653" s="83" t="e">
        <f ca="1">IF(MOD(COUNTIF($Q$11:Q1652,Q1652),5)=0,10000*SUBSTITUTE(SUBSTITUTE(OFFSET(装备属性!$F$1083,1+INT(COUNTA($Q$11:Q1652)/5),0),"[",""),"]","")+_xlfn.XLOOKUP(C1653,$M$3:$M$7,$N$3:$N$7)*100,R1652)</f>
        <v>#N/A</v>
      </c>
    </row>
    <row r="1654" customHeight="1" spans="1:18">
      <c r="A1654" s="78" t="str">
        <f ca="1" t="shared" si="75"/>
        <v/>
      </c>
      <c r="B1654" s="82" t="str">
        <f ca="1">IFERROR(R1654+COUNTIFS($R$11:$R1654,R1654),"")</f>
        <v/>
      </c>
      <c r="C1654" s="83">
        <f ca="1">IF(MOD(COUNTIF($Q$11:Q1653,Q1653),5)=0,OFFSET(装备属性!$D$1083,1+INT(COUNTA($Q$11:Q1653)/5),0),C1653)</f>
        <v>0</v>
      </c>
      <c r="D1654" s="82">
        <f t="shared" si="77"/>
        <v>1500</v>
      </c>
      <c r="F1654" s="82" t="str">
        <f ca="1" t="shared" si="76"/>
        <v/>
      </c>
      <c r="G1654" s="78" t="str">
        <f ca="1">IF(AND(LEFT("[{"&amp;M1654&amp;","&amp;CEILING(N1654*10000+(O1654-N1654)/4*(COUNTIF($F$11:F1654,F1654)-1)*10000,10)&amp;"}]",7)="[{equip",MID("[{"&amp;M1654&amp;","&amp;CEILING(N1654*10000+(O1654-N1654)/4*(COUNTIF($F$11:F1654,F1654)-1)*10000,10)&amp;"}]",8,1)&lt;&gt;"_"),"[{"&amp;M1654&amp;","&amp;1&amp;"}]","[{"&amp;M1654&amp;","&amp;CEILING(N1654*10000+(O1654-N1654)/4*(COUNTIF($F$11:F1654,F1654)-1)*10000,10)&amp;"}]")</f>
        <v>[{equip_base_attr,2500}]</v>
      </c>
      <c r="H1654" s="82" t="s">
        <v>563</v>
      </c>
      <c r="J1654" s="78">
        <f ca="1">IF(MOD(COUNTIF($Q$11:Q1653,Q1653),5)=0,OFFSET(装备属性!$P$1083,1+INT(COUNTA($Q$11:Q1653)/5),0),J1653)</f>
        <v>7</v>
      </c>
      <c r="K1654" s="83" t="str">
        <f ca="1">IF(RIGHT(G1654,13)="rune_slot,1}]",_xlfn.XLOOKUP(LEFT(SUBSTITUTE(G1654,"[{",""),FIND(",",SUBSTITUTE(G1654,"[{",""))-1),Sheet2!B:B,Sheet2!C:C)&amp;"+"&amp;1,_xlfn.XLOOKUP(LEFT(SUBSTITUTE(G1654,"[{",""),FIND(",",SUBSTITUTE(G1654,"[{",""))-1),Sheet2!B:B,Sheet2!C:C)&amp;"+"&amp;SUBSTITUTE(RIGHT(G1654,LEN(G1654)-FIND(",",G1654)),"}]","")/100&amp;"%")</f>
        <v>装备基础属性加成+25%</v>
      </c>
      <c r="L1654" s="83" t="str">
        <f ca="1">IF(MOD(COUNTIF($Q$11:Q1653,Q1653),5)=0,OFFSET(装备属性!$G$1083,1+INT(COUNTA($Q$11:Q1653)/5),0),L1653)</f>
        <v>厚底子</v>
      </c>
      <c r="M1654" s="89" t="str">
        <f ca="1">IF(MOD(COUNTIF($Q$11:Q1653,Q1653),5)=0,OFFSET(装备属性!$H$1083,1+INT(COUNTA($Q$11:Q1653)/5),0),M1653)</f>
        <v>equip_base_attr</v>
      </c>
      <c r="N1654" s="76">
        <f ca="1">IF(MOD(COUNTIF($Q$11:Q1653,Q1653),5)=0,OFFSET(装备属性!$K$1083,1+INT(COUNTA($Q$11:Q1653)/5),0),N1653)</f>
        <v>0.25</v>
      </c>
      <c r="O1654" s="76">
        <f ca="1">IF(MOD(COUNTIF($Q$11:Q1653,Q1653),5)=0,OFFSET(装备属性!$L$1083,1+INT(COUNTA($Q$11:Q1653)/5),0),O1653)</f>
        <v>0.25</v>
      </c>
      <c r="Q1654" s="89" t="str">
        <f ca="1">IF(MOD(COUNTIF($Q$11:Q1653,Q1653),5)=0,OFFSET(装备属性!$M$1083,1+INT(COUNTA($Q$11:Q1653)/5),0),Q1653)</f>
        <v>稀有词条</v>
      </c>
      <c r="R1654" s="83" t="e">
        <f ca="1">IF(MOD(COUNTIF($Q$11:Q1653,Q1653),5)=0,10000*SUBSTITUTE(SUBSTITUTE(OFFSET(装备属性!$F$1083,1+INT(COUNTA($Q$11:Q1653)/5),0),"[",""),"]","")+_xlfn.XLOOKUP(C1654,$M$3:$M$7,$N$3:$N$7)*100,R1653)</f>
        <v>#N/A</v>
      </c>
    </row>
    <row r="1655" customHeight="1" spans="1:18">
      <c r="A1655" s="78" t="str">
        <f ca="1" t="shared" si="75"/>
        <v/>
      </c>
      <c r="B1655" s="82" t="str">
        <f ca="1">IFERROR(R1655+COUNTIFS($R$11:$R1655,R1655),"")</f>
        <v/>
      </c>
      <c r="C1655" s="83">
        <f ca="1">IF(MOD(COUNTIF($Q$11:Q1654,Q1654),5)=0,OFFSET(装备属性!$D$1083,1+INT(COUNTA($Q$11:Q1654)/5),0),C1654)</f>
        <v>0</v>
      </c>
      <c r="D1655" s="82">
        <f t="shared" si="77"/>
        <v>1000</v>
      </c>
      <c r="F1655" s="82" t="str">
        <f ca="1" t="shared" si="76"/>
        <v/>
      </c>
      <c r="G1655" s="78" t="str">
        <f ca="1">IF(AND(LEFT("[{"&amp;M1655&amp;","&amp;CEILING(N1655*10000+(O1655-N1655)/4*(COUNTIF($F$11:F1655,F1655)-1)*10000,10)&amp;"}]",7)="[{equip",MID("[{"&amp;M1655&amp;","&amp;CEILING(N1655*10000+(O1655-N1655)/4*(COUNTIF($F$11:F1655,F1655)-1)*10000,10)&amp;"}]",8,1)&lt;&gt;"_"),"[{"&amp;M1655&amp;","&amp;1&amp;"}]","[{"&amp;M1655&amp;","&amp;CEILING(N1655*10000+(O1655-N1655)/4*(COUNTIF($F$11:F1655,F1655)-1)*10000,10)&amp;"}]")</f>
        <v>[{equip_base_attr,2500}]</v>
      </c>
      <c r="H1655" s="82" t="s">
        <v>563</v>
      </c>
      <c r="J1655" s="78">
        <f ca="1">IF(MOD(COUNTIF($Q$11:Q1654,Q1654),5)=0,OFFSET(装备属性!$P$1083,1+INT(COUNTA($Q$11:Q1654)/5),0),J1654)</f>
        <v>7</v>
      </c>
      <c r="K1655" s="83" t="str">
        <f ca="1">IF(RIGHT(G1655,13)="rune_slot,1}]",_xlfn.XLOOKUP(LEFT(SUBSTITUTE(G1655,"[{",""),FIND(",",SUBSTITUTE(G1655,"[{",""))-1),Sheet2!B:B,Sheet2!C:C)&amp;"+"&amp;1,_xlfn.XLOOKUP(LEFT(SUBSTITUTE(G1655,"[{",""),FIND(",",SUBSTITUTE(G1655,"[{",""))-1),Sheet2!B:B,Sheet2!C:C)&amp;"+"&amp;SUBSTITUTE(RIGHT(G1655,LEN(G1655)-FIND(",",G1655)),"}]","")/100&amp;"%")</f>
        <v>装备基础属性加成+25%</v>
      </c>
      <c r="L1655" s="83" t="str">
        <f ca="1">IF(MOD(COUNTIF($Q$11:Q1654,Q1654),5)=0,OFFSET(装备属性!$G$1083,1+INT(COUNTA($Q$11:Q1654)/5),0),L1654)</f>
        <v>厚底子</v>
      </c>
      <c r="M1655" s="89" t="str">
        <f ca="1">IF(MOD(COUNTIF($Q$11:Q1654,Q1654),5)=0,OFFSET(装备属性!$H$1083,1+INT(COUNTA($Q$11:Q1654)/5),0),M1654)</f>
        <v>equip_base_attr</v>
      </c>
      <c r="N1655" s="76">
        <f ca="1">IF(MOD(COUNTIF($Q$11:Q1654,Q1654),5)=0,OFFSET(装备属性!$K$1083,1+INT(COUNTA($Q$11:Q1654)/5),0),N1654)</f>
        <v>0.25</v>
      </c>
      <c r="O1655" s="76">
        <f ca="1">IF(MOD(COUNTIF($Q$11:Q1654,Q1654),5)=0,OFFSET(装备属性!$L$1083,1+INT(COUNTA($Q$11:Q1654)/5),0),O1654)</f>
        <v>0.25</v>
      </c>
      <c r="Q1655" s="89" t="str">
        <f ca="1">IF(MOD(COUNTIF($Q$11:Q1654,Q1654),5)=0,OFFSET(装备属性!$M$1083,1+INT(COUNTA($Q$11:Q1654)/5),0),Q1654)</f>
        <v>稀有词条</v>
      </c>
      <c r="R1655" s="83" t="e">
        <f ca="1">IF(MOD(COUNTIF($Q$11:Q1654,Q1654),5)=0,10000*SUBSTITUTE(SUBSTITUTE(OFFSET(装备属性!$F$1083,1+INT(COUNTA($Q$11:Q1654)/5),0),"[",""),"]","")+_xlfn.XLOOKUP(C1655,$M$3:$M$7,$N$3:$N$7)*100,R1654)</f>
        <v>#N/A</v>
      </c>
    </row>
    <row r="1656" customHeight="1" spans="1:18">
      <c r="A1656" s="78" t="str">
        <f ca="1" t="shared" si="75"/>
        <v/>
      </c>
      <c r="B1656" s="82" t="str">
        <f ca="1">IFERROR(R1656+COUNTIFS($R$11:$R1656,R1656),"")</f>
        <v/>
      </c>
      <c r="C1656" s="83">
        <f ca="1">IF(MOD(COUNTIF($Q$11:Q1655,Q1655),5)=0,OFFSET(装备属性!$D$1083,1+INT(COUNTA($Q$11:Q1655)/5),0),C1655)</f>
        <v>0</v>
      </c>
      <c r="D1656" s="82">
        <f t="shared" si="77"/>
        <v>3000</v>
      </c>
      <c r="F1656" s="82" t="str">
        <f ca="1" t="shared" si="76"/>
        <v/>
      </c>
      <c r="G1656" s="78" t="str">
        <f ca="1">IF(AND(LEFT("[{"&amp;M1656&amp;","&amp;CEILING(N1656*10000+(O1656-N1656)/4*(COUNTIF($F$11:F1656,F1656)-1)*10000,10)&amp;"}]",7)="[{equip",MID("[{"&amp;M1656&amp;","&amp;CEILING(N1656*10000+(O1656-N1656)/4*(COUNTIF($F$11:F1656,F1656)-1)*10000,10)&amp;"}]",8,1)&lt;&gt;"_"),"[{"&amp;M1656&amp;","&amp;1&amp;"}]","[{"&amp;M1656&amp;","&amp;CEILING(N1656*10000+(O1656-N1656)/4*(COUNTIF($F$11:F1656,F1656)-1)*10000,10)&amp;"}]")</f>
        <v>[{equip_extra_attr,5000}]</v>
      </c>
      <c r="H1656" s="82" t="s">
        <v>563</v>
      </c>
      <c r="J1656" s="78">
        <f ca="1">IF(MOD(COUNTIF($Q$11:Q1655,Q1655),5)=0,OFFSET(装备属性!$P$1083,1+INT(COUNTA($Q$11:Q1655)/5),0),J1655)</f>
        <v>8</v>
      </c>
      <c r="K1656" s="83" t="str">
        <f ca="1">IF(RIGHT(G1656,13)="rune_slot,1}]",_xlfn.XLOOKUP(LEFT(SUBSTITUTE(G1656,"[{",""),FIND(",",SUBSTITUTE(G1656,"[{",""))-1),Sheet2!B:B,Sheet2!C:C)&amp;"+"&amp;1,_xlfn.XLOOKUP(LEFT(SUBSTITUTE(G1656,"[{",""),FIND(",",SUBSTITUTE(G1656,"[{",""))-1),Sheet2!B:B,Sheet2!C:C)&amp;"+"&amp;SUBSTITUTE(RIGHT(G1656,LEN(G1656)-FIND(",",G1656)),"}]","")/100&amp;"%")</f>
        <v>装备附加属性加成+50%</v>
      </c>
      <c r="L1656" s="83" t="str">
        <f ca="1">IF(MOD(COUNTIF($Q$11:Q1655,Q1655),5)=0,OFFSET(装备属性!$G$1083,1+INT(COUNTA($Q$11:Q1655)/5),0),L1655)</f>
        <v>提成色</v>
      </c>
      <c r="M1656" s="89" t="str">
        <f ca="1">IF(MOD(COUNTIF($Q$11:Q1655,Q1655),5)=0,OFFSET(装备属性!$H$1083,1+INT(COUNTA($Q$11:Q1655)/5),0),M1655)</f>
        <v>equip_extra_attr</v>
      </c>
      <c r="N1656" s="76">
        <f ca="1">IF(MOD(COUNTIF($Q$11:Q1655,Q1655),5)=0,OFFSET(装备属性!$K$1083,1+INT(COUNTA($Q$11:Q1655)/5),0),N1655)</f>
        <v>0.5</v>
      </c>
      <c r="O1656" s="76">
        <f ca="1">IF(MOD(COUNTIF($Q$11:Q1655,Q1655),5)=0,OFFSET(装备属性!$L$1083,1+INT(COUNTA($Q$11:Q1655)/5),0),O1655)</f>
        <v>0.5</v>
      </c>
      <c r="Q1656" s="89" t="str">
        <f ca="1">IF(MOD(COUNTIF($Q$11:Q1655,Q1655),5)=0,OFFSET(装备属性!$M$1083,1+INT(COUNTA($Q$11:Q1655)/5),0),Q1655)</f>
        <v>稀有词条</v>
      </c>
      <c r="R1656" s="83" t="e">
        <f ca="1">IF(MOD(COUNTIF($Q$11:Q1655,Q1655),5)=0,10000*SUBSTITUTE(SUBSTITUTE(OFFSET(装备属性!$F$1083,1+INT(COUNTA($Q$11:Q1655)/5),0),"[",""),"]","")+_xlfn.XLOOKUP(C1656,$M$3:$M$7,$N$3:$N$7)*100,R1655)</f>
        <v>#N/A</v>
      </c>
    </row>
    <row r="1657" customHeight="1" spans="1:18">
      <c r="A1657" s="78" t="str">
        <f ca="1" t="shared" si="75"/>
        <v/>
      </c>
      <c r="B1657" s="82" t="str">
        <f ca="1">IFERROR(R1657+COUNTIFS($R$11:$R1657,R1657),"")</f>
        <v/>
      </c>
      <c r="C1657" s="83">
        <f ca="1">IF(MOD(COUNTIF($Q$11:Q1656,Q1656),5)=0,OFFSET(装备属性!$D$1083,1+INT(COUNTA($Q$11:Q1656)/5),0),C1656)</f>
        <v>0</v>
      </c>
      <c r="D1657" s="82">
        <f t="shared" si="77"/>
        <v>2500</v>
      </c>
      <c r="F1657" s="82" t="str">
        <f ca="1" t="shared" si="76"/>
        <v/>
      </c>
      <c r="G1657" s="78" t="str">
        <f ca="1">IF(AND(LEFT("[{"&amp;M1657&amp;","&amp;CEILING(N1657*10000+(O1657-N1657)/4*(COUNTIF($F$11:F1657,F1657)-1)*10000,10)&amp;"}]",7)="[{equip",MID("[{"&amp;M1657&amp;","&amp;CEILING(N1657*10000+(O1657-N1657)/4*(COUNTIF($F$11:F1657,F1657)-1)*10000,10)&amp;"}]",8,1)&lt;&gt;"_"),"[{"&amp;M1657&amp;","&amp;1&amp;"}]","[{"&amp;M1657&amp;","&amp;CEILING(N1657*10000+(O1657-N1657)/4*(COUNTIF($F$11:F1657,F1657)-1)*10000,10)&amp;"}]")</f>
        <v>[{equip_extra_attr,5000}]</v>
      </c>
      <c r="H1657" s="82" t="s">
        <v>563</v>
      </c>
      <c r="J1657" s="78">
        <f ca="1">IF(MOD(COUNTIF($Q$11:Q1656,Q1656),5)=0,OFFSET(装备属性!$P$1083,1+INT(COUNTA($Q$11:Q1656)/5),0),J1656)</f>
        <v>8</v>
      </c>
      <c r="K1657" s="83" t="str">
        <f ca="1">IF(RIGHT(G1657,13)="rune_slot,1}]",_xlfn.XLOOKUP(LEFT(SUBSTITUTE(G1657,"[{",""),FIND(",",SUBSTITUTE(G1657,"[{",""))-1),Sheet2!B:B,Sheet2!C:C)&amp;"+"&amp;1,_xlfn.XLOOKUP(LEFT(SUBSTITUTE(G1657,"[{",""),FIND(",",SUBSTITUTE(G1657,"[{",""))-1),Sheet2!B:B,Sheet2!C:C)&amp;"+"&amp;SUBSTITUTE(RIGHT(G1657,LEN(G1657)-FIND(",",G1657)),"}]","")/100&amp;"%")</f>
        <v>装备附加属性加成+50%</v>
      </c>
      <c r="L1657" s="83" t="str">
        <f ca="1">IF(MOD(COUNTIF($Q$11:Q1656,Q1656),5)=0,OFFSET(装备属性!$G$1083,1+INT(COUNTA($Q$11:Q1656)/5),0),L1656)</f>
        <v>提成色</v>
      </c>
      <c r="M1657" s="89" t="str">
        <f ca="1">IF(MOD(COUNTIF($Q$11:Q1656,Q1656),5)=0,OFFSET(装备属性!$H$1083,1+INT(COUNTA($Q$11:Q1656)/5),0),M1656)</f>
        <v>equip_extra_attr</v>
      </c>
      <c r="N1657" s="76">
        <f ca="1">IF(MOD(COUNTIF($Q$11:Q1656,Q1656),5)=0,OFFSET(装备属性!$K$1083,1+INT(COUNTA($Q$11:Q1656)/5),0),N1656)</f>
        <v>0.5</v>
      </c>
      <c r="O1657" s="76">
        <f ca="1">IF(MOD(COUNTIF($Q$11:Q1656,Q1656),5)=0,OFFSET(装备属性!$L$1083,1+INT(COUNTA($Q$11:Q1656)/5),0),O1656)</f>
        <v>0.5</v>
      </c>
      <c r="Q1657" s="89" t="str">
        <f ca="1">IF(MOD(COUNTIF($Q$11:Q1656,Q1656),5)=0,OFFSET(装备属性!$M$1083,1+INT(COUNTA($Q$11:Q1656)/5),0),Q1656)</f>
        <v>稀有词条</v>
      </c>
      <c r="R1657" s="83" t="e">
        <f ca="1">IF(MOD(COUNTIF($Q$11:Q1656,Q1656),5)=0,10000*SUBSTITUTE(SUBSTITUTE(OFFSET(装备属性!$F$1083,1+INT(COUNTA($Q$11:Q1656)/5),0),"[",""),"]","")+_xlfn.XLOOKUP(C1657,$M$3:$M$7,$N$3:$N$7)*100,R1656)</f>
        <v>#N/A</v>
      </c>
    </row>
    <row r="1658" customHeight="1" spans="1:18">
      <c r="A1658" s="78" t="str">
        <f ca="1" t="shared" si="75"/>
        <v/>
      </c>
      <c r="B1658" s="82" t="str">
        <f ca="1">IFERROR(R1658+COUNTIFS($R$11:$R1658,R1658),"")</f>
        <v/>
      </c>
      <c r="C1658" s="83">
        <f ca="1">IF(MOD(COUNTIF($Q$11:Q1657,Q1657),5)=0,OFFSET(装备属性!$D$1083,1+INT(COUNTA($Q$11:Q1657)/5),0),C1657)</f>
        <v>0</v>
      </c>
      <c r="D1658" s="82">
        <f t="shared" si="77"/>
        <v>2000</v>
      </c>
      <c r="F1658" s="82" t="str">
        <f ca="1" t="shared" si="76"/>
        <v/>
      </c>
      <c r="G1658" s="78" t="str">
        <f ca="1">IF(AND(LEFT("[{"&amp;M1658&amp;","&amp;CEILING(N1658*10000+(O1658-N1658)/4*(COUNTIF($F$11:F1658,F1658)-1)*10000,10)&amp;"}]",7)="[{equip",MID("[{"&amp;M1658&amp;","&amp;CEILING(N1658*10000+(O1658-N1658)/4*(COUNTIF($F$11:F1658,F1658)-1)*10000,10)&amp;"}]",8,1)&lt;&gt;"_"),"[{"&amp;M1658&amp;","&amp;1&amp;"}]","[{"&amp;M1658&amp;","&amp;CEILING(N1658*10000+(O1658-N1658)/4*(COUNTIF($F$11:F1658,F1658)-1)*10000,10)&amp;"}]")</f>
        <v>[{equip_extra_attr,5000}]</v>
      </c>
      <c r="H1658" s="82" t="s">
        <v>563</v>
      </c>
      <c r="J1658" s="78">
        <f ca="1">IF(MOD(COUNTIF($Q$11:Q1657,Q1657),5)=0,OFFSET(装备属性!$P$1083,1+INT(COUNTA($Q$11:Q1657)/5),0),J1657)</f>
        <v>8</v>
      </c>
      <c r="K1658" s="83" t="str">
        <f ca="1">IF(RIGHT(G1658,13)="rune_slot,1}]",_xlfn.XLOOKUP(LEFT(SUBSTITUTE(G1658,"[{",""),FIND(",",SUBSTITUTE(G1658,"[{",""))-1),Sheet2!B:B,Sheet2!C:C)&amp;"+"&amp;1,_xlfn.XLOOKUP(LEFT(SUBSTITUTE(G1658,"[{",""),FIND(",",SUBSTITUTE(G1658,"[{",""))-1),Sheet2!B:B,Sheet2!C:C)&amp;"+"&amp;SUBSTITUTE(RIGHT(G1658,LEN(G1658)-FIND(",",G1658)),"}]","")/100&amp;"%")</f>
        <v>装备附加属性加成+50%</v>
      </c>
      <c r="L1658" s="83" t="str">
        <f ca="1">IF(MOD(COUNTIF($Q$11:Q1657,Q1657),5)=0,OFFSET(装备属性!$G$1083,1+INT(COUNTA($Q$11:Q1657)/5),0),L1657)</f>
        <v>提成色</v>
      </c>
      <c r="M1658" s="89" t="str">
        <f ca="1">IF(MOD(COUNTIF($Q$11:Q1657,Q1657),5)=0,OFFSET(装备属性!$H$1083,1+INT(COUNTA($Q$11:Q1657)/5),0),M1657)</f>
        <v>equip_extra_attr</v>
      </c>
      <c r="N1658" s="76">
        <f ca="1">IF(MOD(COUNTIF($Q$11:Q1657,Q1657),5)=0,OFFSET(装备属性!$K$1083,1+INT(COUNTA($Q$11:Q1657)/5),0),N1657)</f>
        <v>0.5</v>
      </c>
      <c r="O1658" s="76">
        <f ca="1">IF(MOD(COUNTIF($Q$11:Q1657,Q1657),5)=0,OFFSET(装备属性!$L$1083,1+INT(COUNTA($Q$11:Q1657)/5),0),O1657)</f>
        <v>0.5</v>
      </c>
      <c r="Q1658" s="89" t="str">
        <f ca="1">IF(MOD(COUNTIF($Q$11:Q1657,Q1657),5)=0,OFFSET(装备属性!$M$1083,1+INT(COUNTA($Q$11:Q1657)/5),0),Q1657)</f>
        <v>稀有词条</v>
      </c>
      <c r="R1658" s="83" t="e">
        <f ca="1">IF(MOD(COUNTIF($Q$11:Q1657,Q1657),5)=0,10000*SUBSTITUTE(SUBSTITUTE(OFFSET(装备属性!$F$1083,1+INT(COUNTA($Q$11:Q1657)/5),0),"[",""),"]","")+_xlfn.XLOOKUP(C1658,$M$3:$M$7,$N$3:$N$7)*100,R1657)</f>
        <v>#N/A</v>
      </c>
    </row>
    <row r="1659" customHeight="1" spans="1:18">
      <c r="A1659" s="78" t="str">
        <f ca="1" t="shared" si="75"/>
        <v/>
      </c>
      <c r="B1659" s="82" t="str">
        <f ca="1">IFERROR(R1659+COUNTIFS($R$11:$R1659,R1659),"")</f>
        <v/>
      </c>
      <c r="C1659" s="83">
        <f ca="1">IF(MOD(COUNTIF($Q$11:Q1658,Q1658),5)=0,OFFSET(装备属性!$D$1083,1+INT(COUNTA($Q$11:Q1658)/5),0),C1658)</f>
        <v>0</v>
      </c>
      <c r="D1659" s="82">
        <f t="shared" si="77"/>
        <v>1500</v>
      </c>
      <c r="F1659" s="82" t="str">
        <f ca="1" t="shared" si="76"/>
        <v/>
      </c>
      <c r="G1659" s="78" t="str">
        <f ca="1">IF(AND(LEFT("[{"&amp;M1659&amp;","&amp;CEILING(N1659*10000+(O1659-N1659)/4*(COUNTIF($F$11:F1659,F1659)-1)*10000,10)&amp;"}]",7)="[{equip",MID("[{"&amp;M1659&amp;","&amp;CEILING(N1659*10000+(O1659-N1659)/4*(COUNTIF($F$11:F1659,F1659)-1)*10000,10)&amp;"}]",8,1)&lt;&gt;"_"),"[{"&amp;M1659&amp;","&amp;1&amp;"}]","[{"&amp;M1659&amp;","&amp;CEILING(N1659*10000+(O1659-N1659)/4*(COUNTIF($F$11:F1659,F1659)-1)*10000,10)&amp;"}]")</f>
        <v>[{equip_extra_attr,5000}]</v>
      </c>
      <c r="H1659" s="82" t="s">
        <v>563</v>
      </c>
      <c r="J1659" s="78">
        <f ca="1">IF(MOD(COUNTIF($Q$11:Q1658,Q1658),5)=0,OFFSET(装备属性!$P$1083,1+INT(COUNTA($Q$11:Q1658)/5),0),J1658)</f>
        <v>8</v>
      </c>
      <c r="K1659" s="83" t="str">
        <f ca="1">IF(RIGHT(G1659,13)="rune_slot,1}]",_xlfn.XLOOKUP(LEFT(SUBSTITUTE(G1659,"[{",""),FIND(",",SUBSTITUTE(G1659,"[{",""))-1),Sheet2!B:B,Sheet2!C:C)&amp;"+"&amp;1,_xlfn.XLOOKUP(LEFT(SUBSTITUTE(G1659,"[{",""),FIND(",",SUBSTITUTE(G1659,"[{",""))-1),Sheet2!B:B,Sheet2!C:C)&amp;"+"&amp;SUBSTITUTE(RIGHT(G1659,LEN(G1659)-FIND(",",G1659)),"}]","")/100&amp;"%")</f>
        <v>装备附加属性加成+50%</v>
      </c>
      <c r="L1659" s="83" t="str">
        <f ca="1">IF(MOD(COUNTIF($Q$11:Q1658,Q1658),5)=0,OFFSET(装备属性!$G$1083,1+INT(COUNTA($Q$11:Q1658)/5),0),L1658)</f>
        <v>提成色</v>
      </c>
      <c r="M1659" s="89" t="str">
        <f ca="1">IF(MOD(COUNTIF($Q$11:Q1658,Q1658),5)=0,OFFSET(装备属性!$H$1083,1+INT(COUNTA($Q$11:Q1658)/5),0),M1658)</f>
        <v>equip_extra_attr</v>
      </c>
      <c r="N1659" s="76">
        <f ca="1">IF(MOD(COUNTIF($Q$11:Q1658,Q1658),5)=0,OFFSET(装备属性!$K$1083,1+INT(COUNTA($Q$11:Q1658)/5),0),N1658)</f>
        <v>0.5</v>
      </c>
      <c r="O1659" s="76">
        <f ca="1">IF(MOD(COUNTIF($Q$11:Q1658,Q1658),5)=0,OFFSET(装备属性!$L$1083,1+INT(COUNTA($Q$11:Q1658)/5),0),O1658)</f>
        <v>0.5</v>
      </c>
      <c r="Q1659" s="89" t="str">
        <f ca="1">IF(MOD(COUNTIF($Q$11:Q1658,Q1658),5)=0,OFFSET(装备属性!$M$1083,1+INT(COUNTA($Q$11:Q1658)/5),0),Q1658)</f>
        <v>稀有词条</v>
      </c>
      <c r="R1659" s="83" t="e">
        <f ca="1">IF(MOD(COUNTIF($Q$11:Q1658,Q1658),5)=0,10000*SUBSTITUTE(SUBSTITUTE(OFFSET(装备属性!$F$1083,1+INT(COUNTA($Q$11:Q1658)/5),0),"[",""),"]","")+_xlfn.XLOOKUP(C1659,$M$3:$M$7,$N$3:$N$7)*100,R1658)</f>
        <v>#N/A</v>
      </c>
    </row>
    <row r="1660" customHeight="1" spans="1:18">
      <c r="A1660" s="78" t="str">
        <f ca="1" t="shared" si="75"/>
        <v/>
      </c>
      <c r="B1660" s="82" t="str">
        <f ca="1">IFERROR(R1660+COUNTIFS($R$11:$R1660,R1660),"")</f>
        <v/>
      </c>
      <c r="C1660" s="83">
        <f ca="1">IF(MOD(COUNTIF($Q$11:Q1659,Q1659),5)=0,OFFSET(装备属性!$D$1083,1+INT(COUNTA($Q$11:Q1659)/5),0),C1659)</f>
        <v>0</v>
      </c>
      <c r="D1660" s="82">
        <f t="shared" si="77"/>
        <v>1000</v>
      </c>
      <c r="F1660" s="82" t="str">
        <f ca="1" t="shared" si="76"/>
        <v/>
      </c>
      <c r="G1660" s="78" t="str">
        <f ca="1">IF(AND(LEFT("[{"&amp;M1660&amp;","&amp;CEILING(N1660*10000+(O1660-N1660)/4*(COUNTIF($F$11:F1660,F1660)-1)*10000,10)&amp;"}]",7)="[{equip",MID("[{"&amp;M1660&amp;","&amp;CEILING(N1660*10000+(O1660-N1660)/4*(COUNTIF($F$11:F1660,F1660)-1)*10000,10)&amp;"}]",8,1)&lt;&gt;"_"),"[{"&amp;M1660&amp;","&amp;1&amp;"}]","[{"&amp;M1660&amp;","&amp;CEILING(N1660*10000+(O1660-N1660)/4*(COUNTIF($F$11:F1660,F1660)-1)*10000,10)&amp;"}]")</f>
        <v>[{equip_extra_attr,5000}]</v>
      </c>
      <c r="H1660" s="82" t="s">
        <v>563</v>
      </c>
      <c r="J1660" s="78">
        <f ca="1">IF(MOD(COUNTIF($Q$11:Q1659,Q1659),5)=0,OFFSET(装备属性!$P$1083,1+INT(COUNTA($Q$11:Q1659)/5),0),J1659)</f>
        <v>8</v>
      </c>
      <c r="K1660" s="83" t="str">
        <f ca="1">IF(RIGHT(G1660,13)="rune_slot,1}]",_xlfn.XLOOKUP(LEFT(SUBSTITUTE(G1660,"[{",""),FIND(",",SUBSTITUTE(G1660,"[{",""))-1),Sheet2!B:B,Sheet2!C:C)&amp;"+"&amp;1,_xlfn.XLOOKUP(LEFT(SUBSTITUTE(G1660,"[{",""),FIND(",",SUBSTITUTE(G1660,"[{",""))-1),Sheet2!B:B,Sheet2!C:C)&amp;"+"&amp;SUBSTITUTE(RIGHT(G1660,LEN(G1660)-FIND(",",G1660)),"}]","")/100&amp;"%")</f>
        <v>装备附加属性加成+50%</v>
      </c>
      <c r="L1660" s="83" t="str">
        <f ca="1">IF(MOD(COUNTIF($Q$11:Q1659,Q1659),5)=0,OFFSET(装备属性!$G$1083,1+INT(COUNTA($Q$11:Q1659)/5),0),L1659)</f>
        <v>提成色</v>
      </c>
      <c r="M1660" s="89" t="str">
        <f ca="1">IF(MOD(COUNTIF($Q$11:Q1659,Q1659),5)=0,OFFSET(装备属性!$H$1083,1+INT(COUNTA($Q$11:Q1659)/5),0),M1659)</f>
        <v>equip_extra_attr</v>
      </c>
      <c r="N1660" s="76">
        <f ca="1">IF(MOD(COUNTIF($Q$11:Q1659,Q1659),5)=0,OFFSET(装备属性!$K$1083,1+INT(COUNTA($Q$11:Q1659)/5),0),N1659)</f>
        <v>0.5</v>
      </c>
      <c r="O1660" s="76">
        <f ca="1">IF(MOD(COUNTIF($Q$11:Q1659,Q1659),5)=0,OFFSET(装备属性!$L$1083,1+INT(COUNTA($Q$11:Q1659)/5),0),O1659)</f>
        <v>0.5</v>
      </c>
      <c r="Q1660" s="89" t="str">
        <f ca="1">IF(MOD(COUNTIF($Q$11:Q1659,Q1659),5)=0,OFFSET(装备属性!$M$1083,1+INT(COUNTA($Q$11:Q1659)/5),0),Q1659)</f>
        <v>稀有词条</v>
      </c>
      <c r="R1660" s="83" t="e">
        <f ca="1">IF(MOD(COUNTIF($Q$11:Q1659,Q1659),5)=0,10000*SUBSTITUTE(SUBSTITUTE(OFFSET(装备属性!$F$1083,1+INT(COUNTA($Q$11:Q1659)/5),0),"[",""),"]","")+_xlfn.XLOOKUP(C1660,$M$3:$M$7,$N$3:$N$7)*100,R1659)</f>
        <v>#N/A</v>
      </c>
    </row>
    <row r="1661" customHeight="1" spans="1:18">
      <c r="A1661" s="78" t="str">
        <f ca="1" t="shared" si="75"/>
        <v/>
      </c>
      <c r="B1661" s="82" t="str">
        <f ca="1">IFERROR(R1661+COUNTIFS($R$11:$R1661,R1661),"")</f>
        <v/>
      </c>
      <c r="C1661" s="83">
        <f ca="1">IF(MOD(COUNTIF($Q$11:Q1660,Q1660),5)=0,OFFSET(装备属性!$D$1083,1+INT(COUNTA($Q$11:Q1660)/5),0),C1660)</f>
        <v>0</v>
      </c>
      <c r="D1661" s="82">
        <f t="shared" ref="D1661:D1671" si="78">D1656</f>
        <v>3000</v>
      </c>
      <c r="F1661" s="82" t="str">
        <f ca="1" t="shared" si="76"/>
        <v/>
      </c>
      <c r="G1661" s="78" t="str">
        <f ca="1">IF(AND(LEFT("[{"&amp;M1661&amp;","&amp;CEILING(N1661*10000+(O1661-N1661)/4*(COUNTIF($F$11:F1661,F1661)-1)*10000,10)&amp;"}]",7)="[{equip",MID("[{"&amp;M1661&amp;","&amp;CEILING(N1661*10000+(O1661-N1661)/4*(COUNTIF($F$11:F1661,F1661)-1)*10000,10)&amp;"}]",8,1)&lt;&gt;"_"),"[{"&amp;M1661&amp;","&amp;1&amp;"}]","[{"&amp;M1661&amp;","&amp;CEILING(N1661*10000+(O1661-N1661)/4*(COUNTIF($F$11:F1661,F1661)-1)*10000,10)&amp;"}]")</f>
        <v>[{equip4_rune_slot,1}]</v>
      </c>
      <c r="H1661" s="82" t="s">
        <v>563</v>
      </c>
      <c r="J1661" s="78">
        <f ca="1">IF(MOD(COUNTIF($Q$11:Q1660,Q1660),5)=0,OFFSET(装备属性!$P$1083,1+INT(COUNTA($Q$11:Q1660)/5),0),J1660)</f>
        <v>1</v>
      </c>
      <c r="K1661" s="83" t="str">
        <f ca="1">IF(RIGHT(G1661,13)="rune_slot,1}]",_xlfn.XLOOKUP(LEFT(SUBSTITUTE(G1661,"[{",""),FIND(",",SUBSTITUTE(G1661,"[{",""))-1),Sheet2!B:B,Sheet2!C:C)&amp;"+"&amp;1,_xlfn.XLOOKUP(LEFT(SUBSTITUTE(G1661,"[{",""),FIND(",",SUBSTITUTE(G1661,"[{",""))-1),Sheet2!B:B,Sheet2!C:C)&amp;"+"&amp;SUBSTITUTE(RIGHT(G1661,LEN(G1661)-FIND(",",G1661)),"}]","")/100&amp;"%")</f>
        <v>手套符文孔位+1</v>
      </c>
      <c r="L1661" s="83" t="str">
        <f ca="1">IF(MOD(COUNTIF($Q$11:Q1660,Q1660),5)=0,OFFSET(装备属性!$G$1083,1+INT(COUNTA($Q$11:Q1660)/5),0),L1660)</f>
        <v>扩符槽</v>
      </c>
      <c r="M1661" s="89" t="str">
        <f ca="1">IF(MOD(COUNTIF($Q$11:Q1660,Q1660),5)=0,OFFSET(装备属性!$H$1083,1+INT(COUNTA($Q$11:Q1660)/5),0),M1660)</f>
        <v>equip4_rune_slot</v>
      </c>
      <c r="N1661" s="76">
        <f ca="1">IF(MOD(COUNTIF($Q$11:Q1660,Q1660),5)=0,OFFSET(装备属性!$K$1083,1+INT(COUNTA($Q$11:Q1660)/5),0),N1660)</f>
        <v>1</v>
      </c>
      <c r="O1661" s="76">
        <f ca="1">IF(MOD(COUNTIF($Q$11:Q1660,Q1660),5)=0,OFFSET(装备属性!$L$1083,1+INT(COUNTA($Q$11:Q1660)/5),0),O1660)</f>
        <v>1</v>
      </c>
      <c r="Q1661" s="89" t="str">
        <f ca="1">IF(MOD(COUNTIF($Q$11:Q1660,Q1660),5)=0,OFFSET(装备属性!$M$1083,1+INT(COUNTA($Q$11:Q1660)/5),0),Q1660)</f>
        <v>稀有词条</v>
      </c>
      <c r="R1661" s="83" t="e">
        <f ca="1">IF(MOD(COUNTIF($Q$11:Q1660,Q1660),5)=0,10000*SUBSTITUTE(SUBSTITUTE(OFFSET(装备属性!$F$1083,1+INT(COUNTA($Q$11:Q1660)/5),0),"[",""),"]","")+_xlfn.XLOOKUP(C1661,$M$3:$M$7,$N$3:$N$7)*100,R1660)</f>
        <v>#N/A</v>
      </c>
    </row>
    <row r="1662" customHeight="1" spans="1:18">
      <c r="A1662" s="78" t="str">
        <f ca="1" t="shared" si="75"/>
        <v/>
      </c>
      <c r="B1662" s="82" t="str">
        <f ca="1">IFERROR(R1662+COUNTIFS($R$11:$R1662,R1662),"")</f>
        <v/>
      </c>
      <c r="C1662" s="83">
        <f ca="1">IF(MOD(COUNTIF($Q$11:Q1661,Q1661),5)=0,OFFSET(装备属性!$D$1083,1+INT(COUNTA($Q$11:Q1661)/5),0),C1661)</f>
        <v>0</v>
      </c>
      <c r="D1662" s="82">
        <f t="shared" si="78"/>
        <v>2500</v>
      </c>
      <c r="F1662" s="82" t="str">
        <f ca="1" t="shared" si="76"/>
        <v/>
      </c>
      <c r="G1662" s="78" t="str">
        <f ca="1">IF(AND(LEFT("[{"&amp;M1662&amp;","&amp;CEILING(N1662*10000+(O1662-N1662)/4*(COUNTIF($F$11:F1662,F1662)-1)*10000,10)&amp;"}]",7)="[{equip",MID("[{"&amp;M1662&amp;","&amp;CEILING(N1662*10000+(O1662-N1662)/4*(COUNTIF($F$11:F1662,F1662)-1)*10000,10)&amp;"}]",8,1)&lt;&gt;"_"),"[{"&amp;M1662&amp;","&amp;1&amp;"}]","[{"&amp;M1662&amp;","&amp;CEILING(N1662*10000+(O1662-N1662)/4*(COUNTIF($F$11:F1662,F1662)-1)*10000,10)&amp;"}]")</f>
        <v>[{equip4_rune_slot,1}]</v>
      </c>
      <c r="H1662" s="82" t="s">
        <v>563</v>
      </c>
      <c r="J1662" s="78">
        <f ca="1">IF(MOD(COUNTIF($Q$11:Q1661,Q1661),5)=0,OFFSET(装备属性!$P$1083,1+INT(COUNTA($Q$11:Q1661)/5),0),J1661)</f>
        <v>1</v>
      </c>
      <c r="K1662" s="83" t="str">
        <f ca="1">IF(RIGHT(G1662,13)="rune_slot,1}]",_xlfn.XLOOKUP(LEFT(SUBSTITUTE(G1662,"[{",""),FIND(",",SUBSTITUTE(G1662,"[{",""))-1),Sheet2!B:B,Sheet2!C:C)&amp;"+"&amp;1,_xlfn.XLOOKUP(LEFT(SUBSTITUTE(G1662,"[{",""),FIND(",",SUBSTITUTE(G1662,"[{",""))-1),Sheet2!B:B,Sheet2!C:C)&amp;"+"&amp;SUBSTITUTE(RIGHT(G1662,LEN(G1662)-FIND(",",G1662)),"}]","")/100&amp;"%")</f>
        <v>手套符文孔位+1</v>
      </c>
      <c r="L1662" s="83" t="str">
        <f ca="1">IF(MOD(COUNTIF($Q$11:Q1661,Q1661),5)=0,OFFSET(装备属性!$G$1083,1+INT(COUNTA($Q$11:Q1661)/5),0),L1661)</f>
        <v>扩符槽</v>
      </c>
      <c r="M1662" s="89" t="str">
        <f ca="1">IF(MOD(COUNTIF($Q$11:Q1661,Q1661),5)=0,OFFSET(装备属性!$H$1083,1+INT(COUNTA($Q$11:Q1661)/5),0),M1661)</f>
        <v>equip4_rune_slot</v>
      </c>
      <c r="N1662" s="76">
        <f ca="1">IF(MOD(COUNTIF($Q$11:Q1661,Q1661),5)=0,OFFSET(装备属性!$K$1083,1+INT(COUNTA($Q$11:Q1661)/5),0),N1661)</f>
        <v>1</v>
      </c>
      <c r="O1662" s="76">
        <f ca="1">IF(MOD(COUNTIF($Q$11:Q1661,Q1661),5)=0,OFFSET(装备属性!$L$1083,1+INT(COUNTA($Q$11:Q1661)/5),0),O1661)</f>
        <v>1</v>
      </c>
      <c r="Q1662" s="89" t="str">
        <f ca="1">IF(MOD(COUNTIF($Q$11:Q1661,Q1661),5)=0,OFFSET(装备属性!$M$1083,1+INT(COUNTA($Q$11:Q1661)/5),0),Q1661)</f>
        <v>稀有词条</v>
      </c>
      <c r="R1662" s="83" t="e">
        <f ca="1">IF(MOD(COUNTIF($Q$11:Q1661,Q1661),5)=0,10000*SUBSTITUTE(SUBSTITUTE(OFFSET(装备属性!$F$1083,1+INT(COUNTA($Q$11:Q1661)/5),0),"[",""),"]","")+_xlfn.XLOOKUP(C1662,$M$3:$M$7,$N$3:$N$7)*100,R1661)</f>
        <v>#N/A</v>
      </c>
    </row>
    <row r="1663" customHeight="1" spans="1:18">
      <c r="A1663" s="78" t="str">
        <f ca="1" t="shared" si="75"/>
        <v/>
      </c>
      <c r="B1663" s="82" t="str">
        <f ca="1">IFERROR(R1663+COUNTIFS($R$11:$R1663,R1663),"")</f>
        <v/>
      </c>
      <c r="C1663" s="83">
        <f ca="1">IF(MOD(COUNTIF($Q$11:Q1662,Q1662),5)=0,OFFSET(装备属性!$D$1083,1+INT(COUNTA($Q$11:Q1662)/5),0),C1662)</f>
        <v>0</v>
      </c>
      <c r="D1663" s="82">
        <f t="shared" si="78"/>
        <v>2000</v>
      </c>
      <c r="F1663" s="82" t="str">
        <f ca="1" t="shared" si="76"/>
        <v/>
      </c>
      <c r="G1663" s="78" t="str">
        <f ca="1">IF(AND(LEFT("[{"&amp;M1663&amp;","&amp;CEILING(N1663*10000+(O1663-N1663)/4*(COUNTIF($F$11:F1663,F1663)-1)*10000,10)&amp;"}]",7)="[{equip",MID("[{"&amp;M1663&amp;","&amp;CEILING(N1663*10000+(O1663-N1663)/4*(COUNTIF($F$11:F1663,F1663)-1)*10000,10)&amp;"}]",8,1)&lt;&gt;"_"),"[{"&amp;M1663&amp;","&amp;1&amp;"}]","[{"&amp;M1663&amp;","&amp;CEILING(N1663*10000+(O1663-N1663)/4*(COUNTIF($F$11:F1663,F1663)-1)*10000,10)&amp;"}]")</f>
        <v>[{equip4_rune_slot,1}]</v>
      </c>
      <c r="H1663" s="82" t="s">
        <v>563</v>
      </c>
      <c r="J1663" s="78">
        <f ca="1">IF(MOD(COUNTIF($Q$11:Q1662,Q1662),5)=0,OFFSET(装备属性!$P$1083,1+INT(COUNTA($Q$11:Q1662)/5),0),J1662)</f>
        <v>1</v>
      </c>
      <c r="K1663" s="83" t="str">
        <f ca="1">IF(RIGHT(G1663,13)="rune_slot,1}]",_xlfn.XLOOKUP(LEFT(SUBSTITUTE(G1663,"[{",""),FIND(",",SUBSTITUTE(G1663,"[{",""))-1),Sheet2!B:B,Sheet2!C:C)&amp;"+"&amp;1,_xlfn.XLOOKUP(LEFT(SUBSTITUTE(G1663,"[{",""),FIND(",",SUBSTITUTE(G1663,"[{",""))-1),Sheet2!B:B,Sheet2!C:C)&amp;"+"&amp;SUBSTITUTE(RIGHT(G1663,LEN(G1663)-FIND(",",G1663)),"}]","")/100&amp;"%")</f>
        <v>手套符文孔位+1</v>
      </c>
      <c r="L1663" s="83" t="str">
        <f ca="1">IF(MOD(COUNTIF($Q$11:Q1662,Q1662),5)=0,OFFSET(装备属性!$G$1083,1+INT(COUNTA($Q$11:Q1662)/5),0),L1662)</f>
        <v>扩符槽</v>
      </c>
      <c r="M1663" s="89" t="str">
        <f ca="1">IF(MOD(COUNTIF($Q$11:Q1662,Q1662),5)=0,OFFSET(装备属性!$H$1083,1+INT(COUNTA($Q$11:Q1662)/5),0),M1662)</f>
        <v>equip4_rune_slot</v>
      </c>
      <c r="N1663" s="76">
        <f ca="1">IF(MOD(COUNTIF($Q$11:Q1662,Q1662),5)=0,OFFSET(装备属性!$K$1083,1+INT(COUNTA($Q$11:Q1662)/5),0),N1662)</f>
        <v>1</v>
      </c>
      <c r="O1663" s="76">
        <f ca="1">IF(MOD(COUNTIF($Q$11:Q1662,Q1662),5)=0,OFFSET(装备属性!$L$1083,1+INT(COUNTA($Q$11:Q1662)/5),0),O1662)</f>
        <v>1</v>
      </c>
      <c r="Q1663" s="89" t="str">
        <f ca="1">IF(MOD(COUNTIF($Q$11:Q1662,Q1662),5)=0,OFFSET(装备属性!$M$1083,1+INT(COUNTA($Q$11:Q1662)/5),0),Q1662)</f>
        <v>稀有词条</v>
      </c>
      <c r="R1663" s="83" t="e">
        <f ca="1">IF(MOD(COUNTIF($Q$11:Q1662,Q1662),5)=0,10000*SUBSTITUTE(SUBSTITUTE(OFFSET(装备属性!$F$1083,1+INT(COUNTA($Q$11:Q1662)/5),0),"[",""),"]","")+_xlfn.XLOOKUP(C1663,$M$3:$M$7,$N$3:$N$7)*100,R1662)</f>
        <v>#N/A</v>
      </c>
    </row>
    <row r="1664" customHeight="1" spans="1:18">
      <c r="A1664" s="78" t="str">
        <f ca="1" t="shared" si="75"/>
        <v/>
      </c>
      <c r="B1664" s="82" t="str">
        <f ca="1">IFERROR(R1664+COUNTIFS($R$11:$R1664,R1664),"")</f>
        <v/>
      </c>
      <c r="C1664" s="83">
        <f ca="1">IF(MOD(COUNTIF($Q$11:Q1663,Q1663),5)=0,OFFSET(装备属性!$D$1083,1+INT(COUNTA($Q$11:Q1663)/5),0),C1663)</f>
        <v>0</v>
      </c>
      <c r="D1664" s="82">
        <f t="shared" si="78"/>
        <v>1500</v>
      </c>
      <c r="F1664" s="82" t="str">
        <f ca="1" t="shared" si="76"/>
        <v/>
      </c>
      <c r="G1664" s="78" t="str">
        <f ca="1">IF(AND(LEFT("[{"&amp;M1664&amp;","&amp;CEILING(N1664*10000+(O1664-N1664)/4*(COUNTIF($F$11:F1664,F1664)-1)*10000,10)&amp;"}]",7)="[{equip",MID("[{"&amp;M1664&amp;","&amp;CEILING(N1664*10000+(O1664-N1664)/4*(COUNTIF($F$11:F1664,F1664)-1)*10000,10)&amp;"}]",8,1)&lt;&gt;"_"),"[{"&amp;M1664&amp;","&amp;1&amp;"}]","[{"&amp;M1664&amp;","&amp;CEILING(N1664*10000+(O1664-N1664)/4*(COUNTIF($F$11:F1664,F1664)-1)*10000,10)&amp;"}]")</f>
        <v>[{equip4_rune_slot,1}]</v>
      </c>
      <c r="H1664" s="82" t="s">
        <v>563</v>
      </c>
      <c r="J1664" s="78">
        <f ca="1">IF(MOD(COUNTIF($Q$11:Q1663,Q1663),5)=0,OFFSET(装备属性!$P$1083,1+INT(COUNTA($Q$11:Q1663)/5),0),J1663)</f>
        <v>1</v>
      </c>
      <c r="K1664" s="83" t="str">
        <f ca="1">IF(RIGHT(G1664,13)="rune_slot,1}]",_xlfn.XLOOKUP(LEFT(SUBSTITUTE(G1664,"[{",""),FIND(",",SUBSTITUTE(G1664,"[{",""))-1),Sheet2!B:B,Sheet2!C:C)&amp;"+"&amp;1,_xlfn.XLOOKUP(LEFT(SUBSTITUTE(G1664,"[{",""),FIND(",",SUBSTITUTE(G1664,"[{",""))-1),Sheet2!B:B,Sheet2!C:C)&amp;"+"&amp;SUBSTITUTE(RIGHT(G1664,LEN(G1664)-FIND(",",G1664)),"}]","")/100&amp;"%")</f>
        <v>手套符文孔位+1</v>
      </c>
      <c r="L1664" s="83" t="str">
        <f ca="1">IF(MOD(COUNTIF($Q$11:Q1663,Q1663),5)=0,OFFSET(装备属性!$G$1083,1+INT(COUNTA($Q$11:Q1663)/5),0),L1663)</f>
        <v>扩符槽</v>
      </c>
      <c r="M1664" s="89" t="str">
        <f ca="1">IF(MOD(COUNTIF($Q$11:Q1663,Q1663),5)=0,OFFSET(装备属性!$H$1083,1+INT(COUNTA($Q$11:Q1663)/5),0),M1663)</f>
        <v>equip4_rune_slot</v>
      </c>
      <c r="N1664" s="76">
        <f ca="1">IF(MOD(COUNTIF($Q$11:Q1663,Q1663),5)=0,OFFSET(装备属性!$K$1083,1+INT(COUNTA($Q$11:Q1663)/5),0),N1663)</f>
        <v>1</v>
      </c>
      <c r="O1664" s="76">
        <f ca="1">IF(MOD(COUNTIF($Q$11:Q1663,Q1663),5)=0,OFFSET(装备属性!$L$1083,1+INT(COUNTA($Q$11:Q1663)/5),0),O1663)</f>
        <v>1</v>
      </c>
      <c r="Q1664" s="89" t="str">
        <f ca="1">IF(MOD(COUNTIF($Q$11:Q1663,Q1663),5)=0,OFFSET(装备属性!$M$1083,1+INT(COUNTA($Q$11:Q1663)/5),0),Q1663)</f>
        <v>稀有词条</v>
      </c>
      <c r="R1664" s="83" t="e">
        <f ca="1">IF(MOD(COUNTIF($Q$11:Q1663,Q1663),5)=0,10000*SUBSTITUTE(SUBSTITUTE(OFFSET(装备属性!$F$1083,1+INT(COUNTA($Q$11:Q1663)/5),0),"[",""),"]","")+_xlfn.XLOOKUP(C1664,$M$3:$M$7,$N$3:$N$7)*100,R1663)</f>
        <v>#N/A</v>
      </c>
    </row>
    <row r="1665" customHeight="1" spans="1:18">
      <c r="A1665" s="78" t="str">
        <f ca="1" t="shared" si="75"/>
        <v/>
      </c>
      <c r="B1665" s="82" t="str">
        <f ca="1">IFERROR(R1665+COUNTIFS($R$11:$R1665,R1665),"")</f>
        <v/>
      </c>
      <c r="C1665" s="83">
        <f ca="1">IF(MOD(COUNTIF($Q$11:Q1664,Q1664),5)=0,OFFSET(装备属性!$D$1083,1+INT(COUNTA($Q$11:Q1664)/5),0),C1664)</f>
        <v>0</v>
      </c>
      <c r="D1665" s="82">
        <f t="shared" si="78"/>
        <v>1000</v>
      </c>
      <c r="F1665" s="82" t="str">
        <f ca="1" t="shared" si="76"/>
        <v/>
      </c>
      <c r="G1665" s="78" t="str">
        <f ca="1">IF(AND(LEFT("[{"&amp;M1665&amp;","&amp;CEILING(N1665*10000+(O1665-N1665)/4*(COUNTIF($F$11:F1665,F1665)-1)*10000,10)&amp;"}]",7)="[{equip",MID("[{"&amp;M1665&amp;","&amp;CEILING(N1665*10000+(O1665-N1665)/4*(COUNTIF($F$11:F1665,F1665)-1)*10000,10)&amp;"}]",8,1)&lt;&gt;"_"),"[{"&amp;M1665&amp;","&amp;1&amp;"}]","[{"&amp;M1665&amp;","&amp;CEILING(N1665*10000+(O1665-N1665)/4*(COUNTIF($F$11:F1665,F1665)-1)*10000,10)&amp;"}]")</f>
        <v>[{equip4_rune_slot,1}]</v>
      </c>
      <c r="H1665" s="82" t="s">
        <v>563</v>
      </c>
      <c r="J1665" s="78">
        <f ca="1">IF(MOD(COUNTIF($Q$11:Q1664,Q1664),5)=0,OFFSET(装备属性!$P$1083,1+INT(COUNTA($Q$11:Q1664)/5),0),J1664)</f>
        <v>1</v>
      </c>
      <c r="K1665" s="83" t="str">
        <f ca="1">IF(RIGHT(G1665,13)="rune_slot,1}]",_xlfn.XLOOKUP(LEFT(SUBSTITUTE(G1665,"[{",""),FIND(",",SUBSTITUTE(G1665,"[{",""))-1),Sheet2!B:B,Sheet2!C:C)&amp;"+"&amp;1,_xlfn.XLOOKUP(LEFT(SUBSTITUTE(G1665,"[{",""),FIND(",",SUBSTITUTE(G1665,"[{",""))-1),Sheet2!B:B,Sheet2!C:C)&amp;"+"&amp;SUBSTITUTE(RIGHT(G1665,LEN(G1665)-FIND(",",G1665)),"}]","")/100&amp;"%")</f>
        <v>手套符文孔位+1</v>
      </c>
      <c r="L1665" s="83" t="str">
        <f ca="1">IF(MOD(COUNTIF($Q$11:Q1664,Q1664),5)=0,OFFSET(装备属性!$G$1083,1+INT(COUNTA($Q$11:Q1664)/5),0),L1664)</f>
        <v>扩符槽</v>
      </c>
      <c r="M1665" s="89" t="str">
        <f ca="1">IF(MOD(COUNTIF($Q$11:Q1664,Q1664),5)=0,OFFSET(装备属性!$H$1083,1+INT(COUNTA($Q$11:Q1664)/5),0),M1664)</f>
        <v>equip4_rune_slot</v>
      </c>
      <c r="N1665" s="76">
        <f ca="1">IF(MOD(COUNTIF($Q$11:Q1664,Q1664),5)=0,OFFSET(装备属性!$K$1083,1+INT(COUNTA($Q$11:Q1664)/5),0),N1664)</f>
        <v>1</v>
      </c>
      <c r="O1665" s="76">
        <f ca="1">IF(MOD(COUNTIF($Q$11:Q1664,Q1664),5)=0,OFFSET(装备属性!$L$1083,1+INT(COUNTA($Q$11:Q1664)/5),0),O1664)</f>
        <v>1</v>
      </c>
      <c r="Q1665" s="89" t="str">
        <f ca="1">IF(MOD(COUNTIF($Q$11:Q1664,Q1664),5)=0,OFFSET(装备属性!$M$1083,1+INT(COUNTA($Q$11:Q1664)/5),0),Q1664)</f>
        <v>稀有词条</v>
      </c>
      <c r="R1665" s="83" t="e">
        <f ca="1">IF(MOD(COUNTIF($Q$11:Q1664,Q1664),5)=0,10000*SUBSTITUTE(SUBSTITUTE(OFFSET(装备属性!$F$1083,1+INT(COUNTA($Q$11:Q1664)/5),0),"[",""),"]","")+_xlfn.XLOOKUP(C1665,$M$3:$M$7,$N$3:$N$7)*100,R1664)</f>
        <v>#N/A</v>
      </c>
    </row>
    <row r="1666" customHeight="1" spans="1:18">
      <c r="A1666" s="78">
        <f ca="1" t="shared" si="75"/>
        <v>60602</v>
      </c>
      <c r="B1666" s="82">
        <f ca="1">IFERROR(R1666+COUNTIFS($R$11:$R1666,R1666),"")</f>
        <v>60611</v>
      </c>
      <c r="C1666" s="83" t="str">
        <f ca="1">IF(MOD(COUNTIF($Q$11:Q1665,Q1665),5)=0,OFFSET(装备属性!$D$1083,1+INT(COUNTA($Q$11:Q1665)/5),0),C1665)</f>
        <v>红</v>
      </c>
      <c r="D1666" s="82">
        <f t="shared" si="78"/>
        <v>3000</v>
      </c>
      <c r="F1666" s="82">
        <f ca="1" t="shared" si="76"/>
        <v>60602</v>
      </c>
      <c r="G1666" s="78" t="str">
        <f ca="1">IF(AND(LEFT("[{"&amp;M1666&amp;","&amp;CEILING(N1666*10000+(O1666-N1666)/4*(COUNTIF($F$11:F1666,F1666)-1)*10000,10)&amp;"}]",7)="[{equip",MID("[{"&amp;M1666&amp;","&amp;CEILING(N1666*10000+(O1666-N1666)/4*(COUNTIF($F$11:F1666,F1666)-1)*10000,10)&amp;"}]",8,1)&lt;&gt;"_"),"[{"&amp;M1666&amp;","&amp;1&amp;"}]","[{"&amp;M1666&amp;","&amp;CEILING(N1666*10000+(O1666-N1666)/4*(COUNTIF($F$11:F1666,F1666)-1)*10000,10)&amp;"}]")</f>
        <v>[{elitist_monster_hit_rate,860}]</v>
      </c>
      <c r="H1666" s="82" t="s">
        <v>563</v>
      </c>
      <c r="J1666" s="78">
        <f ca="1">IF(MOD(COUNTIF($Q$11:Q1665,Q1665),5)=0,OFFSET(装备属性!$P$1083,1+INT(COUNTA($Q$11:Q1665)/5),0),J1665)</f>
        <v>6</v>
      </c>
      <c r="K1666" s="83" t="str">
        <f ca="1">IF(RIGHT(G1666,13)="rune_slot,1}]",_xlfn.XLOOKUP(LEFT(SUBSTITUTE(G1666,"[{",""),FIND(",",SUBSTITUTE(G1666,"[{",""))-1),Sheet2!B:B,Sheet2!C:C)&amp;"+"&amp;1,_xlfn.XLOOKUP(LEFT(SUBSTITUTE(G1666,"[{",""),FIND(",",SUBSTITUTE(G1666,"[{",""))-1),Sheet2!B:B,Sheet2!C:C)&amp;"+"&amp;SUBSTITUTE(RIGHT(G1666,LEN(G1666)-FIND(",",G1666)),"}]","")/100&amp;"%")</f>
        <v>对精英增伤+8.6%</v>
      </c>
      <c r="L1666" s="83" t="str">
        <f ca="1">IF(MOD(COUNTIF($Q$11:Q1665,Q1665),5)=0,OFFSET(装备属性!$G$1083,1+INT(COUNTA($Q$11:Q1665)/5),0),L1665)</f>
        <v>Boss加餐Ⅲ</v>
      </c>
      <c r="M1666" s="89" t="str">
        <f ca="1">IF(MOD(COUNTIF($Q$11:Q1665,Q1665),5)=0,OFFSET(装备属性!$H$1083,1+INT(COUNTA($Q$11:Q1665)/5),0),M1665)</f>
        <v>elitist_monster_hit_rate</v>
      </c>
      <c r="N1666" s="76">
        <f ca="1">IF(MOD(COUNTIF($Q$11:Q1665,Q1665),5)=0,OFFSET(装备属性!$K$1083,1+INT(COUNTA($Q$11:Q1665)/5),0),N1665)</f>
        <v>0.086</v>
      </c>
      <c r="O1666" s="76">
        <f ca="1">IF(MOD(COUNTIF($Q$11:Q1665,Q1665),5)=0,OFFSET(装备属性!$L$1083,1+INT(COUNTA($Q$11:Q1665)/5),0),O1665)</f>
        <v>0.098</v>
      </c>
      <c r="Q1666" s="89" t="str">
        <f ca="1">IF(MOD(COUNTIF($Q$11:Q1665,Q1665),5)=0,OFFSET(装备属性!$M$1083,1+INT(COUNTA($Q$11:Q1665)/5),0),Q1665)</f>
        <v>玩法类</v>
      </c>
      <c r="R1666" s="83">
        <f ca="1">IF(MOD(COUNTIF($Q$11:Q1665,Q1665),5)=0,10000*SUBSTITUTE(SUBSTITUTE(OFFSET(装备属性!$F$1083,1+INT(COUNTA($Q$11:Q1665)/5),0),"[",""),"]","")+_xlfn.XLOOKUP(C1666,$M$3:$M$7,$N$3:$N$7)*100,R1665)</f>
        <v>60600</v>
      </c>
    </row>
    <row r="1667" customHeight="1" spans="1:18">
      <c r="A1667" s="78">
        <f ca="1" t="shared" si="75"/>
        <v>60602</v>
      </c>
      <c r="B1667" s="82">
        <f ca="1">IFERROR(R1667+COUNTIFS($R$11:$R1667,R1667),"")</f>
        <v>60612</v>
      </c>
      <c r="C1667" s="83" t="str">
        <f ca="1">IF(MOD(COUNTIF($Q$11:Q1666,Q1666),5)=0,OFFSET(装备属性!$D$1083,1+INT(COUNTA($Q$11:Q1666)/5),0),C1666)</f>
        <v>红</v>
      </c>
      <c r="D1667" s="82">
        <f t="shared" si="78"/>
        <v>2500</v>
      </c>
      <c r="F1667" s="82">
        <f ca="1" t="shared" si="76"/>
        <v>60602</v>
      </c>
      <c r="G1667" s="78" t="str">
        <f ca="1">IF(AND(LEFT("[{"&amp;M1667&amp;","&amp;CEILING(N1667*10000+(O1667-N1667)/4*(COUNTIF($F$11:F1667,F1667)-1)*10000,10)&amp;"}]",7)="[{equip",MID("[{"&amp;M1667&amp;","&amp;CEILING(N1667*10000+(O1667-N1667)/4*(COUNTIF($F$11:F1667,F1667)-1)*10000,10)&amp;"}]",8,1)&lt;&gt;"_"),"[{"&amp;M1667&amp;","&amp;1&amp;"}]","[{"&amp;M1667&amp;","&amp;CEILING(N1667*10000+(O1667-N1667)/4*(COUNTIF($F$11:F1667,F1667)-1)*10000,10)&amp;"}]")</f>
        <v>[{elitist_monster_hit_rate,890}]</v>
      </c>
      <c r="H1667" s="82" t="s">
        <v>563</v>
      </c>
      <c r="J1667" s="78">
        <f ca="1">IF(MOD(COUNTIF($Q$11:Q1666,Q1666),5)=0,OFFSET(装备属性!$P$1083,1+INT(COUNTA($Q$11:Q1666)/5),0),J1666)</f>
        <v>6</v>
      </c>
      <c r="K1667" s="83" t="str">
        <f ca="1">IF(RIGHT(G1667,13)="rune_slot,1}]",_xlfn.XLOOKUP(LEFT(SUBSTITUTE(G1667,"[{",""),FIND(",",SUBSTITUTE(G1667,"[{",""))-1),Sheet2!B:B,Sheet2!C:C)&amp;"+"&amp;1,_xlfn.XLOOKUP(LEFT(SUBSTITUTE(G1667,"[{",""),FIND(",",SUBSTITUTE(G1667,"[{",""))-1),Sheet2!B:B,Sheet2!C:C)&amp;"+"&amp;SUBSTITUTE(RIGHT(G1667,LEN(G1667)-FIND(",",G1667)),"}]","")/100&amp;"%")</f>
        <v>对精英增伤+8.9%</v>
      </c>
      <c r="L1667" s="83" t="str">
        <f ca="1">IF(MOD(COUNTIF($Q$11:Q1666,Q1666),5)=0,OFFSET(装备属性!$G$1083,1+INT(COUNTA($Q$11:Q1666)/5),0),L1666)</f>
        <v>Boss加餐Ⅲ</v>
      </c>
      <c r="M1667" s="89" t="str">
        <f ca="1">IF(MOD(COUNTIF($Q$11:Q1666,Q1666),5)=0,OFFSET(装备属性!$H$1083,1+INT(COUNTA($Q$11:Q1666)/5),0),M1666)</f>
        <v>elitist_monster_hit_rate</v>
      </c>
      <c r="N1667" s="76">
        <f ca="1">IF(MOD(COUNTIF($Q$11:Q1666,Q1666),5)=0,OFFSET(装备属性!$K$1083,1+INT(COUNTA($Q$11:Q1666)/5),0),N1666)</f>
        <v>0.086</v>
      </c>
      <c r="O1667" s="76">
        <f ca="1">IF(MOD(COUNTIF($Q$11:Q1666,Q1666),5)=0,OFFSET(装备属性!$L$1083,1+INT(COUNTA($Q$11:Q1666)/5),0),O1666)</f>
        <v>0.098</v>
      </c>
      <c r="Q1667" s="89" t="str">
        <f ca="1">IF(MOD(COUNTIF($Q$11:Q1666,Q1666),5)=0,OFFSET(装备属性!$M$1083,1+INT(COUNTA($Q$11:Q1666)/5),0),Q1666)</f>
        <v>玩法类</v>
      </c>
      <c r="R1667" s="83">
        <f ca="1">IF(MOD(COUNTIF($Q$11:Q1666,Q1666),5)=0,10000*SUBSTITUTE(SUBSTITUTE(OFFSET(装备属性!$F$1083,1+INT(COUNTA($Q$11:Q1666)/5),0),"[",""),"]","")+_xlfn.XLOOKUP(C1667,$M$3:$M$7,$N$3:$N$7)*100,R1666)</f>
        <v>60600</v>
      </c>
    </row>
    <row r="1668" customHeight="1" spans="1:18">
      <c r="A1668" s="78">
        <f ca="1" t="shared" si="75"/>
        <v>60602</v>
      </c>
      <c r="B1668" s="82">
        <f ca="1">IFERROR(R1668+COUNTIFS($R$11:$R1668,R1668),"")</f>
        <v>60613</v>
      </c>
      <c r="C1668" s="83" t="str">
        <f ca="1">IF(MOD(COUNTIF($Q$11:Q1667,Q1667),5)=0,OFFSET(装备属性!$D$1083,1+INT(COUNTA($Q$11:Q1667)/5),0),C1667)</f>
        <v>红</v>
      </c>
      <c r="D1668" s="82">
        <f t="shared" si="78"/>
        <v>2000</v>
      </c>
      <c r="F1668" s="82">
        <f ca="1" t="shared" si="76"/>
        <v>60602</v>
      </c>
      <c r="G1668" s="78" t="str">
        <f ca="1">IF(AND(LEFT("[{"&amp;M1668&amp;","&amp;CEILING(N1668*10000+(O1668-N1668)/4*(COUNTIF($F$11:F1668,F1668)-1)*10000,10)&amp;"}]",7)="[{equip",MID("[{"&amp;M1668&amp;","&amp;CEILING(N1668*10000+(O1668-N1668)/4*(COUNTIF($F$11:F1668,F1668)-1)*10000,10)&amp;"}]",8,1)&lt;&gt;"_"),"[{"&amp;M1668&amp;","&amp;1&amp;"}]","[{"&amp;M1668&amp;","&amp;CEILING(N1668*10000+(O1668-N1668)/4*(COUNTIF($F$11:F1668,F1668)-1)*10000,10)&amp;"}]")</f>
        <v>[{elitist_monster_hit_rate,920}]</v>
      </c>
      <c r="H1668" s="82" t="s">
        <v>563</v>
      </c>
      <c r="J1668" s="78">
        <f ca="1">IF(MOD(COUNTIF($Q$11:Q1667,Q1667),5)=0,OFFSET(装备属性!$P$1083,1+INT(COUNTA($Q$11:Q1667)/5),0),J1667)</f>
        <v>6</v>
      </c>
      <c r="K1668" s="83" t="str">
        <f ca="1">IF(RIGHT(G1668,13)="rune_slot,1}]",_xlfn.XLOOKUP(LEFT(SUBSTITUTE(G1668,"[{",""),FIND(",",SUBSTITUTE(G1668,"[{",""))-1),Sheet2!B:B,Sheet2!C:C)&amp;"+"&amp;1,_xlfn.XLOOKUP(LEFT(SUBSTITUTE(G1668,"[{",""),FIND(",",SUBSTITUTE(G1668,"[{",""))-1),Sheet2!B:B,Sheet2!C:C)&amp;"+"&amp;SUBSTITUTE(RIGHT(G1668,LEN(G1668)-FIND(",",G1668)),"}]","")/100&amp;"%")</f>
        <v>对精英增伤+9.2%</v>
      </c>
      <c r="L1668" s="83" t="str">
        <f ca="1">IF(MOD(COUNTIF($Q$11:Q1667,Q1667),5)=0,OFFSET(装备属性!$G$1083,1+INT(COUNTA($Q$11:Q1667)/5),0),L1667)</f>
        <v>Boss加餐Ⅲ</v>
      </c>
      <c r="M1668" s="89" t="str">
        <f ca="1">IF(MOD(COUNTIF($Q$11:Q1667,Q1667),5)=0,OFFSET(装备属性!$H$1083,1+INT(COUNTA($Q$11:Q1667)/5),0),M1667)</f>
        <v>elitist_monster_hit_rate</v>
      </c>
      <c r="N1668" s="76">
        <f ca="1">IF(MOD(COUNTIF($Q$11:Q1667,Q1667),5)=0,OFFSET(装备属性!$K$1083,1+INT(COUNTA($Q$11:Q1667)/5),0),N1667)</f>
        <v>0.086</v>
      </c>
      <c r="O1668" s="76">
        <f ca="1">IF(MOD(COUNTIF($Q$11:Q1667,Q1667),5)=0,OFFSET(装备属性!$L$1083,1+INT(COUNTA($Q$11:Q1667)/5),0),O1667)</f>
        <v>0.098</v>
      </c>
      <c r="Q1668" s="89" t="str">
        <f ca="1">IF(MOD(COUNTIF($Q$11:Q1667,Q1667),5)=0,OFFSET(装备属性!$M$1083,1+INT(COUNTA($Q$11:Q1667)/5),0),Q1667)</f>
        <v>玩法类</v>
      </c>
      <c r="R1668" s="83">
        <f ca="1">IF(MOD(COUNTIF($Q$11:Q1667,Q1667),5)=0,10000*SUBSTITUTE(SUBSTITUTE(OFFSET(装备属性!$F$1083,1+INT(COUNTA($Q$11:Q1667)/5),0),"[",""),"]","")+_xlfn.XLOOKUP(C1668,$M$3:$M$7,$N$3:$N$7)*100,R1667)</f>
        <v>60600</v>
      </c>
    </row>
    <row r="1669" customHeight="1" spans="1:18">
      <c r="A1669" s="78">
        <f ca="1" t="shared" si="75"/>
        <v>60602</v>
      </c>
      <c r="B1669" s="82">
        <f ca="1">IFERROR(R1669+COUNTIFS($R$11:$R1669,R1669),"")</f>
        <v>60614</v>
      </c>
      <c r="C1669" s="83" t="str">
        <f ca="1">IF(MOD(COUNTIF($Q$11:Q1668,Q1668),5)=0,OFFSET(装备属性!$D$1083,1+INT(COUNTA($Q$11:Q1668)/5),0),C1668)</f>
        <v>红</v>
      </c>
      <c r="D1669" s="82">
        <f t="shared" si="78"/>
        <v>1500</v>
      </c>
      <c r="F1669" s="82">
        <f ca="1" t="shared" si="76"/>
        <v>60602</v>
      </c>
      <c r="G1669" s="78" t="str">
        <f ca="1">IF(AND(LEFT("[{"&amp;M1669&amp;","&amp;CEILING(N1669*10000+(O1669-N1669)/4*(COUNTIF($F$11:F1669,F1669)-1)*10000,10)&amp;"}]",7)="[{equip",MID("[{"&amp;M1669&amp;","&amp;CEILING(N1669*10000+(O1669-N1669)/4*(COUNTIF($F$11:F1669,F1669)-1)*10000,10)&amp;"}]",8,1)&lt;&gt;"_"),"[{"&amp;M1669&amp;","&amp;1&amp;"}]","[{"&amp;M1669&amp;","&amp;CEILING(N1669*10000+(O1669-N1669)/4*(COUNTIF($F$11:F1669,F1669)-1)*10000,10)&amp;"}]")</f>
        <v>[{elitist_monster_hit_rate,950}]</v>
      </c>
      <c r="H1669" s="82" t="s">
        <v>563</v>
      </c>
      <c r="J1669" s="78">
        <f ca="1">IF(MOD(COUNTIF($Q$11:Q1668,Q1668),5)=0,OFFSET(装备属性!$P$1083,1+INT(COUNTA($Q$11:Q1668)/5),0),J1668)</f>
        <v>6</v>
      </c>
      <c r="K1669" s="83" t="str">
        <f ca="1">IF(RIGHT(G1669,13)="rune_slot,1}]",_xlfn.XLOOKUP(LEFT(SUBSTITUTE(G1669,"[{",""),FIND(",",SUBSTITUTE(G1669,"[{",""))-1),Sheet2!B:B,Sheet2!C:C)&amp;"+"&amp;1,_xlfn.XLOOKUP(LEFT(SUBSTITUTE(G1669,"[{",""),FIND(",",SUBSTITUTE(G1669,"[{",""))-1),Sheet2!B:B,Sheet2!C:C)&amp;"+"&amp;SUBSTITUTE(RIGHT(G1669,LEN(G1669)-FIND(",",G1669)),"}]","")/100&amp;"%")</f>
        <v>对精英增伤+9.5%</v>
      </c>
      <c r="L1669" s="83" t="str">
        <f ca="1">IF(MOD(COUNTIF($Q$11:Q1668,Q1668),5)=0,OFFSET(装备属性!$G$1083,1+INT(COUNTA($Q$11:Q1668)/5),0),L1668)</f>
        <v>Boss加餐Ⅲ</v>
      </c>
      <c r="M1669" s="89" t="str">
        <f ca="1">IF(MOD(COUNTIF($Q$11:Q1668,Q1668),5)=0,OFFSET(装备属性!$H$1083,1+INT(COUNTA($Q$11:Q1668)/5),0),M1668)</f>
        <v>elitist_monster_hit_rate</v>
      </c>
      <c r="N1669" s="76">
        <f ca="1">IF(MOD(COUNTIF($Q$11:Q1668,Q1668),5)=0,OFFSET(装备属性!$K$1083,1+INT(COUNTA($Q$11:Q1668)/5),0),N1668)</f>
        <v>0.086</v>
      </c>
      <c r="O1669" s="76">
        <f ca="1">IF(MOD(COUNTIF($Q$11:Q1668,Q1668),5)=0,OFFSET(装备属性!$L$1083,1+INT(COUNTA($Q$11:Q1668)/5),0),O1668)</f>
        <v>0.098</v>
      </c>
      <c r="Q1669" s="89" t="str">
        <f ca="1">IF(MOD(COUNTIF($Q$11:Q1668,Q1668),5)=0,OFFSET(装备属性!$M$1083,1+INT(COUNTA($Q$11:Q1668)/5),0),Q1668)</f>
        <v>玩法类</v>
      </c>
      <c r="R1669" s="83">
        <f ca="1">IF(MOD(COUNTIF($Q$11:Q1668,Q1668),5)=0,10000*SUBSTITUTE(SUBSTITUTE(OFFSET(装备属性!$F$1083,1+INT(COUNTA($Q$11:Q1668)/5),0),"[",""),"]","")+_xlfn.XLOOKUP(C1669,$M$3:$M$7,$N$3:$N$7)*100,R1668)</f>
        <v>60600</v>
      </c>
    </row>
    <row r="1670" customHeight="1" spans="1:18">
      <c r="A1670" s="78">
        <f ca="1" t="shared" si="75"/>
        <v>60602</v>
      </c>
      <c r="B1670" s="82">
        <f ca="1">IFERROR(R1670+COUNTIFS($R$11:$R1670,R1670),"")</f>
        <v>60615</v>
      </c>
      <c r="C1670" s="83" t="str">
        <f ca="1">IF(MOD(COUNTIF($Q$11:Q1669,Q1669),5)=0,OFFSET(装备属性!$D$1083,1+INT(COUNTA($Q$11:Q1669)/5),0),C1669)</f>
        <v>红</v>
      </c>
      <c r="D1670" s="82">
        <f t="shared" si="78"/>
        <v>1000</v>
      </c>
      <c r="F1670" s="82">
        <f ca="1" t="shared" si="76"/>
        <v>60602</v>
      </c>
      <c r="G1670" s="78" t="str">
        <f ca="1">IF(AND(LEFT("[{"&amp;M1670&amp;","&amp;CEILING(N1670*10000+(O1670-N1670)/4*(COUNTIF($F$11:F1670,F1670)-1)*10000,10)&amp;"}]",7)="[{equip",MID("[{"&amp;M1670&amp;","&amp;CEILING(N1670*10000+(O1670-N1670)/4*(COUNTIF($F$11:F1670,F1670)-1)*10000,10)&amp;"}]",8,1)&lt;&gt;"_"),"[{"&amp;M1670&amp;","&amp;1&amp;"}]","[{"&amp;M1670&amp;","&amp;CEILING(N1670*10000+(O1670-N1670)/4*(COUNTIF($F$11:F1670,F1670)-1)*10000,10)&amp;"}]")</f>
        <v>[{elitist_monster_hit_rate,980}]</v>
      </c>
      <c r="H1670" s="82" t="s">
        <v>563</v>
      </c>
      <c r="J1670" s="78">
        <f ca="1">IF(MOD(COUNTIF($Q$11:Q1669,Q1669),5)=0,OFFSET(装备属性!$P$1083,1+INT(COUNTA($Q$11:Q1669)/5),0),J1669)</f>
        <v>6</v>
      </c>
      <c r="K1670" s="83" t="str">
        <f ca="1">IF(RIGHT(G1670,13)="rune_slot,1}]",_xlfn.XLOOKUP(LEFT(SUBSTITUTE(G1670,"[{",""),FIND(",",SUBSTITUTE(G1670,"[{",""))-1),Sheet2!B:B,Sheet2!C:C)&amp;"+"&amp;1,_xlfn.XLOOKUP(LEFT(SUBSTITUTE(G1670,"[{",""),FIND(",",SUBSTITUTE(G1670,"[{",""))-1),Sheet2!B:B,Sheet2!C:C)&amp;"+"&amp;SUBSTITUTE(RIGHT(G1670,LEN(G1670)-FIND(",",G1670)),"}]","")/100&amp;"%")</f>
        <v>对精英增伤+9.8%</v>
      </c>
      <c r="L1670" s="83" t="str">
        <f ca="1">IF(MOD(COUNTIF($Q$11:Q1669,Q1669),5)=0,OFFSET(装备属性!$G$1083,1+INT(COUNTA($Q$11:Q1669)/5),0),L1669)</f>
        <v>Boss加餐Ⅲ</v>
      </c>
      <c r="M1670" s="89" t="str">
        <f ca="1">IF(MOD(COUNTIF($Q$11:Q1669,Q1669),5)=0,OFFSET(装备属性!$H$1083,1+INT(COUNTA($Q$11:Q1669)/5),0),M1669)</f>
        <v>elitist_monster_hit_rate</v>
      </c>
      <c r="N1670" s="76">
        <f ca="1">IF(MOD(COUNTIF($Q$11:Q1669,Q1669),5)=0,OFFSET(装备属性!$K$1083,1+INT(COUNTA($Q$11:Q1669)/5),0),N1669)</f>
        <v>0.086</v>
      </c>
      <c r="O1670" s="76">
        <f ca="1">IF(MOD(COUNTIF($Q$11:Q1669,Q1669),5)=0,OFFSET(装备属性!$L$1083,1+INT(COUNTA($Q$11:Q1669)/5),0),O1669)</f>
        <v>0.098</v>
      </c>
      <c r="Q1670" s="89" t="str">
        <f ca="1">IF(MOD(COUNTIF($Q$11:Q1669,Q1669),5)=0,OFFSET(装备属性!$M$1083,1+INT(COUNTA($Q$11:Q1669)/5),0),Q1669)</f>
        <v>玩法类</v>
      </c>
      <c r="R1670" s="83">
        <f ca="1">IF(MOD(COUNTIF($Q$11:Q1669,Q1669),5)=0,10000*SUBSTITUTE(SUBSTITUTE(OFFSET(装备属性!$F$1083,1+INT(COUNTA($Q$11:Q1669)/5),0),"[",""),"]","")+_xlfn.XLOOKUP(C1670,$M$3:$M$7,$N$3:$N$7)*100,R1669)</f>
        <v>60600</v>
      </c>
    </row>
    <row r="1671" customHeight="1" spans="1:18">
      <c r="A1671" s="78">
        <f ca="1" t="shared" si="75"/>
        <v>60601</v>
      </c>
      <c r="B1671" s="82">
        <f ca="1">IFERROR(R1671+COUNTIFS($R$11:$R1671,R1671),"")</f>
        <v>60616</v>
      </c>
      <c r="C1671" s="83" t="str">
        <f ca="1">IF(MOD(COUNTIF($Q$11:Q1670,Q1670),5)=0,OFFSET(装备属性!$D$1083,1+INT(COUNTA($Q$11:Q1670)/5),0),C1670)</f>
        <v>红</v>
      </c>
      <c r="D1671" s="82">
        <f t="shared" ref="D1671:D1685" si="79">D1666</f>
        <v>3000</v>
      </c>
      <c r="F1671" s="82">
        <f ca="1" t="shared" si="76"/>
        <v>60603</v>
      </c>
      <c r="G1671" s="78" t="str">
        <f ca="1">IF(AND(LEFT("[{"&amp;M1671&amp;","&amp;CEILING(N1671*10000+(O1671-N1671)/4*(COUNTIF($F$11:F1671,F1671)-1)*10000,10)&amp;"}]",7)="[{equip",MID("[{"&amp;M1671&amp;","&amp;CEILING(N1671*10000+(O1671-N1671)/4*(COUNTIF($F$11:F1671,F1671)-1)*10000,10)&amp;"}]",8,1)&lt;&gt;"_"),"[{"&amp;M1671&amp;","&amp;1&amp;"}]","[{"&amp;M1671&amp;","&amp;CEILING(N1671*10000+(O1671-N1671)/4*(COUNTIF($F$11:F1671,F1671)-1)*10000,10)&amp;"}]")</f>
        <v>[{summon_dmg_rate,720}]</v>
      </c>
      <c r="H1671" s="82" t="s">
        <v>563</v>
      </c>
      <c r="J1671" s="78">
        <f ca="1">IF(MOD(COUNTIF($Q$11:Q1670,Q1670),5)=0,OFFSET(装备属性!$P$1083,1+INT(COUNTA($Q$11:Q1670)/5),0),J1670)</f>
        <v>5</v>
      </c>
      <c r="K1671" s="83" t="str">
        <f ca="1">IF(RIGHT(G1671,13)="rune_slot,1}]",_xlfn.XLOOKUP(LEFT(SUBSTITUTE(G1671,"[{",""),FIND(",",SUBSTITUTE(G1671,"[{",""))-1),Sheet2!B:B,Sheet2!C:C)&amp;"+"&amp;1,_xlfn.XLOOKUP(LEFT(SUBSTITUTE(G1671,"[{",""),FIND(",",SUBSTITUTE(G1671,"[{",""))-1),Sheet2!B:B,Sheet2!C:C)&amp;"+"&amp;SUBSTITUTE(RIGHT(G1671,LEN(G1671)-FIND(",",G1671)),"}]","")/100&amp;"%")</f>
        <v>召唤伤害+7.2%</v>
      </c>
      <c r="L1671" s="83" t="str">
        <f ca="1">IF(MOD(COUNTIF($Q$11:Q1670,Q1670),5)=0,OFFSET(装备属性!$G$1083,1+INT(COUNTA($Q$11:Q1670)/5),0),L1670)</f>
        <v>召唤加班Ⅲ</v>
      </c>
      <c r="M1671" s="89" t="str">
        <f ca="1">IF(MOD(COUNTIF($Q$11:Q1670,Q1670),5)=0,OFFSET(装备属性!$H$1083,1+INT(COUNTA($Q$11:Q1670)/5),0),M1670)</f>
        <v>summon_dmg_rate</v>
      </c>
      <c r="N1671" s="76">
        <f ca="1">IF(MOD(COUNTIF($Q$11:Q1670,Q1670),5)=0,OFFSET(装备属性!$K$1083,1+INT(COUNTA($Q$11:Q1670)/5),0),N1670)</f>
        <v>0.072</v>
      </c>
      <c r="O1671" s="76">
        <f ca="1">IF(MOD(COUNTIF($Q$11:Q1670,Q1670),5)=0,OFFSET(装备属性!$L$1083,1+INT(COUNTA($Q$11:Q1670)/5),0),O1670)</f>
        <v>0.086</v>
      </c>
      <c r="Q1671" s="89" t="str">
        <f ca="1">IF(MOD(COUNTIF($Q$11:Q1670,Q1670),5)=0,OFFSET(装备属性!$M$1083,1+INT(COUNTA($Q$11:Q1670)/5),0),Q1670)</f>
        <v>通用属性</v>
      </c>
      <c r="R1671" s="83">
        <f ca="1">IF(MOD(COUNTIF($Q$11:Q1670,Q1670),5)=0,10000*SUBSTITUTE(SUBSTITUTE(OFFSET(装备属性!$F$1083,1+INT(COUNTA($Q$11:Q1670)/5),0),"[",""),"]","")+_xlfn.XLOOKUP(C1671,$M$3:$M$7,$N$3:$N$7)*100,R1670)</f>
        <v>60600</v>
      </c>
    </row>
    <row r="1672" customHeight="1" spans="1:18">
      <c r="A1672" s="78">
        <f ca="1" t="shared" si="75"/>
        <v>60601</v>
      </c>
      <c r="B1672" s="82">
        <f ca="1">IFERROR(R1672+COUNTIFS($R$11:$R1672,R1672),"")</f>
        <v>60617</v>
      </c>
      <c r="C1672" s="83" t="str">
        <f ca="1">IF(MOD(COUNTIF($Q$11:Q1671,Q1671),5)=0,OFFSET(装备属性!$D$1083,1+INT(COUNTA($Q$11:Q1671)/5),0),C1671)</f>
        <v>红</v>
      </c>
      <c r="D1672" s="82">
        <f t="shared" si="79"/>
        <v>2500</v>
      </c>
      <c r="F1672" s="82">
        <f ca="1" t="shared" si="76"/>
        <v>60603</v>
      </c>
      <c r="G1672" s="78" t="str">
        <f ca="1">IF(AND(LEFT("[{"&amp;M1672&amp;","&amp;CEILING(N1672*10000+(O1672-N1672)/4*(COUNTIF($F$11:F1672,F1672)-1)*10000,10)&amp;"}]",7)="[{equip",MID("[{"&amp;M1672&amp;","&amp;CEILING(N1672*10000+(O1672-N1672)/4*(COUNTIF($F$11:F1672,F1672)-1)*10000,10)&amp;"}]",8,1)&lt;&gt;"_"),"[{"&amp;M1672&amp;","&amp;1&amp;"}]","[{"&amp;M1672&amp;","&amp;CEILING(N1672*10000+(O1672-N1672)/4*(COUNTIF($F$11:F1672,F1672)-1)*10000,10)&amp;"}]")</f>
        <v>[{summon_dmg_rate,760}]</v>
      </c>
      <c r="H1672" s="82" t="s">
        <v>563</v>
      </c>
      <c r="J1672" s="78">
        <f ca="1">IF(MOD(COUNTIF($Q$11:Q1671,Q1671),5)=0,OFFSET(装备属性!$P$1083,1+INT(COUNTA($Q$11:Q1671)/5),0),J1671)</f>
        <v>5</v>
      </c>
      <c r="K1672" s="83" t="str">
        <f ca="1">IF(RIGHT(G1672,13)="rune_slot,1}]",_xlfn.XLOOKUP(LEFT(SUBSTITUTE(G1672,"[{",""),FIND(",",SUBSTITUTE(G1672,"[{",""))-1),Sheet2!B:B,Sheet2!C:C)&amp;"+"&amp;1,_xlfn.XLOOKUP(LEFT(SUBSTITUTE(G1672,"[{",""),FIND(",",SUBSTITUTE(G1672,"[{",""))-1),Sheet2!B:B,Sheet2!C:C)&amp;"+"&amp;SUBSTITUTE(RIGHT(G1672,LEN(G1672)-FIND(",",G1672)),"}]","")/100&amp;"%")</f>
        <v>召唤伤害+7.6%</v>
      </c>
      <c r="L1672" s="83" t="str">
        <f ca="1">IF(MOD(COUNTIF($Q$11:Q1671,Q1671),5)=0,OFFSET(装备属性!$G$1083,1+INT(COUNTA($Q$11:Q1671)/5),0),L1671)</f>
        <v>召唤加班Ⅲ</v>
      </c>
      <c r="M1672" s="89" t="str">
        <f ca="1">IF(MOD(COUNTIF($Q$11:Q1671,Q1671),5)=0,OFFSET(装备属性!$H$1083,1+INT(COUNTA($Q$11:Q1671)/5),0),M1671)</f>
        <v>summon_dmg_rate</v>
      </c>
      <c r="N1672" s="76">
        <f ca="1">IF(MOD(COUNTIF($Q$11:Q1671,Q1671),5)=0,OFFSET(装备属性!$K$1083,1+INT(COUNTA($Q$11:Q1671)/5),0),N1671)</f>
        <v>0.072</v>
      </c>
      <c r="O1672" s="76">
        <f ca="1">IF(MOD(COUNTIF($Q$11:Q1671,Q1671),5)=0,OFFSET(装备属性!$L$1083,1+INT(COUNTA($Q$11:Q1671)/5),0),O1671)</f>
        <v>0.086</v>
      </c>
      <c r="Q1672" s="89" t="str">
        <f ca="1">IF(MOD(COUNTIF($Q$11:Q1671,Q1671),5)=0,OFFSET(装备属性!$M$1083,1+INT(COUNTA($Q$11:Q1671)/5),0),Q1671)</f>
        <v>通用属性</v>
      </c>
      <c r="R1672" s="83">
        <f ca="1">IF(MOD(COUNTIF($Q$11:Q1671,Q1671),5)=0,10000*SUBSTITUTE(SUBSTITUTE(OFFSET(装备属性!$F$1083,1+INT(COUNTA($Q$11:Q1671)/5),0),"[",""),"]","")+_xlfn.XLOOKUP(C1672,$M$3:$M$7,$N$3:$N$7)*100,R1671)</f>
        <v>60600</v>
      </c>
    </row>
    <row r="1673" customHeight="1" spans="1:18">
      <c r="A1673" s="78">
        <f ca="1" t="shared" si="75"/>
        <v>60601</v>
      </c>
      <c r="B1673" s="82">
        <f ca="1">IFERROR(R1673+COUNTIFS($R$11:$R1673,R1673),"")</f>
        <v>60618</v>
      </c>
      <c r="C1673" s="83" t="str">
        <f ca="1">IF(MOD(COUNTIF($Q$11:Q1672,Q1672),5)=0,OFFSET(装备属性!$D$1083,1+INT(COUNTA($Q$11:Q1672)/5),0),C1672)</f>
        <v>红</v>
      </c>
      <c r="D1673" s="82">
        <f t="shared" si="79"/>
        <v>2000</v>
      </c>
      <c r="F1673" s="82">
        <f ca="1" t="shared" si="76"/>
        <v>60603</v>
      </c>
      <c r="G1673" s="78" t="str">
        <f ca="1">IF(AND(LEFT("[{"&amp;M1673&amp;","&amp;CEILING(N1673*10000+(O1673-N1673)/4*(COUNTIF($F$11:F1673,F1673)-1)*10000,10)&amp;"}]",7)="[{equip",MID("[{"&amp;M1673&amp;","&amp;CEILING(N1673*10000+(O1673-N1673)/4*(COUNTIF($F$11:F1673,F1673)-1)*10000,10)&amp;"}]",8,1)&lt;&gt;"_"),"[{"&amp;M1673&amp;","&amp;1&amp;"}]","[{"&amp;M1673&amp;","&amp;CEILING(N1673*10000+(O1673-N1673)/4*(COUNTIF($F$11:F1673,F1673)-1)*10000,10)&amp;"}]")</f>
        <v>[{summon_dmg_rate,790}]</v>
      </c>
      <c r="H1673" s="82" t="s">
        <v>563</v>
      </c>
      <c r="J1673" s="78">
        <f ca="1">IF(MOD(COUNTIF($Q$11:Q1672,Q1672),5)=0,OFFSET(装备属性!$P$1083,1+INT(COUNTA($Q$11:Q1672)/5),0),J1672)</f>
        <v>5</v>
      </c>
      <c r="K1673" s="83" t="str">
        <f ca="1">IF(RIGHT(G1673,13)="rune_slot,1}]",_xlfn.XLOOKUP(LEFT(SUBSTITUTE(G1673,"[{",""),FIND(",",SUBSTITUTE(G1673,"[{",""))-1),Sheet2!B:B,Sheet2!C:C)&amp;"+"&amp;1,_xlfn.XLOOKUP(LEFT(SUBSTITUTE(G1673,"[{",""),FIND(",",SUBSTITUTE(G1673,"[{",""))-1),Sheet2!B:B,Sheet2!C:C)&amp;"+"&amp;SUBSTITUTE(RIGHT(G1673,LEN(G1673)-FIND(",",G1673)),"}]","")/100&amp;"%")</f>
        <v>召唤伤害+7.9%</v>
      </c>
      <c r="L1673" s="83" t="str">
        <f ca="1">IF(MOD(COUNTIF($Q$11:Q1672,Q1672),5)=0,OFFSET(装备属性!$G$1083,1+INT(COUNTA($Q$11:Q1672)/5),0),L1672)</f>
        <v>召唤加班Ⅲ</v>
      </c>
      <c r="M1673" s="89" t="str">
        <f ca="1">IF(MOD(COUNTIF($Q$11:Q1672,Q1672),5)=0,OFFSET(装备属性!$H$1083,1+INT(COUNTA($Q$11:Q1672)/5),0),M1672)</f>
        <v>summon_dmg_rate</v>
      </c>
      <c r="N1673" s="76">
        <f ca="1">IF(MOD(COUNTIF($Q$11:Q1672,Q1672),5)=0,OFFSET(装备属性!$K$1083,1+INT(COUNTA($Q$11:Q1672)/5),0),N1672)</f>
        <v>0.072</v>
      </c>
      <c r="O1673" s="76">
        <f ca="1">IF(MOD(COUNTIF($Q$11:Q1672,Q1672),5)=0,OFFSET(装备属性!$L$1083,1+INT(COUNTA($Q$11:Q1672)/5),0),O1672)</f>
        <v>0.086</v>
      </c>
      <c r="Q1673" s="89" t="str">
        <f ca="1">IF(MOD(COUNTIF($Q$11:Q1672,Q1672),5)=0,OFFSET(装备属性!$M$1083,1+INT(COUNTA($Q$11:Q1672)/5),0),Q1672)</f>
        <v>通用属性</v>
      </c>
      <c r="R1673" s="83">
        <f ca="1">IF(MOD(COUNTIF($Q$11:Q1672,Q1672),5)=0,10000*SUBSTITUTE(SUBSTITUTE(OFFSET(装备属性!$F$1083,1+INT(COUNTA($Q$11:Q1672)/5),0),"[",""),"]","")+_xlfn.XLOOKUP(C1673,$M$3:$M$7,$N$3:$N$7)*100,R1672)</f>
        <v>60600</v>
      </c>
    </row>
    <row r="1674" customHeight="1" spans="1:18">
      <c r="A1674" s="78">
        <f ca="1" t="shared" si="75"/>
        <v>60601</v>
      </c>
      <c r="B1674" s="82">
        <f ca="1">IFERROR(R1674+COUNTIFS($R$11:$R1674,R1674),"")</f>
        <v>60619</v>
      </c>
      <c r="C1674" s="83" t="str">
        <f ca="1">IF(MOD(COUNTIF($Q$11:Q1673,Q1673),5)=0,OFFSET(装备属性!$D$1083,1+INT(COUNTA($Q$11:Q1673)/5),0),C1673)</f>
        <v>红</v>
      </c>
      <c r="D1674" s="82">
        <f t="shared" si="79"/>
        <v>1500</v>
      </c>
      <c r="F1674" s="82">
        <f ca="1" t="shared" si="76"/>
        <v>60603</v>
      </c>
      <c r="G1674" s="78" t="str">
        <f ca="1">IF(AND(LEFT("[{"&amp;M1674&amp;","&amp;CEILING(N1674*10000+(O1674-N1674)/4*(COUNTIF($F$11:F1674,F1674)-1)*10000,10)&amp;"}]",7)="[{equip",MID("[{"&amp;M1674&amp;","&amp;CEILING(N1674*10000+(O1674-N1674)/4*(COUNTIF($F$11:F1674,F1674)-1)*10000,10)&amp;"}]",8,1)&lt;&gt;"_"),"[{"&amp;M1674&amp;","&amp;1&amp;"}]","[{"&amp;M1674&amp;","&amp;CEILING(N1674*10000+(O1674-N1674)/4*(COUNTIF($F$11:F1674,F1674)-1)*10000,10)&amp;"}]")</f>
        <v>[{summon_dmg_rate,830}]</v>
      </c>
      <c r="H1674" s="82" t="s">
        <v>563</v>
      </c>
      <c r="J1674" s="78">
        <f ca="1">IF(MOD(COUNTIF($Q$11:Q1673,Q1673),5)=0,OFFSET(装备属性!$P$1083,1+INT(COUNTA($Q$11:Q1673)/5),0),J1673)</f>
        <v>5</v>
      </c>
      <c r="K1674" s="83" t="str">
        <f ca="1">IF(RIGHT(G1674,13)="rune_slot,1}]",_xlfn.XLOOKUP(LEFT(SUBSTITUTE(G1674,"[{",""),FIND(",",SUBSTITUTE(G1674,"[{",""))-1),Sheet2!B:B,Sheet2!C:C)&amp;"+"&amp;1,_xlfn.XLOOKUP(LEFT(SUBSTITUTE(G1674,"[{",""),FIND(",",SUBSTITUTE(G1674,"[{",""))-1),Sheet2!B:B,Sheet2!C:C)&amp;"+"&amp;SUBSTITUTE(RIGHT(G1674,LEN(G1674)-FIND(",",G1674)),"}]","")/100&amp;"%")</f>
        <v>召唤伤害+8.3%</v>
      </c>
      <c r="L1674" s="83" t="str">
        <f ca="1">IF(MOD(COUNTIF($Q$11:Q1673,Q1673),5)=0,OFFSET(装备属性!$G$1083,1+INT(COUNTA($Q$11:Q1673)/5),0),L1673)</f>
        <v>召唤加班Ⅲ</v>
      </c>
      <c r="M1674" s="89" t="str">
        <f ca="1">IF(MOD(COUNTIF($Q$11:Q1673,Q1673),5)=0,OFFSET(装备属性!$H$1083,1+INT(COUNTA($Q$11:Q1673)/5),0),M1673)</f>
        <v>summon_dmg_rate</v>
      </c>
      <c r="N1674" s="76">
        <f ca="1">IF(MOD(COUNTIF($Q$11:Q1673,Q1673),5)=0,OFFSET(装备属性!$K$1083,1+INT(COUNTA($Q$11:Q1673)/5),0),N1673)</f>
        <v>0.072</v>
      </c>
      <c r="O1674" s="76">
        <f ca="1">IF(MOD(COUNTIF($Q$11:Q1673,Q1673),5)=0,OFFSET(装备属性!$L$1083,1+INT(COUNTA($Q$11:Q1673)/5),0),O1673)</f>
        <v>0.086</v>
      </c>
      <c r="Q1674" s="89" t="str">
        <f ca="1">IF(MOD(COUNTIF($Q$11:Q1673,Q1673),5)=0,OFFSET(装备属性!$M$1083,1+INT(COUNTA($Q$11:Q1673)/5),0),Q1673)</f>
        <v>通用属性</v>
      </c>
      <c r="R1674" s="83">
        <f ca="1">IF(MOD(COUNTIF($Q$11:Q1673,Q1673),5)=0,10000*SUBSTITUTE(SUBSTITUTE(OFFSET(装备属性!$F$1083,1+INT(COUNTA($Q$11:Q1673)/5),0),"[",""),"]","")+_xlfn.XLOOKUP(C1674,$M$3:$M$7,$N$3:$N$7)*100,R1673)</f>
        <v>60600</v>
      </c>
    </row>
    <row r="1675" customHeight="1" spans="1:18">
      <c r="A1675" s="78">
        <f ca="1" t="shared" si="75"/>
        <v>60601</v>
      </c>
      <c r="B1675" s="82">
        <f ca="1">IFERROR(R1675+COUNTIFS($R$11:$R1675,R1675),"")</f>
        <v>60620</v>
      </c>
      <c r="C1675" s="83" t="str">
        <f ca="1">IF(MOD(COUNTIF($Q$11:Q1674,Q1674),5)=0,OFFSET(装备属性!$D$1083,1+INT(COUNTA($Q$11:Q1674)/5),0),C1674)</f>
        <v>红</v>
      </c>
      <c r="D1675" s="82">
        <f t="shared" si="79"/>
        <v>1000</v>
      </c>
      <c r="F1675" s="82">
        <f ca="1" t="shared" si="76"/>
        <v>60603</v>
      </c>
      <c r="G1675" s="78" t="str">
        <f ca="1">IF(AND(LEFT("[{"&amp;M1675&amp;","&amp;CEILING(N1675*10000+(O1675-N1675)/4*(COUNTIF($F$11:F1675,F1675)-1)*10000,10)&amp;"}]",7)="[{equip",MID("[{"&amp;M1675&amp;","&amp;CEILING(N1675*10000+(O1675-N1675)/4*(COUNTIF($F$11:F1675,F1675)-1)*10000,10)&amp;"}]",8,1)&lt;&gt;"_"),"[{"&amp;M1675&amp;","&amp;1&amp;"}]","[{"&amp;M1675&amp;","&amp;CEILING(N1675*10000+(O1675-N1675)/4*(COUNTIF($F$11:F1675,F1675)-1)*10000,10)&amp;"}]")</f>
        <v>[{summon_dmg_rate,860}]</v>
      </c>
      <c r="H1675" s="82" t="s">
        <v>563</v>
      </c>
      <c r="J1675" s="78">
        <f ca="1">IF(MOD(COUNTIF($Q$11:Q1674,Q1674),5)=0,OFFSET(装备属性!$P$1083,1+INT(COUNTA($Q$11:Q1674)/5),0),J1674)</f>
        <v>5</v>
      </c>
      <c r="K1675" s="83" t="str">
        <f ca="1">IF(RIGHT(G1675,13)="rune_slot,1}]",_xlfn.XLOOKUP(LEFT(SUBSTITUTE(G1675,"[{",""),FIND(",",SUBSTITUTE(G1675,"[{",""))-1),Sheet2!B:B,Sheet2!C:C)&amp;"+"&amp;1,_xlfn.XLOOKUP(LEFT(SUBSTITUTE(G1675,"[{",""),FIND(",",SUBSTITUTE(G1675,"[{",""))-1),Sheet2!B:B,Sheet2!C:C)&amp;"+"&amp;SUBSTITUTE(RIGHT(G1675,LEN(G1675)-FIND(",",G1675)),"}]","")/100&amp;"%")</f>
        <v>召唤伤害+8.6%</v>
      </c>
      <c r="L1675" s="83" t="str">
        <f ca="1">IF(MOD(COUNTIF($Q$11:Q1674,Q1674),5)=0,OFFSET(装备属性!$G$1083,1+INT(COUNTA($Q$11:Q1674)/5),0),L1674)</f>
        <v>召唤加班Ⅲ</v>
      </c>
      <c r="M1675" s="89" t="str">
        <f ca="1">IF(MOD(COUNTIF($Q$11:Q1674,Q1674),5)=0,OFFSET(装备属性!$H$1083,1+INT(COUNTA($Q$11:Q1674)/5),0),M1674)</f>
        <v>summon_dmg_rate</v>
      </c>
      <c r="N1675" s="76">
        <f ca="1">IF(MOD(COUNTIF($Q$11:Q1674,Q1674),5)=0,OFFSET(装备属性!$K$1083,1+INT(COUNTA($Q$11:Q1674)/5),0),N1674)</f>
        <v>0.072</v>
      </c>
      <c r="O1675" s="76">
        <f ca="1">IF(MOD(COUNTIF($Q$11:Q1674,Q1674),5)=0,OFFSET(装备属性!$L$1083,1+INT(COUNTA($Q$11:Q1674)/5),0),O1674)</f>
        <v>0.086</v>
      </c>
      <c r="Q1675" s="89" t="str">
        <f ca="1">IF(MOD(COUNTIF($Q$11:Q1674,Q1674),5)=0,OFFSET(装备属性!$M$1083,1+INT(COUNTA($Q$11:Q1674)/5),0),Q1674)</f>
        <v>通用属性</v>
      </c>
      <c r="R1675" s="83">
        <f ca="1">IF(MOD(COUNTIF($Q$11:Q1674,Q1674),5)=0,10000*SUBSTITUTE(SUBSTITUTE(OFFSET(装备属性!$F$1083,1+INT(COUNTA($Q$11:Q1674)/5),0),"[",""),"]","")+_xlfn.XLOOKUP(C1675,$M$3:$M$7,$N$3:$N$7)*100,R1674)</f>
        <v>60600</v>
      </c>
    </row>
    <row r="1676" customHeight="1" spans="1:18">
      <c r="A1676" s="78">
        <f ca="1" t="shared" ref="A1676:A1739" si="80">IFERROR(R1676+IF(Q1676="通用属性",1,IF(Q1676="玩法类",2,IF(Q1676="稀有词条",3,0))),"")</f>
        <v>60601</v>
      </c>
      <c r="B1676" s="82">
        <f ca="1">IFERROR(R1676+COUNTIFS($R$11:$R1676,R1676),"")</f>
        <v>60621</v>
      </c>
      <c r="C1676" s="83" t="str">
        <f ca="1">IF(MOD(COUNTIF($Q$11:Q1675,Q1675),5)=0,OFFSET(装备属性!$D$1083,1+INT(COUNTA($Q$11:Q1675)/5),0),C1675)</f>
        <v>红</v>
      </c>
      <c r="D1676" s="82">
        <f t="shared" si="79"/>
        <v>3000</v>
      </c>
      <c r="F1676" s="82">
        <f ca="1" t="shared" ref="F1676:F1739" si="81">IFERROR(R1676+INT((B1676-R1676-1)/5),"")</f>
        <v>60604</v>
      </c>
      <c r="G1676" s="78" t="str">
        <f ca="1">IF(AND(LEFT("[{"&amp;M1676&amp;","&amp;CEILING(N1676*10000+(O1676-N1676)/4*(COUNTIF($F$11:F1676,F1676)-1)*10000,10)&amp;"}]",7)="[{equip",MID("[{"&amp;M1676&amp;","&amp;CEILING(N1676*10000+(O1676-N1676)/4*(COUNTIF($F$11:F1676,F1676)-1)*10000,10)&amp;"}]",8,1)&lt;&gt;"_"),"[{"&amp;M1676&amp;","&amp;1&amp;"}]","[{"&amp;M1676&amp;","&amp;CEILING(N1676*10000+(O1676-N1676)/4*(COUNTIF($F$11:F1676,F1676)-1)*10000,10)&amp;"}]")</f>
        <v>[{summon_dmg_red_rate,250}]</v>
      </c>
      <c r="H1676" s="82" t="s">
        <v>563</v>
      </c>
      <c r="J1676" s="78">
        <f ca="1">IF(MOD(COUNTIF($Q$11:Q1675,Q1675),5)=0,OFFSET(装备属性!$P$1083,1+INT(COUNTA($Q$11:Q1675)/5),0),J1675)</f>
        <v>3</v>
      </c>
      <c r="K1676" s="83" t="str">
        <f ca="1">IF(RIGHT(G1676,13)="rune_slot,1}]",_xlfn.XLOOKUP(LEFT(SUBSTITUTE(G1676,"[{",""),FIND(",",SUBSTITUTE(G1676,"[{",""))-1),Sheet2!B:B,Sheet2!C:C)&amp;"+"&amp;1,_xlfn.XLOOKUP(LEFT(SUBSTITUTE(G1676,"[{",""),FIND(",",SUBSTITUTE(G1676,"[{",""))-1),Sheet2!B:B,Sheet2!C:C)&amp;"+"&amp;SUBSTITUTE(RIGHT(G1676,LEN(G1676)-FIND(",",G1676)),"}]","")/100&amp;"%")</f>
        <v>召唤伤害减免+2.5%</v>
      </c>
      <c r="L1676" s="83" t="str">
        <f ca="1">IF(MOD(COUNTIF($Q$11:Q1675,Q1675),5)=0,OFFSET(装备属性!$G$1083,1+INT(COUNTA($Q$11:Q1675)/5),0),L1675)</f>
        <v>召唤硬吃Ⅲ</v>
      </c>
      <c r="M1676" s="89" t="str">
        <f ca="1">IF(MOD(COUNTIF($Q$11:Q1675,Q1675),5)=0,OFFSET(装备属性!$H$1083,1+INT(COUNTA($Q$11:Q1675)/5),0),M1675)</f>
        <v>summon_dmg_red_rate</v>
      </c>
      <c r="N1676" s="76">
        <f ca="1">IF(MOD(COUNTIF($Q$11:Q1675,Q1675),5)=0,OFFSET(装备属性!$K$1083,1+INT(COUNTA($Q$11:Q1675)/5),0),N1675)</f>
        <v>0.025</v>
      </c>
      <c r="O1676" s="76">
        <f ca="1">IF(MOD(COUNTIF($Q$11:Q1675,Q1675),5)=0,OFFSET(装备属性!$L$1083,1+INT(COUNTA($Q$11:Q1675)/5),0),O1675)</f>
        <v>0.029</v>
      </c>
      <c r="Q1676" s="89" t="str">
        <f ca="1">IF(MOD(COUNTIF($Q$11:Q1675,Q1675),5)=0,OFFSET(装备属性!$M$1083,1+INT(COUNTA($Q$11:Q1675)/5),0),Q1675)</f>
        <v>通用属性</v>
      </c>
      <c r="R1676" s="83">
        <f ca="1">IF(MOD(COUNTIF($Q$11:Q1675,Q1675),5)=0,10000*SUBSTITUTE(SUBSTITUTE(OFFSET(装备属性!$F$1083,1+INT(COUNTA($Q$11:Q1675)/5),0),"[",""),"]","")+_xlfn.XLOOKUP(C1676,$M$3:$M$7,$N$3:$N$7)*100,R1675)</f>
        <v>60600</v>
      </c>
    </row>
    <row r="1677" customHeight="1" spans="1:18">
      <c r="A1677" s="78">
        <f ca="1" t="shared" si="80"/>
        <v>60601</v>
      </c>
      <c r="B1677" s="82">
        <f ca="1">IFERROR(R1677+COUNTIFS($R$11:$R1677,R1677),"")</f>
        <v>60622</v>
      </c>
      <c r="C1677" s="83" t="str">
        <f ca="1">IF(MOD(COUNTIF($Q$11:Q1676,Q1676),5)=0,OFFSET(装备属性!$D$1083,1+INT(COUNTA($Q$11:Q1676)/5),0),C1676)</f>
        <v>红</v>
      </c>
      <c r="D1677" s="82">
        <f t="shared" si="79"/>
        <v>2500</v>
      </c>
      <c r="F1677" s="82">
        <f ca="1" t="shared" si="81"/>
        <v>60604</v>
      </c>
      <c r="G1677" s="78" t="str">
        <f ca="1">IF(AND(LEFT("[{"&amp;M1677&amp;","&amp;CEILING(N1677*10000+(O1677-N1677)/4*(COUNTIF($F$11:F1677,F1677)-1)*10000,10)&amp;"}]",7)="[{equip",MID("[{"&amp;M1677&amp;","&amp;CEILING(N1677*10000+(O1677-N1677)/4*(COUNTIF($F$11:F1677,F1677)-1)*10000,10)&amp;"}]",8,1)&lt;&gt;"_"),"[{"&amp;M1677&amp;","&amp;1&amp;"}]","[{"&amp;M1677&amp;","&amp;CEILING(N1677*10000+(O1677-N1677)/4*(COUNTIF($F$11:F1677,F1677)-1)*10000,10)&amp;"}]")</f>
        <v>[{summon_dmg_red_rate,260}]</v>
      </c>
      <c r="H1677" s="82" t="s">
        <v>563</v>
      </c>
      <c r="J1677" s="78">
        <f ca="1">IF(MOD(COUNTIF($Q$11:Q1676,Q1676),5)=0,OFFSET(装备属性!$P$1083,1+INT(COUNTA($Q$11:Q1676)/5),0),J1676)</f>
        <v>3</v>
      </c>
      <c r="K1677" s="83" t="str">
        <f ca="1">IF(RIGHT(G1677,13)="rune_slot,1}]",_xlfn.XLOOKUP(LEFT(SUBSTITUTE(G1677,"[{",""),FIND(",",SUBSTITUTE(G1677,"[{",""))-1),Sheet2!B:B,Sheet2!C:C)&amp;"+"&amp;1,_xlfn.XLOOKUP(LEFT(SUBSTITUTE(G1677,"[{",""),FIND(",",SUBSTITUTE(G1677,"[{",""))-1),Sheet2!B:B,Sheet2!C:C)&amp;"+"&amp;SUBSTITUTE(RIGHT(G1677,LEN(G1677)-FIND(",",G1677)),"}]","")/100&amp;"%")</f>
        <v>召唤伤害减免+2.6%</v>
      </c>
      <c r="L1677" s="83" t="str">
        <f ca="1">IF(MOD(COUNTIF($Q$11:Q1676,Q1676),5)=0,OFFSET(装备属性!$G$1083,1+INT(COUNTA($Q$11:Q1676)/5),0),L1676)</f>
        <v>召唤硬吃Ⅲ</v>
      </c>
      <c r="M1677" s="89" t="str">
        <f ca="1">IF(MOD(COUNTIF($Q$11:Q1676,Q1676),5)=0,OFFSET(装备属性!$H$1083,1+INT(COUNTA($Q$11:Q1676)/5),0),M1676)</f>
        <v>summon_dmg_red_rate</v>
      </c>
      <c r="N1677" s="76">
        <f ca="1">IF(MOD(COUNTIF($Q$11:Q1676,Q1676),5)=0,OFFSET(装备属性!$K$1083,1+INT(COUNTA($Q$11:Q1676)/5),0),N1676)</f>
        <v>0.025</v>
      </c>
      <c r="O1677" s="76">
        <f ca="1">IF(MOD(COUNTIF($Q$11:Q1676,Q1676),5)=0,OFFSET(装备属性!$L$1083,1+INT(COUNTA($Q$11:Q1676)/5),0),O1676)</f>
        <v>0.029</v>
      </c>
      <c r="Q1677" s="89" t="str">
        <f ca="1">IF(MOD(COUNTIF($Q$11:Q1676,Q1676),5)=0,OFFSET(装备属性!$M$1083,1+INT(COUNTA($Q$11:Q1676)/5),0),Q1676)</f>
        <v>通用属性</v>
      </c>
      <c r="R1677" s="83">
        <f ca="1">IF(MOD(COUNTIF($Q$11:Q1676,Q1676),5)=0,10000*SUBSTITUTE(SUBSTITUTE(OFFSET(装备属性!$F$1083,1+INT(COUNTA($Q$11:Q1676)/5),0),"[",""),"]","")+_xlfn.XLOOKUP(C1677,$M$3:$M$7,$N$3:$N$7)*100,R1676)</f>
        <v>60600</v>
      </c>
    </row>
    <row r="1678" customHeight="1" spans="1:18">
      <c r="A1678" s="78">
        <f ca="1" t="shared" si="80"/>
        <v>60601</v>
      </c>
      <c r="B1678" s="82">
        <f ca="1">IFERROR(R1678+COUNTIFS($R$11:$R1678,R1678),"")</f>
        <v>60623</v>
      </c>
      <c r="C1678" s="83" t="str">
        <f ca="1">IF(MOD(COUNTIF($Q$11:Q1677,Q1677),5)=0,OFFSET(装备属性!$D$1083,1+INT(COUNTA($Q$11:Q1677)/5),0),C1677)</f>
        <v>红</v>
      </c>
      <c r="D1678" s="82">
        <f t="shared" si="79"/>
        <v>2000</v>
      </c>
      <c r="F1678" s="82">
        <f ca="1" t="shared" si="81"/>
        <v>60604</v>
      </c>
      <c r="G1678" s="78" t="str">
        <f ca="1">IF(AND(LEFT("[{"&amp;M1678&amp;","&amp;CEILING(N1678*10000+(O1678-N1678)/4*(COUNTIF($F$11:F1678,F1678)-1)*10000,10)&amp;"}]",7)="[{equip",MID("[{"&amp;M1678&amp;","&amp;CEILING(N1678*10000+(O1678-N1678)/4*(COUNTIF($F$11:F1678,F1678)-1)*10000,10)&amp;"}]",8,1)&lt;&gt;"_"),"[{"&amp;M1678&amp;","&amp;1&amp;"}]","[{"&amp;M1678&amp;","&amp;CEILING(N1678*10000+(O1678-N1678)/4*(COUNTIF($F$11:F1678,F1678)-1)*10000,10)&amp;"}]")</f>
        <v>[{summon_dmg_red_rate,270}]</v>
      </c>
      <c r="H1678" s="82" t="s">
        <v>563</v>
      </c>
      <c r="J1678" s="78">
        <f ca="1">IF(MOD(COUNTIF($Q$11:Q1677,Q1677),5)=0,OFFSET(装备属性!$P$1083,1+INT(COUNTA($Q$11:Q1677)/5),0),J1677)</f>
        <v>3</v>
      </c>
      <c r="K1678" s="83" t="str">
        <f ca="1">IF(RIGHT(G1678,13)="rune_slot,1}]",_xlfn.XLOOKUP(LEFT(SUBSTITUTE(G1678,"[{",""),FIND(",",SUBSTITUTE(G1678,"[{",""))-1),Sheet2!B:B,Sheet2!C:C)&amp;"+"&amp;1,_xlfn.XLOOKUP(LEFT(SUBSTITUTE(G1678,"[{",""),FIND(",",SUBSTITUTE(G1678,"[{",""))-1),Sheet2!B:B,Sheet2!C:C)&amp;"+"&amp;SUBSTITUTE(RIGHT(G1678,LEN(G1678)-FIND(",",G1678)),"}]","")/100&amp;"%")</f>
        <v>召唤伤害减免+2.7%</v>
      </c>
      <c r="L1678" s="83" t="str">
        <f ca="1">IF(MOD(COUNTIF($Q$11:Q1677,Q1677),5)=0,OFFSET(装备属性!$G$1083,1+INT(COUNTA($Q$11:Q1677)/5),0),L1677)</f>
        <v>召唤硬吃Ⅲ</v>
      </c>
      <c r="M1678" s="89" t="str">
        <f ca="1">IF(MOD(COUNTIF($Q$11:Q1677,Q1677),5)=0,OFFSET(装备属性!$H$1083,1+INT(COUNTA($Q$11:Q1677)/5),0),M1677)</f>
        <v>summon_dmg_red_rate</v>
      </c>
      <c r="N1678" s="76">
        <f ca="1">IF(MOD(COUNTIF($Q$11:Q1677,Q1677),5)=0,OFFSET(装备属性!$K$1083,1+INT(COUNTA($Q$11:Q1677)/5),0),N1677)</f>
        <v>0.025</v>
      </c>
      <c r="O1678" s="76">
        <f ca="1">IF(MOD(COUNTIF($Q$11:Q1677,Q1677),5)=0,OFFSET(装备属性!$L$1083,1+INT(COUNTA($Q$11:Q1677)/5),0),O1677)</f>
        <v>0.029</v>
      </c>
      <c r="Q1678" s="89" t="str">
        <f ca="1">IF(MOD(COUNTIF($Q$11:Q1677,Q1677),5)=0,OFFSET(装备属性!$M$1083,1+INT(COUNTA($Q$11:Q1677)/5),0),Q1677)</f>
        <v>通用属性</v>
      </c>
      <c r="R1678" s="83">
        <f ca="1">IF(MOD(COUNTIF($Q$11:Q1677,Q1677),5)=0,10000*SUBSTITUTE(SUBSTITUTE(OFFSET(装备属性!$F$1083,1+INT(COUNTA($Q$11:Q1677)/5),0),"[",""),"]","")+_xlfn.XLOOKUP(C1678,$M$3:$M$7,$N$3:$N$7)*100,R1677)</f>
        <v>60600</v>
      </c>
    </row>
    <row r="1679" customHeight="1" spans="1:18">
      <c r="A1679" s="78">
        <f ca="1" t="shared" si="80"/>
        <v>60601</v>
      </c>
      <c r="B1679" s="82">
        <f ca="1">IFERROR(R1679+COUNTIFS($R$11:$R1679,R1679),"")</f>
        <v>60624</v>
      </c>
      <c r="C1679" s="83" t="str">
        <f ca="1">IF(MOD(COUNTIF($Q$11:Q1678,Q1678),5)=0,OFFSET(装备属性!$D$1083,1+INT(COUNTA($Q$11:Q1678)/5),0),C1678)</f>
        <v>红</v>
      </c>
      <c r="D1679" s="82">
        <f t="shared" si="79"/>
        <v>1500</v>
      </c>
      <c r="F1679" s="82">
        <f ca="1" t="shared" si="81"/>
        <v>60604</v>
      </c>
      <c r="G1679" s="78" t="str">
        <f ca="1">IF(AND(LEFT("[{"&amp;M1679&amp;","&amp;CEILING(N1679*10000+(O1679-N1679)/4*(COUNTIF($F$11:F1679,F1679)-1)*10000,10)&amp;"}]",7)="[{equip",MID("[{"&amp;M1679&amp;","&amp;CEILING(N1679*10000+(O1679-N1679)/4*(COUNTIF($F$11:F1679,F1679)-1)*10000,10)&amp;"}]",8,1)&lt;&gt;"_"),"[{"&amp;M1679&amp;","&amp;1&amp;"}]","[{"&amp;M1679&amp;","&amp;CEILING(N1679*10000+(O1679-N1679)/4*(COUNTIF($F$11:F1679,F1679)-1)*10000,10)&amp;"}]")</f>
        <v>[{summon_dmg_red_rate,280}]</v>
      </c>
      <c r="H1679" s="82" t="s">
        <v>563</v>
      </c>
      <c r="J1679" s="78">
        <f ca="1">IF(MOD(COUNTIF($Q$11:Q1678,Q1678),5)=0,OFFSET(装备属性!$P$1083,1+INT(COUNTA($Q$11:Q1678)/5),0),J1678)</f>
        <v>3</v>
      </c>
      <c r="K1679" s="83" t="str">
        <f ca="1">IF(RIGHT(G1679,13)="rune_slot,1}]",_xlfn.XLOOKUP(LEFT(SUBSTITUTE(G1679,"[{",""),FIND(",",SUBSTITUTE(G1679,"[{",""))-1),Sheet2!B:B,Sheet2!C:C)&amp;"+"&amp;1,_xlfn.XLOOKUP(LEFT(SUBSTITUTE(G1679,"[{",""),FIND(",",SUBSTITUTE(G1679,"[{",""))-1),Sheet2!B:B,Sheet2!C:C)&amp;"+"&amp;SUBSTITUTE(RIGHT(G1679,LEN(G1679)-FIND(",",G1679)),"}]","")/100&amp;"%")</f>
        <v>召唤伤害减免+2.8%</v>
      </c>
      <c r="L1679" s="83" t="str">
        <f ca="1">IF(MOD(COUNTIF($Q$11:Q1678,Q1678),5)=0,OFFSET(装备属性!$G$1083,1+INT(COUNTA($Q$11:Q1678)/5),0),L1678)</f>
        <v>召唤硬吃Ⅲ</v>
      </c>
      <c r="M1679" s="89" t="str">
        <f ca="1">IF(MOD(COUNTIF($Q$11:Q1678,Q1678),5)=0,OFFSET(装备属性!$H$1083,1+INT(COUNTA($Q$11:Q1678)/5),0),M1678)</f>
        <v>summon_dmg_red_rate</v>
      </c>
      <c r="N1679" s="76">
        <f ca="1">IF(MOD(COUNTIF($Q$11:Q1678,Q1678),5)=0,OFFSET(装备属性!$K$1083,1+INT(COUNTA($Q$11:Q1678)/5),0),N1678)</f>
        <v>0.025</v>
      </c>
      <c r="O1679" s="76">
        <f ca="1">IF(MOD(COUNTIF($Q$11:Q1678,Q1678),5)=0,OFFSET(装备属性!$L$1083,1+INT(COUNTA($Q$11:Q1678)/5),0),O1678)</f>
        <v>0.029</v>
      </c>
      <c r="Q1679" s="89" t="str">
        <f ca="1">IF(MOD(COUNTIF($Q$11:Q1678,Q1678),5)=0,OFFSET(装备属性!$M$1083,1+INT(COUNTA($Q$11:Q1678)/5),0),Q1678)</f>
        <v>通用属性</v>
      </c>
      <c r="R1679" s="83">
        <f ca="1">IF(MOD(COUNTIF($Q$11:Q1678,Q1678),5)=0,10000*SUBSTITUTE(SUBSTITUTE(OFFSET(装备属性!$F$1083,1+INT(COUNTA($Q$11:Q1678)/5),0),"[",""),"]","")+_xlfn.XLOOKUP(C1679,$M$3:$M$7,$N$3:$N$7)*100,R1678)</f>
        <v>60600</v>
      </c>
    </row>
    <row r="1680" customHeight="1" spans="1:18">
      <c r="A1680" s="78">
        <f ca="1" t="shared" si="80"/>
        <v>60601</v>
      </c>
      <c r="B1680" s="82">
        <f ca="1">IFERROR(R1680+COUNTIFS($R$11:$R1680,R1680),"")</f>
        <v>60625</v>
      </c>
      <c r="C1680" s="83" t="str">
        <f ca="1">IF(MOD(COUNTIF($Q$11:Q1679,Q1679),5)=0,OFFSET(装备属性!$D$1083,1+INT(COUNTA($Q$11:Q1679)/5),0),C1679)</f>
        <v>红</v>
      </c>
      <c r="D1680" s="82">
        <f t="shared" si="79"/>
        <v>1000</v>
      </c>
      <c r="F1680" s="82">
        <f ca="1" t="shared" si="81"/>
        <v>60604</v>
      </c>
      <c r="G1680" s="78" t="str">
        <f ca="1">IF(AND(LEFT("[{"&amp;M1680&amp;","&amp;CEILING(N1680*10000+(O1680-N1680)/4*(COUNTIF($F$11:F1680,F1680)-1)*10000,10)&amp;"}]",7)="[{equip",MID("[{"&amp;M1680&amp;","&amp;CEILING(N1680*10000+(O1680-N1680)/4*(COUNTIF($F$11:F1680,F1680)-1)*10000,10)&amp;"}]",8,1)&lt;&gt;"_"),"[{"&amp;M1680&amp;","&amp;1&amp;"}]","[{"&amp;M1680&amp;","&amp;CEILING(N1680*10000+(O1680-N1680)/4*(COUNTIF($F$11:F1680,F1680)-1)*10000,10)&amp;"}]")</f>
        <v>[{summon_dmg_red_rate,290}]</v>
      </c>
      <c r="H1680" s="82" t="s">
        <v>563</v>
      </c>
      <c r="J1680" s="78">
        <f ca="1">IF(MOD(COUNTIF($Q$11:Q1679,Q1679),5)=0,OFFSET(装备属性!$P$1083,1+INT(COUNTA($Q$11:Q1679)/5),0),J1679)</f>
        <v>3</v>
      </c>
      <c r="K1680" s="83" t="str">
        <f ca="1">IF(RIGHT(G1680,13)="rune_slot,1}]",_xlfn.XLOOKUP(LEFT(SUBSTITUTE(G1680,"[{",""),FIND(",",SUBSTITUTE(G1680,"[{",""))-1),Sheet2!B:B,Sheet2!C:C)&amp;"+"&amp;1,_xlfn.XLOOKUP(LEFT(SUBSTITUTE(G1680,"[{",""),FIND(",",SUBSTITUTE(G1680,"[{",""))-1),Sheet2!B:B,Sheet2!C:C)&amp;"+"&amp;SUBSTITUTE(RIGHT(G1680,LEN(G1680)-FIND(",",G1680)),"}]","")/100&amp;"%")</f>
        <v>召唤伤害减免+2.9%</v>
      </c>
      <c r="L1680" s="83" t="str">
        <f ca="1">IF(MOD(COUNTIF($Q$11:Q1679,Q1679),5)=0,OFFSET(装备属性!$G$1083,1+INT(COUNTA($Q$11:Q1679)/5),0),L1679)</f>
        <v>召唤硬吃Ⅲ</v>
      </c>
      <c r="M1680" s="89" t="str">
        <f ca="1">IF(MOD(COUNTIF($Q$11:Q1679,Q1679),5)=0,OFFSET(装备属性!$H$1083,1+INT(COUNTA($Q$11:Q1679)/5),0),M1679)</f>
        <v>summon_dmg_red_rate</v>
      </c>
      <c r="N1680" s="76">
        <f ca="1">IF(MOD(COUNTIF($Q$11:Q1679,Q1679),5)=0,OFFSET(装备属性!$K$1083,1+INT(COUNTA($Q$11:Q1679)/5),0),N1679)</f>
        <v>0.025</v>
      </c>
      <c r="O1680" s="76">
        <f ca="1">IF(MOD(COUNTIF($Q$11:Q1679,Q1679),5)=0,OFFSET(装备属性!$L$1083,1+INT(COUNTA($Q$11:Q1679)/5),0),O1679)</f>
        <v>0.029</v>
      </c>
      <c r="Q1680" s="89" t="str">
        <f ca="1">IF(MOD(COUNTIF($Q$11:Q1679,Q1679),5)=0,OFFSET(装备属性!$M$1083,1+INT(COUNTA($Q$11:Q1679)/5),0),Q1679)</f>
        <v>通用属性</v>
      </c>
      <c r="R1680" s="83">
        <f ca="1">IF(MOD(COUNTIF($Q$11:Q1679,Q1679),5)=0,10000*SUBSTITUTE(SUBSTITUTE(OFFSET(装备属性!$F$1083,1+INT(COUNTA($Q$11:Q1679)/5),0),"[",""),"]","")+_xlfn.XLOOKUP(C1680,$M$3:$M$7,$N$3:$N$7)*100,R1679)</f>
        <v>60600</v>
      </c>
    </row>
    <row r="1681" customHeight="1" spans="1:18">
      <c r="A1681" s="78">
        <f ca="1" t="shared" si="80"/>
        <v>60601</v>
      </c>
      <c r="B1681" s="82">
        <f ca="1">IFERROR(R1681+COUNTIFS($R$11:$R1681,R1681),"")</f>
        <v>60626</v>
      </c>
      <c r="C1681" s="83" t="str">
        <f ca="1">IF(MOD(COUNTIF($Q$11:Q1680,Q1680),5)=0,OFFSET(装备属性!$D$1083,1+INT(COUNTA($Q$11:Q1680)/5),0),C1680)</f>
        <v>红</v>
      </c>
      <c r="D1681" s="82">
        <f t="shared" ref="D1681:D1707" si="82">D1676</f>
        <v>3000</v>
      </c>
      <c r="F1681" s="82">
        <f ca="1" t="shared" si="81"/>
        <v>60605</v>
      </c>
      <c r="G1681" s="78" t="str">
        <f ca="1">IF(AND(LEFT("[{"&amp;M1681&amp;","&amp;CEILING(N1681*10000+(O1681-N1681)/4*(COUNTIF($F$11:F1681,F1681)-1)*10000,10)&amp;"}]",7)="[{equip",MID("[{"&amp;M1681&amp;","&amp;CEILING(N1681*10000+(O1681-N1681)/4*(COUNTIF($F$11:F1681,F1681)-1)*10000,10)&amp;"}]",8,1)&lt;&gt;"_"),"[{"&amp;M1681&amp;","&amp;1&amp;"}]","[{"&amp;M1681&amp;","&amp;CEILING(N1681*10000+(O1681-N1681)/4*(COUNTIF($F$11:F1681,F1681)-1)*10000,10)&amp;"}]")</f>
        <v>[{summon_class_dmg_rate,900}]</v>
      </c>
      <c r="H1681" s="82" t="s">
        <v>563</v>
      </c>
      <c r="J1681" s="78">
        <f ca="1">IF(MOD(COUNTIF($Q$11:Q1680,Q1680),5)=0,OFFSET(装备属性!$P$1083,1+INT(COUNTA($Q$11:Q1680)/5),0),J1680)</f>
        <v>4</v>
      </c>
      <c r="K1681" s="83" t="str">
        <f ca="1">IF(RIGHT(G1681,13)="rune_slot,1}]",_xlfn.XLOOKUP(LEFT(SUBSTITUTE(G1681,"[{",""),FIND(",",SUBSTITUTE(G1681,"[{",""))-1),Sheet2!B:B,Sheet2!C:C)&amp;"+"&amp;1,_xlfn.XLOOKUP(LEFT(SUBSTITUTE(G1681,"[{",""),FIND(",",SUBSTITUTE(G1681,"[{",""))-1),Sheet2!B:B,Sheet2!C:C)&amp;"+"&amp;SUBSTITUTE(RIGHT(G1681,LEN(G1681)-FIND(",",G1681)),"}]","")/100&amp;"%")</f>
        <v>上阵两个召唤职业增伤+9%</v>
      </c>
      <c r="L1681" s="83" t="str">
        <f ca="1">IF(MOD(COUNTIF($Q$11:Q1680,Q1680),5)=0,OFFSET(装备属性!$G$1083,1+INT(COUNTA($Q$11:Q1680)/5),0),L1680)</f>
        <v>召唤小队Ⅲ</v>
      </c>
      <c r="M1681" s="89" t="str">
        <f ca="1">IF(MOD(COUNTIF($Q$11:Q1680,Q1680),5)=0,OFFSET(装备属性!$H$1083,1+INT(COUNTA($Q$11:Q1680)/5),0),M1680)</f>
        <v>summon_class_dmg_rate</v>
      </c>
      <c r="N1681" s="76">
        <f ca="1">IF(MOD(COUNTIF($Q$11:Q1680,Q1680),5)=0,OFFSET(装备属性!$K$1083,1+INT(COUNTA($Q$11:Q1680)/5),0),N1680)</f>
        <v>0.09</v>
      </c>
      <c r="O1681" s="76">
        <f ca="1">IF(MOD(COUNTIF($Q$11:Q1680,Q1680),5)=0,OFFSET(装备属性!$L$1083,1+INT(COUNTA($Q$11:Q1680)/5),0),O1680)</f>
        <v>0.11</v>
      </c>
      <c r="Q1681" s="89" t="str">
        <f ca="1">IF(MOD(COUNTIF($Q$11:Q1680,Q1680),5)=0,OFFSET(装备属性!$M$1083,1+INT(COUNTA($Q$11:Q1680)/5),0),Q1680)</f>
        <v>通用属性</v>
      </c>
      <c r="R1681" s="83">
        <f ca="1">IF(MOD(COUNTIF($Q$11:Q1680,Q1680),5)=0,10000*SUBSTITUTE(SUBSTITUTE(OFFSET(装备属性!$F$1083,1+INT(COUNTA($Q$11:Q1680)/5),0),"[",""),"]","")+_xlfn.XLOOKUP(C1681,$M$3:$M$7,$N$3:$N$7)*100,R1680)</f>
        <v>60600</v>
      </c>
    </row>
    <row r="1682" customHeight="1" spans="1:18">
      <c r="A1682" s="78">
        <f ca="1" t="shared" si="80"/>
        <v>60601</v>
      </c>
      <c r="B1682" s="82">
        <f ca="1">IFERROR(R1682+COUNTIFS($R$11:$R1682,R1682),"")</f>
        <v>60627</v>
      </c>
      <c r="C1682" s="83" t="str">
        <f ca="1">IF(MOD(COUNTIF($Q$11:Q1681,Q1681),5)=0,OFFSET(装备属性!$D$1083,1+INT(COUNTA($Q$11:Q1681)/5),0),C1681)</f>
        <v>红</v>
      </c>
      <c r="D1682" s="82">
        <f t="shared" si="82"/>
        <v>2500</v>
      </c>
      <c r="F1682" s="82">
        <f ca="1" t="shared" si="81"/>
        <v>60605</v>
      </c>
      <c r="G1682" s="78" t="str">
        <f ca="1">IF(AND(LEFT("[{"&amp;M1682&amp;","&amp;CEILING(N1682*10000+(O1682-N1682)/4*(COUNTIF($F$11:F1682,F1682)-1)*10000,10)&amp;"}]",7)="[{equip",MID("[{"&amp;M1682&amp;","&amp;CEILING(N1682*10000+(O1682-N1682)/4*(COUNTIF($F$11:F1682,F1682)-1)*10000,10)&amp;"}]",8,1)&lt;&gt;"_"),"[{"&amp;M1682&amp;","&amp;1&amp;"}]","[{"&amp;M1682&amp;","&amp;CEILING(N1682*10000+(O1682-N1682)/4*(COUNTIF($F$11:F1682,F1682)-1)*10000,10)&amp;"}]")</f>
        <v>[{summon_class_dmg_rate,950}]</v>
      </c>
      <c r="H1682" s="82" t="s">
        <v>563</v>
      </c>
      <c r="J1682" s="78">
        <f ca="1">IF(MOD(COUNTIF($Q$11:Q1681,Q1681),5)=0,OFFSET(装备属性!$P$1083,1+INT(COUNTA($Q$11:Q1681)/5),0),J1681)</f>
        <v>4</v>
      </c>
      <c r="K1682" s="83" t="str">
        <f ca="1">IF(RIGHT(G1682,13)="rune_slot,1}]",_xlfn.XLOOKUP(LEFT(SUBSTITUTE(G1682,"[{",""),FIND(",",SUBSTITUTE(G1682,"[{",""))-1),Sheet2!B:B,Sheet2!C:C)&amp;"+"&amp;1,_xlfn.XLOOKUP(LEFT(SUBSTITUTE(G1682,"[{",""),FIND(",",SUBSTITUTE(G1682,"[{",""))-1),Sheet2!B:B,Sheet2!C:C)&amp;"+"&amp;SUBSTITUTE(RIGHT(G1682,LEN(G1682)-FIND(",",G1682)),"}]","")/100&amp;"%")</f>
        <v>上阵两个召唤职业增伤+9.5%</v>
      </c>
      <c r="L1682" s="83" t="str">
        <f ca="1">IF(MOD(COUNTIF($Q$11:Q1681,Q1681),5)=0,OFFSET(装备属性!$G$1083,1+INT(COUNTA($Q$11:Q1681)/5),0),L1681)</f>
        <v>召唤小队Ⅲ</v>
      </c>
      <c r="M1682" s="89" t="str">
        <f ca="1">IF(MOD(COUNTIF($Q$11:Q1681,Q1681),5)=0,OFFSET(装备属性!$H$1083,1+INT(COUNTA($Q$11:Q1681)/5),0),M1681)</f>
        <v>summon_class_dmg_rate</v>
      </c>
      <c r="N1682" s="76">
        <f ca="1">IF(MOD(COUNTIF($Q$11:Q1681,Q1681),5)=0,OFFSET(装备属性!$K$1083,1+INT(COUNTA($Q$11:Q1681)/5),0),N1681)</f>
        <v>0.09</v>
      </c>
      <c r="O1682" s="76">
        <f ca="1">IF(MOD(COUNTIF($Q$11:Q1681,Q1681),5)=0,OFFSET(装备属性!$L$1083,1+INT(COUNTA($Q$11:Q1681)/5),0),O1681)</f>
        <v>0.11</v>
      </c>
      <c r="Q1682" s="89" t="str">
        <f ca="1">IF(MOD(COUNTIF($Q$11:Q1681,Q1681),5)=0,OFFSET(装备属性!$M$1083,1+INT(COUNTA($Q$11:Q1681)/5),0),Q1681)</f>
        <v>通用属性</v>
      </c>
      <c r="R1682" s="83">
        <f ca="1">IF(MOD(COUNTIF($Q$11:Q1681,Q1681),5)=0,10000*SUBSTITUTE(SUBSTITUTE(OFFSET(装备属性!$F$1083,1+INT(COUNTA($Q$11:Q1681)/5),0),"[",""),"]","")+_xlfn.XLOOKUP(C1682,$M$3:$M$7,$N$3:$N$7)*100,R1681)</f>
        <v>60600</v>
      </c>
    </row>
    <row r="1683" customHeight="1" spans="1:18">
      <c r="A1683" s="78">
        <f ca="1" t="shared" si="80"/>
        <v>60601</v>
      </c>
      <c r="B1683" s="82">
        <f ca="1">IFERROR(R1683+COUNTIFS($R$11:$R1683,R1683),"")</f>
        <v>60628</v>
      </c>
      <c r="C1683" s="83" t="str">
        <f ca="1">IF(MOD(COUNTIF($Q$11:Q1682,Q1682),5)=0,OFFSET(装备属性!$D$1083,1+INT(COUNTA($Q$11:Q1682)/5),0),C1682)</f>
        <v>红</v>
      </c>
      <c r="D1683" s="82">
        <f t="shared" si="82"/>
        <v>2000</v>
      </c>
      <c r="F1683" s="82">
        <f ca="1" t="shared" si="81"/>
        <v>60605</v>
      </c>
      <c r="G1683" s="78" t="str">
        <f ca="1">IF(AND(LEFT("[{"&amp;M1683&amp;","&amp;CEILING(N1683*10000+(O1683-N1683)/4*(COUNTIF($F$11:F1683,F1683)-1)*10000,10)&amp;"}]",7)="[{equip",MID("[{"&amp;M1683&amp;","&amp;CEILING(N1683*10000+(O1683-N1683)/4*(COUNTIF($F$11:F1683,F1683)-1)*10000,10)&amp;"}]",8,1)&lt;&gt;"_"),"[{"&amp;M1683&amp;","&amp;1&amp;"}]","[{"&amp;M1683&amp;","&amp;CEILING(N1683*10000+(O1683-N1683)/4*(COUNTIF($F$11:F1683,F1683)-1)*10000,10)&amp;"}]")</f>
        <v>[{summon_class_dmg_rate,1000}]</v>
      </c>
      <c r="H1683" s="82" t="s">
        <v>563</v>
      </c>
      <c r="J1683" s="78">
        <f ca="1">IF(MOD(COUNTIF($Q$11:Q1682,Q1682),5)=0,OFFSET(装备属性!$P$1083,1+INT(COUNTA($Q$11:Q1682)/5),0),J1682)</f>
        <v>4</v>
      </c>
      <c r="K1683" s="83" t="str">
        <f ca="1">IF(RIGHT(G1683,13)="rune_slot,1}]",_xlfn.XLOOKUP(LEFT(SUBSTITUTE(G1683,"[{",""),FIND(",",SUBSTITUTE(G1683,"[{",""))-1),Sheet2!B:B,Sheet2!C:C)&amp;"+"&amp;1,_xlfn.XLOOKUP(LEFT(SUBSTITUTE(G1683,"[{",""),FIND(",",SUBSTITUTE(G1683,"[{",""))-1),Sheet2!B:B,Sheet2!C:C)&amp;"+"&amp;SUBSTITUTE(RIGHT(G1683,LEN(G1683)-FIND(",",G1683)),"}]","")/100&amp;"%")</f>
        <v>上阵两个召唤职业增伤+10%</v>
      </c>
      <c r="L1683" s="83" t="str">
        <f ca="1">IF(MOD(COUNTIF($Q$11:Q1682,Q1682),5)=0,OFFSET(装备属性!$G$1083,1+INT(COUNTA($Q$11:Q1682)/5),0),L1682)</f>
        <v>召唤小队Ⅲ</v>
      </c>
      <c r="M1683" s="89" t="str">
        <f ca="1">IF(MOD(COUNTIF($Q$11:Q1682,Q1682),5)=0,OFFSET(装备属性!$H$1083,1+INT(COUNTA($Q$11:Q1682)/5),0),M1682)</f>
        <v>summon_class_dmg_rate</v>
      </c>
      <c r="N1683" s="76">
        <f ca="1">IF(MOD(COUNTIF($Q$11:Q1682,Q1682),5)=0,OFFSET(装备属性!$K$1083,1+INT(COUNTA($Q$11:Q1682)/5),0),N1682)</f>
        <v>0.09</v>
      </c>
      <c r="O1683" s="76">
        <f ca="1">IF(MOD(COUNTIF($Q$11:Q1682,Q1682),5)=0,OFFSET(装备属性!$L$1083,1+INT(COUNTA($Q$11:Q1682)/5),0),O1682)</f>
        <v>0.11</v>
      </c>
      <c r="Q1683" s="89" t="str">
        <f ca="1">IF(MOD(COUNTIF($Q$11:Q1682,Q1682),5)=0,OFFSET(装备属性!$M$1083,1+INT(COUNTA($Q$11:Q1682)/5),0),Q1682)</f>
        <v>通用属性</v>
      </c>
      <c r="R1683" s="83">
        <f ca="1">IF(MOD(COUNTIF($Q$11:Q1682,Q1682),5)=0,10000*SUBSTITUTE(SUBSTITUTE(OFFSET(装备属性!$F$1083,1+INT(COUNTA($Q$11:Q1682)/5),0),"[",""),"]","")+_xlfn.XLOOKUP(C1683,$M$3:$M$7,$N$3:$N$7)*100,R1682)</f>
        <v>60600</v>
      </c>
    </row>
    <row r="1684" customHeight="1" spans="1:18">
      <c r="A1684" s="78">
        <f ca="1" t="shared" si="80"/>
        <v>60601</v>
      </c>
      <c r="B1684" s="82">
        <f ca="1">IFERROR(R1684+COUNTIFS($R$11:$R1684,R1684),"")</f>
        <v>60629</v>
      </c>
      <c r="C1684" s="83" t="str">
        <f ca="1">IF(MOD(COUNTIF($Q$11:Q1683,Q1683),5)=0,OFFSET(装备属性!$D$1083,1+INT(COUNTA($Q$11:Q1683)/5),0),C1683)</f>
        <v>红</v>
      </c>
      <c r="D1684" s="82">
        <f t="shared" si="82"/>
        <v>1500</v>
      </c>
      <c r="F1684" s="82">
        <f ca="1" t="shared" si="81"/>
        <v>60605</v>
      </c>
      <c r="G1684" s="78" t="str">
        <f ca="1">IF(AND(LEFT("[{"&amp;M1684&amp;","&amp;CEILING(N1684*10000+(O1684-N1684)/4*(COUNTIF($F$11:F1684,F1684)-1)*10000,10)&amp;"}]",7)="[{equip",MID("[{"&amp;M1684&amp;","&amp;CEILING(N1684*10000+(O1684-N1684)/4*(COUNTIF($F$11:F1684,F1684)-1)*10000,10)&amp;"}]",8,1)&lt;&gt;"_"),"[{"&amp;M1684&amp;","&amp;1&amp;"}]","[{"&amp;M1684&amp;","&amp;CEILING(N1684*10000+(O1684-N1684)/4*(COUNTIF($F$11:F1684,F1684)-1)*10000,10)&amp;"}]")</f>
        <v>[{summon_class_dmg_rate,1050}]</v>
      </c>
      <c r="H1684" s="82" t="s">
        <v>563</v>
      </c>
      <c r="J1684" s="78">
        <f ca="1">IF(MOD(COUNTIF($Q$11:Q1683,Q1683),5)=0,OFFSET(装备属性!$P$1083,1+INT(COUNTA($Q$11:Q1683)/5),0),J1683)</f>
        <v>4</v>
      </c>
      <c r="K1684" s="83" t="str">
        <f ca="1">IF(RIGHT(G1684,13)="rune_slot,1}]",_xlfn.XLOOKUP(LEFT(SUBSTITUTE(G1684,"[{",""),FIND(",",SUBSTITUTE(G1684,"[{",""))-1),Sheet2!B:B,Sheet2!C:C)&amp;"+"&amp;1,_xlfn.XLOOKUP(LEFT(SUBSTITUTE(G1684,"[{",""),FIND(",",SUBSTITUTE(G1684,"[{",""))-1),Sheet2!B:B,Sheet2!C:C)&amp;"+"&amp;SUBSTITUTE(RIGHT(G1684,LEN(G1684)-FIND(",",G1684)),"}]","")/100&amp;"%")</f>
        <v>上阵两个召唤职业增伤+10.5%</v>
      </c>
      <c r="L1684" s="83" t="str">
        <f ca="1">IF(MOD(COUNTIF($Q$11:Q1683,Q1683),5)=0,OFFSET(装备属性!$G$1083,1+INT(COUNTA($Q$11:Q1683)/5),0),L1683)</f>
        <v>召唤小队Ⅲ</v>
      </c>
      <c r="M1684" s="89" t="str">
        <f ca="1">IF(MOD(COUNTIF($Q$11:Q1683,Q1683),5)=0,OFFSET(装备属性!$H$1083,1+INT(COUNTA($Q$11:Q1683)/5),0),M1683)</f>
        <v>summon_class_dmg_rate</v>
      </c>
      <c r="N1684" s="76">
        <f ca="1">IF(MOD(COUNTIF($Q$11:Q1683,Q1683),5)=0,OFFSET(装备属性!$K$1083,1+INT(COUNTA($Q$11:Q1683)/5),0),N1683)</f>
        <v>0.09</v>
      </c>
      <c r="O1684" s="76">
        <f ca="1">IF(MOD(COUNTIF($Q$11:Q1683,Q1683),5)=0,OFFSET(装备属性!$L$1083,1+INT(COUNTA($Q$11:Q1683)/5),0),O1683)</f>
        <v>0.11</v>
      </c>
      <c r="Q1684" s="89" t="str">
        <f ca="1">IF(MOD(COUNTIF($Q$11:Q1683,Q1683),5)=0,OFFSET(装备属性!$M$1083,1+INT(COUNTA($Q$11:Q1683)/5),0),Q1683)</f>
        <v>通用属性</v>
      </c>
      <c r="R1684" s="83">
        <f ca="1">IF(MOD(COUNTIF($Q$11:Q1683,Q1683),5)=0,10000*SUBSTITUTE(SUBSTITUTE(OFFSET(装备属性!$F$1083,1+INT(COUNTA($Q$11:Q1683)/5),0),"[",""),"]","")+_xlfn.XLOOKUP(C1684,$M$3:$M$7,$N$3:$N$7)*100,R1683)</f>
        <v>60600</v>
      </c>
    </row>
    <row r="1685" customHeight="1" spans="1:18">
      <c r="A1685" s="78">
        <f ca="1" t="shared" si="80"/>
        <v>60601</v>
      </c>
      <c r="B1685" s="82">
        <f ca="1">IFERROR(R1685+COUNTIFS($R$11:$R1685,R1685),"")</f>
        <v>60630</v>
      </c>
      <c r="C1685" s="83" t="str">
        <f ca="1">IF(MOD(COUNTIF($Q$11:Q1684,Q1684),5)=0,OFFSET(装备属性!$D$1083,1+INT(COUNTA($Q$11:Q1684)/5),0),C1684)</f>
        <v>红</v>
      </c>
      <c r="D1685" s="82">
        <f t="shared" si="82"/>
        <v>1000</v>
      </c>
      <c r="F1685" s="82">
        <f ca="1" t="shared" si="81"/>
        <v>60605</v>
      </c>
      <c r="G1685" s="78" t="str">
        <f ca="1">IF(AND(LEFT("[{"&amp;M1685&amp;","&amp;CEILING(N1685*10000+(O1685-N1685)/4*(COUNTIF($F$11:F1685,F1685)-1)*10000,10)&amp;"}]",7)="[{equip",MID("[{"&amp;M1685&amp;","&amp;CEILING(N1685*10000+(O1685-N1685)/4*(COUNTIF($F$11:F1685,F1685)-1)*10000,10)&amp;"}]",8,1)&lt;&gt;"_"),"[{"&amp;M1685&amp;","&amp;1&amp;"}]","[{"&amp;M1685&amp;","&amp;CEILING(N1685*10000+(O1685-N1685)/4*(COUNTIF($F$11:F1685,F1685)-1)*10000,10)&amp;"}]")</f>
        <v>[{summon_class_dmg_rate,1100}]</v>
      </c>
      <c r="H1685" s="82" t="s">
        <v>563</v>
      </c>
      <c r="J1685" s="78">
        <f ca="1">IF(MOD(COUNTIF($Q$11:Q1684,Q1684),5)=0,OFFSET(装备属性!$P$1083,1+INT(COUNTA($Q$11:Q1684)/5),0),J1684)</f>
        <v>4</v>
      </c>
      <c r="K1685" s="83" t="str">
        <f ca="1">IF(RIGHT(G1685,13)="rune_slot,1}]",_xlfn.XLOOKUP(LEFT(SUBSTITUTE(G1685,"[{",""),FIND(",",SUBSTITUTE(G1685,"[{",""))-1),Sheet2!B:B,Sheet2!C:C)&amp;"+"&amp;1,_xlfn.XLOOKUP(LEFT(SUBSTITUTE(G1685,"[{",""),FIND(",",SUBSTITUTE(G1685,"[{",""))-1),Sheet2!B:B,Sheet2!C:C)&amp;"+"&amp;SUBSTITUTE(RIGHT(G1685,LEN(G1685)-FIND(",",G1685)),"}]","")/100&amp;"%")</f>
        <v>上阵两个召唤职业增伤+11%</v>
      </c>
      <c r="L1685" s="83" t="str">
        <f ca="1">IF(MOD(COUNTIF($Q$11:Q1684,Q1684),5)=0,OFFSET(装备属性!$G$1083,1+INT(COUNTA($Q$11:Q1684)/5),0),L1684)</f>
        <v>召唤小队Ⅲ</v>
      </c>
      <c r="M1685" s="89" t="str">
        <f ca="1">IF(MOD(COUNTIF($Q$11:Q1684,Q1684),5)=0,OFFSET(装备属性!$H$1083,1+INT(COUNTA($Q$11:Q1684)/5),0),M1684)</f>
        <v>summon_class_dmg_rate</v>
      </c>
      <c r="N1685" s="76">
        <f ca="1">IF(MOD(COUNTIF($Q$11:Q1684,Q1684),5)=0,OFFSET(装备属性!$K$1083,1+INT(COUNTA($Q$11:Q1684)/5),0),N1684)</f>
        <v>0.09</v>
      </c>
      <c r="O1685" s="76">
        <f ca="1">IF(MOD(COUNTIF($Q$11:Q1684,Q1684),5)=0,OFFSET(装备属性!$L$1083,1+INT(COUNTA($Q$11:Q1684)/5),0),O1684)</f>
        <v>0.11</v>
      </c>
      <c r="Q1685" s="89" t="str">
        <f ca="1">IF(MOD(COUNTIF($Q$11:Q1684,Q1684),5)=0,OFFSET(装备属性!$M$1083,1+INT(COUNTA($Q$11:Q1684)/5),0),Q1684)</f>
        <v>通用属性</v>
      </c>
      <c r="R1685" s="83">
        <f ca="1">IF(MOD(COUNTIF($Q$11:Q1684,Q1684),5)=0,10000*SUBSTITUTE(SUBSTITUTE(OFFSET(装备属性!$F$1083,1+INT(COUNTA($Q$11:Q1684)/5),0),"[",""),"]","")+_xlfn.XLOOKUP(C1685,$M$3:$M$7,$N$3:$N$7)*100,R1684)</f>
        <v>60600</v>
      </c>
    </row>
    <row r="1686" customHeight="1" spans="1:18">
      <c r="A1686" s="78">
        <f ca="1" t="shared" si="80"/>
        <v>60601</v>
      </c>
      <c r="B1686" s="82">
        <f ca="1">IFERROR(R1686+COUNTIFS($R$11:$R1686,R1686),"")</f>
        <v>60631</v>
      </c>
      <c r="C1686" s="83" t="str">
        <f ca="1">IF(MOD(COUNTIF($Q$11:Q1685,Q1685),5)=0,OFFSET(装备属性!$D$1083,1+INT(COUNTA($Q$11:Q1685)/5),0),C1685)</f>
        <v>红</v>
      </c>
      <c r="D1686" s="82">
        <f t="shared" si="82"/>
        <v>3000</v>
      </c>
      <c r="F1686" s="82">
        <f ca="1" t="shared" si="81"/>
        <v>60606</v>
      </c>
      <c r="G1686" s="78" t="str">
        <f ca="1">IF(AND(LEFT("[{"&amp;M1686&amp;","&amp;CEILING(N1686*10000+(O1686-N1686)/4*(COUNTIF($F$11:F1686,F1686)-1)*10000,10)&amp;"}]",7)="[{equip",MID("[{"&amp;M1686&amp;","&amp;CEILING(N1686*10000+(O1686-N1686)/4*(COUNTIF($F$11:F1686,F1686)-1)*10000,10)&amp;"}]",8,1)&lt;&gt;"_"),"[{"&amp;M1686&amp;","&amp;1&amp;"}]","[{"&amp;M1686&amp;","&amp;CEILING(N1686*10000+(O1686-N1686)/4*(COUNTIF($F$11:F1686,F1686)-1)*10000,10)&amp;"}]")</f>
        <v>[{summon_crit_dmg,2700}]</v>
      </c>
      <c r="H1686" s="82" t="s">
        <v>563</v>
      </c>
      <c r="J1686" s="78">
        <f ca="1">IF(MOD(COUNTIF($Q$11:Q1685,Q1685),5)=0,OFFSET(装备属性!$P$1083,1+INT(COUNTA($Q$11:Q1685)/5),0),J1685)</f>
        <v>10</v>
      </c>
      <c r="K1686" s="83" t="str">
        <f ca="1">IF(RIGHT(G1686,13)="rune_slot,1}]",_xlfn.XLOOKUP(LEFT(SUBSTITUTE(G1686,"[{",""),FIND(",",SUBSTITUTE(G1686,"[{",""))-1),Sheet2!B:B,Sheet2!C:C)&amp;"+"&amp;1,_xlfn.XLOOKUP(LEFT(SUBSTITUTE(G1686,"[{",""),FIND(",",SUBSTITUTE(G1686,"[{",""))-1),Sheet2!B:B,Sheet2!C:C)&amp;"+"&amp;SUBSTITUTE(RIGHT(G1686,LEN(G1686)-FIND(",",G1686)),"}]","")/100&amp;"%")</f>
        <v>召唤暴击伤害+27%</v>
      </c>
      <c r="L1686" s="83" t="str">
        <f ca="1">IF(MOD(COUNTIF($Q$11:Q1685,Q1685),5)=0,OFFSET(装备属性!$G$1083,1+INT(COUNTA($Q$11:Q1685)/5),0),L1685)</f>
        <v>暴走召唤Ⅲ</v>
      </c>
      <c r="M1686" s="89" t="str">
        <f ca="1">IF(MOD(COUNTIF($Q$11:Q1685,Q1685),5)=0,OFFSET(装备属性!$H$1083,1+INT(COUNTA($Q$11:Q1685)/5),0),M1685)</f>
        <v>summon_crit_dmg</v>
      </c>
      <c r="N1686" s="76">
        <f ca="1">IF(MOD(COUNTIF($Q$11:Q1685,Q1685),5)=0,OFFSET(装备属性!$K$1083,1+INT(COUNTA($Q$11:Q1685)/5),0),N1685)</f>
        <v>0.27</v>
      </c>
      <c r="O1686" s="76">
        <f ca="1">IF(MOD(COUNTIF($Q$11:Q1685,Q1685),5)=0,OFFSET(装备属性!$L$1083,1+INT(COUNTA($Q$11:Q1685)/5),0),O1685)</f>
        <v>0.33</v>
      </c>
      <c r="Q1686" s="89" t="str">
        <f ca="1">IF(MOD(COUNTIF($Q$11:Q1685,Q1685),5)=0,OFFSET(装备属性!$M$1083,1+INT(COUNTA($Q$11:Q1685)/5),0),Q1685)</f>
        <v>通用属性</v>
      </c>
      <c r="R1686" s="83">
        <f ca="1">IF(MOD(COUNTIF($Q$11:Q1685,Q1685),5)=0,10000*SUBSTITUTE(SUBSTITUTE(OFFSET(装备属性!$F$1083,1+INT(COUNTA($Q$11:Q1685)/5),0),"[",""),"]","")+_xlfn.XLOOKUP(C1686,$M$3:$M$7,$N$3:$N$7)*100,R1685)</f>
        <v>60600</v>
      </c>
    </row>
    <row r="1687" customHeight="1" spans="1:18">
      <c r="A1687" s="78">
        <f ca="1" t="shared" si="80"/>
        <v>60601</v>
      </c>
      <c r="B1687" s="82">
        <f ca="1">IFERROR(R1687+COUNTIFS($R$11:$R1687,R1687),"")</f>
        <v>60632</v>
      </c>
      <c r="C1687" s="83" t="str">
        <f ca="1">IF(MOD(COUNTIF($Q$11:Q1686,Q1686),5)=0,OFFSET(装备属性!$D$1083,1+INT(COUNTA($Q$11:Q1686)/5),0),C1686)</f>
        <v>红</v>
      </c>
      <c r="D1687" s="82">
        <f t="shared" si="82"/>
        <v>2500</v>
      </c>
      <c r="F1687" s="82">
        <f ca="1" t="shared" si="81"/>
        <v>60606</v>
      </c>
      <c r="G1687" s="78" t="str">
        <f ca="1">IF(AND(LEFT("[{"&amp;M1687&amp;","&amp;CEILING(N1687*10000+(O1687-N1687)/4*(COUNTIF($F$11:F1687,F1687)-1)*10000,10)&amp;"}]",7)="[{equip",MID("[{"&amp;M1687&amp;","&amp;CEILING(N1687*10000+(O1687-N1687)/4*(COUNTIF($F$11:F1687,F1687)-1)*10000,10)&amp;"}]",8,1)&lt;&gt;"_"),"[{"&amp;M1687&amp;","&amp;1&amp;"}]","[{"&amp;M1687&amp;","&amp;CEILING(N1687*10000+(O1687-N1687)/4*(COUNTIF($F$11:F1687,F1687)-1)*10000,10)&amp;"}]")</f>
        <v>[{summon_crit_dmg,2850}]</v>
      </c>
      <c r="H1687" s="82" t="s">
        <v>563</v>
      </c>
      <c r="J1687" s="78">
        <f ca="1">IF(MOD(COUNTIF($Q$11:Q1686,Q1686),5)=0,OFFSET(装备属性!$P$1083,1+INT(COUNTA($Q$11:Q1686)/5),0),J1686)</f>
        <v>10</v>
      </c>
      <c r="K1687" s="83" t="str">
        <f ca="1">IF(RIGHT(G1687,13)="rune_slot,1}]",_xlfn.XLOOKUP(LEFT(SUBSTITUTE(G1687,"[{",""),FIND(",",SUBSTITUTE(G1687,"[{",""))-1),Sheet2!B:B,Sheet2!C:C)&amp;"+"&amp;1,_xlfn.XLOOKUP(LEFT(SUBSTITUTE(G1687,"[{",""),FIND(",",SUBSTITUTE(G1687,"[{",""))-1),Sheet2!B:B,Sheet2!C:C)&amp;"+"&amp;SUBSTITUTE(RIGHT(G1687,LEN(G1687)-FIND(",",G1687)),"}]","")/100&amp;"%")</f>
        <v>召唤暴击伤害+28.5%</v>
      </c>
      <c r="L1687" s="83" t="str">
        <f ca="1">IF(MOD(COUNTIF($Q$11:Q1686,Q1686),5)=0,OFFSET(装备属性!$G$1083,1+INT(COUNTA($Q$11:Q1686)/5),0),L1686)</f>
        <v>暴走召唤Ⅲ</v>
      </c>
      <c r="M1687" s="89" t="str">
        <f ca="1">IF(MOD(COUNTIF($Q$11:Q1686,Q1686),5)=0,OFFSET(装备属性!$H$1083,1+INT(COUNTA($Q$11:Q1686)/5),0),M1686)</f>
        <v>summon_crit_dmg</v>
      </c>
      <c r="N1687" s="76">
        <f ca="1">IF(MOD(COUNTIF($Q$11:Q1686,Q1686),5)=0,OFFSET(装备属性!$K$1083,1+INT(COUNTA($Q$11:Q1686)/5),0),N1686)</f>
        <v>0.27</v>
      </c>
      <c r="O1687" s="76">
        <f ca="1">IF(MOD(COUNTIF($Q$11:Q1686,Q1686),5)=0,OFFSET(装备属性!$L$1083,1+INT(COUNTA($Q$11:Q1686)/5),0),O1686)</f>
        <v>0.33</v>
      </c>
      <c r="Q1687" s="89" t="str">
        <f ca="1">IF(MOD(COUNTIF($Q$11:Q1686,Q1686),5)=0,OFFSET(装备属性!$M$1083,1+INT(COUNTA($Q$11:Q1686)/5),0),Q1686)</f>
        <v>通用属性</v>
      </c>
      <c r="R1687" s="83">
        <f ca="1">IF(MOD(COUNTIF($Q$11:Q1686,Q1686),5)=0,10000*SUBSTITUTE(SUBSTITUTE(OFFSET(装备属性!$F$1083,1+INT(COUNTA($Q$11:Q1686)/5),0),"[",""),"]","")+_xlfn.XLOOKUP(C1687,$M$3:$M$7,$N$3:$N$7)*100,R1686)</f>
        <v>60600</v>
      </c>
    </row>
    <row r="1688" customHeight="1" spans="1:18">
      <c r="A1688" s="78">
        <f ca="1" t="shared" si="80"/>
        <v>60601</v>
      </c>
      <c r="B1688" s="82">
        <f ca="1">IFERROR(R1688+COUNTIFS($R$11:$R1688,R1688),"")</f>
        <v>60633</v>
      </c>
      <c r="C1688" s="83" t="str">
        <f ca="1">IF(MOD(COUNTIF($Q$11:Q1687,Q1687),5)=0,OFFSET(装备属性!$D$1083,1+INT(COUNTA($Q$11:Q1687)/5),0),C1687)</f>
        <v>红</v>
      </c>
      <c r="D1688" s="82">
        <f t="shared" si="82"/>
        <v>2000</v>
      </c>
      <c r="F1688" s="82">
        <f ca="1" t="shared" si="81"/>
        <v>60606</v>
      </c>
      <c r="G1688" s="78" t="str">
        <f ca="1">IF(AND(LEFT("[{"&amp;M1688&amp;","&amp;CEILING(N1688*10000+(O1688-N1688)/4*(COUNTIF($F$11:F1688,F1688)-1)*10000,10)&amp;"}]",7)="[{equip",MID("[{"&amp;M1688&amp;","&amp;CEILING(N1688*10000+(O1688-N1688)/4*(COUNTIF($F$11:F1688,F1688)-1)*10000,10)&amp;"}]",8,1)&lt;&gt;"_"),"[{"&amp;M1688&amp;","&amp;1&amp;"}]","[{"&amp;M1688&amp;","&amp;CEILING(N1688*10000+(O1688-N1688)/4*(COUNTIF($F$11:F1688,F1688)-1)*10000,10)&amp;"}]")</f>
        <v>[{summon_crit_dmg,3000}]</v>
      </c>
      <c r="H1688" s="82" t="s">
        <v>563</v>
      </c>
      <c r="J1688" s="78">
        <f ca="1">IF(MOD(COUNTIF($Q$11:Q1687,Q1687),5)=0,OFFSET(装备属性!$P$1083,1+INT(COUNTA($Q$11:Q1687)/5),0),J1687)</f>
        <v>10</v>
      </c>
      <c r="K1688" s="83" t="str">
        <f ca="1">IF(RIGHT(G1688,13)="rune_slot,1}]",_xlfn.XLOOKUP(LEFT(SUBSTITUTE(G1688,"[{",""),FIND(",",SUBSTITUTE(G1688,"[{",""))-1),Sheet2!B:B,Sheet2!C:C)&amp;"+"&amp;1,_xlfn.XLOOKUP(LEFT(SUBSTITUTE(G1688,"[{",""),FIND(",",SUBSTITUTE(G1688,"[{",""))-1),Sheet2!B:B,Sheet2!C:C)&amp;"+"&amp;SUBSTITUTE(RIGHT(G1688,LEN(G1688)-FIND(",",G1688)),"}]","")/100&amp;"%")</f>
        <v>召唤暴击伤害+30%</v>
      </c>
      <c r="L1688" s="83" t="str">
        <f ca="1">IF(MOD(COUNTIF($Q$11:Q1687,Q1687),5)=0,OFFSET(装备属性!$G$1083,1+INT(COUNTA($Q$11:Q1687)/5),0),L1687)</f>
        <v>暴走召唤Ⅲ</v>
      </c>
      <c r="M1688" s="89" t="str">
        <f ca="1">IF(MOD(COUNTIF($Q$11:Q1687,Q1687),5)=0,OFFSET(装备属性!$H$1083,1+INT(COUNTA($Q$11:Q1687)/5),0),M1687)</f>
        <v>summon_crit_dmg</v>
      </c>
      <c r="N1688" s="76">
        <f ca="1">IF(MOD(COUNTIF($Q$11:Q1687,Q1687),5)=0,OFFSET(装备属性!$K$1083,1+INT(COUNTA($Q$11:Q1687)/5),0),N1687)</f>
        <v>0.27</v>
      </c>
      <c r="O1688" s="76">
        <f ca="1">IF(MOD(COUNTIF($Q$11:Q1687,Q1687),5)=0,OFFSET(装备属性!$L$1083,1+INT(COUNTA($Q$11:Q1687)/5),0),O1687)</f>
        <v>0.33</v>
      </c>
      <c r="Q1688" s="89" t="str">
        <f ca="1">IF(MOD(COUNTIF($Q$11:Q1687,Q1687),5)=0,OFFSET(装备属性!$M$1083,1+INT(COUNTA($Q$11:Q1687)/5),0),Q1687)</f>
        <v>通用属性</v>
      </c>
      <c r="R1688" s="83">
        <f ca="1">IF(MOD(COUNTIF($Q$11:Q1687,Q1687),5)=0,10000*SUBSTITUTE(SUBSTITUTE(OFFSET(装备属性!$F$1083,1+INT(COUNTA($Q$11:Q1687)/5),0),"[",""),"]","")+_xlfn.XLOOKUP(C1688,$M$3:$M$7,$N$3:$N$7)*100,R1687)</f>
        <v>60600</v>
      </c>
    </row>
    <row r="1689" customHeight="1" spans="1:18">
      <c r="A1689" s="78">
        <f ca="1" t="shared" si="80"/>
        <v>60601</v>
      </c>
      <c r="B1689" s="82">
        <f ca="1">IFERROR(R1689+COUNTIFS($R$11:$R1689,R1689),"")</f>
        <v>60634</v>
      </c>
      <c r="C1689" s="83" t="str">
        <f ca="1">IF(MOD(COUNTIF($Q$11:Q1688,Q1688),5)=0,OFFSET(装备属性!$D$1083,1+INT(COUNTA($Q$11:Q1688)/5),0),C1688)</f>
        <v>红</v>
      </c>
      <c r="D1689" s="82">
        <f t="shared" si="82"/>
        <v>1500</v>
      </c>
      <c r="F1689" s="82">
        <f ca="1" t="shared" si="81"/>
        <v>60606</v>
      </c>
      <c r="G1689" s="78" t="str">
        <f ca="1">IF(AND(LEFT("[{"&amp;M1689&amp;","&amp;CEILING(N1689*10000+(O1689-N1689)/4*(COUNTIF($F$11:F1689,F1689)-1)*10000,10)&amp;"}]",7)="[{equip",MID("[{"&amp;M1689&amp;","&amp;CEILING(N1689*10000+(O1689-N1689)/4*(COUNTIF($F$11:F1689,F1689)-1)*10000,10)&amp;"}]",8,1)&lt;&gt;"_"),"[{"&amp;M1689&amp;","&amp;1&amp;"}]","[{"&amp;M1689&amp;","&amp;CEILING(N1689*10000+(O1689-N1689)/4*(COUNTIF($F$11:F1689,F1689)-1)*10000,10)&amp;"}]")</f>
        <v>[{summon_crit_dmg,3150}]</v>
      </c>
      <c r="H1689" s="82" t="s">
        <v>563</v>
      </c>
      <c r="J1689" s="78">
        <f ca="1">IF(MOD(COUNTIF($Q$11:Q1688,Q1688),5)=0,OFFSET(装备属性!$P$1083,1+INT(COUNTA($Q$11:Q1688)/5),0),J1688)</f>
        <v>10</v>
      </c>
      <c r="K1689" s="83" t="str">
        <f ca="1">IF(RIGHT(G1689,13)="rune_slot,1}]",_xlfn.XLOOKUP(LEFT(SUBSTITUTE(G1689,"[{",""),FIND(",",SUBSTITUTE(G1689,"[{",""))-1),Sheet2!B:B,Sheet2!C:C)&amp;"+"&amp;1,_xlfn.XLOOKUP(LEFT(SUBSTITUTE(G1689,"[{",""),FIND(",",SUBSTITUTE(G1689,"[{",""))-1),Sheet2!B:B,Sheet2!C:C)&amp;"+"&amp;SUBSTITUTE(RIGHT(G1689,LEN(G1689)-FIND(",",G1689)),"}]","")/100&amp;"%")</f>
        <v>召唤暴击伤害+31.5%</v>
      </c>
      <c r="L1689" s="83" t="str">
        <f ca="1">IF(MOD(COUNTIF($Q$11:Q1688,Q1688),5)=0,OFFSET(装备属性!$G$1083,1+INT(COUNTA($Q$11:Q1688)/5),0),L1688)</f>
        <v>暴走召唤Ⅲ</v>
      </c>
      <c r="M1689" s="89" t="str">
        <f ca="1">IF(MOD(COUNTIF($Q$11:Q1688,Q1688),5)=0,OFFSET(装备属性!$H$1083,1+INT(COUNTA($Q$11:Q1688)/5),0),M1688)</f>
        <v>summon_crit_dmg</v>
      </c>
      <c r="N1689" s="76">
        <f ca="1">IF(MOD(COUNTIF($Q$11:Q1688,Q1688),5)=0,OFFSET(装备属性!$K$1083,1+INT(COUNTA($Q$11:Q1688)/5),0),N1688)</f>
        <v>0.27</v>
      </c>
      <c r="O1689" s="76">
        <f ca="1">IF(MOD(COUNTIF($Q$11:Q1688,Q1688),5)=0,OFFSET(装备属性!$L$1083,1+INT(COUNTA($Q$11:Q1688)/5),0),O1688)</f>
        <v>0.33</v>
      </c>
      <c r="Q1689" s="89" t="str">
        <f ca="1">IF(MOD(COUNTIF($Q$11:Q1688,Q1688),5)=0,OFFSET(装备属性!$M$1083,1+INT(COUNTA($Q$11:Q1688)/5),0),Q1688)</f>
        <v>通用属性</v>
      </c>
      <c r="R1689" s="83">
        <f ca="1">IF(MOD(COUNTIF($Q$11:Q1688,Q1688),5)=0,10000*SUBSTITUTE(SUBSTITUTE(OFFSET(装备属性!$F$1083,1+INT(COUNTA($Q$11:Q1688)/5),0),"[",""),"]","")+_xlfn.XLOOKUP(C1689,$M$3:$M$7,$N$3:$N$7)*100,R1688)</f>
        <v>60600</v>
      </c>
    </row>
    <row r="1690" customHeight="1" spans="1:18">
      <c r="A1690" s="78">
        <f ca="1" t="shared" si="80"/>
        <v>60601</v>
      </c>
      <c r="B1690" s="82">
        <f ca="1">IFERROR(R1690+COUNTIFS($R$11:$R1690,R1690),"")</f>
        <v>60635</v>
      </c>
      <c r="C1690" s="83" t="str">
        <f ca="1">IF(MOD(COUNTIF($Q$11:Q1689,Q1689),5)=0,OFFSET(装备属性!$D$1083,1+INT(COUNTA($Q$11:Q1689)/5),0),C1689)</f>
        <v>红</v>
      </c>
      <c r="D1690" s="82">
        <f t="shared" si="82"/>
        <v>1000</v>
      </c>
      <c r="F1690" s="82">
        <f ca="1" t="shared" si="81"/>
        <v>60606</v>
      </c>
      <c r="G1690" s="78" t="str">
        <f ca="1">IF(AND(LEFT("[{"&amp;M1690&amp;","&amp;CEILING(N1690*10000+(O1690-N1690)/4*(COUNTIF($F$11:F1690,F1690)-1)*10000,10)&amp;"}]",7)="[{equip",MID("[{"&amp;M1690&amp;","&amp;CEILING(N1690*10000+(O1690-N1690)/4*(COUNTIF($F$11:F1690,F1690)-1)*10000,10)&amp;"}]",8,1)&lt;&gt;"_"),"[{"&amp;M1690&amp;","&amp;1&amp;"}]","[{"&amp;M1690&amp;","&amp;CEILING(N1690*10000+(O1690-N1690)/4*(COUNTIF($F$11:F1690,F1690)-1)*10000,10)&amp;"}]")</f>
        <v>[{summon_crit_dmg,3300}]</v>
      </c>
      <c r="H1690" s="82" t="s">
        <v>563</v>
      </c>
      <c r="J1690" s="78">
        <f ca="1">IF(MOD(COUNTIF($Q$11:Q1689,Q1689),5)=0,OFFSET(装备属性!$P$1083,1+INT(COUNTA($Q$11:Q1689)/5),0),J1689)</f>
        <v>10</v>
      </c>
      <c r="K1690" s="83" t="str">
        <f ca="1">IF(RIGHT(G1690,13)="rune_slot,1}]",_xlfn.XLOOKUP(LEFT(SUBSTITUTE(G1690,"[{",""),FIND(",",SUBSTITUTE(G1690,"[{",""))-1),Sheet2!B:B,Sheet2!C:C)&amp;"+"&amp;1,_xlfn.XLOOKUP(LEFT(SUBSTITUTE(G1690,"[{",""),FIND(",",SUBSTITUTE(G1690,"[{",""))-1),Sheet2!B:B,Sheet2!C:C)&amp;"+"&amp;SUBSTITUTE(RIGHT(G1690,LEN(G1690)-FIND(",",G1690)),"}]","")/100&amp;"%")</f>
        <v>召唤暴击伤害+33%</v>
      </c>
      <c r="L1690" s="83" t="str">
        <f ca="1">IF(MOD(COUNTIF($Q$11:Q1689,Q1689),5)=0,OFFSET(装备属性!$G$1083,1+INT(COUNTA($Q$11:Q1689)/5),0),L1689)</f>
        <v>暴走召唤Ⅲ</v>
      </c>
      <c r="M1690" s="89" t="str">
        <f ca="1">IF(MOD(COUNTIF($Q$11:Q1689,Q1689),5)=0,OFFSET(装备属性!$H$1083,1+INT(COUNTA($Q$11:Q1689)/5),0),M1689)</f>
        <v>summon_crit_dmg</v>
      </c>
      <c r="N1690" s="76">
        <f ca="1">IF(MOD(COUNTIF($Q$11:Q1689,Q1689),5)=0,OFFSET(装备属性!$K$1083,1+INT(COUNTA($Q$11:Q1689)/5),0),N1689)</f>
        <v>0.27</v>
      </c>
      <c r="O1690" s="76">
        <f ca="1">IF(MOD(COUNTIF($Q$11:Q1689,Q1689),5)=0,OFFSET(装备属性!$L$1083,1+INT(COUNTA($Q$11:Q1689)/5),0),O1689)</f>
        <v>0.33</v>
      </c>
      <c r="Q1690" s="89" t="str">
        <f ca="1">IF(MOD(COUNTIF($Q$11:Q1689,Q1689),5)=0,OFFSET(装备属性!$M$1083,1+INT(COUNTA($Q$11:Q1689)/5),0),Q1689)</f>
        <v>通用属性</v>
      </c>
      <c r="R1690" s="83">
        <f ca="1">IF(MOD(COUNTIF($Q$11:Q1689,Q1689),5)=0,10000*SUBSTITUTE(SUBSTITUTE(OFFSET(装备属性!$F$1083,1+INT(COUNTA($Q$11:Q1689)/5),0),"[",""),"]","")+_xlfn.XLOOKUP(C1690,$M$3:$M$7,$N$3:$N$7)*100,R1689)</f>
        <v>60600</v>
      </c>
    </row>
    <row r="1691" customHeight="1" spans="1:18">
      <c r="A1691" s="78" t="str">
        <f ca="1" t="shared" si="80"/>
        <v/>
      </c>
      <c r="B1691" s="82" t="str">
        <f ca="1">IFERROR(R1691+COUNTIFS($R$11:$R1691,R1691),"")</f>
        <v/>
      </c>
      <c r="C1691" s="83">
        <f ca="1">IF(MOD(COUNTIF($Q$11:Q1690,Q1690),5)=0,OFFSET(装备属性!$D$1083,1+INT(COUNTA($Q$11:Q1690)/5),0),C1690)</f>
        <v>0</v>
      </c>
      <c r="D1691" s="82">
        <f t="shared" si="82"/>
        <v>3000</v>
      </c>
      <c r="F1691" s="82" t="str">
        <f ca="1" t="shared" si="81"/>
        <v/>
      </c>
      <c r="G1691" s="78" t="str">
        <f ca="1">IF(AND(LEFT("[{"&amp;M1691&amp;","&amp;CEILING(N1691*10000+(O1691-N1691)/4*(COUNTIF($F$11:F1691,F1691)-1)*10000,10)&amp;"}]",7)="[{equip",MID("[{"&amp;M1691&amp;","&amp;CEILING(N1691*10000+(O1691-N1691)/4*(COUNTIF($F$11:F1691,F1691)-1)*10000,10)&amp;"}]",8,1)&lt;&gt;"_"),"[{"&amp;M1691&amp;","&amp;1&amp;"}]","[{"&amp;M1691&amp;","&amp;CEILING(N1691*10000+(O1691-N1691)/4*(COUNTIF($F$11:F1691,F1691)-1)*10000,10)&amp;"}]")</f>
        <v>[{global_dmg_rate,24730}]</v>
      </c>
      <c r="H1691" s="82" t="s">
        <v>563</v>
      </c>
      <c r="J1691" s="78">
        <f ca="1">IF(MOD(COUNTIF($Q$11:Q1690,Q1690),5)=0,OFFSET(装备属性!$P$1083,1+INT(COUNTA($Q$11:Q1690)/5),0),J1690)</f>
        <v>2</v>
      </c>
      <c r="K1691" s="83" t="str">
        <f ca="1">IF(RIGHT(G1691,13)="rune_slot,1}]",_xlfn.XLOOKUP(LEFT(SUBSTITUTE(G1691,"[{",""),FIND(",",SUBSTITUTE(G1691,"[{",""))-1),Sheet2!B:B,Sheet2!C:C)&amp;"+"&amp;1,_xlfn.XLOOKUP(LEFT(SUBSTITUTE(G1691,"[{",""),FIND(",",SUBSTITUTE(G1691,"[{",""))-1),Sheet2!B:B,Sheet2!C:C)&amp;"+"&amp;SUBSTITUTE(RIGHT(G1691,LEN(G1691)-FIND(",",G1691)),"}]","")/100&amp;"%")</f>
        <v>伤害加成+247.3%</v>
      </c>
      <c r="L1691" s="83" t="str">
        <f ca="1">IF(MOD(COUNTIF($Q$11:Q1690,Q1690),5)=0,OFFSET(装备属性!$G$1083,1+INT(COUNTA($Q$11:Q1690)/5),0),L1690)</f>
        <v>全职小队Ⅳ</v>
      </c>
      <c r="M1691" s="89" t="str">
        <f ca="1">IF(MOD(COUNTIF($Q$11:Q1690,Q1690),5)=0,OFFSET(装备属性!$H$1083,1+INT(COUNTA($Q$11:Q1690)/5),0),M1690)</f>
        <v>global_dmg_rate</v>
      </c>
      <c r="N1691" s="76">
        <f ca="1">IF(MOD(COUNTIF($Q$11:Q1690,Q1690),5)=0,OFFSET(装备属性!$K$1083,1+INT(COUNTA($Q$11:Q1690)/5),0),N1690)</f>
        <v>0.058</v>
      </c>
      <c r="O1691" s="76">
        <f ca="1">IF(MOD(COUNTIF($Q$11:Q1690,Q1690),5)=0,OFFSET(装备属性!$L$1083,1+INT(COUNTA($Q$11:Q1690)/5),0),O1690)</f>
        <v>0.072</v>
      </c>
      <c r="Q1691" s="89" t="str">
        <f ca="1">IF(MOD(COUNTIF($Q$11:Q1690,Q1690),5)=0,OFFSET(装备属性!$M$1083,1+INT(COUNTA($Q$11:Q1690)/5),0),Q1690)</f>
        <v>通用属性</v>
      </c>
      <c r="R1691" s="83" t="e">
        <f ca="1">IF(MOD(COUNTIF($Q$11:Q1690,Q1690),5)=0,10000*SUBSTITUTE(SUBSTITUTE(OFFSET(装备属性!$F$1083,1+INT(COUNTA($Q$11:Q1690)/5),0),"[",""),"]","")+_xlfn.XLOOKUP(C1691,$M$3:$M$7,$N$3:$N$7)*100,R1690)</f>
        <v>#N/A</v>
      </c>
    </row>
    <row r="1692" customHeight="1" spans="1:18">
      <c r="A1692" s="78" t="str">
        <f ca="1" t="shared" si="80"/>
        <v/>
      </c>
      <c r="B1692" s="82" t="str">
        <f ca="1">IFERROR(R1692+COUNTIFS($R$11:$R1692,R1692),"")</f>
        <v/>
      </c>
      <c r="C1692" s="83">
        <f ca="1">IF(MOD(COUNTIF($Q$11:Q1691,Q1691),5)=0,OFFSET(装备属性!$D$1083,1+INT(COUNTA($Q$11:Q1691)/5),0),C1691)</f>
        <v>0</v>
      </c>
      <c r="D1692" s="82">
        <f t="shared" si="82"/>
        <v>2500</v>
      </c>
      <c r="F1692" s="82" t="str">
        <f ca="1" t="shared" si="81"/>
        <v/>
      </c>
      <c r="G1692" s="78" t="str">
        <f ca="1">IF(AND(LEFT("[{"&amp;M1692&amp;","&amp;CEILING(N1692*10000+(O1692-N1692)/4*(COUNTIF($F$11:F1692,F1692)-1)*10000,10)&amp;"}]",7)="[{equip",MID("[{"&amp;M1692&amp;","&amp;CEILING(N1692*10000+(O1692-N1692)/4*(COUNTIF($F$11:F1692,F1692)-1)*10000,10)&amp;"}]",8,1)&lt;&gt;"_"),"[{"&amp;M1692&amp;","&amp;1&amp;"}]","[{"&amp;M1692&amp;","&amp;CEILING(N1692*10000+(O1692-N1692)/4*(COUNTIF($F$11:F1692,F1692)-1)*10000,10)&amp;"}]")</f>
        <v>[{global_dmg_rate,24770}]</v>
      </c>
      <c r="H1692" s="82" t="s">
        <v>563</v>
      </c>
      <c r="J1692" s="78">
        <f ca="1">IF(MOD(COUNTIF($Q$11:Q1691,Q1691),5)=0,OFFSET(装备属性!$P$1083,1+INT(COUNTA($Q$11:Q1691)/5),0),J1691)</f>
        <v>2</v>
      </c>
      <c r="K1692" s="83" t="str">
        <f ca="1">IF(RIGHT(G1692,13)="rune_slot,1}]",_xlfn.XLOOKUP(LEFT(SUBSTITUTE(G1692,"[{",""),FIND(",",SUBSTITUTE(G1692,"[{",""))-1),Sheet2!B:B,Sheet2!C:C)&amp;"+"&amp;1,_xlfn.XLOOKUP(LEFT(SUBSTITUTE(G1692,"[{",""),FIND(",",SUBSTITUTE(G1692,"[{",""))-1),Sheet2!B:B,Sheet2!C:C)&amp;"+"&amp;SUBSTITUTE(RIGHT(G1692,LEN(G1692)-FIND(",",G1692)),"}]","")/100&amp;"%")</f>
        <v>伤害加成+247.7%</v>
      </c>
      <c r="L1692" s="83" t="str">
        <f ca="1">IF(MOD(COUNTIF($Q$11:Q1691,Q1691),5)=0,OFFSET(装备属性!$G$1083,1+INT(COUNTA($Q$11:Q1691)/5),0),L1691)</f>
        <v>全职小队Ⅳ</v>
      </c>
      <c r="M1692" s="89" t="str">
        <f ca="1">IF(MOD(COUNTIF($Q$11:Q1691,Q1691),5)=0,OFFSET(装备属性!$H$1083,1+INT(COUNTA($Q$11:Q1691)/5),0),M1691)</f>
        <v>global_dmg_rate</v>
      </c>
      <c r="N1692" s="76">
        <f ca="1">IF(MOD(COUNTIF($Q$11:Q1691,Q1691),5)=0,OFFSET(装备属性!$K$1083,1+INT(COUNTA($Q$11:Q1691)/5),0),N1691)</f>
        <v>0.058</v>
      </c>
      <c r="O1692" s="76">
        <f ca="1">IF(MOD(COUNTIF($Q$11:Q1691,Q1691),5)=0,OFFSET(装备属性!$L$1083,1+INT(COUNTA($Q$11:Q1691)/5),0),O1691)</f>
        <v>0.072</v>
      </c>
      <c r="Q1692" s="89" t="str">
        <f ca="1">IF(MOD(COUNTIF($Q$11:Q1691,Q1691),5)=0,OFFSET(装备属性!$M$1083,1+INT(COUNTA($Q$11:Q1691)/5),0),Q1691)</f>
        <v>通用属性</v>
      </c>
      <c r="R1692" s="83" t="e">
        <f ca="1">IF(MOD(COUNTIF($Q$11:Q1691,Q1691),5)=0,10000*SUBSTITUTE(SUBSTITUTE(OFFSET(装备属性!$F$1083,1+INT(COUNTA($Q$11:Q1691)/5),0),"[",""),"]","")+_xlfn.XLOOKUP(C1692,$M$3:$M$7,$N$3:$N$7)*100,R1691)</f>
        <v>#N/A</v>
      </c>
    </row>
    <row r="1693" customHeight="1" spans="1:18">
      <c r="A1693" s="78" t="str">
        <f ca="1" t="shared" si="80"/>
        <v/>
      </c>
      <c r="B1693" s="82" t="str">
        <f ca="1">IFERROR(R1693+COUNTIFS($R$11:$R1693,R1693),"")</f>
        <v/>
      </c>
      <c r="C1693" s="83">
        <f ca="1">IF(MOD(COUNTIF($Q$11:Q1692,Q1692),5)=0,OFFSET(装备属性!$D$1083,1+INT(COUNTA($Q$11:Q1692)/5),0),C1692)</f>
        <v>0</v>
      </c>
      <c r="D1693" s="82">
        <f t="shared" si="82"/>
        <v>2000</v>
      </c>
      <c r="F1693" s="82" t="str">
        <f ca="1" t="shared" si="81"/>
        <v/>
      </c>
      <c r="G1693" s="78" t="str">
        <f ca="1">IF(AND(LEFT("[{"&amp;M1693&amp;","&amp;CEILING(N1693*10000+(O1693-N1693)/4*(COUNTIF($F$11:F1693,F1693)-1)*10000,10)&amp;"}]",7)="[{equip",MID("[{"&amp;M1693&amp;","&amp;CEILING(N1693*10000+(O1693-N1693)/4*(COUNTIF($F$11:F1693,F1693)-1)*10000,10)&amp;"}]",8,1)&lt;&gt;"_"),"[{"&amp;M1693&amp;","&amp;1&amp;"}]","[{"&amp;M1693&amp;","&amp;CEILING(N1693*10000+(O1693-N1693)/4*(COUNTIF($F$11:F1693,F1693)-1)*10000,10)&amp;"}]")</f>
        <v>[{global_dmg_rate,24800}]</v>
      </c>
      <c r="H1693" s="82" t="s">
        <v>563</v>
      </c>
      <c r="J1693" s="78">
        <f ca="1">IF(MOD(COUNTIF($Q$11:Q1692,Q1692),5)=0,OFFSET(装备属性!$P$1083,1+INT(COUNTA($Q$11:Q1692)/5),0),J1692)</f>
        <v>2</v>
      </c>
      <c r="K1693" s="83" t="str">
        <f ca="1">IF(RIGHT(G1693,13)="rune_slot,1}]",_xlfn.XLOOKUP(LEFT(SUBSTITUTE(G1693,"[{",""),FIND(",",SUBSTITUTE(G1693,"[{",""))-1),Sheet2!B:B,Sheet2!C:C)&amp;"+"&amp;1,_xlfn.XLOOKUP(LEFT(SUBSTITUTE(G1693,"[{",""),FIND(",",SUBSTITUTE(G1693,"[{",""))-1),Sheet2!B:B,Sheet2!C:C)&amp;"+"&amp;SUBSTITUTE(RIGHT(G1693,LEN(G1693)-FIND(",",G1693)),"}]","")/100&amp;"%")</f>
        <v>伤害加成+248%</v>
      </c>
      <c r="L1693" s="83" t="str">
        <f ca="1">IF(MOD(COUNTIF($Q$11:Q1692,Q1692),5)=0,OFFSET(装备属性!$G$1083,1+INT(COUNTA($Q$11:Q1692)/5),0),L1692)</f>
        <v>全职小队Ⅳ</v>
      </c>
      <c r="M1693" s="89" t="str">
        <f ca="1">IF(MOD(COUNTIF($Q$11:Q1692,Q1692),5)=0,OFFSET(装备属性!$H$1083,1+INT(COUNTA($Q$11:Q1692)/5),0),M1692)</f>
        <v>global_dmg_rate</v>
      </c>
      <c r="N1693" s="76">
        <f ca="1">IF(MOD(COUNTIF($Q$11:Q1692,Q1692),5)=0,OFFSET(装备属性!$K$1083,1+INT(COUNTA($Q$11:Q1692)/5),0),N1692)</f>
        <v>0.058</v>
      </c>
      <c r="O1693" s="76">
        <f ca="1">IF(MOD(COUNTIF($Q$11:Q1692,Q1692),5)=0,OFFSET(装备属性!$L$1083,1+INT(COUNTA($Q$11:Q1692)/5),0),O1692)</f>
        <v>0.072</v>
      </c>
      <c r="Q1693" s="89" t="str">
        <f ca="1">IF(MOD(COUNTIF($Q$11:Q1692,Q1692),5)=0,OFFSET(装备属性!$M$1083,1+INT(COUNTA($Q$11:Q1692)/5),0),Q1692)</f>
        <v>通用属性</v>
      </c>
      <c r="R1693" s="83" t="e">
        <f ca="1">IF(MOD(COUNTIF($Q$11:Q1692,Q1692),5)=0,10000*SUBSTITUTE(SUBSTITUTE(OFFSET(装备属性!$F$1083,1+INT(COUNTA($Q$11:Q1692)/5),0),"[",""),"]","")+_xlfn.XLOOKUP(C1693,$M$3:$M$7,$N$3:$N$7)*100,R1692)</f>
        <v>#N/A</v>
      </c>
    </row>
    <row r="1694" customHeight="1" spans="1:18">
      <c r="A1694" s="78" t="str">
        <f ca="1" t="shared" si="80"/>
        <v/>
      </c>
      <c r="B1694" s="82" t="str">
        <f ca="1">IFERROR(R1694+COUNTIFS($R$11:$R1694,R1694),"")</f>
        <v/>
      </c>
      <c r="C1694" s="83">
        <f ca="1">IF(MOD(COUNTIF($Q$11:Q1693,Q1693),5)=0,OFFSET(装备属性!$D$1083,1+INT(COUNTA($Q$11:Q1693)/5),0),C1693)</f>
        <v>0</v>
      </c>
      <c r="D1694" s="82">
        <f t="shared" si="82"/>
        <v>1500</v>
      </c>
      <c r="F1694" s="82" t="str">
        <f ca="1" t="shared" si="81"/>
        <v/>
      </c>
      <c r="G1694" s="78" t="str">
        <f ca="1">IF(AND(LEFT("[{"&amp;M1694&amp;","&amp;CEILING(N1694*10000+(O1694-N1694)/4*(COUNTIF($F$11:F1694,F1694)-1)*10000,10)&amp;"}]",7)="[{equip",MID("[{"&amp;M1694&amp;","&amp;CEILING(N1694*10000+(O1694-N1694)/4*(COUNTIF($F$11:F1694,F1694)-1)*10000,10)&amp;"}]",8,1)&lt;&gt;"_"),"[{"&amp;M1694&amp;","&amp;1&amp;"}]","[{"&amp;M1694&amp;","&amp;CEILING(N1694*10000+(O1694-N1694)/4*(COUNTIF($F$11:F1694,F1694)-1)*10000,10)&amp;"}]")</f>
        <v>[{global_dmg_rate,24840}]</v>
      </c>
      <c r="H1694" s="82" t="s">
        <v>563</v>
      </c>
      <c r="J1694" s="78">
        <f ca="1">IF(MOD(COUNTIF($Q$11:Q1693,Q1693),5)=0,OFFSET(装备属性!$P$1083,1+INT(COUNTA($Q$11:Q1693)/5),0),J1693)</f>
        <v>2</v>
      </c>
      <c r="K1694" s="83" t="str">
        <f ca="1">IF(RIGHT(G1694,13)="rune_slot,1}]",_xlfn.XLOOKUP(LEFT(SUBSTITUTE(G1694,"[{",""),FIND(",",SUBSTITUTE(G1694,"[{",""))-1),Sheet2!B:B,Sheet2!C:C)&amp;"+"&amp;1,_xlfn.XLOOKUP(LEFT(SUBSTITUTE(G1694,"[{",""),FIND(",",SUBSTITUTE(G1694,"[{",""))-1),Sheet2!B:B,Sheet2!C:C)&amp;"+"&amp;SUBSTITUTE(RIGHT(G1694,LEN(G1694)-FIND(",",G1694)),"}]","")/100&amp;"%")</f>
        <v>伤害加成+248.4%</v>
      </c>
      <c r="L1694" s="83" t="str">
        <f ca="1">IF(MOD(COUNTIF($Q$11:Q1693,Q1693),5)=0,OFFSET(装备属性!$G$1083,1+INT(COUNTA($Q$11:Q1693)/5),0),L1693)</f>
        <v>全职小队Ⅳ</v>
      </c>
      <c r="M1694" s="89" t="str">
        <f ca="1">IF(MOD(COUNTIF($Q$11:Q1693,Q1693),5)=0,OFFSET(装备属性!$H$1083,1+INT(COUNTA($Q$11:Q1693)/5),0),M1693)</f>
        <v>global_dmg_rate</v>
      </c>
      <c r="N1694" s="76">
        <f ca="1">IF(MOD(COUNTIF($Q$11:Q1693,Q1693),5)=0,OFFSET(装备属性!$K$1083,1+INT(COUNTA($Q$11:Q1693)/5),0),N1693)</f>
        <v>0.058</v>
      </c>
      <c r="O1694" s="76">
        <f ca="1">IF(MOD(COUNTIF($Q$11:Q1693,Q1693),5)=0,OFFSET(装备属性!$L$1083,1+INT(COUNTA($Q$11:Q1693)/5),0),O1693)</f>
        <v>0.072</v>
      </c>
      <c r="Q1694" s="89" t="str">
        <f ca="1">IF(MOD(COUNTIF($Q$11:Q1693,Q1693),5)=0,OFFSET(装备属性!$M$1083,1+INT(COUNTA($Q$11:Q1693)/5),0),Q1693)</f>
        <v>通用属性</v>
      </c>
      <c r="R1694" s="83" t="e">
        <f ca="1">IF(MOD(COUNTIF($Q$11:Q1693,Q1693),5)=0,10000*SUBSTITUTE(SUBSTITUTE(OFFSET(装备属性!$F$1083,1+INT(COUNTA($Q$11:Q1693)/5),0),"[",""),"]","")+_xlfn.XLOOKUP(C1694,$M$3:$M$7,$N$3:$N$7)*100,R1693)</f>
        <v>#N/A</v>
      </c>
    </row>
    <row r="1695" customHeight="1" spans="1:18">
      <c r="A1695" s="78" t="str">
        <f ca="1" t="shared" si="80"/>
        <v/>
      </c>
      <c r="B1695" s="82" t="str">
        <f ca="1">IFERROR(R1695+COUNTIFS($R$11:$R1695,R1695),"")</f>
        <v/>
      </c>
      <c r="C1695" s="83">
        <f ca="1">IF(MOD(COUNTIF($Q$11:Q1694,Q1694),5)=0,OFFSET(装备属性!$D$1083,1+INT(COUNTA($Q$11:Q1694)/5),0),C1694)</f>
        <v>0</v>
      </c>
      <c r="D1695" s="82">
        <f t="shared" si="82"/>
        <v>1000</v>
      </c>
      <c r="F1695" s="82" t="str">
        <f ca="1" t="shared" si="81"/>
        <v/>
      </c>
      <c r="G1695" s="78" t="str">
        <f ca="1">IF(AND(LEFT("[{"&amp;M1695&amp;","&amp;CEILING(N1695*10000+(O1695-N1695)/4*(COUNTIF($F$11:F1695,F1695)-1)*10000,10)&amp;"}]",7)="[{equip",MID("[{"&amp;M1695&amp;","&amp;CEILING(N1695*10000+(O1695-N1695)/4*(COUNTIF($F$11:F1695,F1695)-1)*10000,10)&amp;"}]",8,1)&lt;&gt;"_"),"[{"&amp;M1695&amp;","&amp;1&amp;"}]","[{"&amp;M1695&amp;","&amp;CEILING(N1695*10000+(O1695-N1695)/4*(COUNTIF($F$11:F1695,F1695)-1)*10000,10)&amp;"}]")</f>
        <v>[{global_dmg_rate,24870}]</v>
      </c>
      <c r="H1695" s="82" t="s">
        <v>563</v>
      </c>
      <c r="J1695" s="78">
        <f ca="1">IF(MOD(COUNTIF($Q$11:Q1694,Q1694),5)=0,OFFSET(装备属性!$P$1083,1+INT(COUNTA($Q$11:Q1694)/5),0),J1694)</f>
        <v>2</v>
      </c>
      <c r="K1695" s="83" t="str">
        <f ca="1">IF(RIGHT(G1695,13)="rune_slot,1}]",_xlfn.XLOOKUP(LEFT(SUBSTITUTE(G1695,"[{",""),FIND(",",SUBSTITUTE(G1695,"[{",""))-1),Sheet2!B:B,Sheet2!C:C)&amp;"+"&amp;1,_xlfn.XLOOKUP(LEFT(SUBSTITUTE(G1695,"[{",""),FIND(",",SUBSTITUTE(G1695,"[{",""))-1),Sheet2!B:B,Sheet2!C:C)&amp;"+"&amp;SUBSTITUTE(RIGHT(G1695,LEN(G1695)-FIND(",",G1695)),"}]","")/100&amp;"%")</f>
        <v>伤害加成+248.7%</v>
      </c>
      <c r="L1695" s="83" t="str">
        <f ca="1">IF(MOD(COUNTIF($Q$11:Q1694,Q1694),5)=0,OFFSET(装备属性!$G$1083,1+INT(COUNTA($Q$11:Q1694)/5),0),L1694)</f>
        <v>全职小队Ⅳ</v>
      </c>
      <c r="M1695" s="89" t="str">
        <f ca="1">IF(MOD(COUNTIF($Q$11:Q1694,Q1694),5)=0,OFFSET(装备属性!$H$1083,1+INT(COUNTA($Q$11:Q1694)/5),0),M1694)</f>
        <v>global_dmg_rate</v>
      </c>
      <c r="N1695" s="76">
        <f ca="1">IF(MOD(COUNTIF($Q$11:Q1694,Q1694),5)=0,OFFSET(装备属性!$K$1083,1+INT(COUNTA($Q$11:Q1694)/5),0),N1694)</f>
        <v>0.058</v>
      </c>
      <c r="O1695" s="76">
        <f ca="1">IF(MOD(COUNTIF($Q$11:Q1694,Q1694),5)=0,OFFSET(装备属性!$L$1083,1+INT(COUNTA($Q$11:Q1694)/5),0),O1694)</f>
        <v>0.072</v>
      </c>
      <c r="Q1695" s="89" t="str">
        <f ca="1">IF(MOD(COUNTIF($Q$11:Q1694,Q1694),5)=0,OFFSET(装备属性!$M$1083,1+INT(COUNTA($Q$11:Q1694)/5),0),Q1694)</f>
        <v>通用属性</v>
      </c>
      <c r="R1695" s="83" t="e">
        <f ca="1">IF(MOD(COUNTIF($Q$11:Q1694,Q1694),5)=0,10000*SUBSTITUTE(SUBSTITUTE(OFFSET(装备属性!$F$1083,1+INT(COUNTA($Q$11:Q1694)/5),0),"[",""),"]","")+_xlfn.XLOOKUP(C1695,$M$3:$M$7,$N$3:$N$7)*100,R1694)</f>
        <v>#N/A</v>
      </c>
    </row>
    <row r="1696" customHeight="1" spans="1:18">
      <c r="A1696" s="78">
        <f ca="1" t="shared" si="80"/>
        <v>60701</v>
      </c>
      <c r="B1696" s="82">
        <f ca="1">IFERROR(R1696+COUNTIFS($R$11:$R1696,R1696),"")</f>
        <v>60701</v>
      </c>
      <c r="C1696" s="83" t="str">
        <f ca="1">IF(MOD(COUNTIF($Q$11:Q1695,Q1695),5)=0,OFFSET(装备属性!$D$1083,1+INT(COUNTA($Q$11:Q1695)/5),0),C1695)</f>
        <v>粉</v>
      </c>
      <c r="D1696" s="82">
        <f t="shared" si="82"/>
        <v>3000</v>
      </c>
      <c r="F1696" s="82">
        <f ca="1" t="shared" si="81"/>
        <v>60700</v>
      </c>
      <c r="G1696" s="78" t="str">
        <f ca="1">IF(AND(LEFT("[{"&amp;M1696&amp;","&amp;CEILING(N1696*10000+(O1696-N1696)/4*(COUNTIF($F$11:F1696,F1696)-1)*10000,10)&amp;"}]",7)="[{equip",MID("[{"&amp;M1696&amp;","&amp;CEILING(N1696*10000+(O1696-N1696)/4*(COUNTIF($F$11:F1696,F1696)-1)*10000,10)&amp;"}]",8,1)&lt;&gt;"_"),"[{"&amp;M1696&amp;","&amp;1&amp;"}]","[{"&amp;M1696&amp;","&amp;CEILING(N1696*10000+(O1696-N1696)/4*(COUNTIF($F$11:F1696,F1696)-1)*10000,10)&amp;"}]")</f>
        <v>[{dmg_red_rate,250}]</v>
      </c>
      <c r="H1696" s="82" t="s">
        <v>563</v>
      </c>
      <c r="J1696" s="78">
        <f ca="1">IF(MOD(COUNTIF($Q$11:Q1695,Q1695),5)=0,OFFSET(装备属性!$P$1083,1+INT(COUNTA($Q$11:Q1695)/5),0),J1695)</f>
        <v>6</v>
      </c>
      <c r="K1696" s="83" t="str">
        <f ca="1">IF(RIGHT(G1696,13)="rune_slot,1}]",_xlfn.XLOOKUP(LEFT(SUBSTITUTE(G1696,"[{",""),FIND(",",SUBSTITUTE(G1696,"[{",""))-1),Sheet2!B:B,Sheet2!C:C)&amp;"+"&amp;1,_xlfn.XLOOKUP(LEFT(SUBSTITUTE(G1696,"[{",""),FIND(",",SUBSTITUTE(G1696,"[{",""))-1),Sheet2!B:B,Sheet2!C:C)&amp;"+"&amp;SUBSTITUTE(RIGHT(G1696,LEN(G1696)-FIND(",",G1696)),"}]","")/100&amp;"%")</f>
        <v>伤害减免+2.5%</v>
      </c>
      <c r="L1696" s="83" t="str">
        <f ca="1">IF(MOD(COUNTIF($Q$11:Q1695,Q1695),5)=0,OFFSET(装备属性!$G$1083,1+INT(COUNTA($Q$11:Q1695)/5),0),L1695)</f>
        <v>全员抗揍Ⅳ</v>
      </c>
      <c r="M1696" s="89" t="str">
        <f ca="1">IF(MOD(COUNTIF($Q$11:Q1695,Q1695),5)=0,OFFSET(装备属性!$H$1083,1+INT(COUNTA($Q$11:Q1695)/5),0),M1695)</f>
        <v>dmg_red_rate</v>
      </c>
      <c r="N1696" s="76">
        <f ca="1">IF(MOD(COUNTIF($Q$11:Q1695,Q1695),5)=0,OFFSET(装备属性!$K$1083,1+INT(COUNTA($Q$11:Q1695)/5),0),N1695)</f>
        <v>0.025</v>
      </c>
      <c r="O1696" s="76">
        <f ca="1">IF(MOD(COUNTIF($Q$11:Q1695,Q1695),5)=0,OFFSET(装备属性!$L$1083,1+INT(COUNTA($Q$11:Q1695)/5),0),O1695)</f>
        <v>0.029</v>
      </c>
      <c r="Q1696" s="89" t="str">
        <f ca="1">IF(MOD(COUNTIF($Q$11:Q1695,Q1695),5)=0,OFFSET(装备属性!$M$1083,1+INT(COUNTA($Q$11:Q1695)/5),0),Q1695)</f>
        <v>通用属性</v>
      </c>
      <c r="R1696" s="83">
        <f ca="1">IF(MOD(COUNTIF($Q$11:Q1695,Q1695),5)=0,10000*SUBSTITUTE(SUBSTITUTE(OFFSET(装备属性!$F$1083,1+INT(COUNTA($Q$11:Q1695)/5),0),"[",""),"]","")+_xlfn.XLOOKUP(C1696,$M$3:$M$7,$N$3:$N$7)*100,R1695)</f>
        <v>60700</v>
      </c>
    </row>
    <row r="1697" customHeight="1" spans="1:18">
      <c r="A1697" s="78">
        <f ca="1" t="shared" si="80"/>
        <v>60701</v>
      </c>
      <c r="B1697" s="82">
        <f ca="1">IFERROR(R1697+COUNTIFS($R$11:$R1697,R1697),"")</f>
        <v>60702</v>
      </c>
      <c r="C1697" s="83" t="str">
        <f ca="1">IF(MOD(COUNTIF($Q$11:Q1696,Q1696),5)=0,OFFSET(装备属性!$D$1083,1+INT(COUNTA($Q$11:Q1696)/5),0),C1696)</f>
        <v>粉</v>
      </c>
      <c r="D1697" s="82">
        <f t="shared" si="82"/>
        <v>2500</v>
      </c>
      <c r="F1697" s="82">
        <f ca="1" t="shared" si="81"/>
        <v>60700</v>
      </c>
      <c r="G1697" s="78" t="str">
        <f ca="1">IF(AND(LEFT("[{"&amp;M1697&amp;","&amp;CEILING(N1697*10000+(O1697-N1697)/4*(COUNTIF($F$11:F1697,F1697)-1)*10000,10)&amp;"}]",7)="[{equip",MID("[{"&amp;M1697&amp;","&amp;CEILING(N1697*10000+(O1697-N1697)/4*(COUNTIF($F$11:F1697,F1697)-1)*10000,10)&amp;"}]",8,1)&lt;&gt;"_"),"[{"&amp;M1697&amp;","&amp;1&amp;"}]","[{"&amp;M1697&amp;","&amp;CEILING(N1697*10000+(O1697-N1697)/4*(COUNTIF($F$11:F1697,F1697)-1)*10000,10)&amp;"}]")</f>
        <v>[{dmg_red_rate,260}]</v>
      </c>
      <c r="H1697" s="82" t="s">
        <v>563</v>
      </c>
      <c r="J1697" s="78">
        <f ca="1">IF(MOD(COUNTIF($Q$11:Q1696,Q1696),5)=0,OFFSET(装备属性!$P$1083,1+INT(COUNTA($Q$11:Q1696)/5),0),J1696)</f>
        <v>6</v>
      </c>
      <c r="K1697" s="83" t="str">
        <f ca="1">IF(RIGHT(G1697,13)="rune_slot,1}]",_xlfn.XLOOKUP(LEFT(SUBSTITUTE(G1697,"[{",""),FIND(",",SUBSTITUTE(G1697,"[{",""))-1),Sheet2!B:B,Sheet2!C:C)&amp;"+"&amp;1,_xlfn.XLOOKUP(LEFT(SUBSTITUTE(G1697,"[{",""),FIND(",",SUBSTITUTE(G1697,"[{",""))-1),Sheet2!B:B,Sheet2!C:C)&amp;"+"&amp;SUBSTITUTE(RIGHT(G1697,LEN(G1697)-FIND(",",G1697)),"}]","")/100&amp;"%")</f>
        <v>伤害减免+2.6%</v>
      </c>
      <c r="L1697" s="83" t="str">
        <f ca="1">IF(MOD(COUNTIF($Q$11:Q1696,Q1696),5)=0,OFFSET(装备属性!$G$1083,1+INT(COUNTA($Q$11:Q1696)/5),0),L1696)</f>
        <v>全员抗揍Ⅳ</v>
      </c>
      <c r="M1697" s="89" t="str">
        <f ca="1">IF(MOD(COUNTIF($Q$11:Q1696,Q1696),5)=0,OFFSET(装备属性!$H$1083,1+INT(COUNTA($Q$11:Q1696)/5),0),M1696)</f>
        <v>dmg_red_rate</v>
      </c>
      <c r="N1697" s="76">
        <f ca="1">IF(MOD(COUNTIF($Q$11:Q1696,Q1696),5)=0,OFFSET(装备属性!$K$1083,1+INT(COUNTA($Q$11:Q1696)/5),0),N1696)</f>
        <v>0.025</v>
      </c>
      <c r="O1697" s="76">
        <f ca="1">IF(MOD(COUNTIF($Q$11:Q1696,Q1696),5)=0,OFFSET(装备属性!$L$1083,1+INT(COUNTA($Q$11:Q1696)/5),0),O1696)</f>
        <v>0.029</v>
      </c>
      <c r="Q1697" s="89" t="str">
        <f ca="1">IF(MOD(COUNTIF($Q$11:Q1696,Q1696),5)=0,OFFSET(装备属性!$M$1083,1+INT(COUNTA($Q$11:Q1696)/5),0),Q1696)</f>
        <v>通用属性</v>
      </c>
      <c r="R1697" s="83">
        <f ca="1">IF(MOD(COUNTIF($Q$11:Q1696,Q1696),5)=0,10000*SUBSTITUTE(SUBSTITUTE(OFFSET(装备属性!$F$1083,1+INT(COUNTA($Q$11:Q1696)/5),0),"[",""),"]","")+_xlfn.XLOOKUP(C1697,$M$3:$M$7,$N$3:$N$7)*100,R1696)</f>
        <v>60700</v>
      </c>
    </row>
    <row r="1698" customHeight="1" spans="1:18">
      <c r="A1698" s="78">
        <f ca="1" t="shared" si="80"/>
        <v>60701</v>
      </c>
      <c r="B1698" s="82">
        <f ca="1">IFERROR(R1698+COUNTIFS($R$11:$R1698,R1698),"")</f>
        <v>60703</v>
      </c>
      <c r="C1698" s="83" t="str">
        <f ca="1">IF(MOD(COUNTIF($Q$11:Q1697,Q1697),5)=0,OFFSET(装备属性!$D$1083,1+INT(COUNTA($Q$11:Q1697)/5),0),C1697)</f>
        <v>粉</v>
      </c>
      <c r="D1698" s="82">
        <f t="shared" si="82"/>
        <v>2000</v>
      </c>
      <c r="F1698" s="82">
        <f ca="1" t="shared" si="81"/>
        <v>60700</v>
      </c>
      <c r="G1698" s="78" t="str">
        <f ca="1">IF(AND(LEFT("[{"&amp;M1698&amp;","&amp;CEILING(N1698*10000+(O1698-N1698)/4*(COUNTIF($F$11:F1698,F1698)-1)*10000,10)&amp;"}]",7)="[{equip",MID("[{"&amp;M1698&amp;","&amp;CEILING(N1698*10000+(O1698-N1698)/4*(COUNTIF($F$11:F1698,F1698)-1)*10000,10)&amp;"}]",8,1)&lt;&gt;"_"),"[{"&amp;M1698&amp;","&amp;1&amp;"}]","[{"&amp;M1698&amp;","&amp;CEILING(N1698*10000+(O1698-N1698)/4*(COUNTIF($F$11:F1698,F1698)-1)*10000,10)&amp;"}]")</f>
        <v>[{dmg_red_rate,270}]</v>
      </c>
      <c r="H1698" s="82" t="s">
        <v>563</v>
      </c>
      <c r="J1698" s="78">
        <f ca="1">IF(MOD(COUNTIF($Q$11:Q1697,Q1697),5)=0,OFFSET(装备属性!$P$1083,1+INT(COUNTA($Q$11:Q1697)/5),0),J1697)</f>
        <v>6</v>
      </c>
      <c r="K1698" s="83" t="str">
        <f ca="1">IF(RIGHT(G1698,13)="rune_slot,1}]",_xlfn.XLOOKUP(LEFT(SUBSTITUTE(G1698,"[{",""),FIND(",",SUBSTITUTE(G1698,"[{",""))-1),Sheet2!B:B,Sheet2!C:C)&amp;"+"&amp;1,_xlfn.XLOOKUP(LEFT(SUBSTITUTE(G1698,"[{",""),FIND(",",SUBSTITUTE(G1698,"[{",""))-1),Sheet2!B:B,Sheet2!C:C)&amp;"+"&amp;SUBSTITUTE(RIGHT(G1698,LEN(G1698)-FIND(",",G1698)),"}]","")/100&amp;"%")</f>
        <v>伤害减免+2.7%</v>
      </c>
      <c r="L1698" s="83" t="str">
        <f ca="1">IF(MOD(COUNTIF($Q$11:Q1697,Q1697),5)=0,OFFSET(装备属性!$G$1083,1+INT(COUNTA($Q$11:Q1697)/5),0),L1697)</f>
        <v>全员抗揍Ⅳ</v>
      </c>
      <c r="M1698" s="89" t="str">
        <f ca="1">IF(MOD(COUNTIF($Q$11:Q1697,Q1697),5)=0,OFFSET(装备属性!$H$1083,1+INT(COUNTA($Q$11:Q1697)/5),0),M1697)</f>
        <v>dmg_red_rate</v>
      </c>
      <c r="N1698" s="76">
        <f ca="1">IF(MOD(COUNTIF($Q$11:Q1697,Q1697),5)=0,OFFSET(装备属性!$K$1083,1+INT(COUNTA($Q$11:Q1697)/5),0),N1697)</f>
        <v>0.025</v>
      </c>
      <c r="O1698" s="76">
        <f ca="1">IF(MOD(COUNTIF($Q$11:Q1697,Q1697),5)=0,OFFSET(装备属性!$L$1083,1+INT(COUNTA($Q$11:Q1697)/5),0),O1697)</f>
        <v>0.029</v>
      </c>
      <c r="Q1698" s="89" t="str">
        <f ca="1">IF(MOD(COUNTIF($Q$11:Q1697,Q1697),5)=0,OFFSET(装备属性!$M$1083,1+INT(COUNTA($Q$11:Q1697)/5),0),Q1697)</f>
        <v>通用属性</v>
      </c>
      <c r="R1698" s="83">
        <f ca="1">IF(MOD(COUNTIF($Q$11:Q1697,Q1697),5)=0,10000*SUBSTITUTE(SUBSTITUTE(OFFSET(装备属性!$F$1083,1+INT(COUNTA($Q$11:Q1697)/5),0),"[",""),"]","")+_xlfn.XLOOKUP(C1698,$M$3:$M$7,$N$3:$N$7)*100,R1697)</f>
        <v>60700</v>
      </c>
    </row>
    <row r="1699" customHeight="1" spans="1:18">
      <c r="A1699" s="78">
        <f ca="1" t="shared" si="80"/>
        <v>60701</v>
      </c>
      <c r="B1699" s="82">
        <f ca="1">IFERROR(R1699+COUNTIFS($R$11:$R1699,R1699),"")</f>
        <v>60704</v>
      </c>
      <c r="C1699" s="83" t="str">
        <f ca="1">IF(MOD(COUNTIF($Q$11:Q1698,Q1698),5)=0,OFFSET(装备属性!$D$1083,1+INT(COUNTA($Q$11:Q1698)/5),0),C1698)</f>
        <v>粉</v>
      </c>
      <c r="D1699" s="82">
        <f t="shared" si="82"/>
        <v>1500</v>
      </c>
      <c r="F1699" s="82">
        <f ca="1" t="shared" si="81"/>
        <v>60700</v>
      </c>
      <c r="G1699" s="78" t="str">
        <f ca="1">IF(AND(LEFT("[{"&amp;M1699&amp;","&amp;CEILING(N1699*10000+(O1699-N1699)/4*(COUNTIF($F$11:F1699,F1699)-1)*10000,10)&amp;"}]",7)="[{equip",MID("[{"&amp;M1699&amp;","&amp;CEILING(N1699*10000+(O1699-N1699)/4*(COUNTIF($F$11:F1699,F1699)-1)*10000,10)&amp;"}]",8,1)&lt;&gt;"_"),"[{"&amp;M1699&amp;","&amp;1&amp;"}]","[{"&amp;M1699&amp;","&amp;CEILING(N1699*10000+(O1699-N1699)/4*(COUNTIF($F$11:F1699,F1699)-1)*10000,10)&amp;"}]")</f>
        <v>[{dmg_red_rate,280}]</v>
      </c>
      <c r="H1699" s="82" t="s">
        <v>563</v>
      </c>
      <c r="J1699" s="78">
        <f ca="1">IF(MOD(COUNTIF($Q$11:Q1698,Q1698),5)=0,OFFSET(装备属性!$P$1083,1+INT(COUNTA($Q$11:Q1698)/5),0),J1698)</f>
        <v>6</v>
      </c>
      <c r="K1699" s="83" t="str">
        <f ca="1">IF(RIGHT(G1699,13)="rune_slot,1}]",_xlfn.XLOOKUP(LEFT(SUBSTITUTE(G1699,"[{",""),FIND(",",SUBSTITUTE(G1699,"[{",""))-1),Sheet2!B:B,Sheet2!C:C)&amp;"+"&amp;1,_xlfn.XLOOKUP(LEFT(SUBSTITUTE(G1699,"[{",""),FIND(",",SUBSTITUTE(G1699,"[{",""))-1),Sheet2!B:B,Sheet2!C:C)&amp;"+"&amp;SUBSTITUTE(RIGHT(G1699,LEN(G1699)-FIND(",",G1699)),"}]","")/100&amp;"%")</f>
        <v>伤害减免+2.8%</v>
      </c>
      <c r="L1699" s="83" t="str">
        <f ca="1">IF(MOD(COUNTIF($Q$11:Q1698,Q1698),5)=0,OFFSET(装备属性!$G$1083,1+INT(COUNTA($Q$11:Q1698)/5),0),L1698)</f>
        <v>全员抗揍Ⅳ</v>
      </c>
      <c r="M1699" s="89" t="str">
        <f ca="1">IF(MOD(COUNTIF($Q$11:Q1698,Q1698),5)=0,OFFSET(装备属性!$H$1083,1+INT(COUNTA($Q$11:Q1698)/5),0),M1698)</f>
        <v>dmg_red_rate</v>
      </c>
      <c r="N1699" s="76">
        <f ca="1">IF(MOD(COUNTIF($Q$11:Q1698,Q1698),5)=0,OFFSET(装备属性!$K$1083,1+INT(COUNTA($Q$11:Q1698)/5),0),N1698)</f>
        <v>0.025</v>
      </c>
      <c r="O1699" s="76">
        <f ca="1">IF(MOD(COUNTIF($Q$11:Q1698,Q1698),5)=0,OFFSET(装备属性!$L$1083,1+INT(COUNTA($Q$11:Q1698)/5),0),O1698)</f>
        <v>0.029</v>
      </c>
      <c r="Q1699" s="89" t="str">
        <f ca="1">IF(MOD(COUNTIF($Q$11:Q1698,Q1698),5)=0,OFFSET(装备属性!$M$1083,1+INT(COUNTA($Q$11:Q1698)/5),0),Q1698)</f>
        <v>通用属性</v>
      </c>
      <c r="R1699" s="83">
        <f ca="1">IF(MOD(COUNTIF($Q$11:Q1698,Q1698),5)=0,10000*SUBSTITUTE(SUBSTITUTE(OFFSET(装备属性!$F$1083,1+INT(COUNTA($Q$11:Q1698)/5),0),"[",""),"]","")+_xlfn.XLOOKUP(C1699,$M$3:$M$7,$N$3:$N$7)*100,R1698)</f>
        <v>60700</v>
      </c>
    </row>
    <row r="1700" customHeight="1" spans="1:18">
      <c r="A1700" s="78">
        <f ca="1" t="shared" si="80"/>
        <v>60701</v>
      </c>
      <c r="B1700" s="82">
        <f ca="1">IFERROR(R1700+COUNTIFS($R$11:$R1700,R1700),"")</f>
        <v>60705</v>
      </c>
      <c r="C1700" s="83" t="str">
        <f ca="1">IF(MOD(COUNTIF($Q$11:Q1699,Q1699),5)=0,OFFSET(装备属性!$D$1083,1+INT(COUNTA($Q$11:Q1699)/5),0),C1699)</f>
        <v>粉</v>
      </c>
      <c r="D1700" s="82">
        <f t="shared" si="82"/>
        <v>1000</v>
      </c>
      <c r="F1700" s="82">
        <f ca="1" t="shared" si="81"/>
        <v>60700</v>
      </c>
      <c r="G1700" s="78" t="str">
        <f ca="1">IF(AND(LEFT("[{"&amp;M1700&amp;","&amp;CEILING(N1700*10000+(O1700-N1700)/4*(COUNTIF($F$11:F1700,F1700)-1)*10000,10)&amp;"}]",7)="[{equip",MID("[{"&amp;M1700&amp;","&amp;CEILING(N1700*10000+(O1700-N1700)/4*(COUNTIF($F$11:F1700,F1700)-1)*10000,10)&amp;"}]",8,1)&lt;&gt;"_"),"[{"&amp;M1700&amp;","&amp;1&amp;"}]","[{"&amp;M1700&amp;","&amp;CEILING(N1700*10000+(O1700-N1700)/4*(COUNTIF($F$11:F1700,F1700)-1)*10000,10)&amp;"}]")</f>
        <v>[{dmg_red_rate,290}]</v>
      </c>
      <c r="H1700" s="82" t="s">
        <v>563</v>
      </c>
      <c r="J1700" s="78">
        <f ca="1">IF(MOD(COUNTIF($Q$11:Q1699,Q1699),5)=0,OFFSET(装备属性!$P$1083,1+INT(COUNTA($Q$11:Q1699)/5),0),J1699)</f>
        <v>6</v>
      </c>
      <c r="K1700" s="83" t="str">
        <f ca="1">IF(RIGHT(G1700,13)="rune_slot,1}]",_xlfn.XLOOKUP(LEFT(SUBSTITUTE(G1700,"[{",""),FIND(",",SUBSTITUTE(G1700,"[{",""))-1),Sheet2!B:B,Sheet2!C:C)&amp;"+"&amp;1,_xlfn.XLOOKUP(LEFT(SUBSTITUTE(G1700,"[{",""),FIND(",",SUBSTITUTE(G1700,"[{",""))-1),Sheet2!B:B,Sheet2!C:C)&amp;"+"&amp;SUBSTITUTE(RIGHT(G1700,LEN(G1700)-FIND(",",G1700)),"}]","")/100&amp;"%")</f>
        <v>伤害减免+2.9%</v>
      </c>
      <c r="L1700" s="83" t="str">
        <f ca="1">IF(MOD(COUNTIF($Q$11:Q1699,Q1699),5)=0,OFFSET(装备属性!$G$1083,1+INT(COUNTA($Q$11:Q1699)/5),0),L1699)</f>
        <v>全员抗揍Ⅳ</v>
      </c>
      <c r="M1700" s="89" t="str">
        <f ca="1">IF(MOD(COUNTIF($Q$11:Q1699,Q1699),5)=0,OFFSET(装备属性!$H$1083,1+INT(COUNTA($Q$11:Q1699)/5),0),M1699)</f>
        <v>dmg_red_rate</v>
      </c>
      <c r="N1700" s="76">
        <f ca="1">IF(MOD(COUNTIF($Q$11:Q1699,Q1699),5)=0,OFFSET(装备属性!$K$1083,1+INT(COUNTA($Q$11:Q1699)/5),0),N1699)</f>
        <v>0.025</v>
      </c>
      <c r="O1700" s="76">
        <f ca="1">IF(MOD(COUNTIF($Q$11:Q1699,Q1699),5)=0,OFFSET(装备属性!$L$1083,1+INT(COUNTA($Q$11:Q1699)/5),0),O1699)</f>
        <v>0.029</v>
      </c>
      <c r="Q1700" s="89" t="str">
        <f ca="1">IF(MOD(COUNTIF($Q$11:Q1699,Q1699),5)=0,OFFSET(装备属性!$M$1083,1+INT(COUNTA($Q$11:Q1699)/5),0),Q1699)</f>
        <v>通用属性</v>
      </c>
      <c r="R1700" s="83">
        <f ca="1">IF(MOD(COUNTIF($Q$11:Q1699,Q1699),5)=0,10000*SUBSTITUTE(SUBSTITUTE(OFFSET(装备属性!$F$1083,1+INT(COUNTA($Q$11:Q1699)/5),0),"[",""),"]","")+_xlfn.XLOOKUP(C1700,$M$3:$M$7,$N$3:$N$7)*100,R1699)</f>
        <v>60700</v>
      </c>
    </row>
    <row r="1701" customHeight="1" spans="1:18">
      <c r="A1701" s="78">
        <f ca="1" t="shared" si="80"/>
        <v>60701</v>
      </c>
      <c r="B1701" s="82">
        <f ca="1">IFERROR(R1701+COUNTIFS($R$11:$R1701,R1701),"")</f>
        <v>60706</v>
      </c>
      <c r="C1701" s="83" t="str">
        <f ca="1">IF(MOD(COUNTIF($Q$11:Q1700,Q1700),5)=0,OFFSET(装备属性!$D$1083,1+INT(COUNTA($Q$11:Q1700)/5),0),C1700)</f>
        <v>粉</v>
      </c>
      <c r="D1701" s="82">
        <f t="shared" si="82"/>
        <v>3000</v>
      </c>
      <c r="F1701" s="82">
        <f ca="1" t="shared" si="81"/>
        <v>60701</v>
      </c>
      <c r="G1701" s="78" t="str">
        <f ca="1">IF(AND(LEFT("[{"&amp;M1701&amp;","&amp;CEILING(N1701*10000+(O1701-N1701)/4*(COUNTIF($F$11:F1701,F1701)-1)*10000,10)&amp;"}]",7)="[{equip",MID("[{"&amp;M1701&amp;","&amp;CEILING(N1701*10000+(O1701-N1701)/4*(COUNTIF($F$11:F1701,F1701)-1)*10000,10)&amp;"}]",8,1)&lt;&gt;"_"),"[{"&amp;M1701&amp;","&amp;1&amp;"}]","[{"&amp;M1701&amp;","&amp;CEILING(N1701*10000+(O1701-N1701)/4*(COUNTIF($F$11:F1701,F1701)-1)*10000,10)&amp;"}]")</f>
        <v>[{all_class_dmg,580}]</v>
      </c>
      <c r="H1701" s="82" t="s">
        <v>563</v>
      </c>
      <c r="J1701" s="78">
        <f ca="1">IF(MOD(COUNTIF($Q$11:Q1700,Q1700),5)=0,OFFSET(装备属性!$P$1083,1+INT(COUNTA($Q$11:Q1700)/5),0),J1700)</f>
        <v>2</v>
      </c>
      <c r="K1701" s="83" t="str">
        <f ca="1">IF(RIGHT(G1701,13)="rune_slot,1}]",_xlfn.XLOOKUP(LEFT(SUBSTITUTE(G1701,"[{",""),FIND(",",SUBSTITUTE(G1701,"[{",""))-1),Sheet2!B:B,Sheet2!C:C)&amp;"+"&amp;1,_xlfn.XLOOKUP(LEFT(SUBSTITUTE(G1701,"[{",""),FIND(",",SUBSTITUTE(G1701,"[{",""))-1),Sheet2!B:B,Sheet2!C:C)&amp;"+"&amp;SUBSTITUTE(RIGHT(G1701,LEN(G1701)-FIND(",",G1701)),"}]","")/100&amp;"%")</f>
        <v>上阵五个不同职业增伤+5.8%</v>
      </c>
      <c r="L1701" s="83" t="str">
        <f ca="1">IF(MOD(COUNTIF($Q$11:Q1700,Q1700),5)=0,OFFSET(装备属性!$G$1083,1+INT(COUNTA($Q$11:Q1700)/5),0),L1700)</f>
        <v>全员出力Ⅳ</v>
      </c>
      <c r="M1701" s="89" t="str">
        <f ca="1">IF(MOD(COUNTIF($Q$11:Q1700,Q1700),5)=0,OFFSET(装备属性!$H$1083,1+INT(COUNTA($Q$11:Q1700)/5),0),M1700)</f>
        <v>all_class_dmg</v>
      </c>
      <c r="N1701" s="76">
        <f ca="1">IF(MOD(COUNTIF($Q$11:Q1700,Q1700),5)=0,OFFSET(装备属性!$K$1083,1+INT(COUNTA($Q$11:Q1700)/5),0),N1700)</f>
        <v>0.058</v>
      </c>
      <c r="O1701" s="76">
        <f ca="1">IF(MOD(COUNTIF($Q$11:Q1700,Q1700),5)=0,OFFSET(装备属性!$L$1083,1+INT(COUNTA($Q$11:Q1700)/5),0),O1700)</f>
        <v>0.072</v>
      </c>
      <c r="Q1701" s="89" t="str">
        <f ca="1">IF(MOD(COUNTIF($Q$11:Q1700,Q1700),5)=0,OFFSET(装备属性!$M$1083,1+INT(COUNTA($Q$11:Q1700)/5),0),Q1700)</f>
        <v>通用属性</v>
      </c>
      <c r="R1701" s="83">
        <f ca="1">IF(MOD(COUNTIF($Q$11:Q1700,Q1700),5)=0,10000*SUBSTITUTE(SUBSTITUTE(OFFSET(装备属性!$F$1083,1+INT(COUNTA($Q$11:Q1700)/5),0),"[",""),"]","")+_xlfn.XLOOKUP(C1701,$M$3:$M$7,$N$3:$N$7)*100,R1700)</f>
        <v>60700</v>
      </c>
    </row>
    <row r="1702" customHeight="1" spans="1:18">
      <c r="A1702" s="78">
        <f ca="1" t="shared" si="80"/>
        <v>60701</v>
      </c>
      <c r="B1702" s="82">
        <f ca="1">IFERROR(R1702+COUNTIFS($R$11:$R1702,R1702),"")</f>
        <v>60707</v>
      </c>
      <c r="C1702" s="83" t="str">
        <f ca="1">IF(MOD(COUNTIF($Q$11:Q1701,Q1701),5)=0,OFFSET(装备属性!$D$1083,1+INT(COUNTA($Q$11:Q1701)/5),0),C1701)</f>
        <v>粉</v>
      </c>
      <c r="D1702" s="82">
        <f t="shared" si="82"/>
        <v>2500</v>
      </c>
      <c r="F1702" s="82">
        <f ca="1" t="shared" si="81"/>
        <v>60701</v>
      </c>
      <c r="G1702" s="78" t="str">
        <f ca="1">IF(AND(LEFT("[{"&amp;M1702&amp;","&amp;CEILING(N1702*10000+(O1702-N1702)/4*(COUNTIF($F$11:F1702,F1702)-1)*10000,10)&amp;"}]",7)="[{equip",MID("[{"&amp;M1702&amp;","&amp;CEILING(N1702*10000+(O1702-N1702)/4*(COUNTIF($F$11:F1702,F1702)-1)*10000,10)&amp;"}]",8,1)&lt;&gt;"_"),"[{"&amp;M1702&amp;","&amp;1&amp;"}]","[{"&amp;M1702&amp;","&amp;CEILING(N1702*10000+(O1702-N1702)/4*(COUNTIF($F$11:F1702,F1702)-1)*10000,10)&amp;"}]")</f>
        <v>[{all_class_dmg,620}]</v>
      </c>
      <c r="H1702" s="82" t="s">
        <v>563</v>
      </c>
      <c r="J1702" s="78">
        <f ca="1">IF(MOD(COUNTIF($Q$11:Q1701,Q1701),5)=0,OFFSET(装备属性!$P$1083,1+INT(COUNTA($Q$11:Q1701)/5),0),J1701)</f>
        <v>2</v>
      </c>
      <c r="K1702" s="83" t="str">
        <f ca="1">IF(RIGHT(G1702,13)="rune_slot,1}]",_xlfn.XLOOKUP(LEFT(SUBSTITUTE(G1702,"[{",""),FIND(",",SUBSTITUTE(G1702,"[{",""))-1),Sheet2!B:B,Sheet2!C:C)&amp;"+"&amp;1,_xlfn.XLOOKUP(LEFT(SUBSTITUTE(G1702,"[{",""),FIND(",",SUBSTITUTE(G1702,"[{",""))-1),Sheet2!B:B,Sheet2!C:C)&amp;"+"&amp;SUBSTITUTE(RIGHT(G1702,LEN(G1702)-FIND(",",G1702)),"}]","")/100&amp;"%")</f>
        <v>上阵五个不同职业增伤+6.2%</v>
      </c>
      <c r="L1702" s="83" t="str">
        <f ca="1">IF(MOD(COUNTIF($Q$11:Q1701,Q1701),5)=0,OFFSET(装备属性!$G$1083,1+INT(COUNTA($Q$11:Q1701)/5),0),L1701)</f>
        <v>全员出力Ⅳ</v>
      </c>
      <c r="M1702" s="89" t="str">
        <f ca="1">IF(MOD(COUNTIF($Q$11:Q1701,Q1701),5)=0,OFFSET(装备属性!$H$1083,1+INT(COUNTA($Q$11:Q1701)/5),0),M1701)</f>
        <v>all_class_dmg</v>
      </c>
      <c r="N1702" s="76">
        <f ca="1">IF(MOD(COUNTIF($Q$11:Q1701,Q1701),5)=0,OFFSET(装备属性!$K$1083,1+INT(COUNTA($Q$11:Q1701)/5),0),N1701)</f>
        <v>0.058</v>
      </c>
      <c r="O1702" s="76">
        <f ca="1">IF(MOD(COUNTIF($Q$11:Q1701,Q1701),5)=0,OFFSET(装备属性!$L$1083,1+INT(COUNTA($Q$11:Q1701)/5),0),O1701)</f>
        <v>0.072</v>
      </c>
      <c r="Q1702" s="89" t="str">
        <f ca="1">IF(MOD(COUNTIF($Q$11:Q1701,Q1701),5)=0,OFFSET(装备属性!$M$1083,1+INT(COUNTA($Q$11:Q1701)/5),0),Q1701)</f>
        <v>通用属性</v>
      </c>
      <c r="R1702" s="83">
        <f ca="1">IF(MOD(COUNTIF($Q$11:Q1701,Q1701),5)=0,10000*SUBSTITUTE(SUBSTITUTE(OFFSET(装备属性!$F$1083,1+INT(COUNTA($Q$11:Q1701)/5),0),"[",""),"]","")+_xlfn.XLOOKUP(C1702,$M$3:$M$7,$N$3:$N$7)*100,R1701)</f>
        <v>60700</v>
      </c>
    </row>
    <row r="1703" customHeight="1" spans="1:18">
      <c r="A1703" s="78">
        <f ca="1" t="shared" si="80"/>
        <v>60701</v>
      </c>
      <c r="B1703" s="82">
        <f ca="1">IFERROR(R1703+COUNTIFS($R$11:$R1703,R1703),"")</f>
        <v>60708</v>
      </c>
      <c r="C1703" s="83" t="str">
        <f ca="1">IF(MOD(COUNTIF($Q$11:Q1702,Q1702),5)=0,OFFSET(装备属性!$D$1083,1+INT(COUNTA($Q$11:Q1702)/5),0),C1702)</f>
        <v>粉</v>
      </c>
      <c r="D1703" s="82">
        <f t="shared" si="82"/>
        <v>2000</v>
      </c>
      <c r="F1703" s="82">
        <f ca="1" t="shared" si="81"/>
        <v>60701</v>
      </c>
      <c r="G1703" s="78" t="str">
        <f ca="1">IF(AND(LEFT("[{"&amp;M1703&amp;","&amp;CEILING(N1703*10000+(O1703-N1703)/4*(COUNTIF($F$11:F1703,F1703)-1)*10000,10)&amp;"}]",7)="[{equip",MID("[{"&amp;M1703&amp;","&amp;CEILING(N1703*10000+(O1703-N1703)/4*(COUNTIF($F$11:F1703,F1703)-1)*10000,10)&amp;"}]",8,1)&lt;&gt;"_"),"[{"&amp;M1703&amp;","&amp;1&amp;"}]","[{"&amp;M1703&amp;","&amp;CEILING(N1703*10000+(O1703-N1703)/4*(COUNTIF($F$11:F1703,F1703)-1)*10000,10)&amp;"}]")</f>
        <v>[{all_class_dmg,650}]</v>
      </c>
      <c r="H1703" s="82" t="s">
        <v>563</v>
      </c>
      <c r="J1703" s="78">
        <f ca="1">IF(MOD(COUNTIF($Q$11:Q1702,Q1702),5)=0,OFFSET(装备属性!$P$1083,1+INT(COUNTA($Q$11:Q1702)/5),0),J1702)</f>
        <v>2</v>
      </c>
      <c r="K1703" s="83" t="str">
        <f ca="1">IF(RIGHT(G1703,13)="rune_slot,1}]",_xlfn.XLOOKUP(LEFT(SUBSTITUTE(G1703,"[{",""),FIND(",",SUBSTITUTE(G1703,"[{",""))-1),Sheet2!B:B,Sheet2!C:C)&amp;"+"&amp;1,_xlfn.XLOOKUP(LEFT(SUBSTITUTE(G1703,"[{",""),FIND(",",SUBSTITUTE(G1703,"[{",""))-1),Sheet2!B:B,Sheet2!C:C)&amp;"+"&amp;SUBSTITUTE(RIGHT(G1703,LEN(G1703)-FIND(",",G1703)),"}]","")/100&amp;"%")</f>
        <v>上阵五个不同职业增伤+6.5%</v>
      </c>
      <c r="L1703" s="83" t="str">
        <f ca="1">IF(MOD(COUNTIF($Q$11:Q1702,Q1702),5)=0,OFFSET(装备属性!$G$1083,1+INT(COUNTA($Q$11:Q1702)/5),0),L1702)</f>
        <v>全员出力Ⅳ</v>
      </c>
      <c r="M1703" s="89" t="str">
        <f ca="1">IF(MOD(COUNTIF($Q$11:Q1702,Q1702),5)=0,OFFSET(装备属性!$H$1083,1+INT(COUNTA($Q$11:Q1702)/5),0),M1702)</f>
        <v>all_class_dmg</v>
      </c>
      <c r="N1703" s="76">
        <f ca="1">IF(MOD(COUNTIF($Q$11:Q1702,Q1702),5)=0,OFFSET(装备属性!$K$1083,1+INT(COUNTA($Q$11:Q1702)/5),0),N1702)</f>
        <v>0.058</v>
      </c>
      <c r="O1703" s="76">
        <f ca="1">IF(MOD(COUNTIF($Q$11:Q1702,Q1702),5)=0,OFFSET(装备属性!$L$1083,1+INT(COUNTA($Q$11:Q1702)/5),0),O1702)</f>
        <v>0.072</v>
      </c>
      <c r="Q1703" s="89" t="str">
        <f ca="1">IF(MOD(COUNTIF($Q$11:Q1702,Q1702),5)=0,OFFSET(装备属性!$M$1083,1+INT(COUNTA($Q$11:Q1702)/5),0),Q1702)</f>
        <v>通用属性</v>
      </c>
      <c r="R1703" s="83">
        <f ca="1">IF(MOD(COUNTIF($Q$11:Q1702,Q1702),5)=0,10000*SUBSTITUTE(SUBSTITUTE(OFFSET(装备属性!$F$1083,1+INT(COUNTA($Q$11:Q1702)/5),0),"[",""),"]","")+_xlfn.XLOOKUP(C1703,$M$3:$M$7,$N$3:$N$7)*100,R1702)</f>
        <v>60700</v>
      </c>
    </row>
    <row r="1704" customHeight="1" spans="1:18">
      <c r="A1704" s="78">
        <f ca="1" t="shared" si="80"/>
        <v>60701</v>
      </c>
      <c r="B1704" s="82">
        <f ca="1">IFERROR(R1704+COUNTIFS($R$11:$R1704,R1704),"")</f>
        <v>60709</v>
      </c>
      <c r="C1704" s="83" t="str">
        <f ca="1">IF(MOD(COUNTIF($Q$11:Q1703,Q1703),5)=0,OFFSET(装备属性!$D$1083,1+INT(COUNTA($Q$11:Q1703)/5),0),C1703)</f>
        <v>粉</v>
      </c>
      <c r="D1704" s="82">
        <f t="shared" si="82"/>
        <v>1500</v>
      </c>
      <c r="F1704" s="82">
        <f ca="1" t="shared" si="81"/>
        <v>60701</v>
      </c>
      <c r="G1704" s="78" t="str">
        <f ca="1">IF(AND(LEFT("[{"&amp;M1704&amp;","&amp;CEILING(N1704*10000+(O1704-N1704)/4*(COUNTIF($F$11:F1704,F1704)-1)*10000,10)&amp;"}]",7)="[{equip",MID("[{"&amp;M1704&amp;","&amp;CEILING(N1704*10000+(O1704-N1704)/4*(COUNTIF($F$11:F1704,F1704)-1)*10000,10)&amp;"}]",8,1)&lt;&gt;"_"),"[{"&amp;M1704&amp;","&amp;1&amp;"}]","[{"&amp;M1704&amp;","&amp;CEILING(N1704*10000+(O1704-N1704)/4*(COUNTIF($F$11:F1704,F1704)-1)*10000,10)&amp;"}]")</f>
        <v>[{all_class_dmg,690}]</v>
      </c>
      <c r="H1704" s="82" t="s">
        <v>563</v>
      </c>
      <c r="J1704" s="78">
        <f ca="1">IF(MOD(COUNTIF($Q$11:Q1703,Q1703),5)=0,OFFSET(装备属性!$P$1083,1+INT(COUNTA($Q$11:Q1703)/5),0),J1703)</f>
        <v>2</v>
      </c>
      <c r="K1704" s="83" t="str">
        <f ca="1">IF(RIGHT(G1704,13)="rune_slot,1}]",_xlfn.XLOOKUP(LEFT(SUBSTITUTE(G1704,"[{",""),FIND(",",SUBSTITUTE(G1704,"[{",""))-1),Sheet2!B:B,Sheet2!C:C)&amp;"+"&amp;1,_xlfn.XLOOKUP(LEFT(SUBSTITUTE(G1704,"[{",""),FIND(",",SUBSTITUTE(G1704,"[{",""))-1),Sheet2!B:B,Sheet2!C:C)&amp;"+"&amp;SUBSTITUTE(RIGHT(G1704,LEN(G1704)-FIND(",",G1704)),"}]","")/100&amp;"%")</f>
        <v>上阵五个不同职业增伤+6.9%</v>
      </c>
      <c r="L1704" s="83" t="str">
        <f ca="1">IF(MOD(COUNTIF($Q$11:Q1703,Q1703),5)=0,OFFSET(装备属性!$G$1083,1+INT(COUNTA($Q$11:Q1703)/5),0),L1703)</f>
        <v>全员出力Ⅳ</v>
      </c>
      <c r="M1704" s="89" t="str">
        <f ca="1">IF(MOD(COUNTIF($Q$11:Q1703,Q1703),5)=0,OFFSET(装备属性!$H$1083,1+INT(COUNTA($Q$11:Q1703)/5),0),M1703)</f>
        <v>all_class_dmg</v>
      </c>
      <c r="N1704" s="76">
        <f ca="1">IF(MOD(COUNTIF($Q$11:Q1703,Q1703),5)=0,OFFSET(装备属性!$K$1083,1+INT(COUNTA($Q$11:Q1703)/5),0),N1703)</f>
        <v>0.058</v>
      </c>
      <c r="O1704" s="76">
        <f ca="1">IF(MOD(COUNTIF($Q$11:Q1703,Q1703),5)=0,OFFSET(装备属性!$L$1083,1+INT(COUNTA($Q$11:Q1703)/5),0),O1703)</f>
        <v>0.072</v>
      </c>
      <c r="Q1704" s="89" t="str">
        <f ca="1">IF(MOD(COUNTIF($Q$11:Q1703,Q1703),5)=0,OFFSET(装备属性!$M$1083,1+INT(COUNTA($Q$11:Q1703)/5),0),Q1703)</f>
        <v>通用属性</v>
      </c>
      <c r="R1704" s="83">
        <f ca="1">IF(MOD(COUNTIF($Q$11:Q1703,Q1703),5)=0,10000*SUBSTITUTE(SUBSTITUTE(OFFSET(装备属性!$F$1083,1+INT(COUNTA($Q$11:Q1703)/5),0),"[",""),"]","")+_xlfn.XLOOKUP(C1704,$M$3:$M$7,$N$3:$N$7)*100,R1703)</f>
        <v>60700</v>
      </c>
    </row>
    <row r="1705" customHeight="1" spans="1:18">
      <c r="A1705" s="78">
        <f ca="1" t="shared" si="80"/>
        <v>60701</v>
      </c>
      <c r="B1705" s="82">
        <f ca="1">IFERROR(R1705+COUNTIFS($R$11:$R1705,R1705),"")</f>
        <v>60710</v>
      </c>
      <c r="C1705" s="83" t="str">
        <f ca="1">IF(MOD(COUNTIF($Q$11:Q1704,Q1704),5)=0,OFFSET(装备属性!$D$1083,1+INT(COUNTA($Q$11:Q1704)/5),0),C1704)</f>
        <v>粉</v>
      </c>
      <c r="D1705" s="82">
        <f t="shared" si="82"/>
        <v>1000</v>
      </c>
      <c r="F1705" s="82">
        <f ca="1" t="shared" si="81"/>
        <v>60701</v>
      </c>
      <c r="G1705" s="78" t="str">
        <f ca="1">IF(AND(LEFT("[{"&amp;M1705&amp;","&amp;CEILING(N1705*10000+(O1705-N1705)/4*(COUNTIF($F$11:F1705,F1705)-1)*10000,10)&amp;"}]",7)="[{equip",MID("[{"&amp;M1705&amp;","&amp;CEILING(N1705*10000+(O1705-N1705)/4*(COUNTIF($F$11:F1705,F1705)-1)*10000,10)&amp;"}]",8,1)&lt;&gt;"_"),"[{"&amp;M1705&amp;","&amp;1&amp;"}]","[{"&amp;M1705&amp;","&amp;CEILING(N1705*10000+(O1705-N1705)/4*(COUNTIF($F$11:F1705,F1705)-1)*10000,10)&amp;"}]")</f>
        <v>[{all_class_dmg,720}]</v>
      </c>
      <c r="H1705" s="82" t="s">
        <v>563</v>
      </c>
      <c r="J1705" s="78">
        <f ca="1">IF(MOD(COUNTIF($Q$11:Q1704,Q1704),5)=0,OFFSET(装备属性!$P$1083,1+INT(COUNTA($Q$11:Q1704)/5),0),J1704)</f>
        <v>2</v>
      </c>
      <c r="K1705" s="83" t="str">
        <f ca="1">IF(RIGHT(G1705,13)="rune_slot,1}]",_xlfn.XLOOKUP(LEFT(SUBSTITUTE(G1705,"[{",""),FIND(",",SUBSTITUTE(G1705,"[{",""))-1),Sheet2!B:B,Sheet2!C:C)&amp;"+"&amp;1,_xlfn.XLOOKUP(LEFT(SUBSTITUTE(G1705,"[{",""),FIND(",",SUBSTITUTE(G1705,"[{",""))-1),Sheet2!B:B,Sheet2!C:C)&amp;"+"&amp;SUBSTITUTE(RIGHT(G1705,LEN(G1705)-FIND(",",G1705)),"}]","")/100&amp;"%")</f>
        <v>上阵五个不同职业增伤+7.2%</v>
      </c>
      <c r="L1705" s="83" t="str">
        <f ca="1">IF(MOD(COUNTIF($Q$11:Q1704,Q1704),5)=0,OFFSET(装备属性!$G$1083,1+INT(COUNTA($Q$11:Q1704)/5),0),L1704)</f>
        <v>全员出力Ⅳ</v>
      </c>
      <c r="M1705" s="89" t="str">
        <f ca="1">IF(MOD(COUNTIF($Q$11:Q1704,Q1704),5)=0,OFFSET(装备属性!$H$1083,1+INT(COUNTA($Q$11:Q1704)/5),0),M1704)</f>
        <v>all_class_dmg</v>
      </c>
      <c r="N1705" s="76">
        <f ca="1">IF(MOD(COUNTIF($Q$11:Q1704,Q1704),5)=0,OFFSET(装备属性!$K$1083,1+INT(COUNTA($Q$11:Q1704)/5),0),N1704)</f>
        <v>0.058</v>
      </c>
      <c r="O1705" s="76">
        <f ca="1">IF(MOD(COUNTIF($Q$11:Q1704,Q1704),5)=0,OFFSET(装备属性!$L$1083,1+INT(COUNTA($Q$11:Q1704)/5),0),O1704)</f>
        <v>0.072</v>
      </c>
      <c r="Q1705" s="89" t="str">
        <f ca="1">IF(MOD(COUNTIF($Q$11:Q1704,Q1704),5)=0,OFFSET(装备属性!$M$1083,1+INT(COUNTA($Q$11:Q1704)/5),0),Q1704)</f>
        <v>通用属性</v>
      </c>
      <c r="R1705" s="83">
        <f ca="1">IF(MOD(COUNTIF($Q$11:Q1704,Q1704),5)=0,10000*SUBSTITUTE(SUBSTITUTE(OFFSET(装备属性!$F$1083,1+INT(COUNTA($Q$11:Q1704)/5),0),"[",""),"]","")+_xlfn.XLOOKUP(C1705,$M$3:$M$7,$N$3:$N$7)*100,R1704)</f>
        <v>60700</v>
      </c>
    </row>
    <row r="1706" customHeight="1" spans="1:18">
      <c r="A1706" s="78">
        <f ca="1" t="shared" si="80"/>
        <v>60703</v>
      </c>
      <c r="B1706" s="82">
        <f ca="1">IFERROR(R1706+COUNTIFS($R$11:$R1706,R1706),"")</f>
        <v>60711</v>
      </c>
      <c r="C1706" s="83" t="str">
        <f ca="1">IF(MOD(COUNTIF($Q$11:Q1705,Q1705),5)=0,OFFSET(装备属性!$D$1083,1+INT(COUNTA($Q$11:Q1705)/5),0),C1705)</f>
        <v>粉</v>
      </c>
      <c r="D1706" s="82">
        <f t="shared" si="82"/>
        <v>3000</v>
      </c>
      <c r="F1706" s="82">
        <f ca="1" t="shared" si="81"/>
        <v>60702</v>
      </c>
      <c r="G1706" s="78" t="str">
        <f ca="1">IF(AND(LEFT("[{"&amp;M1706&amp;","&amp;CEILING(N1706*10000+(O1706-N1706)/4*(COUNTIF($F$11:F1706,F1706)-1)*10000,10)&amp;"}]",7)="[{equip",MID("[{"&amp;M1706&amp;","&amp;CEILING(N1706*10000+(O1706-N1706)/4*(COUNTIF($F$11:F1706,F1706)-1)*10000,10)&amp;"}]",8,1)&lt;&gt;"_"),"[{"&amp;M1706&amp;","&amp;1&amp;"}]","[{"&amp;M1706&amp;","&amp;CEILING(N1706*10000+(O1706-N1706)/4*(COUNTIF($F$11:F1706,F1706)-1)*10000,10)&amp;"}]")</f>
        <v>[{exp_boost,2000}]</v>
      </c>
      <c r="H1706" s="82" t="s">
        <v>563</v>
      </c>
      <c r="J1706" s="78">
        <f ca="1">IF(MOD(COUNTIF($Q$11:Q1705,Q1705),5)=0,OFFSET(装备属性!$P$1083,1+INT(COUNTA($Q$11:Q1705)/5),0),J1705)</f>
        <v>9</v>
      </c>
      <c r="K1706" s="83" t="str">
        <f ca="1">IF(RIGHT(G1706,13)="rune_slot,1}]",_xlfn.XLOOKUP(LEFT(SUBSTITUTE(G1706,"[{",""),FIND(",",SUBSTITUTE(G1706,"[{",""))-1),Sheet2!B:B,Sheet2!C:C)&amp;"+"&amp;1,_xlfn.XLOOKUP(LEFT(SUBSTITUTE(G1706,"[{",""),FIND(",",SUBSTITUTE(G1706,"[{",""))-1),Sheet2!B:B,Sheet2!C:C)&amp;"+"&amp;SUBSTITUTE(RIGHT(G1706,LEN(G1706)-FIND(",",G1706)),"}]","")/100&amp;"%")</f>
        <v>经验加成+20%</v>
      </c>
      <c r="L1706" s="83" t="str">
        <f ca="1">IF(MOD(COUNTIF($Q$11:Q1705,Q1705),5)=0,OFFSET(装备属性!$G$1083,1+INT(COUNTA($Q$11:Q1705)/5),0),L1705)</f>
        <v>涨见识</v>
      </c>
      <c r="M1706" s="89" t="str">
        <f ca="1">IF(MOD(COUNTIF($Q$11:Q1705,Q1705),5)=0,OFFSET(装备属性!$H$1083,1+INT(COUNTA($Q$11:Q1705)/5),0),M1705)</f>
        <v>exp_boost</v>
      </c>
      <c r="N1706" s="76">
        <f ca="1">IF(MOD(COUNTIF($Q$11:Q1705,Q1705),5)=0,OFFSET(装备属性!$K$1083,1+INT(COUNTA($Q$11:Q1705)/5),0),N1705)</f>
        <v>0.2</v>
      </c>
      <c r="O1706" s="76">
        <f ca="1">IF(MOD(COUNTIF($Q$11:Q1705,Q1705),5)=0,OFFSET(装备属性!$L$1083,1+INT(COUNTA($Q$11:Q1705)/5),0),O1705)</f>
        <v>0.2</v>
      </c>
      <c r="Q1706" s="89" t="str">
        <f ca="1">IF(MOD(COUNTIF($Q$11:Q1705,Q1705),5)=0,OFFSET(装备属性!$M$1083,1+INT(COUNTA($Q$11:Q1705)/5),0),Q1705)</f>
        <v>稀有词条</v>
      </c>
      <c r="R1706" s="83">
        <f ca="1">IF(MOD(COUNTIF($Q$11:Q1705,Q1705),5)=0,10000*SUBSTITUTE(SUBSTITUTE(OFFSET(装备属性!$F$1083,1+INT(COUNTA($Q$11:Q1705)/5),0),"[",""),"]","")+_xlfn.XLOOKUP(C1706,$M$3:$M$7,$N$3:$N$7)*100,R1705)</f>
        <v>60700</v>
      </c>
    </row>
    <row r="1707" customHeight="1" spans="1:18">
      <c r="A1707" s="78">
        <f ca="1" t="shared" si="80"/>
        <v>60703</v>
      </c>
      <c r="B1707" s="82">
        <f ca="1">IFERROR(R1707+COUNTIFS($R$11:$R1707,R1707),"")</f>
        <v>60712</v>
      </c>
      <c r="C1707" s="83" t="str">
        <f ca="1">IF(MOD(COUNTIF($Q$11:Q1706,Q1706),5)=0,OFFSET(装备属性!$D$1083,1+INT(COUNTA($Q$11:Q1706)/5),0),C1706)</f>
        <v>粉</v>
      </c>
      <c r="D1707" s="82">
        <f t="shared" ref="D1707:D1744" si="83">D1702</f>
        <v>2500</v>
      </c>
      <c r="F1707" s="82">
        <f ca="1" t="shared" si="81"/>
        <v>60702</v>
      </c>
      <c r="G1707" s="78" t="str">
        <f ca="1">IF(AND(LEFT("[{"&amp;M1707&amp;","&amp;CEILING(N1707*10000+(O1707-N1707)/4*(COUNTIF($F$11:F1707,F1707)-1)*10000,10)&amp;"}]",7)="[{equip",MID("[{"&amp;M1707&amp;","&amp;CEILING(N1707*10000+(O1707-N1707)/4*(COUNTIF($F$11:F1707,F1707)-1)*10000,10)&amp;"}]",8,1)&lt;&gt;"_"),"[{"&amp;M1707&amp;","&amp;1&amp;"}]","[{"&amp;M1707&amp;","&amp;CEILING(N1707*10000+(O1707-N1707)/4*(COUNTIF($F$11:F1707,F1707)-1)*10000,10)&amp;"}]")</f>
        <v>[{exp_boost,2000}]</v>
      </c>
      <c r="H1707" s="82" t="s">
        <v>563</v>
      </c>
      <c r="J1707" s="78">
        <f ca="1">IF(MOD(COUNTIF($Q$11:Q1706,Q1706),5)=0,OFFSET(装备属性!$P$1083,1+INT(COUNTA($Q$11:Q1706)/5),0),J1706)</f>
        <v>9</v>
      </c>
      <c r="K1707" s="83" t="str">
        <f ca="1">IF(RIGHT(G1707,13)="rune_slot,1}]",_xlfn.XLOOKUP(LEFT(SUBSTITUTE(G1707,"[{",""),FIND(",",SUBSTITUTE(G1707,"[{",""))-1),Sheet2!B:B,Sheet2!C:C)&amp;"+"&amp;1,_xlfn.XLOOKUP(LEFT(SUBSTITUTE(G1707,"[{",""),FIND(",",SUBSTITUTE(G1707,"[{",""))-1),Sheet2!B:B,Sheet2!C:C)&amp;"+"&amp;SUBSTITUTE(RIGHT(G1707,LEN(G1707)-FIND(",",G1707)),"}]","")/100&amp;"%")</f>
        <v>经验加成+20%</v>
      </c>
      <c r="L1707" s="83" t="str">
        <f ca="1">IF(MOD(COUNTIF($Q$11:Q1706,Q1706),5)=0,OFFSET(装备属性!$G$1083,1+INT(COUNTA($Q$11:Q1706)/5),0),L1706)</f>
        <v>涨见识</v>
      </c>
      <c r="M1707" s="89" t="str">
        <f ca="1">IF(MOD(COUNTIF($Q$11:Q1706,Q1706),5)=0,OFFSET(装备属性!$H$1083,1+INT(COUNTA($Q$11:Q1706)/5),0),M1706)</f>
        <v>exp_boost</v>
      </c>
      <c r="N1707" s="76">
        <f ca="1">IF(MOD(COUNTIF($Q$11:Q1706,Q1706),5)=0,OFFSET(装备属性!$K$1083,1+INT(COUNTA($Q$11:Q1706)/5),0),N1706)</f>
        <v>0.2</v>
      </c>
      <c r="O1707" s="76">
        <f ca="1">IF(MOD(COUNTIF($Q$11:Q1706,Q1706),5)=0,OFFSET(装备属性!$L$1083,1+INT(COUNTA($Q$11:Q1706)/5),0),O1706)</f>
        <v>0.2</v>
      </c>
      <c r="Q1707" s="89" t="str">
        <f ca="1">IF(MOD(COUNTIF($Q$11:Q1706,Q1706),5)=0,OFFSET(装备属性!$M$1083,1+INT(COUNTA($Q$11:Q1706)/5),0),Q1706)</f>
        <v>稀有词条</v>
      </c>
      <c r="R1707" s="83">
        <f ca="1">IF(MOD(COUNTIF($Q$11:Q1706,Q1706),5)=0,10000*SUBSTITUTE(SUBSTITUTE(OFFSET(装备属性!$F$1083,1+INT(COUNTA($Q$11:Q1706)/5),0),"[",""),"]","")+_xlfn.XLOOKUP(C1707,$M$3:$M$7,$N$3:$N$7)*100,R1706)</f>
        <v>60700</v>
      </c>
    </row>
    <row r="1708" customHeight="1" spans="1:18">
      <c r="A1708" s="78">
        <f ca="1" t="shared" si="80"/>
        <v>60703</v>
      </c>
      <c r="B1708" s="82">
        <f ca="1">IFERROR(R1708+COUNTIFS($R$11:$R1708,R1708),"")</f>
        <v>60713</v>
      </c>
      <c r="C1708" s="83" t="str">
        <f ca="1">IF(MOD(COUNTIF($Q$11:Q1707,Q1707),5)=0,OFFSET(装备属性!$D$1083,1+INT(COUNTA($Q$11:Q1707)/5),0),C1707)</f>
        <v>粉</v>
      </c>
      <c r="D1708" s="82">
        <f t="shared" si="83"/>
        <v>2000</v>
      </c>
      <c r="F1708" s="82">
        <f ca="1" t="shared" si="81"/>
        <v>60702</v>
      </c>
      <c r="G1708" s="78" t="str">
        <f ca="1">IF(AND(LEFT("[{"&amp;M1708&amp;","&amp;CEILING(N1708*10000+(O1708-N1708)/4*(COUNTIF($F$11:F1708,F1708)-1)*10000,10)&amp;"}]",7)="[{equip",MID("[{"&amp;M1708&amp;","&amp;CEILING(N1708*10000+(O1708-N1708)/4*(COUNTIF($F$11:F1708,F1708)-1)*10000,10)&amp;"}]",8,1)&lt;&gt;"_"),"[{"&amp;M1708&amp;","&amp;1&amp;"}]","[{"&amp;M1708&amp;","&amp;CEILING(N1708*10000+(O1708-N1708)/4*(COUNTIF($F$11:F1708,F1708)-1)*10000,10)&amp;"}]")</f>
        <v>[{exp_boost,2000}]</v>
      </c>
      <c r="H1708" s="82" t="s">
        <v>563</v>
      </c>
      <c r="J1708" s="78">
        <f ca="1">IF(MOD(COUNTIF($Q$11:Q1707,Q1707),5)=0,OFFSET(装备属性!$P$1083,1+INT(COUNTA($Q$11:Q1707)/5),0),J1707)</f>
        <v>9</v>
      </c>
      <c r="K1708" s="83" t="str">
        <f ca="1">IF(RIGHT(G1708,13)="rune_slot,1}]",_xlfn.XLOOKUP(LEFT(SUBSTITUTE(G1708,"[{",""),FIND(",",SUBSTITUTE(G1708,"[{",""))-1),Sheet2!B:B,Sheet2!C:C)&amp;"+"&amp;1,_xlfn.XLOOKUP(LEFT(SUBSTITUTE(G1708,"[{",""),FIND(",",SUBSTITUTE(G1708,"[{",""))-1),Sheet2!B:B,Sheet2!C:C)&amp;"+"&amp;SUBSTITUTE(RIGHT(G1708,LEN(G1708)-FIND(",",G1708)),"}]","")/100&amp;"%")</f>
        <v>经验加成+20%</v>
      </c>
      <c r="L1708" s="83" t="str">
        <f ca="1">IF(MOD(COUNTIF($Q$11:Q1707,Q1707),5)=0,OFFSET(装备属性!$G$1083,1+INT(COUNTA($Q$11:Q1707)/5),0),L1707)</f>
        <v>涨见识</v>
      </c>
      <c r="M1708" s="89" t="str">
        <f ca="1">IF(MOD(COUNTIF($Q$11:Q1707,Q1707),5)=0,OFFSET(装备属性!$H$1083,1+INT(COUNTA($Q$11:Q1707)/5),0),M1707)</f>
        <v>exp_boost</v>
      </c>
      <c r="N1708" s="76">
        <f ca="1">IF(MOD(COUNTIF($Q$11:Q1707,Q1707),5)=0,OFFSET(装备属性!$K$1083,1+INT(COUNTA($Q$11:Q1707)/5),0),N1707)</f>
        <v>0.2</v>
      </c>
      <c r="O1708" s="76">
        <f ca="1">IF(MOD(COUNTIF($Q$11:Q1707,Q1707),5)=0,OFFSET(装备属性!$L$1083,1+INT(COUNTA($Q$11:Q1707)/5),0),O1707)</f>
        <v>0.2</v>
      </c>
      <c r="Q1708" s="89" t="str">
        <f ca="1">IF(MOD(COUNTIF($Q$11:Q1707,Q1707),5)=0,OFFSET(装备属性!$M$1083,1+INT(COUNTA($Q$11:Q1707)/5),0),Q1707)</f>
        <v>稀有词条</v>
      </c>
      <c r="R1708" s="83">
        <f ca="1">IF(MOD(COUNTIF($Q$11:Q1707,Q1707),5)=0,10000*SUBSTITUTE(SUBSTITUTE(OFFSET(装备属性!$F$1083,1+INT(COUNTA($Q$11:Q1707)/5),0),"[",""),"]","")+_xlfn.XLOOKUP(C1708,$M$3:$M$7,$N$3:$N$7)*100,R1707)</f>
        <v>60700</v>
      </c>
    </row>
    <row r="1709" customHeight="1" spans="1:18">
      <c r="A1709" s="78">
        <f ca="1" t="shared" si="80"/>
        <v>60703</v>
      </c>
      <c r="B1709" s="82">
        <f ca="1">IFERROR(R1709+COUNTIFS($R$11:$R1709,R1709),"")</f>
        <v>60714</v>
      </c>
      <c r="C1709" s="83" t="str">
        <f ca="1">IF(MOD(COUNTIF($Q$11:Q1708,Q1708),5)=0,OFFSET(装备属性!$D$1083,1+INT(COUNTA($Q$11:Q1708)/5),0),C1708)</f>
        <v>粉</v>
      </c>
      <c r="D1709" s="82">
        <f t="shared" si="83"/>
        <v>1500</v>
      </c>
      <c r="F1709" s="82">
        <f ca="1" t="shared" si="81"/>
        <v>60702</v>
      </c>
      <c r="G1709" s="78" t="str">
        <f ca="1">IF(AND(LEFT("[{"&amp;M1709&amp;","&amp;CEILING(N1709*10000+(O1709-N1709)/4*(COUNTIF($F$11:F1709,F1709)-1)*10000,10)&amp;"}]",7)="[{equip",MID("[{"&amp;M1709&amp;","&amp;CEILING(N1709*10000+(O1709-N1709)/4*(COUNTIF($F$11:F1709,F1709)-1)*10000,10)&amp;"}]",8,1)&lt;&gt;"_"),"[{"&amp;M1709&amp;","&amp;1&amp;"}]","[{"&amp;M1709&amp;","&amp;CEILING(N1709*10000+(O1709-N1709)/4*(COUNTIF($F$11:F1709,F1709)-1)*10000,10)&amp;"}]")</f>
        <v>[{exp_boost,2000}]</v>
      </c>
      <c r="H1709" s="82" t="s">
        <v>563</v>
      </c>
      <c r="J1709" s="78">
        <f ca="1">IF(MOD(COUNTIF($Q$11:Q1708,Q1708),5)=0,OFFSET(装备属性!$P$1083,1+INT(COUNTA($Q$11:Q1708)/5),0),J1708)</f>
        <v>9</v>
      </c>
      <c r="K1709" s="83" t="str">
        <f ca="1">IF(RIGHT(G1709,13)="rune_slot,1}]",_xlfn.XLOOKUP(LEFT(SUBSTITUTE(G1709,"[{",""),FIND(",",SUBSTITUTE(G1709,"[{",""))-1),Sheet2!B:B,Sheet2!C:C)&amp;"+"&amp;1,_xlfn.XLOOKUP(LEFT(SUBSTITUTE(G1709,"[{",""),FIND(",",SUBSTITUTE(G1709,"[{",""))-1),Sheet2!B:B,Sheet2!C:C)&amp;"+"&amp;SUBSTITUTE(RIGHT(G1709,LEN(G1709)-FIND(",",G1709)),"}]","")/100&amp;"%")</f>
        <v>经验加成+20%</v>
      </c>
      <c r="L1709" s="83" t="str">
        <f ca="1">IF(MOD(COUNTIF($Q$11:Q1708,Q1708),5)=0,OFFSET(装备属性!$G$1083,1+INT(COUNTA($Q$11:Q1708)/5),0),L1708)</f>
        <v>涨见识</v>
      </c>
      <c r="M1709" s="89" t="str">
        <f ca="1">IF(MOD(COUNTIF($Q$11:Q1708,Q1708),5)=0,OFFSET(装备属性!$H$1083,1+INT(COUNTA($Q$11:Q1708)/5),0),M1708)</f>
        <v>exp_boost</v>
      </c>
      <c r="N1709" s="76">
        <f ca="1">IF(MOD(COUNTIF($Q$11:Q1708,Q1708),5)=0,OFFSET(装备属性!$K$1083,1+INT(COUNTA($Q$11:Q1708)/5),0),N1708)</f>
        <v>0.2</v>
      </c>
      <c r="O1709" s="76">
        <f ca="1">IF(MOD(COUNTIF($Q$11:Q1708,Q1708),5)=0,OFFSET(装备属性!$L$1083,1+INT(COUNTA($Q$11:Q1708)/5),0),O1708)</f>
        <v>0.2</v>
      </c>
      <c r="Q1709" s="89" t="str">
        <f ca="1">IF(MOD(COUNTIF($Q$11:Q1708,Q1708),5)=0,OFFSET(装备属性!$M$1083,1+INT(COUNTA($Q$11:Q1708)/5),0),Q1708)</f>
        <v>稀有词条</v>
      </c>
      <c r="R1709" s="83">
        <f ca="1">IF(MOD(COUNTIF($Q$11:Q1708,Q1708),5)=0,10000*SUBSTITUTE(SUBSTITUTE(OFFSET(装备属性!$F$1083,1+INT(COUNTA($Q$11:Q1708)/5),0),"[",""),"]","")+_xlfn.XLOOKUP(C1709,$M$3:$M$7,$N$3:$N$7)*100,R1708)</f>
        <v>60700</v>
      </c>
    </row>
    <row r="1710" customHeight="1" spans="1:18">
      <c r="A1710" s="78">
        <f ca="1" t="shared" si="80"/>
        <v>60703</v>
      </c>
      <c r="B1710" s="82">
        <f ca="1">IFERROR(R1710+COUNTIFS($R$11:$R1710,R1710),"")</f>
        <v>60715</v>
      </c>
      <c r="C1710" s="83" t="str">
        <f ca="1">IF(MOD(COUNTIF($Q$11:Q1709,Q1709),5)=0,OFFSET(装备属性!$D$1083,1+INT(COUNTA($Q$11:Q1709)/5),0),C1709)</f>
        <v>粉</v>
      </c>
      <c r="D1710" s="82">
        <f t="shared" si="83"/>
        <v>1000</v>
      </c>
      <c r="F1710" s="82">
        <f ca="1" t="shared" si="81"/>
        <v>60702</v>
      </c>
      <c r="G1710" s="78" t="str">
        <f ca="1">IF(AND(LEFT("[{"&amp;M1710&amp;","&amp;CEILING(N1710*10000+(O1710-N1710)/4*(COUNTIF($F$11:F1710,F1710)-1)*10000,10)&amp;"}]",7)="[{equip",MID("[{"&amp;M1710&amp;","&amp;CEILING(N1710*10000+(O1710-N1710)/4*(COUNTIF($F$11:F1710,F1710)-1)*10000,10)&amp;"}]",8,1)&lt;&gt;"_"),"[{"&amp;M1710&amp;","&amp;1&amp;"}]","[{"&amp;M1710&amp;","&amp;CEILING(N1710*10000+(O1710-N1710)/4*(COUNTIF($F$11:F1710,F1710)-1)*10000,10)&amp;"}]")</f>
        <v>[{exp_boost,2000}]</v>
      </c>
      <c r="H1710" s="82" t="s">
        <v>563</v>
      </c>
      <c r="J1710" s="78">
        <f ca="1">IF(MOD(COUNTIF($Q$11:Q1709,Q1709),5)=0,OFFSET(装备属性!$P$1083,1+INT(COUNTA($Q$11:Q1709)/5),0),J1709)</f>
        <v>9</v>
      </c>
      <c r="K1710" s="83" t="str">
        <f ca="1">IF(RIGHT(G1710,13)="rune_slot,1}]",_xlfn.XLOOKUP(LEFT(SUBSTITUTE(G1710,"[{",""),FIND(",",SUBSTITUTE(G1710,"[{",""))-1),Sheet2!B:B,Sheet2!C:C)&amp;"+"&amp;1,_xlfn.XLOOKUP(LEFT(SUBSTITUTE(G1710,"[{",""),FIND(",",SUBSTITUTE(G1710,"[{",""))-1),Sheet2!B:B,Sheet2!C:C)&amp;"+"&amp;SUBSTITUTE(RIGHT(G1710,LEN(G1710)-FIND(",",G1710)),"}]","")/100&amp;"%")</f>
        <v>经验加成+20%</v>
      </c>
      <c r="L1710" s="83" t="str">
        <f ca="1">IF(MOD(COUNTIF($Q$11:Q1709,Q1709),5)=0,OFFSET(装备属性!$G$1083,1+INT(COUNTA($Q$11:Q1709)/5),0),L1709)</f>
        <v>涨见识</v>
      </c>
      <c r="M1710" s="89" t="str">
        <f ca="1">IF(MOD(COUNTIF($Q$11:Q1709,Q1709),5)=0,OFFSET(装备属性!$H$1083,1+INT(COUNTA($Q$11:Q1709)/5),0),M1709)</f>
        <v>exp_boost</v>
      </c>
      <c r="N1710" s="76">
        <f ca="1">IF(MOD(COUNTIF($Q$11:Q1709,Q1709),5)=0,OFFSET(装备属性!$K$1083,1+INT(COUNTA($Q$11:Q1709)/5),0),N1709)</f>
        <v>0.2</v>
      </c>
      <c r="O1710" s="76">
        <f ca="1">IF(MOD(COUNTIF($Q$11:Q1709,Q1709),5)=0,OFFSET(装备属性!$L$1083,1+INT(COUNTA($Q$11:Q1709)/5),0),O1709)</f>
        <v>0.2</v>
      </c>
      <c r="Q1710" s="89" t="str">
        <f ca="1">IF(MOD(COUNTIF($Q$11:Q1709,Q1709),5)=0,OFFSET(装备属性!$M$1083,1+INT(COUNTA($Q$11:Q1709)/5),0),Q1709)</f>
        <v>稀有词条</v>
      </c>
      <c r="R1710" s="83">
        <f ca="1">IF(MOD(COUNTIF($Q$11:Q1709,Q1709),5)=0,10000*SUBSTITUTE(SUBSTITUTE(OFFSET(装备属性!$F$1083,1+INT(COUNTA($Q$11:Q1709)/5),0),"[",""),"]","")+_xlfn.XLOOKUP(C1710,$M$3:$M$7,$N$3:$N$7)*100,R1709)</f>
        <v>60700</v>
      </c>
    </row>
    <row r="1711" customHeight="1" spans="1:18">
      <c r="A1711" s="78">
        <f ca="1" t="shared" si="80"/>
        <v>60703</v>
      </c>
      <c r="B1711" s="82">
        <f ca="1">IFERROR(R1711+COUNTIFS($R$11:$R1711,R1711),"")</f>
        <v>60716</v>
      </c>
      <c r="C1711" s="83" t="str">
        <f ca="1">IF(MOD(COUNTIF($Q$11:Q1710,Q1710),5)=0,OFFSET(装备属性!$D$1083,1+INT(COUNTA($Q$11:Q1710)/5),0),C1710)</f>
        <v>粉</v>
      </c>
      <c r="D1711" s="82">
        <f t="shared" si="83"/>
        <v>3000</v>
      </c>
      <c r="F1711" s="82">
        <f ca="1" t="shared" si="81"/>
        <v>60703</v>
      </c>
      <c r="G1711" s="78" t="str">
        <f ca="1">IF(AND(LEFT("[{"&amp;M1711&amp;","&amp;CEILING(N1711*10000+(O1711-N1711)/4*(COUNTIF($F$11:F1711,F1711)-1)*10000,10)&amp;"}]",7)="[{equip",MID("[{"&amp;M1711&amp;","&amp;CEILING(N1711*10000+(O1711-N1711)/4*(COUNTIF($F$11:F1711,F1711)-1)*10000,10)&amp;"}]",8,1)&lt;&gt;"_"),"[{"&amp;M1711&amp;","&amp;1&amp;"}]","[{"&amp;M1711&amp;","&amp;CEILING(N1711*10000+(O1711-N1711)/4*(COUNTIF($F$11:F1711,F1711)-1)*10000,10)&amp;"}]")</f>
        <v>[{equip_base_attr,2500}]</v>
      </c>
      <c r="H1711" s="82" t="s">
        <v>563</v>
      </c>
      <c r="J1711" s="78">
        <f ca="1">IF(MOD(COUNTIF($Q$11:Q1710,Q1710),5)=0,OFFSET(装备属性!$P$1083,1+INT(COUNTA($Q$11:Q1710)/5),0),J1710)</f>
        <v>7</v>
      </c>
      <c r="K1711" s="83" t="str">
        <f ca="1">IF(RIGHT(G1711,13)="rune_slot,1}]",_xlfn.XLOOKUP(LEFT(SUBSTITUTE(G1711,"[{",""),FIND(",",SUBSTITUTE(G1711,"[{",""))-1),Sheet2!B:B,Sheet2!C:C)&amp;"+"&amp;1,_xlfn.XLOOKUP(LEFT(SUBSTITUTE(G1711,"[{",""),FIND(",",SUBSTITUTE(G1711,"[{",""))-1),Sheet2!B:B,Sheet2!C:C)&amp;"+"&amp;SUBSTITUTE(RIGHT(G1711,LEN(G1711)-FIND(",",G1711)),"}]","")/100&amp;"%")</f>
        <v>装备基础属性加成+25%</v>
      </c>
      <c r="L1711" s="83" t="str">
        <f ca="1">IF(MOD(COUNTIF($Q$11:Q1710,Q1710),5)=0,OFFSET(装备属性!$G$1083,1+INT(COUNTA($Q$11:Q1710)/5),0),L1710)</f>
        <v>厚底子</v>
      </c>
      <c r="M1711" s="89" t="str">
        <f ca="1">IF(MOD(COUNTIF($Q$11:Q1710,Q1710),5)=0,OFFSET(装备属性!$H$1083,1+INT(COUNTA($Q$11:Q1710)/5),0),M1710)</f>
        <v>equip_base_attr</v>
      </c>
      <c r="N1711" s="76">
        <f ca="1">IF(MOD(COUNTIF($Q$11:Q1710,Q1710),5)=0,OFFSET(装备属性!$K$1083,1+INT(COUNTA($Q$11:Q1710)/5),0),N1710)</f>
        <v>0.25</v>
      </c>
      <c r="O1711" s="76">
        <f ca="1">IF(MOD(COUNTIF($Q$11:Q1710,Q1710),5)=0,OFFSET(装备属性!$L$1083,1+INT(COUNTA($Q$11:Q1710)/5),0),O1710)</f>
        <v>0.25</v>
      </c>
      <c r="Q1711" s="89" t="str">
        <f ca="1">IF(MOD(COUNTIF($Q$11:Q1710,Q1710),5)=0,OFFSET(装备属性!$M$1083,1+INT(COUNTA($Q$11:Q1710)/5),0),Q1710)</f>
        <v>稀有词条</v>
      </c>
      <c r="R1711" s="83">
        <f ca="1">IF(MOD(COUNTIF($Q$11:Q1710,Q1710),5)=0,10000*SUBSTITUTE(SUBSTITUTE(OFFSET(装备属性!$F$1083,1+INT(COUNTA($Q$11:Q1710)/5),0),"[",""),"]","")+_xlfn.XLOOKUP(C1711,$M$3:$M$7,$N$3:$N$7)*100,R1710)</f>
        <v>60700</v>
      </c>
    </row>
    <row r="1712" customHeight="1" spans="1:18">
      <c r="A1712" s="78">
        <f ca="1" t="shared" si="80"/>
        <v>60703</v>
      </c>
      <c r="B1712" s="82">
        <f ca="1">IFERROR(R1712+COUNTIFS($R$11:$R1712,R1712),"")</f>
        <v>60717</v>
      </c>
      <c r="C1712" s="83" t="str">
        <f ca="1">IF(MOD(COUNTIF($Q$11:Q1711,Q1711),5)=0,OFFSET(装备属性!$D$1083,1+INT(COUNTA($Q$11:Q1711)/5),0),C1711)</f>
        <v>粉</v>
      </c>
      <c r="D1712" s="82">
        <f t="shared" si="83"/>
        <v>2500</v>
      </c>
      <c r="F1712" s="82">
        <f ca="1" t="shared" si="81"/>
        <v>60703</v>
      </c>
      <c r="G1712" s="78" t="str">
        <f ca="1">IF(AND(LEFT("[{"&amp;M1712&amp;","&amp;CEILING(N1712*10000+(O1712-N1712)/4*(COUNTIF($F$11:F1712,F1712)-1)*10000,10)&amp;"}]",7)="[{equip",MID("[{"&amp;M1712&amp;","&amp;CEILING(N1712*10000+(O1712-N1712)/4*(COUNTIF($F$11:F1712,F1712)-1)*10000,10)&amp;"}]",8,1)&lt;&gt;"_"),"[{"&amp;M1712&amp;","&amp;1&amp;"}]","[{"&amp;M1712&amp;","&amp;CEILING(N1712*10000+(O1712-N1712)/4*(COUNTIF($F$11:F1712,F1712)-1)*10000,10)&amp;"}]")</f>
        <v>[{equip_base_attr,2500}]</v>
      </c>
      <c r="H1712" s="82" t="s">
        <v>563</v>
      </c>
      <c r="J1712" s="78">
        <f ca="1">IF(MOD(COUNTIF($Q$11:Q1711,Q1711),5)=0,OFFSET(装备属性!$P$1083,1+INT(COUNTA($Q$11:Q1711)/5),0),J1711)</f>
        <v>7</v>
      </c>
      <c r="K1712" s="83" t="str">
        <f ca="1">IF(RIGHT(G1712,13)="rune_slot,1}]",_xlfn.XLOOKUP(LEFT(SUBSTITUTE(G1712,"[{",""),FIND(",",SUBSTITUTE(G1712,"[{",""))-1),Sheet2!B:B,Sheet2!C:C)&amp;"+"&amp;1,_xlfn.XLOOKUP(LEFT(SUBSTITUTE(G1712,"[{",""),FIND(",",SUBSTITUTE(G1712,"[{",""))-1),Sheet2!B:B,Sheet2!C:C)&amp;"+"&amp;SUBSTITUTE(RIGHT(G1712,LEN(G1712)-FIND(",",G1712)),"}]","")/100&amp;"%")</f>
        <v>装备基础属性加成+25%</v>
      </c>
      <c r="L1712" s="83" t="str">
        <f ca="1">IF(MOD(COUNTIF($Q$11:Q1711,Q1711),5)=0,OFFSET(装备属性!$G$1083,1+INT(COUNTA($Q$11:Q1711)/5),0),L1711)</f>
        <v>厚底子</v>
      </c>
      <c r="M1712" s="89" t="str">
        <f ca="1">IF(MOD(COUNTIF($Q$11:Q1711,Q1711),5)=0,OFFSET(装备属性!$H$1083,1+INT(COUNTA($Q$11:Q1711)/5),0),M1711)</f>
        <v>equip_base_attr</v>
      </c>
      <c r="N1712" s="76">
        <f ca="1">IF(MOD(COUNTIF($Q$11:Q1711,Q1711),5)=0,OFFSET(装备属性!$K$1083,1+INT(COUNTA($Q$11:Q1711)/5),0),N1711)</f>
        <v>0.25</v>
      </c>
      <c r="O1712" s="76">
        <f ca="1">IF(MOD(COUNTIF($Q$11:Q1711,Q1711),5)=0,OFFSET(装备属性!$L$1083,1+INT(COUNTA($Q$11:Q1711)/5),0),O1711)</f>
        <v>0.25</v>
      </c>
      <c r="Q1712" s="89" t="str">
        <f ca="1">IF(MOD(COUNTIF($Q$11:Q1711,Q1711),5)=0,OFFSET(装备属性!$M$1083,1+INT(COUNTA($Q$11:Q1711)/5),0),Q1711)</f>
        <v>稀有词条</v>
      </c>
      <c r="R1712" s="83">
        <f ca="1">IF(MOD(COUNTIF($Q$11:Q1711,Q1711),5)=0,10000*SUBSTITUTE(SUBSTITUTE(OFFSET(装备属性!$F$1083,1+INT(COUNTA($Q$11:Q1711)/5),0),"[",""),"]","")+_xlfn.XLOOKUP(C1712,$M$3:$M$7,$N$3:$N$7)*100,R1711)</f>
        <v>60700</v>
      </c>
    </row>
    <row r="1713" customHeight="1" spans="1:18">
      <c r="A1713" s="78">
        <f ca="1" t="shared" si="80"/>
        <v>60703</v>
      </c>
      <c r="B1713" s="82">
        <f ca="1">IFERROR(R1713+COUNTIFS($R$11:$R1713,R1713),"")</f>
        <v>60718</v>
      </c>
      <c r="C1713" s="83" t="str">
        <f ca="1">IF(MOD(COUNTIF($Q$11:Q1712,Q1712),5)=0,OFFSET(装备属性!$D$1083,1+INT(COUNTA($Q$11:Q1712)/5),0),C1712)</f>
        <v>粉</v>
      </c>
      <c r="D1713" s="82">
        <f t="shared" si="83"/>
        <v>2000</v>
      </c>
      <c r="F1713" s="82">
        <f ca="1" t="shared" si="81"/>
        <v>60703</v>
      </c>
      <c r="G1713" s="78" t="str">
        <f ca="1">IF(AND(LEFT("[{"&amp;M1713&amp;","&amp;CEILING(N1713*10000+(O1713-N1713)/4*(COUNTIF($F$11:F1713,F1713)-1)*10000,10)&amp;"}]",7)="[{equip",MID("[{"&amp;M1713&amp;","&amp;CEILING(N1713*10000+(O1713-N1713)/4*(COUNTIF($F$11:F1713,F1713)-1)*10000,10)&amp;"}]",8,1)&lt;&gt;"_"),"[{"&amp;M1713&amp;","&amp;1&amp;"}]","[{"&amp;M1713&amp;","&amp;CEILING(N1713*10000+(O1713-N1713)/4*(COUNTIF($F$11:F1713,F1713)-1)*10000,10)&amp;"}]")</f>
        <v>[{equip_base_attr,2500}]</v>
      </c>
      <c r="H1713" s="82" t="s">
        <v>563</v>
      </c>
      <c r="J1713" s="78">
        <f ca="1">IF(MOD(COUNTIF($Q$11:Q1712,Q1712),5)=0,OFFSET(装备属性!$P$1083,1+INT(COUNTA($Q$11:Q1712)/5),0),J1712)</f>
        <v>7</v>
      </c>
      <c r="K1713" s="83" t="str">
        <f ca="1">IF(RIGHT(G1713,13)="rune_slot,1}]",_xlfn.XLOOKUP(LEFT(SUBSTITUTE(G1713,"[{",""),FIND(",",SUBSTITUTE(G1713,"[{",""))-1),Sheet2!B:B,Sheet2!C:C)&amp;"+"&amp;1,_xlfn.XLOOKUP(LEFT(SUBSTITUTE(G1713,"[{",""),FIND(",",SUBSTITUTE(G1713,"[{",""))-1),Sheet2!B:B,Sheet2!C:C)&amp;"+"&amp;SUBSTITUTE(RIGHT(G1713,LEN(G1713)-FIND(",",G1713)),"}]","")/100&amp;"%")</f>
        <v>装备基础属性加成+25%</v>
      </c>
      <c r="L1713" s="83" t="str">
        <f ca="1">IF(MOD(COUNTIF($Q$11:Q1712,Q1712),5)=0,OFFSET(装备属性!$G$1083,1+INT(COUNTA($Q$11:Q1712)/5),0),L1712)</f>
        <v>厚底子</v>
      </c>
      <c r="M1713" s="89" t="str">
        <f ca="1">IF(MOD(COUNTIF($Q$11:Q1712,Q1712),5)=0,OFFSET(装备属性!$H$1083,1+INT(COUNTA($Q$11:Q1712)/5),0),M1712)</f>
        <v>equip_base_attr</v>
      </c>
      <c r="N1713" s="76">
        <f ca="1">IF(MOD(COUNTIF($Q$11:Q1712,Q1712),5)=0,OFFSET(装备属性!$K$1083,1+INT(COUNTA($Q$11:Q1712)/5),0),N1712)</f>
        <v>0.25</v>
      </c>
      <c r="O1713" s="76">
        <f ca="1">IF(MOD(COUNTIF($Q$11:Q1712,Q1712),5)=0,OFFSET(装备属性!$L$1083,1+INT(COUNTA($Q$11:Q1712)/5),0),O1712)</f>
        <v>0.25</v>
      </c>
      <c r="Q1713" s="89" t="str">
        <f ca="1">IF(MOD(COUNTIF($Q$11:Q1712,Q1712),5)=0,OFFSET(装备属性!$M$1083,1+INT(COUNTA($Q$11:Q1712)/5),0),Q1712)</f>
        <v>稀有词条</v>
      </c>
      <c r="R1713" s="83">
        <f ca="1">IF(MOD(COUNTIF($Q$11:Q1712,Q1712),5)=0,10000*SUBSTITUTE(SUBSTITUTE(OFFSET(装备属性!$F$1083,1+INT(COUNTA($Q$11:Q1712)/5),0),"[",""),"]","")+_xlfn.XLOOKUP(C1713,$M$3:$M$7,$N$3:$N$7)*100,R1712)</f>
        <v>60700</v>
      </c>
    </row>
    <row r="1714" customHeight="1" spans="1:18">
      <c r="A1714" s="78">
        <f ca="1" t="shared" si="80"/>
        <v>60703</v>
      </c>
      <c r="B1714" s="82">
        <f ca="1">IFERROR(R1714+COUNTIFS($R$11:$R1714,R1714),"")</f>
        <v>60719</v>
      </c>
      <c r="C1714" s="83" t="str">
        <f ca="1">IF(MOD(COUNTIF($Q$11:Q1713,Q1713),5)=0,OFFSET(装备属性!$D$1083,1+INT(COUNTA($Q$11:Q1713)/5),0),C1713)</f>
        <v>粉</v>
      </c>
      <c r="D1714" s="82">
        <f t="shared" si="83"/>
        <v>1500</v>
      </c>
      <c r="F1714" s="82">
        <f ca="1" t="shared" si="81"/>
        <v>60703</v>
      </c>
      <c r="G1714" s="78" t="str">
        <f ca="1">IF(AND(LEFT("[{"&amp;M1714&amp;","&amp;CEILING(N1714*10000+(O1714-N1714)/4*(COUNTIF($F$11:F1714,F1714)-1)*10000,10)&amp;"}]",7)="[{equip",MID("[{"&amp;M1714&amp;","&amp;CEILING(N1714*10000+(O1714-N1714)/4*(COUNTIF($F$11:F1714,F1714)-1)*10000,10)&amp;"}]",8,1)&lt;&gt;"_"),"[{"&amp;M1714&amp;","&amp;1&amp;"}]","[{"&amp;M1714&amp;","&amp;CEILING(N1714*10000+(O1714-N1714)/4*(COUNTIF($F$11:F1714,F1714)-1)*10000,10)&amp;"}]")</f>
        <v>[{equip_base_attr,2500}]</v>
      </c>
      <c r="H1714" s="82" t="s">
        <v>563</v>
      </c>
      <c r="J1714" s="78">
        <f ca="1">IF(MOD(COUNTIF($Q$11:Q1713,Q1713),5)=0,OFFSET(装备属性!$P$1083,1+INT(COUNTA($Q$11:Q1713)/5),0),J1713)</f>
        <v>7</v>
      </c>
      <c r="K1714" s="83" t="str">
        <f ca="1">IF(RIGHT(G1714,13)="rune_slot,1}]",_xlfn.XLOOKUP(LEFT(SUBSTITUTE(G1714,"[{",""),FIND(",",SUBSTITUTE(G1714,"[{",""))-1),Sheet2!B:B,Sheet2!C:C)&amp;"+"&amp;1,_xlfn.XLOOKUP(LEFT(SUBSTITUTE(G1714,"[{",""),FIND(",",SUBSTITUTE(G1714,"[{",""))-1),Sheet2!B:B,Sheet2!C:C)&amp;"+"&amp;SUBSTITUTE(RIGHT(G1714,LEN(G1714)-FIND(",",G1714)),"}]","")/100&amp;"%")</f>
        <v>装备基础属性加成+25%</v>
      </c>
      <c r="L1714" s="83" t="str">
        <f ca="1">IF(MOD(COUNTIF($Q$11:Q1713,Q1713),5)=0,OFFSET(装备属性!$G$1083,1+INT(COUNTA($Q$11:Q1713)/5),0),L1713)</f>
        <v>厚底子</v>
      </c>
      <c r="M1714" s="89" t="str">
        <f ca="1">IF(MOD(COUNTIF($Q$11:Q1713,Q1713),5)=0,OFFSET(装备属性!$H$1083,1+INT(COUNTA($Q$11:Q1713)/5),0),M1713)</f>
        <v>equip_base_attr</v>
      </c>
      <c r="N1714" s="76">
        <f ca="1">IF(MOD(COUNTIF($Q$11:Q1713,Q1713),5)=0,OFFSET(装备属性!$K$1083,1+INT(COUNTA($Q$11:Q1713)/5),0),N1713)</f>
        <v>0.25</v>
      </c>
      <c r="O1714" s="76">
        <f ca="1">IF(MOD(COUNTIF($Q$11:Q1713,Q1713),5)=0,OFFSET(装备属性!$L$1083,1+INT(COUNTA($Q$11:Q1713)/5),0),O1713)</f>
        <v>0.25</v>
      </c>
      <c r="Q1714" s="89" t="str">
        <f ca="1">IF(MOD(COUNTIF($Q$11:Q1713,Q1713),5)=0,OFFSET(装备属性!$M$1083,1+INT(COUNTA($Q$11:Q1713)/5),0),Q1713)</f>
        <v>稀有词条</v>
      </c>
      <c r="R1714" s="83">
        <f ca="1">IF(MOD(COUNTIF($Q$11:Q1713,Q1713),5)=0,10000*SUBSTITUTE(SUBSTITUTE(OFFSET(装备属性!$F$1083,1+INT(COUNTA($Q$11:Q1713)/5),0),"[",""),"]","")+_xlfn.XLOOKUP(C1714,$M$3:$M$7,$N$3:$N$7)*100,R1713)</f>
        <v>60700</v>
      </c>
    </row>
    <row r="1715" customHeight="1" spans="1:18">
      <c r="A1715" s="78">
        <f ca="1" t="shared" si="80"/>
        <v>60703</v>
      </c>
      <c r="B1715" s="82">
        <f ca="1">IFERROR(R1715+COUNTIFS($R$11:$R1715,R1715),"")</f>
        <v>60720</v>
      </c>
      <c r="C1715" s="83" t="str">
        <f ca="1">IF(MOD(COUNTIF($Q$11:Q1714,Q1714),5)=0,OFFSET(装备属性!$D$1083,1+INT(COUNTA($Q$11:Q1714)/5),0),C1714)</f>
        <v>粉</v>
      </c>
      <c r="D1715" s="82">
        <f t="shared" si="83"/>
        <v>1000</v>
      </c>
      <c r="F1715" s="82">
        <f ca="1" t="shared" si="81"/>
        <v>60703</v>
      </c>
      <c r="G1715" s="78" t="str">
        <f ca="1">IF(AND(LEFT("[{"&amp;M1715&amp;","&amp;CEILING(N1715*10000+(O1715-N1715)/4*(COUNTIF($F$11:F1715,F1715)-1)*10000,10)&amp;"}]",7)="[{equip",MID("[{"&amp;M1715&amp;","&amp;CEILING(N1715*10000+(O1715-N1715)/4*(COUNTIF($F$11:F1715,F1715)-1)*10000,10)&amp;"}]",8,1)&lt;&gt;"_"),"[{"&amp;M1715&amp;","&amp;1&amp;"}]","[{"&amp;M1715&amp;","&amp;CEILING(N1715*10000+(O1715-N1715)/4*(COUNTIF($F$11:F1715,F1715)-1)*10000,10)&amp;"}]")</f>
        <v>[{equip_base_attr,2500}]</v>
      </c>
      <c r="H1715" s="82" t="s">
        <v>563</v>
      </c>
      <c r="J1715" s="78">
        <f ca="1">IF(MOD(COUNTIF($Q$11:Q1714,Q1714),5)=0,OFFSET(装备属性!$P$1083,1+INT(COUNTA($Q$11:Q1714)/5),0),J1714)</f>
        <v>7</v>
      </c>
      <c r="K1715" s="83" t="str">
        <f ca="1">IF(RIGHT(G1715,13)="rune_slot,1}]",_xlfn.XLOOKUP(LEFT(SUBSTITUTE(G1715,"[{",""),FIND(",",SUBSTITUTE(G1715,"[{",""))-1),Sheet2!B:B,Sheet2!C:C)&amp;"+"&amp;1,_xlfn.XLOOKUP(LEFT(SUBSTITUTE(G1715,"[{",""),FIND(",",SUBSTITUTE(G1715,"[{",""))-1),Sheet2!B:B,Sheet2!C:C)&amp;"+"&amp;SUBSTITUTE(RIGHT(G1715,LEN(G1715)-FIND(",",G1715)),"}]","")/100&amp;"%")</f>
        <v>装备基础属性加成+25%</v>
      </c>
      <c r="L1715" s="83" t="str">
        <f ca="1">IF(MOD(COUNTIF($Q$11:Q1714,Q1714),5)=0,OFFSET(装备属性!$G$1083,1+INT(COUNTA($Q$11:Q1714)/5),0),L1714)</f>
        <v>厚底子</v>
      </c>
      <c r="M1715" s="89" t="str">
        <f ca="1">IF(MOD(COUNTIF($Q$11:Q1714,Q1714),5)=0,OFFSET(装备属性!$H$1083,1+INT(COUNTA($Q$11:Q1714)/5),0),M1714)</f>
        <v>equip_base_attr</v>
      </c>
      <c r="N1715" s="76">
        <f ca="1">IF(MOD(COUNTIF($Q$11:Q1714,Q1714),5)=0,OFFSET(装备属性!$K$1083,1+INT(COUNTA($Q$11:Q1714)/5),0),N1714)</f>
        <v>0.25</v>
      </c>
      <c r="O1715" s="76">
        <f ca="1">IF(MOD(COUNTIF($Q$11:Q1714,Q1714),5)=0,OFFSET(装备属性!$L$1083,1+INT(COUNTA($Q$11:Q1714)/5),0),O1714)</f>
        <v>0.25</v>
      </c>
      <c r="Q1715" s="89" t="str">
        <f ca="1">IF(MOD(COUNTIF($Q$11:Q1714,Q1714),5)=0,OFFSET(装备属性!$M$1083,1+INT(COUNTA($Q$11:Q1714)/5),0),Q1714)</f>
        <v>稀有词条</v>
      </c>
      <c r="R1715" s="83">
        <f ca="1">IF(MOD(COUNTIF($Q$11:Q1714,Q1714),5)=0,10000*SUBSTITUTE(SUBSTITUTE(OFFSET(装备属性!$F$1083,1+INT(COUNTA($Q$11:Q1714)/5),0),"[",""),"]","")+_xlfn.XLOOKUP(C1715,$M$3:$M$7,$N$3:$N$7)*100,R1714)</f>
        <v>60700</v>
      </c>
    </row>
    <row r="1716" customHeight="1" spans="1:18">
      <c r="A1716" s="78" t="str">
        <f ca="1" t="shared" si="80"/>
        <v/>
      </c>
      <c r="B1716" s="82" t="str">
        <f ca="1">IFERROR(R1716+COUNTIFS($R$11:$R1716,R1716),"")</f>
        <v/>
      </c>
      <c r="C1716" s="83">
        <f ca="1">IF(MOD(COUNTIF($Q$11:Q1715,Q1715),5)=0,OFFSET(装备属性!$D$1083,1+INT(COUNTA($Q$11:Q1715)/5),0),C1715)</f>
        <v>0</v>
      </c>
      <c r="D1716" s="82">
        <f t="shared" si="83"/>
        <v>3000</v>
      </c>
      <c r="F1716" s="82" t="str">
        <f ca="1" t="shared" si="81"/>
        <v/>
      </c>
      <c r="G1716" s="78" t="str">
        <f ca="1">IF(AND(LEFT("[{"&amp;M1716&amp;","&amp;CEILING(N1716*10000+(O1716-N1716)/4*(COUNTIF($F$11:F1716,F1716)-1)*10000,10)&amp;"}]",7)="[{equip",MID("[{"&amp;M1716&amp;","&amp;CEILING(N1716*10000+(O1716-N1716)/4*(COUNTIF($F$11:F1716,F1716)-1)*10000,10)&amp;"}]",8,1)&lt;&gt;"_"),"[{"&amp;M1716&amp;","&amp;1&amp;"}]","[{"&amp;M1716&amp;","&amp;CEILING(N1716*10000+(O1716-N1716)/4*(COUNTIF($F$11:F1716,F1716)-1)*10000,10)&amp;"}]")</f>
        <v>[{equip_extra_attr,5000}]</v>
      </c>
      <c r="H1716" s="82" t="s">
        <v>563</v>
      </c>
      <c r="J1716" s="78">
        <f ca="1">IF(MOD(COUNTIF($Q$11:Q1715,Q1715),5)=0,OFFSET(装备属性!$P$1083,1+INT(COUNTA($Q$11:Q1715)/5),0),J1715)</f>
        <v>8</v>
      </c>
      <c r="K1716" s="83" t="str">
        <f ca="1">IF(RIGHT(G1716,13)="rune_slot,1}]",_xlfn.XLOOKUP(LEFT(SUBSTITUTE(G1716,"[{",""),FIND(",",SUBSTITUTE(G1716,"[{",""))-1),Sheet2!B:B,Sheet2!C:C)&amp;"+"&amp;1,_xlfn.XLOOKUP(LEFT(SUBSTITUTE(G1716,"[{",""),FIND(",",SUBSTITUTE(G1716,"[{",""))-1),Sheet2!B:B,Sheet2!C:C)&amp;"+"&amp;SUBSTITUTE(RIGHT(G1716,LEN(G1716)-FIND(",",G1716)),"}]","")/100&amp;"%")</f>
        <v>装备附加属性加成+50%</v>
      </c>
      <c r="L1716" s="83" t="str">
        <f ca="1">IF(MOD(COUNTIF($Q$11:Q1715,Q1715),5)=0,OFFSET(装备属性!$G$1083,1+INT(COUNTA($Q$11:Q1715)/5),0),L1715)</f>
        <v>提成色</v>
      </c>
      <c r="M1716" s="89" t="str">
        <f ca="1">IF(MOD(COUNTIF($Q$11:Q1715,Q1715),5)=0,OFFSET(装备属性!$H$1083,1+INT(COUNTA($Q$11:Q1715)/5),0),M1715)</f>
        <v>equip_extra_attr</v>
      </c>
      <c r="N1716" s="76">
        <f ca="1">IF(MOD(COUNTIF($Q$11:Q1715,Q1715),5)=0,OFFSET(装备属性!$K$1083,1+INT(COUNTA($Q$11:Q1715)/5),0),N1715)</f>
        <v>0.5</v>
      </c>
      <c r="O1716" s="76">
        <f ca="1">IF(MOD(COUNTIF($Q$11:Q1715,Q1715),5)=0,OFFSET(装备属性!$L$1083,1+INT(COUNTA($Q$11:Q1715)/5),0),O1715)</f>
        <v>0.5</v>
      </c>
      <c r="Q1716" s="89" t="str">
        <f ca="1">IF(MOD(COUNTIF($Q$11:Q1715,Q1715),5)=0,OFFSET(装备属性!$M$1083,1+INT(COUNTA($Q$11:Q1715)/5),0),Q1715)</f>
        <v>稀有词条</v>
      </c>
      <c r="R1716" s="83" t="e">
        <f ca="1">IF(MOD(COUNTIF($Q$11:Q1715,Q1715),5)=0,10000*SUBSTITUTE(SUBSTITUTE(OFFSET(装备属性!$F$1083,1+INT(COUNTA($Q$11:Q1715)/5),0),"[",""),"]","")+_xlfn.XLOOKUP(C1716,$M$3:$M$7,$N$3:$N$7)*100,R1715)</f>
        <v>#N/A</v>
      </c>
    </row>
    <row r="1717" customHeight="1" spans="1:18">
      <c r="A1717" s="78" t="str">
        <f ca="1" t="shared" si="80"/>
        <v/>
      </c>
      <c r="B1717" s="82" t="str">
        <f ca="1">IFERROR(R1717+COUNTIFS($R$11:$R1717,R1717),"")</f>
        <v/>
      </c>
      <c r="C1717" s="83">
        <f ca="1">IF(MOD(COUNTIF($Q$11:Q1716,Q1716),5)=0,OFFSET(装备属性!$D$1083,1+INT(COUNTA($Q$11:Q1716)/5),0),C1716)</f>
        <v>0</v>
      </c>
      <c r="D1717" s="82">
        <f t="shared" si="83"/>
        <v>2500</v>
      </c>
      <c r="F1717" s="82" t="str">
        <f ca="1" t="shared" si="81"/>
        <v/>
      </c>
      <c r="G1717" s="78" t="str">
        <f ca="1">IF(AND(LEFT("[{"&amp;M1717&amp;","&amp;CEILING(N1717*10000+(O1717-N1717)/4*(COUNTIF($F$11:F1717,F1717)-1)*10000,10)&amp;"}]",7)="[{equip",MID("[{"&amp;M1717&amp;","&amp;CEILING(N1717*10000+(O1717-N1717)/4*(COUNTIF($F$11:F1717,F1717)-1)*10000,10)&amp;"}]",8,1)&lt;&gt;"_"),"[{"&amp;M1717&amp;","&amp;1&amp;"}]","[{"&amp;M1717&amp;","&amp;CEILING(N1717*10000+(O1717-N1717)/4*(COUNTIF($F$11:F1717,F1717)-1)*10000,10)&amp;"}]")</f>
        <v>[{equip_extra_attr,5000}]</v>
      </c>
      <c r="H1717" s="82" t="s">
        <v>563</v>
      </c>
      <c r="J1717" s="78">
        <f ca="1">IF(MOD(COUNTIF($Q$11:Q1716,Q1716),5)=0,OFFSET(装备属性!$P$1083,1+INT(COUNTA($Q$11:Q1716)/5),0),J1716)</f>
        <v>8</v>
      </c>
      <c r="K1717" s="83" t="str">
        <f ca="1">IF(RIGHT(G1717,13)="rune_slot,1}]",_xlfn.XLOOKUP(LEFT(SUBSTITUTE(G1717,"[{",""),FIND(",",SUBSTITUTE(G1717,"[{",""))-1),Sheet2!B:B,Sheet2!C:C)&amp;"+"&amp;1,_xlfn.XLOOKUP(LEFT(SUBSTITUTE(G1717,"[{",""),FIND(",",SUBSTITUTE(G1717,"[{",""))-1),Sheet2!B:B,Sheet2!C:C)&amp;"+"&amp;SUBSTITUTE(RIGHT(G1717,LEN(G1717)-FIND(",",G1717)),"}]","")/100&amp;"%")</f>
        <v>装备附加属性加成+50%</v>
      </c>
      <c r="L1717" s="83" t="str">
        <f ca="1">IF(MOD(COUNTIF($Q$11:Q1716,Q1716),5)=0,OFFSET(装备属性!$G$1083,1+INT(COUNTA($Q$11:Q1716)/5),0),L1716)</f>
        <v>提成色</v>
      </c>
      <c r="M1717" s="89" t="str">
        <f ca="1">IF(MOD(COUNTIF($Q$11:Q1716,Q1716),5)=0,OFFSET(装备属性!$H$1083,1+INT(COUNTA($Q$11:Q1716)/5),0),M1716)</f>
        <v>equip_extra_attr</v>
      </c>
      <c r="N1717" s="76">
        <f ca="1">IF(MOD(COUNTIF($Q$11:Q1716,Q1716),5)=0,OFFSET(装备属性!$K$1083,1+INT(COUNTA($Q$11:Q1716)/5),0),N1716)</f>
        <v>0.5</v>
      </c>
      <c r="O1717" s="76">
        <f ca="1">IF(MOD(COUNTIF($Q$11:Q1716,Q1716),5)=0,OFFSET(装备属性!$L$1083,1+INT(COUNTA($Q$11:Q1716)/5),0),O1716)</f>
        <v>0.5</v>
      </c>
      <c r="Q1717" s="89" t="str">
        <f ca="1">IF(MOD(COUNTIF($Q$11:Q1716,Q1716),5)=0,OFFSET(装备属性!$M$1083,1+INT(COUNTA($Q$11:Q1716)/5),0),Q1716)</f>
        <v>稀有词条</v>
      </c>
      <c r="R1717" s="83" t="e">
        <f ca="1">IF(MOD(COUNTIF($Q$11:Q1716,Q1716),5)=0,10000*SUBSTITUTE(SUBSTITUTE(OFFSET(装备属性!$F$1083,1+INT(COUNTA($Q$11:Q1716)/5),0),"[",""),"]","")+_xlfn.XLOOKUP(C1717,$M$3:$M$7,$N$3:$N$7)*100,R1716)</f>
        <v>#N/A</v>
      </c>
    </row>
    <row r="1718" customHeight="1" spans="1:18">
      <c r="A1718" s="78" t="str">
        <f ca="1" t="shared" si="80"/>
        <v/>
      </c>
      <c r="B1718" s="82" t="str">
        <f ca="1">IFERROR(R1718+COUNTIFS($R$11:$R1718,R1718),"")</f>
        <v/>
      </c>
      <c r="C1718" s="83">
        <f ca="1">IF(MOD(COUNTIF($Q$11:Q1717,Q1717),5)=0,OFFSET(装备属性!$D$1083,1+INT(COUNTA($Q$11:Q1717)/5),0),C1717)</f>
        <v>0</v>
      </c>
      <c r="D1718" s="82">
        <f t="shared" si="83"/>
        <v>2000</v>
      </c>
      <c r="F1718" s="82" t="str">
        <f ca="1" t="shared" si="81"/>
        <v/>
      </c>
      <c r="G1718" s="78" t="str">
        <f ca="1">IF(AND(LEFT("[{"&amp;M1718&amp;","&amp;CEILING(N1718*10000+(O1718-N1718)/4*(COUNTIF($F$11:F1718,F1718)-1)*10000,10)&amp;"}]",7)="[{equip",MID("[{"&amp;M1718&amp;","&amp;CEILING(N1718*10000+(O1718-N1718)/4*(COUNTIF($F$11:F1718,F1718)-1)*10000,10)&amp;"}]",8,1)&lt;&gt;"_"),"[{"&amp;M1718&amp;","&amp;1&amp;"}]","[{"&amp;M1718&amp;","&amp;CEILING(N1718*10000+(O1718-N1718)/4*(COUNTIF($F$11:F1718,F1718)-1)*10000,10)&amp;"}]")</f>
        <v>[{equip_extra_attr,5000}]</v>
      </c>
      <c r="H1718" s="82" t="s">
        <v>563</v>
      </c>
      <c r="J1718" s="78">
        <f ca="1">IF(MOD(COUNTIF($Q$11:Q1717,Q1717),5)=0,OFFSET(装备属性!$P$1083,1+INT(COUNTA($Q$11:Q1717)/5),0),J1717)</f>
        <v>8</v>
      </c>
      <c r="K1718" s="83" t="str">
        <f ca="1">IF(RIGHT(G1718,13)="rune_slot,1}]",_xlfn.XLOOKUP(LEFT(SUBSTITUTE(G1718,"[{",""),FIND(",",SUBSTITUTE(G1718,"[{",""))-1),Sheet2!B:B,Sheet2!C:C)&amp;"+"&amp;1,_xlfn.XLOOKUP(LEFT(SUBSTITUTE(G1718,"[{",""),FIND(",",SUBSTITUTE(G1718,"[{",""))-1),Sheet2!B:B,Sheet2!C:C)&amp;"+"&amp;SUBSTITUTE(RIGHT(G1718,LEN(G1718)-FIND(",",G1718)),"}]","")/100&amp;"%")</f>
        <v>装备附加属性加成+50%</v>
      </c>
      <c r="L1718" s="83" t="str">
        <f ca="1">IF(MOD(COUNTIF($Q$11:Q1717,Q1717),5)=0,OFFSET(装备属性!$G$1083,1+INT(COUNTA($Q$11:Q1717)/5),0),L1717)</f>
        <v>提成色</v>
      </c>
      <c r="M1718" s="89" t="str">
        <f ca="1">IF(MOD(COUNTIF($Q$11:Q1717,Q1717),5)=0,OFFSET(装备属性!$H$1083,1+INT(COUNTA($Q$11:Q1717)/5),0),M1717)</f>
        <v>equip_extra_attr</v>
      </c>
      <c r="N1718" s="76">
        <f ca="1">IF(MOD(COUNTIF($Q$11:Q1717,Q1717),5)=0,OFFSET(装备属性!$K$1083,1+INT(COUNTA($Q$11:Q1717)/5),0),N1717)</f>
        <v>0.5</v>
      </c>
      <c r="O1718" s="76">
        <f ca="1">IF(MOD(COUNTIF($Q$11:Q1717,Q1717),5)=0,OFFSET(装备属性!$L$1083,1+INT(COUNTA($Q$11:Q1717)/5),0),O1717)</f>
        <v>0.5</v>
      </c>
      <c r="Q1718" s="89" t="str">
        <f ca="1">IF(MOD(COUNTIF($Q$11:Q1717,Q1717),5)=0,OFFSET(装备属性!$M$1083,1+INT(COUNTA($Q$11:Q1717)/5),0),Q1717)</f>
        <v>稀有词条</v>
      </c>
      <c r="R1718" s="83" t="e">
        <f ca="1">IF(MOD(COUNTIF($Q$11:Q1717,Q1717),5)=0,10000*SUBSTITUTE(SUBSTITUTE(OFFSET(装备属性!$F$1083,1+INT(COUNTA($Q$11:Q1717)/5),0),"[",""),"]","")+_xlfn.XLOOKUP(C1718,$M$3:$M$7,$N$3:$N$7)*100,R1717)</f>
        <v>#N/A</v>
      </c>
    </row>
    <row r="1719" customHeight="1" spans="1:18">
      <c r="A1719" s="78" t="str">
        <f ca="1" t="shared" si="80"/>
        <v/>
      </c>
      <c r="B1719" s="82" t="str">
        <f ca="1">IFERROR(R1719+COUNTIFS($R$11:$R1719,R1719),"")</f>
        <v/>
      </c>
      <c r="C1719" s="83">
        <f ca="1">IF(MOD(COUNTIF($Q$11:Q1718,Q1718),5)=0,OFFSET(装备属性!$D$1083,1+INT(COUNTA($Q$11:Q1718)/5),0),C1718)</f>
        <v>0</v>
      </c>
      <c r="D1719" s="82">
        <f t="shared" si="83"/>
        <v>1500</v>
      </c>
      <c r="F1719" s="82" t="str">
        <f ca="1" t="shared" si="81"/>
        <v/>
      </c>
      <c r="G1719" s="78" t="str">
        <f ca="1">IF(AND(LEFT("[{"&amp;M1719&amp;","&amp;CEILING(N1719*10000+(O1719-N1719)/4*(COUNTIF($F$11:F1719,F1719)-1)*10000,10)&amp;"}]",7)="[{equip",MID("[{"&amp;M1719&amp;","&amp;CEILING(N1719*10000+(O1719-N1719)/4*(COUNTIF($F$11:F1719,F1719)-1)*10000,10)&amp;"}]",8,1)&lt;&gt;"_"),"[{"&amp;M1719&amp;","&amp;1&amp;"}]","[{"&amp;M1719&amp;","&amp;CEILING(N1719*10000+(O1719-N1719)/4*(COUNTIF($F$11:F1719,F1719)-1)*10000,10)&amp;"}]")</f>
        <v>[{equip_extra_attr,5000}]</v>
      </c>
      <c r="H1719" s="82" t="s">
        <v>563</v>
      </c>
      <c r="J1719" s="78">
        <f ca="1">IF(MOD(COUNTIF($Q$11:Q1718,Q1718),5)=0,OFFSET(装备属性!$P$1083,1+INT(COUNTA($Q$11:Q1718)/5),0),J1718)</f>
        <v>8</v>
      </c>
      <c r="K1719" s="83" t="str">
        <f ca="1">IF(RIGHT(G1719,13)="rune_slot,1}]",_xlfn.XLOOKUP(LEFT(SUBSTITUTE(G1719,"[{",""),FIND(",",SUBSTITUTE(G1719,"[{",""))-1),Sheet2!B:B,Sheet2!C:C)&amp;"+"&amp;1,_xlfn.XLOOKUP(LEFT(SUBSTITUTE(G1719,"[{",""),FIND(",",SUBSTITUTE(G1719,"[{",""))-1),Sheet2!B:B,Sheet2!C:C)&amp;"+"&amp;SUBSTITUTE(RIGHT(G1719,LEN(G1719)-FIND(",",G1719)),"}]","")/100&amp;"%")</f>
        <v>装备附加属性加成+50%</v>
      </c>
      <c r="L1719" s="83" t="str">
        <f ca="1">IF(MOD(COUNTIF($Q$11:Q1718,Q1718),5)=0,OFFSET(装备属性!$G$1083,1+INT(COUNTA($Q$11:Q1718)/5),0),L1718)</f>
        <v>提成色</v>
      </c>
      <c r="M1719" s="89" t="str">
        <f ca="1">IF(MOD(COUNTIF($Q$11:Q1718,Q1718),5)=0,OFFSET(装备属性!$H$1083,1+INT(COUNTA($Q$11:Q1718)/5),0),M1718)</f>
        <v>equip_extra_attr</v>
      </c>
      <c r="N1719" s="76">
        <f ca="1">IF(MOD(COUNTIF($Q$11:Q1718,Q1718),5)=0,OFFSET(装备属性!$K$1083,1+INT(COUNTA($Q$11:Q1718)/5),0),N1718)</f>
        <v>0.5</v>
      </c>
      <c r="O1719" s="76">
        <f ca="1">IF(MOD(COUNTIF($Q$11:Q1718,Q1718),5)=0,OFFSET(装备属性!$L$1083,1+INT(COUNTA($Q$11:Q1718)/5),0),O1718)</f>
        <v>0.5</v>
      </c>
      <c r="Q1719" s="89" t="str">
        <f ca="1">IF(MOD(COUNTIF($Q$11:Q1718,Q1718),5)=0,OFFSET(装备属性!$M$1083,1+INT(COUNTA($Q$11:Q1718)/5),0),Q1718)</f>
        <v>稀有词条</v>
      </c>
      <c r="R1719" s="83" t="e">
        <f ca="1">IF(MOD(COUNTIF($Q$11:Q1718,Q1718),5)=0,10000*SUBSTITUTE(SUBSTITUTE(OFFSET(装备属性!$F$1083,1+INT(COUNTA($Q$11:Q1718)/5),0),"[",""),"]","")+_xlfn.XLOOKUP(C1719,$M$3:$M$7,$N$3:$N$7)*100,R1718)</f>
        <v>#N/A</v>
      </c>
    </row>
    <row r="1720" customHeight="1" spans="1:18">
      <c r="A1720" s="78" t="str">
        <f ca="1" t="shared" si="80"/>
        <v/>
      </c>
      <c r="B1720" s="82" t="str">
        <f ca="1">IFERROR(R1720+COUNTIFS($R$11:$R1720,R1720),"")</f>
        <v/>
      </c>
      <c r="C1720" s="83">
        <f ca="1">IF(MOD(COUNTIF($Q$11:Q1719,Q1719),5)=0,OFFSET(装备属性!$D$1083,1+INT(COUNTA($Q$11:Q1719)/5),0),C1719)</f>
        <v>0</v>
      </c>
      <c r="D1720" s="82">
        <f t="shared" si="83"/>
        <v>1000</v>
      </c>
      <c r="F1720" s="82" t="str">
        <f ca="1" t="shared" si="81"/>
        <v/>
      </c>
      <c r="G1720" s="78" t="str">
        <f ca="1">IF(AND(LEFT("[{"&amp;M1720&amp;","&amp;CEILING(N1720*10000+(O1720-N1720)/4*(COUNTIF($F$11:F1720,F1720)-1)*10000,10)&amp;"}]",7)="[{equip",MID("[{"&amp;M1720&amp;","&amp;CEILING(N1720*10000+(O1720-N1720)/4*(COUNTIF($F$11:F1720,F1720)-1)*10000,10)&amp;"}]",8,1)&lt;&gt;"_"),"[{"&amp;M1720&amp;","&amp;1&amp;"}]","[{"&amp;M1720&amp;","&amp;CEILING(N1720*10000+(O1720-N1720)/4*(COUNTIF($F$11:F1720,F1720)-1)*10000,10)&amp;"}]")</f>
        <v>[{equip_extra_attr,5000}]</v>
      </c>
      <c r="H1720" s="82" t="s">
        <v>563</v>
      </c>
      <c r="J1720" s="78">
        <f ca="1">IF(MOD(COUNTIF($Q$11:Q1719,Q1719),5)=0,OFFSET(装备属性!$P$1083,1+INT(COUNTA($Q$11:Q1719)/5),0),J1719)</f>
        <v>8</v>
      </c>
      <c r="K1720" s="83" t="str">
        <f ca="1">IF(RIGHT(G1720,13)="rune_slot,1}]",_xlfn.XLOOKUP(LEFT(SUBSTITUTE(G1720,"[{",""),FIND(",",SUBSTITUTE(G1720,"[{",""))-1),Sheet2!B:B,Sheet2!C:C)&amp;"+"&amp;1,_xlfn.XLOOKUP(LEFT(SUBSTITUTE(G1720,"[{",""),FIND(",",SUBSTITUTE(G1720,"[{",""))-1),Sheet2!B:B,Sheet2!C:C)&amp;"+"&amp;SUBSTITUTE(RIGHT(G1720,LEN(G1720)-FIND(",",G1720)),"}]","")/100&amp;"%")</f>
        <v>装备附加属性加成+50%</v>
      </c>
      <c r="L1720" s="83" t="str">
        <f ca="1">IF(MOD(COUNTIF($Q$11:Q1719,Q1719),5)=0,OFFSET(装备属性!$G$1083,1+INT(COUNTA($Q$11:Q1719)/5),0),L1719)</f>
        <v>提成色</v>
      </c>
      <c r="M1720" s="89" t="str">
        <f ca="1">IF(MOD(COUNTIF($Q$11:Q1719,Q1719),5)=0,OFFSET(装备属性!$H$1083,1+INT(COUNTA($Q$11:Q1719)/5),0),M1719)</f>
        <v>equip_extra_attr</v>
      </c>
      <c r="N1720" s="76">
        <f ca="1">IF(MOD(COUNTIF($Q$11:Q1719,Q1719),5)=0,OFFSET(装备属性!$K$1083,1+INT(COUNTA($Q$11:Q1719)/5),0),N1719)</f>
        <v>0.5</v>
      </c>
      <c r="O1720" s="76">
        <f ca="1">IF(MOD(COUNTIF($Q$11:Q1719,Q1719),5)=0,OFFSET(装备属性!$L$1083,1+INT(COUNTA($Q$11:Q1719)/5),0),O1719)</f>
        <v>0.5</v>
      </c>
      <c r="Q1720" s="89" t="str">
        <f ca="1">IF(MOD(COUNTIF($Q$11:Q1719,Q1719),5)=0,OFFSET(装备属性!$M$1083,1+INT(COUNTA($Q$11:Q1719)/5),0),Q1719)</f>
        <v>稀有词条</v>
      </c>
      <c r="R1720" s="83" t="e">
        <f ca="1">IF(MOD(COUNTIF($Q$11:Q1719,Q1719),5)=0,10000*SUBSTITUTE(SUBSTITUTE(OFFSET(装备属性!$F$1083,1+INT(COUNTA($Q$11:Q1719)/5),0),"[",""),"]","")+_xlfn.XLOOKUP(C1720,$M$3:$M$7,$N$3:$N$7)*100,R1719)</f>
        <v>#N/A</v>
      </c>
    </row>
    <row r="1721" customHeight="1" spans="1:18">
      <c r="A1721" s="78" t="str">
        <f ca="1" t="shared" si="80"/>
        <v/>
      </c>
      <c r="B1721" s="82" t="str">
        <f ca="1">IFERROR(R1721+COUNTIFS($R$11:$R1721,R1721),"")</f>
        <v/>
      </c>
      <c r="C1721" s="83">
        <f ca="1">IF(MOD(COUNTIF($Q$11:Q1720,Q1720),5)=0,OFFSET(装备属性!$D$1083,1+INT(COUNTA($Q$11:Q1720)/5),0),C1720)</f>
        <v>0</v>
      </c>
      <c r="D1721" s="82">
        <f t="shared" si="83"/>
        <v>3000</v>
      </c>
      <c r="F1721" s="82" t="str">
        <f ca="1" t="shared" si="81"/>
        <v/>
      </c>
      <c r="G1721" s="78" t="str">
        <f ca="1">IF(AND(LEFT("[{"&amp;M1721&amp;","&amp;CEILING(N1721*10000+(O1721-N1721)/4*(COUNTIF($F$11:F1721,F1721)-1)*10000,10)&amp;"}]",7)="[{equip",MID("[{"&amp;M1721&amp;","&amp;CEILING(N1721*10000+(O1721-N1721)/4*(COUNTIF($F$11:F1721,F1721)-1)*10000,10)&amp;"}]",8,1)&lt;&gt;"_"),"[{"&amp;M1721&amp;","&amp;1&amp;"}]","[{"&amp;M1721&amp;","&amp;CEILING(N1721*10000+(O1721-N1721)/4*(COUNTIF($F$11:F1721,F1721)-1)*10000,10)&amp;"}]")</f>
        <v>[{equip4_rune_slot,1}]</v>
      </c>
      <c r="H1721" s="82" t="s">
        <v>563</v>
      </c>
      <c r="J1721" s="78">
        <f ca="1">IF(MOD(COUNTIF($Q$11:Q1720,Q1720),5)=0,OFFSET(装备属性!$P$1083,1+INT(COUNTA($Q$11:Q1720)/5),0),J1720)</f>
        <v>1</v>
      </c>
      <c r="K1721" s="83" t="str">
        <f ca="1">IF(RIGHT(G1721,13)="rune_slot,1}]",_xlfn.XLOOKUP(LEFT(SUBSTITUTE(G1721,"[{",""),FIND(",",SUBSTITUTE(G1721,"[{",""))-1),Sheet2!B:B,Sheet2!C:C)&amp;"+"&amp;1,_xlfn.XLOOKUP(LEFT(SUBSTITUTE(G1721,"[{",""),FIND(",",SUBSTITUTE(G1721,"[{",""))-1),Sheet2!B:B,Sheet2!C:C)&amp;"+"&amp;SUBSTITUTE(RIGHT(G1721,LEN(G1721)-FIND(",",G1721)),"}]","")/100&amp;"%")</f>
        <v>手套符文孔位+1</v>
      </c>
      <c r="L1721" s="83" t="str">
        <f ca="1">IF(MOD(COUNTIF($Q$11:Q1720,Q1720),5)=0,OFFSET(装备属性!$G$1083,1+INT(COUNTA($Q$11:Q1720)/5),0),L1720)</f>
        <v>扩符槽</v>
      </c>
      <c r="M1721" s="89" t="str">
        <f ca="1">IF(MOD(COUNTIF($Q$11:Q1720,Q1720),5)=0,OFFSET(装备属性!$H$1083,1+INT(COUNTA($Q$11:Q1720)/5),0),M1720)</f>
        <v>equip4_rune_slot</v>
      </c>
      <c r="N1721" s="76">
        <f ca="1">IF(MOD(COUNTIF($Q$11:Q1720,Q1720),5)=0,OFFSET(装备属性!$K$1083,1+INT(COUNTA($Q$11:Q1720)/5),0),N1720)</f>
        <v>1</v>
      </c>
      <c r="O1721" s="76">
        <f ca="1">IF(MOD(COUNTIF($Q$11:Q1720,Q1720),5)=0,OFFSET(装备属性!$L$1083,1+INT(COUNTA($Q$11:Q1720)/5),0),O1720)</f>
        <v>1</v>
      </c>
      <c r="Q1721" s="89" t="str">
        <f ca="1">IF(MOD(COUNTIF($Q$11:Q1720,Q1720),5)=0,OFFSET(装备属性!$M$1083,1+INT(COUNTA($Q$11:Q1720)/5),0),Q1720)</f>
        <v>稀有词条</v>
      </c>
      <c r="R1721" s="83" t="e">
        <f ca="1">IF(MOD(COUNTIF($Q$11:Q1720,Q1720),5)=0,10000*SUBSTITUTE(SUBSTITUTE(OFFSET(装备属性!$F$1083,1+INT(COUNTA($Q$11:Q1720)/5),0),"[",""),"]","")+_xlfn.XLOOKUP(C1721,$M$3:$M$7,$N$3:$N$7)*100,R1720)</f>
        <v>#N/A</v>
      </c>
    </row>
    <row r="1722" customHeight="1" spans="1:18">
      <c r="A1722" s="78" t="str">
        <f ca="1" t="shared" si="80"/>
        <v/>
      </c>
      <c r="B1722" s="82" t="str">
        <f ca="1">IFERROR(R1722+COUNTIFS($R$11:$R1722,R1722),"")</f>
        <v/>
      </c>
      <c r="C1722" s="83">
        <f ca="1">IF(MOD(COUNTIF($Q$11:Q1721,Q1721),5)=0,OFFSET(装备属性!$D$1083,1+INT(COUNTA($Q$11:Q1721)/5),0),C1721)</f>
        <v>0</v>
      </c>
      <c r="D1722" s="82">
        <f t="shared" si="83"/>
        <v>2500</v>
      </c>
      <c r="F1722" s="82" t="str">
        <f ca="1" t="shared" si="81"/>
        <v/>
      </c>
      <c r="G1722" s="78" t="str">
        <f ca="1">IF(AND(LEFT("[{"&amp;M1722&amp;","&amp;CEILING(N1722*10000+(O1722-N1722)/4*(COUNTIF($F$11:F1722,F1722)-1)*10000,10)&amp;"}]",7)="[{equip",MID("[{"&amp;M1722&amp;","&amp;CEILING(N1722*10000+(O1722-N1722)/4*(COUNTIF($F$11:F1722,F1722)-1)*10000,10)&amp;"}]",8,1)&lt;&gt;"_"),"[{"&amp;M1722&amp;","&amp;1&amp;"}]","[{"&amp;M1722&amp;","&amp;CEILING(N1722*10000+(O1722-N1722)/4*(COUNTIF($F$11:F1722,F1722)-1)*10000,10)&amp;"}]")</f>
        <v>[{equip4_rune_slot,1}]</v>
      </c>
      <c r="H1722" s="82" t="s">
        <v>563</v>
      </c>
      <c r="J1722" s="78">
        <f ca="1">IF(MOD(COUNTIF($Q$11:Q1721,Q1721),5)=0,OFFSET(装备属性!$P$1083,1+INT(COUNTA($Q$11:Q1721)/5),0),J1721)</f>
        <v>1</v>
      </c>
      <c r="K1722" s="83" t="str">
        <f ca="1">IF(RIGHT(G1722,13)="rune_slot,1}]",_xlfn.XLOOKUP(LEFT(SUBSTITUTE(G1722,"[{",""),FIND(",",SUBSTITUTE(G1722,"[{",""))-1),Sheet2!B:B,Sheet2!C:C)&amp;"+"&amp;1,_xlfn.XLOOKUP(LEFT(SUBSTITUTE(G1722,"[{",""),FIND(",",SUBSTITUTE(G1722,"[{",""))-1),Sheet2!B:B,Sheet2!C:C)&amp;"+"&amp;SUBSTITUTE(RIGHT(G1722,LEN(G1722)-FIND(",",G1722)),"}]","")/100&amp;"%")</f>
        <v>手套符文孔位+1</v>
      </c>
      <c r="L1722" s="83" t="str">
        <f ca="1">IF(MOD(COUNTIF($Q$11:Q1721,Q1721),5)=0,OFFSET(装备属性!$G$1083,1+INT(COUNTA($Q$11:Q1721)/5),0),L1721)</f>
        <v>扩符槽</v>
      </c>
      <c r="M1722" s="89" t="str">
        <f ca="1">IF(MOD(COUNTIF($Q$11:Q1721,Q1721),5)=0,OFFSET(装备属性!$H$1083,1+INT(COUNTA($Q$11:Q1721)/5),0),M1721)</f>
        <v>equip4_rune_slot</v>
      </c>
      <c r="N1722" s="76">
        <f ca="1">IF(MOD(COUNTIF($Q$11:Q1721,Q1721),5)=0,OFFSET(装备属性!$K$1083,1+INT(COUNTA($Q$11:Q1721)/5),0),N1721)</f>
        <v>1</v>
      </c>
      <c r="O1722" s="76">
        <f ca="1">IF(MOD(COUNTIF($Q$11:Q1721,Q1721),5)=0,OFFSET(装备属性!$L$1083,1+INT(COUNTA($Q$11:Q1721)/5),0),O1721)</f>
        <v>1</v>
      </c>
      <c r="Q1722" s="89" t="str">
        <f ca="1">IF(MOD(COUNTIF($Q$11:Q1721,Q1721),5)=0,OFFSET(装备属性!$M$1083,1+INT(COUNTA($Q$11:Q1721)/5),0),Q1721)</f>
        <v>稀有词条</v>
      </c>
      <c r="R1722" s="83" t="e">
        <f ca="1">IF(MOD(COUNTIF($Q$11:Q1721,Q1721),5)=0,10000*SUBSTITUTE(SUBSTITUTE(OFFSET(装备属性!$F$1083,1+INT(COUNTA($Q$11:Q1721)/5),0),"[",""),"]","")+_xlfn.XLOOKUP(C1722,$M$3:$M$7,$N$3:$N$7)*100,R1721)</f>
        <v>#N/A</v>
      </c>
    </row>
    <row r="1723" customHeight="1" spans="1:18">
      <c r="A1723" s="78" t="str">
        <f ca="1" t="shared" si="80"/>
        <v/>
      </c>
      <c r="B1723" s="82" t="str">
        <f ca="1">IFERROR(R1723+COUNTIFS($R$11:$R1723,R1723),"")</f>
        <v/>
      </c>
      <c r="C1723" s="83">
        <f ca="1">IF(MOD(COUNTIF($Q$11:Q1722,Q1722),5)=0,OFFSET(装备属性!$D$1083,1+INT(COUNTA($Q$11:Q1722)/5),0),C1722)</f>
        <v>0</v>
      </c>
      <c r="D1723" s="82">
        <f t="shared" si="83"/>
        <v>2000</v>
      </c>
      <c r="F1723" s="82" t="str">
        <f ca="1" t="shared" si="81"/>
        <v/>
      </c>
      <c r="G1723" s="78" t="str">
        <f ca="1">IF(AND(LEFT("[{"&amp;M1723&amp;","&amp;CEILING(N1723*10000+(O1723-N1723)/4*(COUNTIF($F$11:F1723,F1723)-1)*10000,10)&amp;"}]",7)="[{equip",MID("[{"&amp;M1723&amp;","&amp;CEILING(N1723*10000+(O1723-N1723)/4*(COUNTIF($F$11:F1723,F1723)-1)*10000,10)&amp;"}]",8,1)&lt;&gt;"_"),"[{"&amp;M1723&amp;","&amp;1&amp;"}]","[{"&amp;M1723&amp;","&amp;CEILING(N1723*10000+(O1723-N1723)/4*(COUNTIF($F$11:F1723,F1723)-1)*10000,10)&amp;"}]")</f>
        <v>[{equip4_rune_slot,1}]</v>
      </c>
      <c r="H1723" s="82" t="s">
        <v>563</v>
      </c>
      <c r="J1723" s="78">
        <f ca="1">IF(MOD(COUNTIF($Q$11:Q1722,Q1722),5)=0,OFFSET(装备属性!$P$1083,1+INT(COUNTA($Q$11:Q1722)/5),0),J1722)</f>
        <v>1</v>
      </c>
      <c r="K1723" s="83" t="str">
        <f ca="1">IF(RIGHT(G1723,13)="rune_slot,1}]",_xlfn.XLOOKUP(LEFT(SUBSTITUTE(G1723,"[{",""),FIND(",",SUBSTITUTE(G1723,"[{",""))-1),Sheet2!B:B,Sheet2!C:C)&amp;"+"&amp;1,_xlfn.XLOOKUP(LEFT(SUBSTITUTE(G1723,"[{",""),FIND(",",SUBSTITUTE(G1723,"[{",""))-1),Sheet2!B:B,Sheet2!C:C)&amp;"+"&amp;SUBSTITUTE(RIGHT(G1723,LEN(G1723)-FIND(",",G1723)),"}]","")/100&amp;"%")</f>
        <v>手套符文孔位+1</v>
      </c>
      <c r="L1723" s="83" t="str">
        <f ca="1">IF(MOD(COUNTIF($Q$11:Q1722,Q1722),5)=0,OFFSET(装备属性!$G$1083,1+INT(COUNTA($Q$11:Q1722)/5),0),L1722)</f>
        <v>扩符槽</v>
      </c>
      <c r="M1723" s="89" t="str">
        <f ca="1">IF(MOD(COUNTIF($Q$11:Q1722,Q1722),5)=0,OFFSET(装备属性!$H$1083,1+INT(COUNTA($Q$11:Q1722)/5),0),M1722)</f>
        <v>equip4_rune_slot</v>
      </c>
      <c r="N1723" s="76">
        <f ca="1">IF(MOD(COUNTIF($Q$11:Q1722,Q1722),5)=0,OFFSET(装备属性!$K$1083,1+INT(COUNTA($Q$11:Q1722)/5),0),N1722)</f>
        <v>1</v>
      </c>
      <c r="O1723" s="76">
        <f ca="1">IF(MOD(COUNTIF($Q$11:Q1722,Q1722),5)=0,OFFSET(装备属性!$L$1083,1+INT(COUNTA($Q$11:Q1722)/5),0),O1722)</f>
        <v>1</v>
      </c>
      <c r="Q1723" s="89" t="str">
        <f ca="1">IF(MOD(COUNTIF($Q$11:Q1722,Q1722),5)=0,OFFSET(装备属性!$M$1083,1+INT(COUNTA($Q$11:Q1722)/5),0),Q1722)</f>
        <v>稀有词条</v>
      </c>
      <c r="R1723" s="83" t="e">
        <f ca="1">IF(MOD(COUNTIF($Q$11:Q1722,Q1722),5)=0,10000*SUBSTITUTE(SUBSTITUTE(OFFSET(装备属性!$F$1083,1+INT(COUNTA($Q$11:Q1722)/5),0),"[",""),"]","")+_xlfn.XLOOKUP(C1723,$M$3:$M$7,$N$3:$N$7)*100,R1722)</f>
        <v>#N/A</v>
      </c>
    </row>
    <row r="1724" customHeight="1" spans="1:18">
      <c r="A1724" s="78" t="str">
        <f ca="1" t="shared" si="80"/>
        <v/>
      </c>
      <c r="B1724" s="82" t="str">
        <f ca="1">IFERROR(R1724+COUNTIFS($R$11:$R1724,R1724),"")</f>
        <v/>
      </c>
      <c r="C1724" s="83">
        <f ca="1">IF(MOD(COUNTIF($Q$11:Q1723,Q1723),5)=0,OFFSET(装备属性!$D$1083,1+INT(COUNTA($Q$11:Q1723)/5),0),C1723)</f>
        <v>0</v>
      </c>
      <c r="D1724" s="82">
        <f t="shared" si="83"/>
        <v>1500</v>
      </c>
      <c r="F1724" s="82" t="str">
        <f ca="1" t="shared" si="81"/>
        <v/>
      </c>
      <c r="G1724" s="78" t="str">
        <f ca="1">IF(AND(LEFT("[{"&amp;M1724&amp;","&amp;CEILING(N1724*10000+(O1724-N1724)/4*(COUNTIF($F$11:F1724,F1724)-1)*10000,10)&amp;"}]",7)="[{equip",MID("[{"&amp;M1724&amp;","&amp;CEILING(N1724*10000+(O1724-N1724)/4*(COUNTIF($F$11:F1724,F1724)-1)*10000,10)&amp;"}]",8,1)&lt;&gt;"_"),"[{"&amp;M1724&amp;","&amp;1&amp;"}]","[{"&amp;M1724&amp;","&amp;CEILING(N1724*10000+(O1724-N1724)/4*(COUNTIF($F$11:F1724,F1724)-1)*10000,10)&amp;"}]")</f>
        <v>[{equip4_rune_slot,1}]</v>
      </c>
      <c r="H1724" s="82" t="s">
        <v>563</v>
      </c>
      <c r="J1724" s="78">
        <f ca="1">IF(MOD(COUNTIF($Q$11:Q1723,Q1723),5)=0,OFFSET(装备属性!$P$1083,1+INT(COUNTA($Q$11:Q1723)/5),0),J1723)</f>
        <v>1</v>
      </c>
      <c r="K1724" s="83" t="str">
        <f ca="1">IF(RIGHT(G1724,13)="rune_slot,1}]",_xlfn.XLOOKUP(LEFT(SUBSTITUTE(G1724,"[{",""),FIND(",",SUBSTITUTE(G1724,"[{",""))-1),Sheet2!B:B,Sheet2!C:C)&amp;"+"&amp;1,_xlfn.XLOOKUP(LEFT(SUBSTITUTE(G1724,"[{",""),FIND(",",SUBSTITUTE(G1724,"[{",""))-1),Sheet2!B:B,Sheet2!C:C)&amp;"+"&amp;SUBSTITUTE(RIGHT(G1724,LEN(G1724)-FIND(",",G1724)),"}]","")/100&amp;"%")</f>
        <v>手套符文孔位+1</v>
      </c>
      <c r="L1724" s="83" t="str">
        <f ca="1">IF(MOD(COUNTIF($Q$11:Q1723,Q1723),5)=0,OFFSET(装备属性!$G$1083,1+INT(COUNTA($Q$11:Q1723)/5),0),L1723)</f>
        <v>扩符槽</v>
      </c>
      <c r="M1724" s="89" t="str">
        <f ca="1">IF(MOD(COUNTIF($Q$11:Q1723,Q1723),5)=0,OFFSET(装备属性!$H$1083,1+INT(COUNTA($Q$11:Q1723)/5),0),M1723)</f>
        <v>equip4_rune_slot</v>
      </c>
      <c r="N1724" s="76">
        <f ca="1">IF(MOD(COUNTIF($Q$11:Q1723,Q1723),5)=0,OFFSET(装备属性!$K$1083,1+INT(COUNTA($Q$11:Q1723)/5),0),N1723)</f>
        <v>1</v>
      </c>
      <c r="O1724" s="76">
        <f ca="1">IF(MOD(COUNTIF($Q$11:Q1723,Q1723),5)=0,OFFSET(装备属性!$L$1083,1+INT(COUNTA($Q$11:Q1723)/5),0),O1723)</f>
        <v>1</v>
      </c>
      <c r="Q1724" s="89" t="str">
        <f ca="1">IF(MOD(COUNTIF($Q$11:Q1723,Q1723),5)=0,OFFSET(装备属性!$M$1083,1+INT(COUNTA($Q$11:Q1723)/5),0),Q1723)</f>
        <v>稀有词条</v>
      </c>
      <c r="R1724" s="83" t="e">
        <f ca="1">IF(MOD(COUNTIF($Q$11:Q1723,Q1723),5)=0,10000*SUBSTITUTE(SUBSTITUTE(OFFSET(装备属性!$F$1083,1+INT(COUNTA($Q$11:Q1723)/5),0),"[",""),"]","")+_xlfn.XLOOKUP(C1724,$M$3:$M$7,$N$3:$N$7)*100,R1723)</f>
        <v>#N/A</v>
      </c>
    </row>
    <row r="1725" customHeight="1" spans="1:18">
      <c r="A1725" s="78" t="str">
        <f ca="1" t="shared" si="80"/>
        <v/>
      </c>
      <c r="B1725" s="82" t="str">
        <f ca="1">IFERROR(R1725+COUNTIFS($R$11:$R1725,R1725),"")</f>
        <v/>
      </c>
      <c r="C1725" s="83">
        <f ca="1">IF(MOD(COUNTIF($Q$11:Q1724,Q1724),5)=0,OFFSET(装备属性!$D$1083,1+INT(COUNTA($Q$11:Q1724)/5),0),C1724)</f>
        <v>0</v>
      </c>
      <c r="D1725" s="82">
        <f t="shared" si="83"/>
        <v>1000</v>
      </c>
      <c r="F1725" s="82" t="str">
        <f ca="1" t="shared" si="81"/>
        <v/>
      </c>
      <c r="G1725" s="78" t="str">
        <f ca="1">IF(AND(LEFT("[{"&amp;M1725&amp;","&amp;CEILING(N1725*10000+(O1725-N1725)/4*(COUNTIF($F$11:F1725,F1725)-1)*10000,10)&amp;"}]",7)="[{equip",MID("[{"&amp;M1725&amp;","&amp;CEILING(N1725*10000+(O1725-N1725)/4*(COUNTIF($F$11:F1725,F1725)-1)*10000,10)&amp;"}]",8,1)&lt;&gt;"_"),"[{"&amp;M1725&amp;","&amp;1&amp;"}]","[{"&amp;M1725&amp;","&amp;CEILING(N1725*10000+(O1725-N1725)/4*(COUNTIF($F$11:F1725,F1725)-1)*10000,10)&amp;"}]")</f>
        <v>[{equip4_rune_slot,1}]</v>
      </c>
      <c r="H1725" s="82" t="s">
        <v>563</v>
      </c>
      <c r="J1725" s="78">
        <f ca="1">IF(MOD(COUNTIF($Q$11:Q1724,Q1724),5)=0,OFFSET(装备属性!$P$1083,1+INT(COUNTA($Q$11:Q1724)/5),0),J1724)</f>
        <v>1</v>
      </c>
      <c r="K1725" s="83" t="str">
        <f ca="1">IF(RIGHT(G1725,13)="rune_slot,1}]",_xlfn.XLOOKUP(LEFT(SUBSTITUTE(G1725,"[{",""),FIND(",",SUBSTITUTE(G1725,"[{",""))-1),Sheet2!B:B,Sheet2!C:C)&amp;"+"&amp;1,_xlfn.XLOOKUP(LEFT(SUBSTITUTE(G1725,"[{",""),FIND(",",SUBSTITUTE(G1725,"[{",""))-1),Sheet2!B:B,Sheet2!C:C)&amp;"+"&amp;SUBSTITUTE(RIGHT(G1725,LEN(G1725)-FIND(",",G1725)),"}]","")/100&amp;"%")</f>
        <v>手套符文孔位+1</v>
      </c>
      <c r="L1725" s="83" t="str">
        <f ca="1">IF(MOD(COUNTIF($Q$11:Q1724,Q1724),5)=0,OFFSET(装备属性!$G$1083,1+INT(COUNTA($Q$11:Q1724)/5),0),L1724)</f>
        <v>扩符槽</v>
      </c>
      <c r="M1725" s="89" t="str">
        <f ca="1">IF(MOD(COUNTIF($Q$11:Q1724,Q1724),5)=0,OFFSET(装备属性!$H$1083,1+INT(COUNTA($Q$11:Q1724)/5),0),M1724)</f>
        <v>equip4_rune_slot</v>
      </c>
      <c r="N1725" s="76">
        <f ca="1">IF(MOD(COUNTIF($Q$11:Q1724,Q1724),5)=0,OFFSET(装备属性!$K$1083,1+INT(COUNTA($Q$11:Q1724)/5),0),N1724)</f>
        <v>1</v>
      </c>
      <c r="O1725" s="76">
        <f ca="1">IF(MOD(COUNTIF($Q$11:Q1724,Q1724),5)=0,OFFSET(装备属性!$L$1083,1+INT(COUNTA($Q$11:Q1724)/5),0),O1724)</f>
        <v>1</v>
      </c>
      <c r="Q1725" s="89" t="str">
        <f ca="1">IF(MOD(COUNTIF($Q$11:Q1724,Q1724),5)=0,OFFSET(装备属性!$M$1083,1+INT(COUNTA($Q$11:Q1724)/5),0),Q1724)</f>
        <v>稀有词条</v>
      </c>
      <c r="R1725" s="83" t="e">
        <f ca="1">IF(MOD(COUNTIF($Q$11:Q1724,Q1724),5)=0,10000*SUBSTITUTE(SUBSTITUTE(OFFSET(装备属性!$F$1083,1+INT(COUNTA($Q$11:Q1724)/5),0),"[",""),"]","")+_xlfn.XLOOKUP(C1725,$M$3:$M$7,$N$3:$N$7)*100,R1724)</f>
        <v>#N/A</v>
      </c>
    </row>
    <row r="1726" customHeight="1" spans="1:18">
      <c r="A1726" s="78">
        <f ca="1" t="shared" si="80"/>
        <v>60702</v>
      </c>
      <c r="B1726" s="82">
        <f ca="1">IFERROR(R1726+COUNTIFS($R$11:$R1726,R1726),"")</f>
        <v>60721</v>
      </c>
      <c r="C1726" s="83" t="str">
        <f ca="1">IF(MOD(COUNTIF($Q$11:Q1725,Q1725),5)=0,OFFSET(装备属性!$D$1083,1+INT(COUNTA($Q$11:Q1725)/5),0),C1725)</f>
        <v>粉</v>
      </c>
      <c r="D1726" s="82">
        <f t="shared" si="83"/>
        <v>3000</v>
      </c>
      <c r="F1726" s="82">
        <f ca="1" t="shared" si="81"/>
        <v>60704</v>
      </c>
      <c r="G1726" s="78" t="str">
        <f ca="1">IF(AND(LEFT("[{"&amp;M1726&amp;","&amp;CEILING(N1726*10000+(O1726-N1726)/4*(COUNTIF($F$11:F1726,F1726)-1)*10000,10)&amp;"}]",7)="[{equip",MID("[{"&amp;M1726&amp;","&amp;CEILING(N1726*10000+(O1726-N1726)/4*(COUNTIF($F$11:F1726,F1726)-1)*10000,10)&amp;"}]",8,1)&lt;&gt;"_"),"[{"&amp;M1726&amp;","&amp;1&amp;"}]","[{"&amp;M1726&amp;","&amp;CEILING(N1726*10000+(O1726-N1726)/4*(COUNTIF($F$11:F1726,F1726)-1)*10000,10)&amp;"}]")</f>
        <v>[{elitist_monster_hit_rate,980}]</v>
      </c>
      <c r="H1726" s="82" t="s">
        <v>563</v>
      </c>
      <c r="J1726" s="78">
        <f ca="1">IF(MOD(COUNTIF($Q$11:Q1725,Q1725),5)=0,OFFSET(装备属性!$P$1083,1+INT(COUNTA($Q$11:Q1725)/5),0),J1725)</f>
        <v>6</v>
      </c>
      <c r="K1726" s="83" t="str">
        <f ca="1">IF(RIGHT(G1726,13)="rune_slot,1}]",_xlfn.XLOOKUP(LEFT(SUBSTITUTE(G1726,"[{",""),FIND(",",SUBSTITUTE(G1726,"[{",""))-1),Sheet2!B:B,Sheet2!C:C)&amp;"+"&amp;1,_xlfn.XLOOKUP(LEFT(SUBSTITUTE(G1726,"[{",""),FIND(",",SUBSTITUTE(G1726,"[{",""))-1),Sheet2!B:B,Sheet2!C:C)&amp;"+"&amp;SUBSTITUTE(RIGHT(G1726,LEN(G1726)-FIND(",",G1726)),"}]","")/100&amp;"%")</f>
        <v>对精英增伤+9.8%</v>
      </c>
      <c r="L1726" s="83" t="str">
        <f ca="1">IF(MOD(COUNTIF($Q$11:Q1725,Q1725),5)=0,OFFSET(装备属性!$G$1083,1+INT(COUNTA($Q$11:Q1725)/5),0),L1725)</f>
        <v>Boss加餐Ⅳ</v>
      </c>
      <c r="M1726" s="89" t="str">
        <f ca="1">IF(MOD(COUNTIF($Q$11:Q1725,Q1725),5)=0,OFFSET(装备属性!$H$1083,1+INT(COUNTA($Q$11:Q1725)/5),0),M1725)</f>
        <v>elitist_monster_hit_rate</v>
      </c>
      <c r="N1726" s="76">
        <f ca="1">IF(MOD(COUNTIF($Q$11:Q1725,Q1725),5)=0,OFFSET(装备属性!$K$1083,1+INT(COUNTA($Q$11:Q1725)/5),0),N1725)</f>
        <v>0.098</v>
      </c>
      <c r="O1726" s="76">
        <f ca="1">IF(MOD(COUNTIF($Q$11:Q1725,Q1725),5)=0,OFFSET(装备属性!$L$1083,1+INT(COUNTA($Q$11:Q1725)/5),0),O1725)</f>
        <v>0.11</v>
      </c>
      <c r="Q1726" s="89" t="str">
        <f ca="1">IF(MOD(COUNTIF($Q$11:Q1725,Q1725),5)=0,OFFSET(装备属性!$M$1083,1+INT(COUNTA($Q$11:Q1725)/5),0),Q1725)</f>
        <v>玩法类</v>
      </c>
      <c r="R1726" s="83">
        <f ca="1">IF(MOD(COUNTIF($Q$11:Q1725,Q1725),5)=0,10000*SUBSTITUTE(SUBSTITUTE(OFFSET(装备属性!$F$1083,1+INT(COUNTA($Q$11:Q1725)/5),0),"[",""),"]","")+_xlfn.XLOOKUP(C1726,$M$3:$M$7,$N$3:$N$7)*100,R1725)</f>
        <v>60700</v>
      </c>
    </row>
    <row r="1727" customHeight="1" spans="1:18">
      <c r="A1727" s="78">
        <f ca="1" t="shared" si="80"/>
        <v>60702</v>
      </c>
      <c r="B1727" s="82">
        <f ca="1">IFERROR(R1727+COUNTIFS($R$11:$R1727,R1727),"")</f>
        <v>60722</v>
      </c>
      <c r="C1727" s="83" t="str">
        <f ca="1">IF(MOD(COUNTIF($Q$11:Q1726,Q1726),5)=0,OFFSET(装备属性!$D$1083,1+INT(COUNTA($Q$11:Q1726)/5),0),C1726)</f>
        <v>粉</v>
      </c>
      <c r="D1727" s="82">
        <f t="shared" si="83"/>
        <v>2500</v>
      </c>
      <c r="F1727" s="82">
        <f ca="1" t="shared" si="81"/>
        <v>60704</v>
      </c>
      <c r="G1727" s="78" t="str">
        <f ca="1">IF(AND(LEFT("[{"&amp;M1727&amp;","&amp;CEILING(N1727*10000+(O1727-N1727)/4*(COUNTIF($F$11:F1727,F1727)-1)*10000,10)&amp;"}]",7)="[{equip",MID("[{"&amp;M1727&amp;","&amp;CEILING(N1727*10000+(O1727-N1727)/4*(COUNTIF($F$11:F1727,F1727)-1)*10000,10)&amp;"}]",8,1)&lt;&gt;"_"),"[{"&amp;M1727&amp;","&amp;1&amp;"}]","[{"&amp;M1727&amp;","&amp;CEILING(N1727*10000+(O1727-N1727)/4*(COUNTIF($F$11:F1727,F1727)-1)*10000,10)&amp;"}]")</f>
        <v>[{elitist_monster_hit_rate,1010}]</v>
      </c>
      <c r="H1727" s="82" t="s">
        <v>563</v>
      </c>
      <c r="J1727" s="78">
        <f ca="1">IF(MOD(COUNTIF($Q$11:Q1726,Q1726),5)=0,OFFSET(装备属性!$P$1083,1+INT(COUNTA($Q$11:Q1726)/5),0),J1726)</f>
        <v>6</v>
      </c>
      <c r="K1727" s="83" t="str">
        <f ca="1">IF(RIGHT(G1727,13)="rune_slot,1}]",_xlfn.XLOOKUP(LEFT(SUBSTITUTE(G1727,"[{",""),FIND(",",SUBSTITUTE(G1727,"[{",""))-1),Sheet2!B:B,Sheet2!C:C)&amp;"+"&amp;1,_xlfn.XLOOKUP(LEFT(SUBSTITUTE(G1727,"[{",""),FIND(",",SUBSTITUTE(G1727,"[{",""))-1),Sheet2!B:B,Sheet2!C:C)&amp;"+"&amp;SUBSTITUTE(RIGHT(G1727,LEN(G1727)-FIND(",",G1727)),"}]","")/100&amp;"%")</f>
        <v>对精英增伤+10.1%</v>
      </c>
      <c r="L1727" s="83" t="str">
        <f ca="1">IF(MOD(COUNTIF($Q$11:Q1726,Q1726),5)=0,OFFSET(装备属性!$G$1083,1+INT(COUNTA($Q$11:Q1726)/5),0),L1726)</f>
        <v>Boss加餐Ⅳ</v>
      </c>
      <c r="M1727" s="89" t="str">
        <f ca="1">IF(MOD(COUNTIF($Q$11:Q1726,Q1726),5)=0,OFFSET(装备属性!$H$1083,1+INT(COUNTA($Q$11:Q1726)/5),0),M1726)</f>
        <v>elitist_monster_hit_rate</v>
      </c>
      <c r="N1727" s="76">
        <f ca="1">IF(MOD(COUNTIF($Q$11:Q1726,Q1726),5)=0,OFFSET(装备属性!$K$1083,1+INT(COUNTA($Q$11:Q1726)/5),0),N1726)</f>
        <v>0.098</v>
      </c>
      <c r="O1727" s="76">
        <f ca="1">IF(MOD(COUNTIF($Q$11:Q1726,Q1726),5)=0,OFFSET(装备属性!$L$1083,1+INT(COUNTA($Q$11:Q1726)/5),0),O1726)</f>
        <v>0.11</v>
      </c>
      <c r="Q1727" s="89" t="str">
        <f ca="1">IF(MOD(COUNTIF($Q$11:Q1726,Q1726),5)=0,OFFSET(装备属性!$M$1083,1+INT(COUNTA($Q$11:Q1726)/5),0),Q1726)</f>
        <v>玩法类</v>
      </c>
      <c r="R1727" s="83">
        <f ca="1">IF(MOD(COUNTIF($Q$11:Q1726,Q1726),5)=0,10000*SUBSTITUTE(SUBSTITUTE(OFFSET(装备属性!$F$1083,1+INT(COUNTA($Q$11:Q1726)/5),0),"[",""),"]","")+_xlfn.XLOOKUP(C1727,$M$3:$M$7,$N$3:$N$7)*100,R1726)</f>
        <v>60700</v>
      </c>
    </row>
    <row r="1728" customHeight="1" spans="1:18">
      <c r="A1728" s="78">
        <f ca="1" t="shared" si="80"/>
        <v>60702</v>
      </c>
      <c r="B1728" s="82">
        <f ca="1">IFERROR(R1728+COUNTIFS($R$11:$R1728,R1728),"")</f>
        <v>60723</v>
      </c>
      <c r="C1728" s="83" t="str">
        <f ca="1">IF(MOD(COUNTIF($Q$11:Q1727,Q1727),5)=0,OFFSET(装备属性!$D$1083,1+INT(COUNTA($Q$11:Q1727)/5),0),C1727)</f>
        <v>粉</v>
      </c>
      <c r="D1728" s="82">
        <f t="shared" si="83"/>
        <v>2000</v>
      </c>
      <c r="F1728" s="82">
        <f ca="1" t="shared" si="81"/>
        <v>60704</v>
      </c>
      <c r="G1728" s="78" t="str">
        <f ca="1">IF(AND(LEFT("[{"&amp;M1728&amp;","&amp;CEILING(N1728*10000+(O1728-N1728)/4*(COUNTIF($F$11:F1728,F1728)-1)*10000,10)&amp;"}]",7)="[{equip",MID("[{"&amp;M1728&amp;","&amp;CEILING(N1728*10000+(O1728-N1728)/4*(COUNTIF($F$11:F1728,F1728)-1)*10000,10)&amp;"}]",8,1)&lt;&gt;"_"),"[{"&amp;M1728&amp;","&amp;1&amp;"}]","[{"&amp;M1728&amp;","&amp;CEILING(N1728*10000+(O1728-N1728)/4*(COUNTIF($F$11:F1728,F1728)-1)*10000,10)&amp;"}]")</f>
        <v>[{elitist_monster_hit_rate,1040}]</v>
      </c>
      <c r="H1728" s="82" t="s">
        <v>563</v>
      </c>
      <c r="J1728" s="78">
        <f ca="1">IF(MOD(COUNTIF($Q$11:Q1727,Q1727),5)=0,OFFSET(装备属性!$P$1083,1+INT(COUNTA($Q$11:Q1727)/5),0),J1727)</f>
        <v>6</v>
      </c>
      <c r="K1728" s="83" t="str">
        <f ca="1">IF(RIGHT(G1728,13)="rune_slot,1}]",_xlfn.XLOOKUP(LEFT(SUBSTITUTE(G1728,"[{",""),FIND(",",SUBSTITUTE(G1728,"[{",""))-1),Sheet2!B:B,Sheet2!C:C)&amp;"+"&amp;1,_xlfn.XLOOKUP(LEFT(SUBSTITUTE(G1728,"[{",""),FIND(",",SUBSTITUTE(G1728,"[{",""))-1),Sheet2!B:B,Sheet2!C:C)&amp;"+"&amp;SUBSTITUTE(RIGHT(G1728,LEN(G1728)-FIND(",",G1728)),"}]","")/100&amp;"%")</f>
        <v>对精英增伤+10.4%</v>
      </c>
      <c r="L1728" s="83" t="str">
        <f ca="1">IF(MOD(COUNTIF($Q$11:Q1727,Q1727),5)=0,OFFSET(装备属性!$G$1083,1+INT(COUNTA($Q$11:Q1727)/5),0),L1727)</f>
        <v>Boss加餐Ⅳ</v>
      </c>
      <c r="M1728" s="89" t="str">
        <f ca="1">IF(MOD(COUNTIF($Q$11:Q1727,Q1727),5)=0,OFFSET(装备属性!$H$1083,1+INT(COUNTA($Q$11:Q1727)/5),0),M1727)</f>
        <v>elitist_monster_hit_rate</v>
      </c>
      <c r="N1728" s="76">
        <f ca="1">IF(MOD(COUNTIF($Q$11:Q1727,Q1727),5)=0,OFFSET(装备属性!$K$1083,1+INT(COUNTA($Q$11:Q1727)/5),0),N1727)</f>
        <v>0.098</v>
      </c>
      <c r="O1728" s="76">
        <f ca="1">IF(MOD(COUNTIF($Q$11:Q1727,Q1727),5)=0,OFFSET(装备属性!$L$1083,1+INT(COUNTA($Q$11:Q1727)/5),0),O1727)</f>
        <v>0.11</v>
      </c>
      <c r="Q1728" s="89" t="str">
        <f ca="1">IF(MOD(COUNTIF($Q$11:Q1727,Q1727),5)=0,OFFSET(装备属性!$M$1083,1+INT(COUNTA($Q$11:Q1727)/5),0),Q1727)</f>
        <v>玩法类</v>
      </c>
      <c r="R1728" s="83">
        <f ca="1">IF(MOD(COUNTIF($Q$11:Q1727,Q1727),5)=0,10000*SUBSTITUTE(SUBSTITUTE(OFFSET(装备属性!$F$1083,1+INT(COUNTA($Q$11:Q1727)/5),0),"[",""),"]","")+_xlfn.XLOOKUP(C1728,$M$3:$M$7,$N$3:$N$7)*100,R1727)</f>
        <v>60700</v>
      </c>
    </row>
    <row r="1729" customHeight="1" spans="1:18">
      <c r="A1729" s="78">
        <f ca="1" t="shared" si="80"/>
        <v>60702</v>
      </c>
      <c r="B1729" s="82">
        <f ca="1">IFERROR(R1729+COUNTIFS($R$11:$R1729,R1729),"")</f>
        <v>60724</v>
      </c>
      <c r="C1729" s="83" t="str">
        <f ca="1">IF(MOD(COUNTIF($Q$11:Q1728,Q1728),5)=0,OFFSET(装备属性!$D$1083,1+INT(COUNTA($Q$11:Q1728)/5),0),C1728)</f>
        <v>粉</v>
      </c>
      <c r="D1729" s="82">
        <f t="shared" si="83"/>
        <v>1500</v>
      </c>
      <c r="F1729" s="82">
        <f ca="1" t="shared" si="81"/>
        <v>60704</v>
      </c>
      <c r="G1729" s="78" t="str">
        <f ca="1">IF(AND(LEFT("[{"&amp;M1729&amp;","&amp;CEILING(N1729*10000+(O1729-N1729)/4*(COUNTIF($F$11:F1729,F1729)-1)*10000,10)&amp;"}]",7)="[{equip",MID("[{"&amp;M1729&amp;","&amp;CEILING(N1729*10000+(O1729-N1729)/4*(COUNTIF($F$11:F1729,F1729)-1)*10000,10)&amp;"}]",8,1)&lt;&gt;"_"),"[{"&amp;M1729&amp;","&amp;1&amp;"}]","[{"&amp;M1729&amp;","&amp;CEILING(N1729*10000+(O1729-N1729)/4*(COUNTIF($F$11:F1729,F1729)-1)*10000,10)&amp;"}]")</f>
        <v>[{elitist_monster_hit_rate,1070}]</v>
      </c>
      <c r="H1729" s="82" t="s">
        <v>563</v>
      </c>
      <c r="J1729" s="78">
        <f ca="1">IF(MOD(COUNTIF($Q$11:Q1728,Q1728),5)=0,OFFSET(装备属性!$P$1083,1+INT(COUNTA($Q$11:Q1728)/5),0),J1728)</f>
        <v>6</v>
      </c>
      <c r="K1729" s="83" t="str">
        <f ca="1">IF(RIGHT(G1729,13)="rune_slot,1}]",_xlfn.XLOOKUP(LEFT(SUBSTITUTE(G1729,"[{",""),FIND(",",SUBSTITUTE(G1729,"[{",""))-1),Sheet2!B:B,Sheet2!C:C)&amp;"+"&amp;1,_xlfn.XLOOKUP(LEFT(SUBSTITUTE(G1729,"[{",""),FIND(",",SUBSTITUTE(G1729,"[{",""))-1),Sheet2!B:B,Sheet2!C:C)&amp;"+"&amp;SUBSTITUTE(RIGHT(G1729,LEN(G1729)-FIND(",",G1729)),"}]","")/100&amp;"%")</f>
        <v>对精英增伤+10.7%</v>
      </c>
      <c r="L1729" s="83" t="str">
        <f ca="1">IF(MOD(COUNTIF($Q$11:Q1728,Q1728),5)=0,OFFSET(装备属性!$G$1083,1+INT(COUNTA($Q$11:Q1728)/5),0),L1728)</f>
        <v>Boss加餐Ⅳ</v>
      </c>
      <c r="M1729" s="89" t="str">
        <f ca="1">IF(MOD(COUNTIF($Q$11:Q1728,Q1728),5)=0,OFFSET(装备属性!$H$1083,1+INT(COUNTA($Q$11:Q1728)/5),0),M1728)</f>
        <v>elitist_monster_hit_rate</v>
      </c>
      <c r="N1729" s="76">
        <f ca="1">IF(MOD(COUNTIF($Q$11:Q1728,Q1728),5)=0,OFFSET(装备属性!$K$1083,1+INT(COUNTA($Q$11:Q1728)/5),0),N1728)</f>
        <v>0.098</v>
      </c>
      <c r="O1729" s="76">
        <f ca="1">IF(MOD(COUNTIF($Q$11:Q1728,Q1728),5)=0,OFFSET(装备属性!$L$1083,1+INT(COUNTA($Q$11:Q1728)/5),0),O1728)</f>
        <v>0.11</v>
      </c>
      <c r="Q1729" s="89" t="str">
        <f ca="1">IF(MOD(COUNTIF($Q$11:Q1728,Q1728),5)=0,OFFSET(装备属性!$M$1083,1+INT(COUNTA($Q$11:Q1728)/5),0),Q1728)</f>
        <v>玩法类</v>
      </c>
      <c r="R1729" s="83">
        <f ca="1">IF(MOD(COUNTIF($Q$11:Q1728,Q1728),5)=0,10000*SUBSTITUTE(SUBSTITUTE(OFFSET(装备属性!$F$1083,1+INT(COUNTA($Q$11:Q1728)/5),0),"[",""),"]","")+_xlfn.XLOOKUP(C1729,$M$3:$M$7,$N$3:$N$7)*100,R1728)</f>
        <v>60700</v>
      </c>
    </row>
    <row r="1730" customHeight="1" spans="1:18">
      <c r="A1730" s="78">
        <f ca="1" t="shared" si="80"/>
        <v>60702</v>
      </c>
      <c r="B1730" s="82">
        <f ca="1">IFERROR(R1730+COUNTIFS($R$11:$R1730,R1730),"")</f>
        <v>60725</v>
      </c>
      <c r="C1730" s="83" t="str">
        <f ca="1">IF(MOD(COUNTIF($Q$11:Q1729,Q1729),5)=0,OFFSET(装备属性!$D$1083,1+INT(COUNTA($Q$11:Q1729)/5),0),C1729)</f>
        <v>粉</v>
      </c>
      <c r="D1730" s="82">
        <f t="shared" si="83"/>
        <v>1000</v>
      </c>
      <c r="F1730" s="82">
        <f ca="1" t="shared" si="81"/>
        <v>60704</v>
      </c>
      <c r="G1730" s="78" t="str">
        <f ca="1">IF(AND(LEFT("[{"&amp;M1730&amp;","&amp;CEILING(N1730*10000+(O1730-N1730)/4*(COUNTIF($F$11:F1730,F1730)-1)*10000,10)&amp;"}]",7)="[{equip",MID("[{"&amp;M1730&amp;","&amp;CEILING(N1730*10000+(O1730-N1730)/4*(COUNTIF($F$11:F1730,F1730)-1)*10000,10)&amp;"}]",8,1)&lt;&gt;"_"),"[{"&amp;M1730&amp;","&amp;1&amp;"}]","[{"&amp;M1730&amp;","&amp;CEILING(N1730*10000+(O1730-N1730)/4*(COUNTIF($F$11:F1730,F1730)-1)*10000,10)&amp;"}]")</f>
        <v>[{elitist_monster_hit_rate,1100}]</v>
      </c>
      <c r="H1730" s="82" t="s">
        <v>563</v>
      </c>
      <c r="J1730" s="78">
        <f ca="1">IF(MOD(COUNTIF($Q$11:Q1729,Q1729),5)=0,OFFSET(装备属性!$P$1083,1+INT(COUNTA($Q$11:Q1729)/5),0),J1729)</f>
        <v>6</v>
      </c>
      <c r="K1730" s="83" t="str">
        <f ca="1">IF(RIGHT(G1730,13)="rune_slot,1}]",_xlfn.XLOOKUP(LEFT(SUBSTITUTE(G1730,"[{",""),FIND(",",SUBSTITUTE(G1730,"[{",""))-1),Sheet2!B:B,Sheet2!C:C)&amp;"+"&amp;1,_xlfn.XLOOKUP(LEFT(SUBSTITUTE(G1730,"[{",""),FIND(",",SUBSTITUTE(G1730,"[{",""))-1),Sheet2!B:B,Sheet2!C:C)&amp;"+"&amp;SUBSTITUTE(RIGHT(G1730,LEN(G1730)-FIND(",",G1730)),"}]","")/100&amp;"%")</f>
        <v>对精英增伤+11%</v>
      </c>
      <c r="L1730" s="83" t="str">
        <f ca="1">IF(MOD(COUNTIF($Q$11:Q1729,Q1729),5)=0,OFFSET(装备属性!$G$1083,1+INT(COUNTA($Q$11:Q1729)/5),0),L1729)</f>
        <v>Boss加餐Ⅳ</v>
      </c>
      <c r="M1730" s="89" t="str">
        <f ca="1">IF(MOD(COUNTIF($Q$11:Q1729,Q1729),5)=0,OFFSET(装备属性!$H$1083,1+INT(COUNTA($Q$11:Q1729)/5),0),M1729)</f>
        <v>elitist_monster_hit_rate</v>
      </c>
      <c r="N1730" s="76">
        <f ca="1">IF(MOD(COUNTIF($Q$11:Q1729,Q1729),5)=0,OFFSET(装备属性!$K$1083,1+INT(COUNTA($Q$11:Q1729)/5),0),N1729)</f>
        <v>0.098</v>
      </c>
      <c r="O1730" s="76">
        <f ca="1">IF(MOD(COUNTIF($Q$11:Q1729,Q1729),5)=0,OFFSET(装备属性!$L$1083,1+INT(COUNTA($Q$11:Q1729)/5),0),O1729)</f>
        <v>0.11</v>
      </c>
      <c r="Q1730" s="89" t="str">
        <f ca="1">IF(MOD(COUNTIF($Q$11:Q1729,Q1729),5)=0,OFFSET(装备属性!$M$1083,1+INT(COUNTA($Q$11:Q1729)/5),0),Q1729)</f>
        <v>玩法类</v>
      </c>
      <c r="R1730" s="83">
        <f ca="1">IF(MOD(COUNTIF($Q$11:Q1729,Q1729),5)=0,10000*SUBSTITUTE(SUBSTITUTE(OFFSET(装备属性!$F$1083,1+INT(COUNTA($Q$11:Q1729)/5),0),"[",""),"]","")+_xlfn.XLOOKUP(C1730,$M$3:$M$7,$N$3:$N$7)*100,R1729)</f>
        <v>60700</v>
      </c>
    </row>
    <row r="1731" customHeight="1" spans="1:18">
      <c r="A1731" s="78">
        <f ca="1" t="shared" si="80"/>
        <v>60701</v>
      </c>
      <c r="B1731" s="82">
        <f ca="1">IFERROR(R1731+COUNTIFS($R$11:$R1731,R1731),"")</f>
        <v>60726</v>
      </c>
      <c r="C1731" s="83" t="str">
        <f ca="1">IF(MOD(COUNTIF($Q$11:Q1730,Q1730),5)=0,OFFSET(装备属性!$D$1083,1+INT(COUNTA($Q$11:Q1730)/5),0),C1730)</f>
        <v>粉</v>
      </c>
      <c r="D1731" s="82">
        <f t="shared" si="83"/>
        <v>3000</v>
      </c>
      <c r="F1731" s="82">
        <f ca="1" t="shared" si="81"/>
        <v>60705</v>
      </c>
      <c r="G1731" s="78" t="str">
        <f ca="1">IF(AND(LEFT("[{"&amp;M1731&amp;","&amp;CEILING(N1731*10000+(O1731-N1731)/4*(COUNTIF($F$11:F1731,F1731)-1)*10000,10)&amp;"}]",7)="[{equip",MID("[{"&amp;M1731&amp;","&amp;CEILING(N1731*10000+(O1731-N1731)/4*(COUNTIF($F$11:F1731,F1731)-1)*10000,10)&amp;"}]",8,1)&lt;&gt;"_"),"[{"&amp;M1731&amp;","&amp;1&amp;"}]","[{"&amp;M1731&amp;","&amp;CEILING(N1731*10000+(O1731-N1731)/4*(COUNTIF($F$11:F1731,F1731)-1)*10000,10)&amp;"}]")</f>
        <v>[{summon_dmg_rate,800}]</v>
      </c>
      <c r="H1731" s="82" t="s">
        <v>563</v>
      </c>
      <c r="J1731" s="78">
        <f ca="1">IF(MOD(COUNTIF($Q$11:Q1730,Q1730),5)=0,OFFSET(装备属性!$P$1083,1+INT(COUNTA($Q$11:Q1730)/5),0),J1730)</f>
        <v>5</v>
      </c>
      <c r="K1731" s="83" t="str">
        <f ca="1">IF(RIGHT(G1731,13)="rune_slot,1}]",_xlfn.XLOOKUP(LEFT(SUBSTITUTE(G1731,"[{",""),FIND(",",SUBSTITUTE(G1731,"[{",""))-1),Sheet2!B:B,Sheet2!C:C)&amp;"+"&amp;1,_xlfn.XLOOKUP(LEFT(SUBSTITUTE(G1731,"[{",""),FIND(",",SUBSTITUTE(G1731,"[{",""))-1),Sheet2!B:B,Sheet2!C:C)&amp;"+"&amp;SUBSTITUTE(RIGHT(G1731,LEN(G1731)-FIND(",",G1731)),"}]","")/100&amp;"%")</f>
        <v>召唤伤害+8%</v>
      </c>
      <c r="L1731" s="83" t="str">
        <f ca="1">IF(MOD(COUNTIF($Q$11:Q1730,Q1730),5)=0,OFFSET(装备属性!$G$1083,1+INT(COUNTA($Q$11:Q1730)/5),0),L1730)</f>
        <v>召唤加班Ⅳ</v>
      </c>
      <c r="M1731" s="89" t="str">
        <f ca="1">IF(MOD(COUNTIF($Q$11:Q1730,Q1730),5)=0,OFFSET(装备属性!$H$1083,1+INT(COUNTA($Q$11:Q1730)/5),0),M1730)</f>
        <v>summon_dmg_rate</v>
      </c>
      <c r="N1731" s="76">
        <f ca="1">IF(MOD(COUNTIF($Q$11:Q1730,Q1730),5)=0,OFFSET(装备属性!$K$1083,1+INT(COUNTA($Q$11:Q1730)/5),0),N1730)</f>
        <v>0.08</v>
      </c>
      <c r="O1731" s="76">
        <f ca="1">IF(MOD(COUNTIF($Q$11:Q1730,Q1730),5)=0,OFFSET(装备属性!$L$1083,1+INT(COUNTA($Q$11:Q1730)/5),0),O1730)</f>
        <v>0.09</v>
      </c>
      <c r="Q1731" s="89" t="str">
        <f ca="1">IF(MOD(COUNTIF($Q$11:Q1730,Q1730),5)=0,OFFSET(装备属性!$M$1083,1+INT(COUNTA($Q$11:Q1730)/5),0),Q1730)</f>
        <v>通用属性</v>
      </c>
      <c r="R1731" s="83">
        <f ca="1">IF(MOD(COUNTIF($Q$11:Q1730,Q1730),5)=0,10000*SUBSTITUTE(SUBSTITUTE(OFFSET(装备属性!$F$1083,1+INT(COUNTA($Q$11:Q1730)/5),0),"[",""),"]","")+_xlfn.XLOOKUP(C1731,$M$3:$M$7,$N$3:$N$7)*100,R1730)</f>
        <v>60700</v>
      </c>
    </row>
    <row r="1732" customHeight="1" spans="1:18">
      <c r="A1732" s="78">
        <f ca="1" t="shared" si="80"/>
        <v>60701</v>
      </c>
      <c r="B1732" s="82">
        <f ca="1">IFERROR(R1732+COUNTIFS($R$11:$R1732,R1732),"")</f>
        <v>60727</v>
      </c>
      <c r="C1732" s="83" t="str">
        <f ca="1">IF(MOD(COUNTIF($Q$11:Q1731,Q1731),5)=0,OFFSET(装备属性!$D$1083,1+INT(COUNTA($Q$11:Q1731)/5),0),C1731)</f>
        <v>粉</v>
      </c>
      <c r="D1732" s="82">
        <f t="shared" si="83"/>
        <v>2500</v>
      </c>
      <c r="F1732" s="82">
        <f ca="1" t="shared" si="81"/>
        <v>60705</v>
      </c>
      <c r="G1732" s="78" t="str">
        <f ca="1">IF(AND(LEFT("[{"&amp;M1732&amp;","&amp;CEILING(N1732*10000+(O1732-N1732)/4*(COUNTIF($F$11:F1732,F1732)-1)*10000,10)&amp;"}]",7)="[{equip",MID("[{"&amp;M1732&amp;","&amp;CEILING(N1732*10000+(O1732-N1732)/4*(COUNTIF($F$11:F1732,F1732)-1)*10000,10)&amp;"}]",8,1)&lt;&gt;"_"),"[{"&amp;M1732&amp;","&amp;1&amp;"}]","[{"&amp;M1732&amp;","&amp;CEILING(N1732*10000+(O1732-N1732)/4*(COUNTIF($F$11:F1732,F1732)-1)*10000,10)&amp;"}]")</f>
        <v>[{summon_dmg_rate,830}]</v>
      </c>
      <c r="H1732" s="82" t="s">
        <v>563</v>
      </c>
      <c r="J1732" s="78">
        <f ca="1">IF(MOD(COUNTIF($Q$11:Q1731,Q1731),5)=0,OFFSET(装备属性!$P$1083,1+INT(COUNTA($Q$11:Q1731)/5),0),J1731)</f>
        <v>5</v>
      </c>
      <c r="K1732" s="83" t="str">
        <f ca="1">IF(RIGHT(G1732,13)="rune_slot,1}]",_xlfn.XLOOKUP(LEFT(SUBSTITUTE(G1732,"[{",""),FIND(",",SUBSTITUTE(G1732,"[{",""))-1),Sheet2!B:B,Sheet2!C:C)&amp;"+"&amp;1,_xlfn.XLOOKUP(LEFT(SUBSTITUTE(G1732,"[{",""),FIND(",",SUBSTITUTE(G1732,"[{",""))-1),Sheet2!B:B,Sheet2!C:C)&amp;"+"&amp;SUBSTITUTE(RIGHT(G1732,LEN(G1732)-FIND(",",G1732)),"}]","")/100&amp;"%")</f>
        <v>召唤伤害+8.3%</v>
      </c>
      <c r="L1732" s="83" t="str">
        <f ca="1">IF(MOD(COUNTIF($Q$11:Q1731,Q1731),5)=0,OFFSET(装备属性!$G$1083,1+INT(COUNTA($Q$11:Q1731)/5),0),L1731)</f>
        <v>召唤加班Ⅳ</v>
      </c>
      <c r="M1732" s="89" t="str">
        <f ca="1">IF(MOD(COUNTIF($Q$11:Q1731,Q1731),5)=0,OFFSET(装备属性!$H$1083,1+INT(COUNTA($Q$11:Q1731)/5),0),M1731)</f>
        <v>summon_dmg_rate</v>
      </c>
      <c r="N1732" s="76">
        <f ca="1">IF(MOD(COUNTIF($Q$11:Q1731,Q1731),5)=0,OFFSET(装备属性!$K$1083,1+INT(COUNTA($Q$11:Q1731)/5),0),N1731)</f>
        <v>0.08</v>
      </c>
      <c r="O1732" s="76">
        <f ca="1">IF(MOD(COUNTIF($Q$11:Q1731,Q1731),5)=0,OFFSET(装备属性!$L$1083,1+INT(COUNTA($Q$11:Q1731)/5),0),O1731)</f>
        <v>0.09</v>
      </c>
      <c r="Q1732" s="89" t="str">
        <f ca="1">IF(MOD(COUNTIF($Q$11:Q1731,Q1731),5)=0,OFFSET(装备属性!$M$1083,1+INT(COUNTA($Q$11:Q1731)/5),0),Q1731)</f>
        <v>通用属性</v>
      </c>
      <c r="R1732" s="83">
        <f ca="1">IF(MOD(COUNTIF($Q$11:Q1731,Q1731),5)=0,10000*SUBSTITUTE(SUBSTITUTE(OFFSET(装备属性!$F$1083,1+INT(COUNTA($Q$11:Q1731)/5),0),"[",""),"]","")+_xlfn.XLOOKUP(C1732,$M$3:$M$7,$N$3:$N$7)*100,R1731)</f>
        <v>60700</v>
      </c>
    </row>
    <row r="1733" customHeight="1" spans="1:18">
      <c r="A1733" s="78">
        <f ca="1" t="shared" si="80"/>
        <v>60701</v>
      </c>
      <c r="B1733" s="82">
        <f ca="1">IFERROR(R1733+COUNTIFS($R$11:$R1733,R1733),"")</f>
        <v>60728</v>
      </c>
      <c r="C1733" s="83" t="str">
        <f ca="1">IF(MOD(COUNTIF($Q$11:Q1732,Q1732),5)=0,OFFSET(装备属性!$D$1083,1+INT(COUNTA($Q$11:Q1732)/5),0),C1732)</f>
        <v>粉</v>
      </c>
      <c r="D1733" s="82">
        <f t="shared" si="83"/>
        <v>2000</v>
      </c>
      <c r="F1733" s="82">
        <f ca="1" t="shared" si="81"/>
        <v>60705</v>
      </c>
      <c r="G1733" s="78" t="str">
        <f ca="1">IF(AND(LEFT("[{"&amp;M1733&amp;","&amp;CEILING(N1733*10000+(O1733-N1733)/4*(COUNTIF($F$11:F1733,F1733)-1)*10000,10)&amp;"}]",7)="[{equip",MID("[{"&amp;M1733&amp;","&amp;CEILING(N1733*10000+(O1733-N1733)/4*(COUNTIF($F$11:F1733,F1733)-1)*10000,10)&amp;"}]",8,1)&lt;&gt;"_"),"[{"&amp;M1733&amp;","&amp;1&amp;"}]","[{"&amp;M1733&amp;","&amp;CEILING(N1733*10000+(O1733-N1733)/4*(COUNTIF($F$11:F1733,F1733)-1)*10000,10)&amp;"}]")</f>
        <v>[{summon_dmg_rate,850}]</v>
      </c>
      <c r="H1733" s="82" t="s">
        <v>563</v>
      </c>
      <c r="J1733" s="78">
        <f ca="1">IF(MOD(COUNTIF($Q$11:Q1732,Q1732),5)=0,OFFSET(装备属性!$P$1083,1+INT(COUNTA($Q$11:Q1732)/5),0),J1732)</f>
        <v>5</v>
      </c>
      <c r="K1733" s="83" t="str">
        <f ca="1">IF(RIGHT(G1733,13)="rune_slot,1}]",_xlfn.XLOOKUP(LEFT(SUBSTITUTE(G1733,"[{",""),FIND(",",SUBSTITUTE(G1733,"[{",""))-1),Sheet2!B:B,Sheet2!C:C)&amp;"+"&amp;1,_xlfn.XLOOKUP(LEFT(SUBSTITUTE(G1733,"[{",""),FIND(",",SUBSTITUTE(G1733,"[{",""))-1),Sheet2!B:B,Sheet2!C:C)&amp;"+"&amp;SUBSTITUTE(RIGHT(G1733,LEN(G1733)-FIND(",",G1733)),"}]","")/100&amp;"%")</f>
        <v>召唤伤害+8.5%</v>
      </c>
      <c r="L1733" s="83" t="str">
        <f ca="1">IF(MOD(COUNTIF($Q$11:Q1732,Q1732),5)=0,OFFSET(装备属性!$G$1083,1+INT(COUNTA($Q$11:Q1732)/5),0),L1732)</f>
        <v>召唤加班Ⅳ</v>
      </c>
      <c r="M1733" s="89" t="str">
        <f ca="1">IF(MOD(COUNTIF($Q$11:Q1732,Q1732),5)=0,OFFSET(装备属性!$H$1083,1+INT(COUNTA($Q$11:Q1732)/5),0),M1732)</f>
        <v>summon_dmg_rate</v>
      </c>
      <c r="N1733" s="76">
        <f ca="1">IF(MOD(COUNTIF($Q$11:Q1732,Q1732),5)=0,OFFSET(装备属性!$K$1083,1+INT(COUNTA($Q$11:Q1732)/5),0),N1732)</f>
        <v>0.08</v>
      </c>
      <c r="O1733" s="76">
        <f ca="1">IF(MOD(COUNTIF($Q$11:Q1732,Q1732),5)=0,OFFSET(装备属性!$L$1083,1+INT(COUNTA($Q$11:Q1732)/5),0),O1732)</f>
        <v>0.09</v>
      </c>
      <c r="Q1733" s="89" t="str">
        <f ca="1">IF(MOD(COUNTIF($Q$11:Q1732,Q1732),5)=0,OFFSET(装备属性!$M$1083,1+INT(COUNTA($Q$11:Q1732)/5),0),Q1732)</f>
        <v>通用属性</v>
      </c>
      <c r="R1733" s="83">
        <f ca="1">IF(MOD(COUNTIF($Q$11:Q1732,Q1732),5)=0,10000*SUBSTITUTE(SUBSTITUTE(OFFSET(装备属性!$F$1083,1+INT(COUNTA($Q$11:Q1732)/5),0),"[",""),"]","")+_xlfn.XLOOKUP(C1733,$M$3:$M$7,$N$3:$N$7)*100,R1732)</f>
        <v>60700</v>
      </c>
    </row>
    <row r="1734" customHeight="1" spans="1:18">
      <c r="A1734" s="78">
        <f ca="1" t="shared" si="80"/>
        <v>60701</v>
      </c>
      <c r="B1734" s="82">
        <f ca="1">IFERROR(R1734+COUNTIFS($R$11:$R1734,R1734),"")</f>
        <v>60729</v>
      </c>
      <c r="C1734" s="83" t="str">
        <f ca="1">IF(MOD(COUNTIF($Q$11:Q1733,Q1733),5)=0,OFFSET(装备属性!$D$1083,1+INT(COUNTA($Q$11:Q1733)/5),0),C1733)</f>
        <v>粉</v>
      </c>
      <c r="D1734" s="82">
        <f t="shared" si="83"/>
        <v>1500</v>
      </c>
      <c r="F1734" s="82">
        <f ca="1" t="shared" si="81"/>
        <v>60705</v>
      </c>
      <c r="G1734" s="78" t="str">
        <f ca="1">IF(AND(LEFT("[{"&amp;M1734&amp;","&amp;CEILING(N1734*10000+(O1734-N1734)/4*(COUNTIF($F$11:F1734,F1734)-1)*10000,10)&amp;"}]",7)="[{equip",MID("[{"&amp;M1734&amp;","&amp;CEILING(N1734*10000+(O1734-N1734)/4*(COUNTIF($F$11:F1734,F1734)-1)*10000,10)&amp;"}]",8,1)&lt;&gt;"_"),"[{"&amp;M1734&amp;","&amp;1&amp;"}]","[{"&amp;M1734&amp;","&amp;CEILING(N1734*10000+(O1734-N1734)/4*(COUNTIF($F$11:F1734,F1734)-1)*10000,10)&amp;"}]")</f>
        <v>[{summon_dmg_rate,880}]</v>
      </c>
      <c r="H1734" s="82" t="s">
        <v>563</v>
      </c>
      <c r="J1734" s="78">
        <f ca="1">IF(MOD(COUNTIF($Q$11:Q1733,Q1733),5)=0,OFFSET(装备属性!$P$1083,1+INT(COUNTA($Q$11:Q1733)/5),0),J1733)</f>
        <v>5</v>
      </c>
      <c r="K1734" s="83" t="str">
        <f ca="1">IF(RIGHT(G1734,13)="rune_slot,1}]",_xlfn.XLOOKUP(LEFT(SUBSTITUTE(G1734,"[{",""),FIND(",",SUBSTITUTE(G1734,"[{",""))-1),Sheet2!B:B,Sheet2!C:C)&amp;"+"&amp;1,_xlfn.XLOOKUP(LEFT(SUBSTITUTE(G1734,"[{",""),FIND(",",SUBSTITUTE(G1734,"[{",""))-1),Sheet2!B:B,Sheet2!C:C)&amp;"+"&amp;SUBSTITUTE(RIGHT(G1734,LEN(G1734)-FIND(",",G1734)),"}]","")/100&amp;"%")</f>
        <v>召唤伤害+8.8%</v>
      </c>
      <c r="L1734" s="83" t="str">
        <f ca="1">IF(MOD(COUNTIF($Q$11:Q1733,Q1733),5)=0,OFFSET(装备属性!$G$1083,1+INT(COUNTA($Q$11:Q1733)/5),0),L1733)</f>
        <v>召唤加班Ⅳ</v>
      </c>
      <c r="M1734" s="89" t="str">
        <f ca="1">IF(MOD(COUNTIF($Q$11:Q1733,Q1733),5)=0,OFFSET(装备属性!$H$1083,1+INT(COUNTA($Q$11:Q1733)/5),0),M1733)</f>
        <v>summon_dmg_rate</v>
      </c>
      <c r="N1734" s="76">
        <f ca="1">IF(MOD(COUNTIF($Q$11:Q1733,Q1733),5)=0,OFFSET(装备属性!$K$1083,1+INT(COUNTA($Q$11:Q1733)/5),0),N1733)</f>
        <v>0.08</v>
      </c>
      <c r="O1734" s="76">
        <f ca="1">IF(MOD(COUNTIF($Q$11:Q1733,Q1733),5)=0,OFFSET(装备属性!$L$1083,1+INT(COUNTA($Q$11:Q1733)/5),0),O1733)</f>
        <v>0.09</v>
      </c>
      <c r="Q1734" s="89" t="str">
        <f ca="1">IF(MOD(COUNTIF($Q$11:Q1733,Q1733),5)=0,OFFSET(装备属性!$M$1083,1+INT(COUNTA($Q$11:Q1733)/5),0),Q1733)</f>
        <v>通用属性</v>
      </c>
      <c r="R1734" s="83">
        <f ca="1">IF(MOD(COUNTIF($Q$11:Q1733,Q1733),5)=0,10000*SUBSTITUTE(SUBSTITUTE(OFFSET(装备属性!$F$1083,1+INT(COUNTA($Q$11:Q1733)/5),0),"[",""),"]","")+_xlfn.XLOOKUP(C1734,$M$3:$M$7,$N$3:$N$7)*100,R1733)</f>
        <v>60700</v>
      </c>
    </row>
    <row r="1735" customHeight="1" spans="1:18">
      <c r="A1735" s="78">
        <f ca="1" t="shared" si="80"/>
        <v>60701</v>
      </c>
      <c r="B1735" s="82">
        <f ca="1">IFERROR(R1735+COUNTIFS($R$11:$R1735,R1735),"")</f>
        <v>60730</v>
      </c>
      <c r="C1735" s="83" t="str">
        <f ca="1">IF(MOD(COUNTIF($Q$11:Q1734,Q1734),5)=0,OFFSET(装备属性!$D$1083,1+INT(COUNTA($Q$11:Q1734)/5),0),C1734)</f>
        <v>粉</v>
      </c>
      <c r="D1735" s="82">
        <f t="shared" si="83"/>
        <v>1000</v>
      </c>
      <c r="F1735" s="82">
        <f ca="1" t="shared" si="81"/>
        <v>60705</v>
      </c>
      <c r="G1735" s="78" t="str">
        <f ca="1">IF(AND(LEFT("[{"&amp;M1735&amp;","&amp;CEILING(N1735*10000+(O1735-N1735)/4*(COUNTIF($F$11:F1735,F1735)-1)*10000,10)&amp;"}]",7)="[{equip",MID("[{"&amp;M1735&amp;","&amp;CEILING(N1735*10000+(O1735-N1735)/4*(COUNTIF($F$11:F1735,F1735)-1)*10000,10)&amp;"}]",8,1)&lt;&gt;"_"),"[{"&amp;M1735&amp;","&amp;1&amp;"}]","[{"&amp;M1735&amp;","&amp;CEILING(N1735*10000+(O1735-N1735)/4*(COUNTIF($F$11:F1735,F1735)-1)*10000,10)&amp;"}]")</f>
        <v>[{summon_dmg_rate,900}]</v>
      </c>
      <c r="H1735" s="82" t="s">
        <v>563</v>
      </c>
      <c r="J1735" s="78">
        <f ca="1">IF(MOD(COUNTIF($Q$11:Q1734,Q1734),5)=0,OFFSET(装备属性!$P$1083,1+INT(COUNTA($Q$11:Q1734)/5),0),J1734)</f>
        <v>5</v>
      </c>
      <c r="K1735" s="83" t="str">
        <f ca="1">IF(RIGHT(G1735,13)="rune_slot,1}]",_xlfn.XLOOKUP(LEFT(SUBSTITUTE(G1735,"[{",""),FIND(",",SUBSTITUTE(G1735,"[{",""))-1),Sheet2!B:B,Sheet2!C:C)&amp;"+"&amp;1,_xlfn.XLOOKUP(LEFT(SUBSTITUTE(G1735,"[{",""),FIND(",",SUBSTITUTE(G1735,"[{",""))-1),Sheet2!B:B,Sheet2!C:C)&amp;"+"&amp;SUBSTITUTE(RIGHT(G1735,LEN(G1735)-FIND(",",G1735)),"}]","")/100&amp;"%")</f>
        <v>召唤伤害+9%</v>
      </c>
      <c r="L1735" s="83" t="str">
        <f ca="1">IF(MOD(COUNTIF($Q$11:Q1734,Q1734),5)=0,OFFSET(装备属性!$G$1083,1+INT(COUNTA($Q$11:Q1734)/5),0),L1734)</f>
        <v>召唤加班Ⅳ</v>
      </c>
      <c r="M1735" s="89" t="str">
        <f ca="1">IF(MOD(COUNTIF($Q$11:Q1734,Q1734),5)=0,OFFSET(装备属性!$H$1083,1+INT(COUNTA($Q$11:Q1734)/5),0),M1734)</f>
        <v>summon_dmg_rate</v>
      </c>
      <c r="N1735" s="76">
        <f ca="1">IF(MOD(COUNTIF($Q$11:Q1734,Q1734),5)=0,OFFSET(装备属性!$K$1083,1+INT(COUNTA($Q$11:Q1734)/5),0),N1734)</f>
        <v>0.08</v>
      </c>
      <c r="O1735" s="76">
        <f ca="1">IF(MOD(COUNTIF($Q$11:Q1734,Q1734),5)=0,OFFSET(装备属性!$L$1083,1+INT(COUNTA($Q$11:Q1734)/5),0),O1734)</f>
        <v>0.09</v>
      </c>
      <c r="Q1735" s="89" t="str">
        <f ca="1">IF(MOD(COUNTIF($Q$11:Q1734,Q1734),5)=0,OFFSET(装备属性!$M$1083,1+INT(COUNTA($Q$11:Q1734)/5),0),Q1734)</f>
        <v>通用属性</v>
      </c>
      <c r="R1735" s="83">
        <f ca="1">IF(MOD(COUNTIF($Q$11:Q1734,Q1734),5)=0,10000*SUBSTITUTE(SUBSTITUTE(OFFSET(装备属性!$F$1083,1+INT(COUNTA($Q$11:Q1734)/5),0),"[",""),"]","")+_xlfn.XLOOKUP(C1735,$M$3:$M$7,$N$3:$N$7)*100,R1734)</f>
        <v>60700</v>
      </c>
    </row>
    <row r="1736" customHeight="1" spans="1:18">
      <c r="A1736" s="78">
        <f ca="1" t="shared" si="80"/>
        <v>60701</v>
      </c>
      <c r="B1736" s="82">
        <f ca="1">IFERROR(R1736+COUNTIFS($R$11:$R1736,R1736),"")</f>
        <v>60731</v>
      </c>
      <c r="C1736" s="83" t="str">
        <f ca="1">IF(MOD(COUNTIF($Q$11:Q1735,Q1735),5)=0,OFFSET(装备属性!$D$1083,1+INT(COUNTA($Q$11:Q1735)/5),0),C1735)</f>
        <v>粉</v>
      </c>
      <c r="D1736" s="82">
        <f t="shared" ref="D1736:D1767" si="84">D1731</f>
        <v>3000</v>
      </c>
      <c r="F1736" s="82">
        <f ca="1" t="shared" si="81"/>
        <v>60706</v>
      </c>
      <c r="G1736" s="78" t="str">
        <f ca="1">IF(AND(LEFT("[{"&amp;M1736&amp;","&amp;CEILING(N1736*10000+(O1736-N1736)/4*(COUNTIF($F$11:F1736,F1736)-1)*10000,10)&amp;"}]",7)="[{equip",MID("[{"&amp;M1736&amp;","&amp;CEILING(N1736*10000+(O1736-N1736)/4*(COUNTIF($F$11:F1736,F1736)-1)*10000,10)&amp;"}]",8,1)&lt;&gt;"_"),"[{"&amp;M1736&amp;","&amp;1&amp;"}]","[{"&amp;M1736&amp;","&amp;CEILING(N1736*10000+(O1736-N1736)/4*(COUNTIF($F$11:F1736,F1736)-1)*10000,10)&amp;"}]")</f>
        <v>[{summon_dmg_red_rate,300}]</v>
      </c>
      <c r="H1736" s="82" t="s">
        <v>563</v>
      </c>
      <c r="J1736" s="78">
        <f ca="1">IF(MOD(COUNTIF($Q$11:Q1735,Q1735),5)=0,OFFSET(装备属性!$P$1083,1+INT(COUNTA($Q$11:Q1735)/5),0),J1735)</f>
        <v>3</v>
      </c>
      <c r="K1736" s="83" t="str">
        <f ca="1">IF(RIGHT(G1736,13)="rune_slot,1}]",_xlfn.XLOOKUP(LEFT(SUBSTITUTE(G1736,"[{",""),FIND(",",SUBSTITUTE(G1736,"[{",""))-1),Sheet2!B:B,Sheet2!C:C)&amp;"+"&amp;1,_xlfn.XLOOKUP(LEFT(SUBSTITUTE(G1736,"[{",""),FIND(",",SUBSTITUTE(G1736,"[{",""))-1),Sheet2!B:B,Sheet2!C:C)&amp;"+"&amp;SUBSTITUTE(RIGHT(G1736,LEN(G1736)-FIND(",",G1736)),"}]","")/100&amp;"%")</f>
        <v>召唤伤害减免+3%</v>
      </c>
      <c r="L1736" s="83" t="str">
        <f ca="1">IF(MOD(COUNTIF($Q$11:Q1735,Q1735),5)=0,OFFSET(装备属性!$G$1083,1+INT(COUNTA($Q$11:Q1735)/5),0),L1735)</f>
        <v>召唤硬吃Ⅳ</v>
      </c>
      <c r="M1736" s="89" t="str">
        <f ca="1">IF(MOD(COUNTIF($Q$11:Q1735,Q1735),5)=0,OFFSET(装备属性!$H$1083,1+INT(COUNTA($Q$11:Q1735)/5),0),M1735)</f>
        <v>summon_dmg_red_rate</v>
      </c>
      <c r="N1736" s="76">
        <f ca="1">IF(MOD(COUNTIF($Q$11:Q1735,Q1735),5)=0,OFFSET(装备属性!$K$1083,1+INT(COUNTA($Q$11:Q1735)/5),0),N1735)</f>
        <v>0.03</v>
      </c>
      <c r="O1736" s="76">
        <f ca="1">IF(MOD(COUNTIF($Q$11:Q1735,Q1735),5)=0,OFFSET(装备属性!$L$1083,1+INT(COUNTA($Q$11:Q1735)/5),0),O1735)</f>
        <v>0.034</v>
      </c>
      <c r="Q1736" s="89" t="str">
        <f ca="1">IF(MOD(COUNTIF($Q$11:Q1735,Q1735),5)=0,OFFSET(装备属性!$M$1083,1+INT(COUNTA($Q$11:Q1735)/5),0),Q1735)</f>
        <v>通用属性</v>
      </c>
      <c r="R1736" s="83">
        <f ca="1">IF(MOD(COUNTIF($Q$11:Q1735,Q1735),5)=0,10000*SUBSTITUTE(SUBSTITUTE(OFFSET(装备属性!$F$1083,1+INT(COUNTA($Q$11:Q1735)/5),0),"[",""),"]","")+_xlfn.XLOOKUP(C1736,$M$3:$M$7,$N$3:$N$7)*100,R1735)</f>
        <v>60700</v>
      </c>
    </row>
    <row r="1737" customHeight="1" spans="1:18">
      <c r="A1737" s="78">
        <f ca="1" t="shared" si="80"/>
        <v>60701</v>
      </c>
      <c r="B1737" s="82">
        <f ca="1">IFERROR(R1737+COUNTIFS($R$11:$R1737,R1737),"")</f>
        <v>60732</v>
      </c>
      <c r="C1737" s="83" t="str">
        <f ca="1">IF(MOD(COUNTIF($Q$11:Q1736,Q1736),5)=0,OFFSET(装备属性!$D$1083,1+INT(COUNTA($Q$11:Q1736)/5),0),C1736)</f>
        <v>粉</v>
      </c>
      <c r="D1737" s="82">
        <f t="shared" si="84"/>
        <v>2500</v>
      </c>
      <c r="F1737" s="82">
        <f ca="1" t="shared" si="81"/>
        <v>60706</v>
      </c>
      <c r="G1737" s="78" t="str">
        <f ca="1">IF(AND(LEFT("[{"&amp;M1737&amp;","&amp;CEILING(N1737*10000+(O1737-N1737)/4*(COUNTIF($F$11:F1737,F1737)-1)*10000,10)&amp;"}]",7)="[{equip",MID("[{"&amp;M1737&amp;","&amp;CEILING(N1737*10000+(O1737-N1737)/4*(COUNTIF($F$11:F1737,F1737)-1)*10000,10)&amp;"}]",8,1)&lt;&gt;"_"),"[{"&amp;M1737&amp;","&amp;1&amp;"}]","[{"&amp;M1737&amp;","&amp;CEILING(N1737*10000+(O1737-N1737)/4*(COUNTIF($F$11:F1737,F1737)-1)*10000,10)&amp;"}]")</f>
        <v>[{summon_dmg_red_rate,310}]</v>
      </c>
      <c r="H1737" s="82" t="s">
        <v>563</v>
      </c>
      <c r="J1737" s="78">
        <f ca="1">IF(MOD(COUNTIF($Q$11:Q1736,Q1736),5)=0,OFFSET(装备属性!$P$1083,1+INT(COUNTA($Q$11:Q1736)/5),0),J1736)</f>
        <v>3</v>
      </c>
      <c r="K1737" s="83" t="str">
        <f ca="1">IF(RIGHT(G1737,13)="rune_slot,1}]",_xlfn.XLOOKUP(LEFT(SUBSTITUTE(G1737,"[{",""),FIND(",",SUBSTITUTE(G1737,"[{",""))-1),Sheet2!B:B,Sheet2!C:C)&amp;"+"&amp;1,_xlfn.XLOOKUP(LEFT(SUBSTITUTE(G1737,"[{",""),FIND(",",SUBSTITUTE(G1737,"[{",""))-1),Sheet2!B:B,Sheet2!C:C)&amp;"+"&amp;SUBSTITUTE(RIGHT(G1737,LEN(G1737)-FIND(",",G1737)),"}]","")/100&amp;"%")</f>
        <v>召唤伤害减免+3.1%</v>
      </c>
      <c r="L1737" s="83" t="str">
        <f ca="1">IF(MOD(COUNTIF($Q$11:Q1736,Q1736),5)=0,OFFSET(装备属性!$G$1083,1+INT(COUNTA($Q$11:Q1736)/5),0),L1736)</f>
        <v>召唤硬吃Ⅳ</v>
      </c>
      <c r="M1737" s="89" t="str">
        <f ca="1">IF(MOD(COUNTIF($Q$11:Q1736,Q1736),5)=0,OFFSET(装备属性!$H$1083,1+INT(COUNTA($Q$11:Q1736)/5),0),M1736)</f>
        <v>summon_dmg_red_rate</v>
      </c>
      <c r="N1737" s="76">
        <f ca="1">IF(MOD(COUNTIF($Q$11:Q1736,Q1736),5)=0,OFFSET(装备属性!$K$1083,1+INT(COUNTA($Q$11:Q1736)/5),0),N1736)</f>
        <v>0.03</v>
      </c>
      <c r="O1737" s="76">
        <f ca="1">IF(MOD(COUNTIF($Q$11:Q1736,Q1736),5)=0,OFFSET(装备属性!$L$1083,1+INT(COUNTA($Q$11:Q1736)/5),0),O1736)</f>
        <v>0.034</v>
      </c>
      <c r="Q1737" s="89" t="str">
        <f ca="1">IF(MOD(COUNTIF($Q$11:Q1736,Q1736),5)=0,OFFSET(装备属性!$M$1083,1+INT(COUNTA($Q$11:Q1736)/5),0),Q1736)</f>
        <v>通用属性</v>
      </c>
      <c r="R1737" s="83">
        <f ca="1">IF(MOD(COUNTIF($Q$11:Q1736,Q1736),5)=0,10000*SUBSTITUTE(SUBSTITUTE(OFFSET(装备属性!$F$1083,1+INT(COUNTA($Q$11:Q1736)/5),0),"[",""),"]","")+_xlfn.XLOOKUP(C1737,$M$3:$M$7,$N$3:$N$7)*100,R1736)</f>
        <v>60700</v>
      </c>
    </row>
    <row r="1738" customHeight="1" spans="1:18">
      <c r="A1738" s="78">
        <f ca="1" t="shared" si="80"/>
        <v>60701</v>
      </c>
      <c r="B1738" s="82">
        <f ca="1">IFERROR(R1738+COUNTIFS($R$11:$R1738,R1738),"")</f>
        <v>60733</v>
      </c>
      <c r="C1738" s="83" t="str">
        <f ca="1">IF(MOD(COUNTIF($Q$11:Q1737,Q1737),5)=0,OFFSET(装备属性!$D$1083,1+INT(COUNTA($Q$11:Q1737)/5),0),C1737)</f>
        <v>粉</v>
      </c>
      <c r="D1738" s="82">
        <f t="shared" si="84"/>
        <v>2000</v>
      </c>
      <c r="F1738" s="82">
        <f ca="1" t="shared" si="81"/>
        <v>60706</v>
      </c>
      <c r="G1738" s="78" t="str">
        <f ca="1">IF(AND(LEFT("[{"&amp;M1738&amp;","&amp;CEILING(N1738*10000+(O1738-N1738)/4*(COUNTIF($F$11:F1738,F1738)-1)*10000,10)&amp;"}]",7)="[{equip",MID("[{"&amp;M1738&amp;","&amp;CEILING(N1738*10000+(O1738-N1738)/4*(COUNTIF($F$11:F1738,F1738)-1)*10000,10)&amp;"}]",8,1)&lt;&gt;"_"),"[{"&amp;M1738&amp;","&amp;1&amp;"}]","[{"&amp;M1738&amp;","&amp;CEILING(N1738*10000+(O1738-N1738)/4*(COUNTIF($F$11:F1738,F1738)-1)*10000,10)&amp;"}]")</f>
        <v>[{summon_dmg_red_rate,320}]</v>
      </c>
      <c r="H1738" s="82" t="s">
        <v>563</v>
      </c>
      <c r="J1738" s="78">
        <f ca="1">IF(MOD(COUNTIF($Q$11:Q1737,Q1737),5)=0,OFFSET(装备属性!$P$1083,1+INT(COUNTA($Q$11:Q1737)/5),0),J1737)</f>
        <v>3</v>
      </c>
      <c r="K1738" s="83" t="str">
        <f ca="1">IF(RIGHT(G1738,13)="rune_slot,1}]",_xlfn.XLOOKUP(LEFT(SUBSTITUTE(G1738,"[{",""),FIND(",",SUBSTITUTE(G1738,"[{",""))-1),Sheet2!B:B,Sheet2!C:C)&amp;"+"&amp;1,_xlfn.XLOOKUP(LEFT(SUBSTITUTE(G1738,"[{",""),FIND(",",SUBSTITUTE(G1738,"[{",""))-1),Sheet2!B:B,Sheet2!C:C)&amp;"+"&amp;SUBSTITUTE(RIGHT(G1738,LEN(G1738)-FIND(",",G1738)),"}]","")/100&amp;"%")</f>
        <v>召唤伤害减免+3.2%</v>
      </c>
      <c r="L1738" s="83" t="str">
        <f ca="1">IF(MOD(COUNTIF($Q$11:Q1737,Q1737),5)=0,OFFSET(装备属性!$G$1083,1+INT(COUNTA($Q$11:Q1737)/5),0),L1737)</f>
        <v>召唤硬吃Ⅳ</v>
      </c>
      <c r="M1738" s="89" t="str">
        <f ca="1">IF(MOD(COUNTIF($Q$11:Q1737,Q1737),5)=0,OFFSET(装备属性!$H$1083,1+INT(COUNTA($Q$11:Q1737)/5),0),M1737)</f>
        <v>summon_dmg_red_rate</v>
      </c>
      <c r="N1738" s="76">
        <f ca="1">IF(MOD(COUNTIF($Q$11:Q1737,Q1737),5)=0,OFFSET(装备属性!$K$1083,1+INT(COUNTA($Q$11:Q1737)/5),0),N1737)</f>
        <v>0.03</v>
      </c>
      <c r="O1738" s="76">
        <f ca="1">IF(MOD(COUNTIF($Q$11:Q1737,Q1737),5)=0,OFFSET(装备属性!$L$1083,1+INT(COUNTA($Q$11:Q1737)/5),0),O1737)</f>
        <v>0.034</v>
      </c>
      <c r="Q1738" s="89" t="str">
        <f ca="1">IF(MOD(COUNTIF($Q$11:Q1737,Q1737),5)=0,OFFSET(装备属性!$M$1083,1+INT(COUNTA($Q$11:Q1737)/5),0),Q1737)</f>
        <v>通用属性</v>
      </c>
      <c r="R1738" s="83">
        <f ca="1">IF(MOD(COUNTIF($Q$11:Q1737,Q1737),5)=0,10000*SUBSTITUTE(SUBSTITUTE(OFFSET(装备属性!$F$1083,1+INT(COUNTA($Q$11:Q1737)/5),0),"[",""),"]","")+_xlfn.XLOOKUP(C1738,$M$3:$M$7,$N$3:$N$7)*100,R1737)</f>
        <v>60700</v>
      </c>
    </row>
    <row r="1739" customHeight="1" spans="1:18">
      <c r="A1739" s="78">
        <f ca="1" t="shared" si="80"/>
        <v>60701</v>
      </c>
      <c r="B1739" s="82">
        <f ca="1">IFERROR(R1739+COUNTIFS($R$11:$R1739,R1739),"")</f>
        <v>60734</v>
      </c>
      <c r="C1739" s="83" t="str">
        <f ca="1">IF(MOD(COUNTIF($Q$11:Q1738,Q1738),5)=0,OFFSET(装备属性!$D$1083,1+INT(COUNTA($Q$11:Q1738)/5),0),C1738)</f>
        <v>粉</v>
      </c>
      <c r="D1739" s="82">
        <f t="shared" si="84"/>
        <v>1500</v>
      </c>
      <c r="F1739" s="82">
        <f ca="1" t="shared" si="81"/>
        <v>60706</v>
      </c>
      <c r="G1739" s="78" t="str">
        <f ca="1">IF(AND(LEFT("[{"&amp;M1739&amp;","&amp;CEILING(N1739*10000+(O1739-N1739)/4*(COUNTIF($F$11:F1739,F1739)-1)*10000,10)&amp;"}]",7)="[{equip",MID("[{"&amp;M1739&amp;","&amp;CEILING(N1739*10000+(O1739-N1739)/4*(COUNTIF($F$11:F1739,F1739)-1)*10000,10)&amp;"}]",8,1)&lt;&gt;"_"),"[{"&amp;M1739&amp;","&amp;1&amp;"}]","[{"&amp;M1739&amp;","&amp;CEILING(N1739*10000+(O1739-N1739)/4*(COUNTIF($F$11:F1739,F1739)-1)*10000,10)&amp;"}]")</f>
        <v>[{summon_dmg_red_rate,330}]</v>
      </c>
      <c r="H1739" s="82" t="s">
        <v>563</v>
      </c>
      <c r="J1739" s="78">
        <f ca="1">IF(MOD(COUNTIF($Q$11:Q1738,Q1738),5)=0,OFFSET(装备属性!$P$1083,1+INT(COUNTA($Q$11:Q1738)/5),0),J1738)</f>
        <v>3</v>
      </c>
      <c r="K1739" s="83" t="str">
        <f ca="1">IF(RIGHT(G1739,13)="rune_slot,1}]",_xlfn.XLOOKUP(LEFT(SUBSTITUTE(G1739,"[{",""),FIND(",",SUBSTITUTE(G1739,"[{",""))-1),Sheet2!B:B,Sheet2!C:C)&amp;"+"&amp;1,_xlfn.XLOOKUP(LEFT(SUBSTITUTE(G1739,"[{",""),FIND(",",SUBSTITUTE(G1739,"[{",""))-1),Sheet2!B:B,Sheet2!C:C)&amp;"+"&amp;SUBSTITUTE(RIGHT(G1739,LEN(G1739)-FIND(",",G1739)),"}]","")/100&amp;"%")</f>
        <v>召唤伤害减免+3.3%</v>
      </c>
      <c r="L1739" s="83" t="str">
        <f ca="1">IF(MOD(COUNTIF($Q$11:Q1738,Q1738),5)=0,OFFSET(装备属性!$G$1083,1+INT(COUNTA($Q$11:Q1738)/5),0),L1738)</f>
        <v>召唤硬吃Ⅳ</v>
      </c>
      <c r="M1739" s="89" t="str">
        <f ca="1">IF(MOD(COUNTIF($Q$11:Q1738,Q1738),5)=0,OFFSET(装备属性!$H$1083,1+INT(COUNTA($Q$11:Q1738)/5),0),M1738)</f>
        <v>summon_dmg_red_rate</v>
      </c>
      <c r="N1739" s="76">
        <f ca="1">IF(MOD(COUNTIF($Q$11:Q1738,Q1738),5)=0,OFFSET(装备属性!$K$1083,1+INT(COUNTA($Q$11:Q1738)/5),0),N1738)</f>
        <v>0.03</v>
      </c>
      <c r="O1739" s="76">
        <f ca="1">IF(MOD(COUNTIF($Q$11:Q1738,Q1738),5)=0,OFFSET(装备属性!$L$1083,1+INT(COUNTA($Q$11:Q1738)/5),0),O1738)</f>
        <v>0.034</v>
      </c>
      <c r="Q1739" s="89" t="str">
        <f ca="1">IF(MOD(COUNTIF($Q$11:Q1738,Q1738),5)=0,OFFSET(装备属性!$M$1083,1+INT(COUNTA($Q$11:Q1738)/5),0),Q1738)</f>
        <v>通用属性</v>
      </c>
      <c r="R1739" s="83">
        <f ca="1">IF(MOD(COUNTIF($Q$11:Q1738,Q1738),5)=0,10000*SUBSTITUTE(SUBSTITUTE(OFFSET(装备属性!$F$1083,1+INT(COUNTA($Q$11:Q1738)/5),0),"[",""),"]","")+_xlfn.XLOOKUP(C1739,$M$3:$M$7,$N$3:$N$7)*100,R1738)</f>
        <v>60700</v>
      </c>
    </row>
    <row r="1740" customHeight="1" spans="1:18">
      <c r="A1740" s="78">
        <f ca="1" t="shared" ref="A1740:A1803" si="85">IFERROR(R1740+IF(Q1740="通用属性",1,IF(Q1740="玩法类",2,IF(Q1740="稀有词条",3,0))),"")</f>
        <v>60701</v>
      </c>
      <c r="B1740" s="82">
        <f ca="1">IFERROR(R1740+COUNTIFS($R$11:$R1740,R1740),"")</f>
        <v>60735</v>
      </c>
      <c r="C1740" s="83" t="str">
        <f ca="1">IF(MOD(COUNTIF($Q$11:Q1739,Q1739),5)=0,OFFSET(装备属性!$D$1083,1+INT(COUNTA($Q$11:Q1739)/5),0),C1739)</f>
        <v>粉</v>
      </c>
      <c r="D1740" s="82">
        <f t="shared" si="84"/>
        <v>1000</v>
      </c>
      <c r="F1740" s="82">
        <f ca="1" t="shared" ref="F1740:F1803" si="86">IFERROR(R1740+INT((B1740-R1740-1)/5),"")</f>
        <v>60706</v>
      </c>
      <c r="G1740" s="78" t="str">
        <f ca="1">IF(AND(LEFT("[{"&amp;M1740&amp;","&amp;CEILING(N1740*10000+(O1740-N1740)/4*(COUNTIF($F$11:F1740,F1740)-1)*10000,10)&amp;"}]",7)="[{equip",MID("[{"&amp;M1740&amp;","&amp;CEILING(N1740*10000+(O1740-N1740)/4*(COUNTIF($F$11:F1740,F1740)-1)*10000,10)&amp;"}]",8,1)&lt;&gt;"_"),"[{"&amp;M1740&amp;","&amp;1&amp;"}]","[{"&amp;M1740&amp;","&amp;CEILING(N1740*10000+(O1740-N1740)/4*(COUNTIF($F$11:F1740,F1740)-1)*10000,10)&amp;"}]")</f>
        <v>[{summon_dmg_red_rate,340}]</v>
      </c>
      <c r="H1740" s="82" t="s">
        <v>563</v>
      </c>
      <c r="J1740" s="78">
        <f ca="1">IF(MOD(COUNTIF($Q$11:Q1739,Q1739),5)=0,OFFSET(装备属性!$P$1083,1+INT(COUNTA($Q$11:Q1739)/5),0),J1739)</f>
        <v>3</v>
      </c>
      <c r="K1740" s="83" t="str">
        <f ca="1">IF(RIGHT(G1740,13)="rune_slot,1}]",_xlfn.XLOOKUP(LEFT(SUBSTITUTE(G1740,"[{",""),FIND(",",SUBSTITUTE(G1740,"[{",""))-1),Sheet2!B:B,Sheet2!C:C)&amp;"+"&amp;1,_xlfn.XLOOKUP(LEFT(SUBSTITUTE(G1740,"[{",""),FIND(",",SUBSTITUTE(G1740,"[{",""))-1),Sheet2!B:B,Sheet2!C:C)&amp;"+"&amp;SUBSTITUTE(RIGHT(G1740,LEN(G1740)-FIND(",",G1740)),"}]","")/100&amp;"%")</f>
        <v>召唤伤害减免+3.4%</v>
      </c>
      <c r="L1740" s="83" t="str">
        <f ca="1">IF(MOD(COUNTIF($Q$11:Q1739,Q1739),5)=0,OFFSET(装备属性!$G$1083,1+INT(COUNTA($Q$11:Q1739)/5),0),L1739)</f>
        <v>召唤硬吃Ⅳ</v>
      </c>
      <c r="M1740" s="89" t="str">
        <f ca="1">IF(MOD(COUNTIF($Q$11:Q1739,Q1739),5)=0,OFFSET(装备属性!$H$1083,1+INT(COUNTA($Q$11:Q1739)/5),0),M1739)</f>
        <v>summon_dmg_red_rate</v>
      </c>
      <c r="N1740" s="76">
        <f ca="1">IF(MOD(COUNTIF($Q$11:Q1739,Q1739),5)=0,OFFSET(装备属性!$K$1083,1+INT(COUNTA($Q$11:Q1739)/5),0),N1739)</f>
        <v>0.03</v>
      </c>
      <c r="O1740" s="76">
        <f ca="1">IF(MOD(COUNTIF($Q$11:Q1739,Q1739),5)=0,OFFSET(装备属性!$L$1083,1+INT(COUNTA($Q$11:Q1739)/5),0),O1739)</f>
        <v>0.034</v>
      </c>
      <c r="Q1740" s="89" t="str">
        <f ca="1">IF(MOD(COUNTIF($Q$11:Q1739,Q1739),5)=0,OFFSET(装备属性!$M$1083,1+INT(COUNTA($Q$11:Q1739)/5),0),Q1739)</f>
        <v>通用属性</v>
      </c>
      <c r="R1740" s="83">
        <f ca="1">IF(MOD(COUNTIF($Q$11:Q1739,Q1739),5)=0,10000*SUBSTITUTE(SUBSTITUTE(OFFSET(装备属性!$F$1083,1+INT(COUNTA($Q$11:Q1739)/5),0),"[",""),"]","")+_xlfn.XLOOKUP(C1740,$M$3:$M$7,$N$3:$N$7)*100,R1739)</f>
        <v>60700</v>
      </c>
    </row>
    <row r="1741" customHeight="1" spans="1:18">
      <c r="A1741" s="78">
        <f ca="1" t="shared" si="85"/>
        <v>60701</v>
      </c>
      <c r="B1741" s="82">
        <f ca="1">IFERROR(R1741+COUNTIFS($R$11:$R1741,R1741),"")</f>
        <v>60736</v>
      </c>
      <c r="C1741" s="83" t="str">
        <f ca="1">IF(MOD(COUNTIF($Q$11:Q1740,Q1740),5)=0,OFFSET(装备属性!$D$1083,1+INT(COUNTA($Q$11:Q1740)/5),0),C1740)</f>
        <v>粉</v>
      </c>
      <c r="D1741" s="82">
        <f t="shared" si="84"/>
        <v>3000</v>
      </c>
      <c r="F1741" s="82">
        <f ca="1" t="shared" si="86"/>
        <v>60707</v>
      </c>
      <c r="G1741" s="78" t="str">
        <f ca="1">IF(AND(LEFT("[{"&amp;M1741&amp;","&amp;CEILING(N1741*10000+(O1741-N1741)/4*(COUNTIF($F$11:F1741,F1741)-1)*10000,10)&amp;"}]",7)="[{equip",MID("[{"&amp;M1741&amp;","&amp;CEILING(N1741*10000+(O1741-N1741)/4*(COUNTIF($F$11:F1741,F1741)-1)*10000,10)&amp;"}]",8,1)&lt;&gt;"_"),"[{"&amp;M1741&amp;","&amp;1&amp;"}]","[{"&amp;M1741&amp;","&amp;CEILING(N1741*10000+(O1741-N1741)/4*(COUNTIF($F$11:F1741,F1741)-1)*10000,10)&amp;"}]")</f>
        <v>[{summon_class_dmg_rate,1100}]</v>
      </c>
      <c r="H1741" s="82" t="s">
        <v>563</v>
      </c>
      <c r="J1741" s="78">
        <f ca="1">IF(MOD(COUNTIF($Q$11:Q1740,Q1740),5)=0,OFFSET(装备属性!$P$1083,1+INT(COUNTA($Q$11:Q1740)/5),0),J1740)</f>
        <v>4</v>
      </c>
      <c r="K1741" s="83" t="str">
        <f ca="1">IF(RIGHT(G1741,13)="rune_slot,1}]",_xlfn.XLOOKUP(LEFT(SUBSTITUTE(G1741,"[{",""),FIND(",",SUBSTITUTE(G1741,"[{",""))-1),Sheet2!B:B,Sheet2!C:C)&amp;"+"&amp;1,_xlfn.XLOOKUP(LEFT(SUBSTITUTE(G1741,"[{",""),FIND(",",SUBSTITUTE(G1741,"[{",""))-1),Sheet2!B:B,Sheet2!C:C)&amp;"+"&amp;SUBSTITUTE(RIGHT(G1741,LEN(G1741)-FIND(",",G1741)),"}]","")/100&amp;"%")</f>
        <v>上阵两个召唤职业增伤+11%</v>
      </c>
      <c r="L1741" s="83" t="str">
        <f ca="1">IF(MOD(COUNTIF($Q$11:Q1740,Q1740),5)=0,OFFSET(装备属性!$G$1083,1+INT(COUNTA($Q$11:Q1740)/5),0),L1740)</f>
        <v>召唤小队Ⅳ</v>
      </c>
      <c r="M1741" s="89" t="str">
        <f ca="1">IF(MOD(COUNTIF($Q$11:Q1740,Q1740),5)=0,OFFSET(装备属性!$H$1083,1+INT(COUNTA($Q$11:Q1740)/5),0),M1740)</f>
        <v>summon_class_dmg_rate</v>
      </c>
      <c r="N1741" s="76">
        <f ca="1">IF(MOD(COUNTIF($Q$11:Q1740,Q1740),5)=0,OFFSET(装备属性!$K$1083,1+INT(COUNTA($Q$11:Q1740)/5),0),N1740)</f>
        <v>0.11</v>
      </c>
      <c r="O1741" s="76">
        <f ca="1">IF(MOD(COUNTIF($Q$11:Q1740,Q1740),5)=0,OFFSET(装备属性!$L$1083,1+INT(COUNTA($Q$11:Q1740)/5),0),O1740)</f>
        <v>0.13</v>
      </c>
      <c r="Q1741" s="89" t="str">
        <f ca="1">IF(MOD(COUNTIF($Q$11:Q1740,Q1740),5)=0,OFFSET(装备属性!$M$1083,1+INT(COUNTA($Q$11:Q1740)/5),0),Q1740)</f>
        <v>通用属性</v>
      </c>
      <c r="R1741" s="83">
        <f ca="1">IF(MOD(COUNTIF($Q$11:Q1740,Q1740),5)=0,10000*SUBSTITUTE(SUBSTITUTE(OFFSET(装备属性!$F$1083,1+INT(COUNTA($Q$11:Q1740)/5),0),"[",""),"]","")+_xlfn.XLOOKUP(C1741,$M$3:$M$7,$N$3:$N$7)*100,R1740)</f>
        <v>60700</v>
      </c>
    </row>
    <row r="1742" customHeight="1" spans="1:18">
      <c r="A1742" s="78">
        <f ca="1" t="shared" si="85"/>
        <v>60701</v>
      </c>
      <c r="B1742" s="82">
        <f ca="1">IFERROR(R1742+COUNTIFS($R$11:$R1742,R1742),"")</f>
        <v>60737</v>
      </c>
      <c r="C1742" s="83" t="str">
        <f ca="1">IF(MOD(COUNTIF($Q$11:Q1741,Q1741),5)=0,OFFSET(装备属性!$D$1083,1+INT(COUNTA($Q$11:Q1741)/5),0),C1741)</f>
        <v>粉</v>
      </c>
      <c r="D1742" s="82">
        <f t="shared" si="84"/>
        <v>2500</v>
      </c>
      <c r="F1742" s="82">
        <f ca="1" t="shared" si="86"/>
        <v>60707</v>
      </c>
      <c r="G1742" s="78" t="str">
        <f ca="1">IF(AND(LEFT("[{"&amp;M1742&amp;","&amp;CEILING(N1742*10000+(O1742-N1742)/4*(COUNTIF($F$11:F1742,F1742)-1)*10000,10)&amp;"}]",7)="[{equip",MID("[{"&amp;M1742&amp;","&amp;CEILING(N1742*10000+(O1742-N1742)/4*(COUNTIF($F$11:F1742,F1742)-1)*10000,10)&amp;"}]",8,1)&lt;&gt;"_"),"[{"&amp;M1742&amp;","&amp;1&amp;"}]","[{"&amp;M1742&amp;","&amp;CEILING(N1742*10000+(O1742-N1742)/4*(COUNTIF($F$11:F1742,F1742)-1)*10000,10)&amp;"}]")</f>
        <v>[{summon_class_dmg_rate,1150}]</v>
      </c>
      <c r="H1742" s="82" t="s">
        <v>563</v>
      </c>
      <c r="J1742" s="78">
        <f ca="1">IF(MOD(COUNTIF($Q$11:Q1741,Q1741),5)=0,OFFSET(装备属性!$P$1083,1+INT(COUNTA($Q$11:Q1741)/5),0),J1741)</f>
        <v>4</v>
      </c>
      <c r="K1742" s="83" t="str">
        <f ca="1">IF(RIGHT(G1742,13)="rune_slot,1}]",_xlfn.XLOOKUP(LEFT(SUBSTITUTE(G1742,"[{",""),FIND(",",SUBSTITUTE(G1742,"[{",""))-1),Sheet2!B:B,Sheet2!C:C)&amp;"+"&amp;1,_xlfn.XLOOKUP(LEFT(SUBSTITUTE(G1742,"[{",""),FIND(",",SUBSTITUTE(G1742,"[{",""))-1),Sheet2!B:B,Sheet2!C:C)&amp;"+"&amp;SUBSTITUTE(RIGHT(G1742,LEN(G1742)-FIND(",",G1742)),"}]","")/100&amp;"%")</f>
        <v>上阵两个召唤职业增伤+11.5%</v>
      </c>
      <c r="L1742" s="83" t="str">
        <f ca="1">IF(MOD(COUNTIF($Q$11:Q1741,Q1741),5)=0,OFFSET(装备属性!$G$1083,1+INT(COUNTA($Q$11:Q1741)/5),0),L1741)</f>
        <v>召唤小队Ⅳ</v>
      </c>
      <c r="M1742" s="89" t="str">
        <f ca="1">IF(MOD(COUNTIF($Q$11:Q1741,Q1741),5)=0,OFFSET(装备属性!$H$1083,1+INT(COUNTA($Q$11:Q1741)/5),0),M1741)</f>
        <v>summon_class_dmg_rate</v>
      </c>
      <c r="N1742" s="76">
        <f ca="1">IF(MOD(COUNTIF($Q$11:Q1741,Q1741),5)=0,OFFSET(装备属性!$K$1083,1+INT(COUNTA($Q$11:Q1741)/5),0),N1741)</f>
        <v>0.11</v>
      </c>
      <c r="O1742" s="76">
        <f ca="1">IF(MOD(COUNTIF($Q$11:Q1741,Q1741),5)=0,OFFSET(装备属性!$L$1083,1+INT(COUNTA($Q$11:Q1741)/5),0),O1741)</f>
        <v>0.13</v>
      </c>
      <c r="Q1742" s="89" t="str">
        <f ca="1">IF(MOD(COUNTIF($Q$11:Q1741,Q1741),5)=0,OFFSET(装备属性!$M$1083,1+INT(COUNTA($Q$11:Q1741)/5),0),Q1741)</f>
        <v>通用属性</v>
      </c>
      <c r="R1742" s="83">
        <f ca="1">IF(MOD(COUNTIF($Q$11:Q1741,Q1741),5)=0,10000*SUBSTITUTE(SUBSTITUTE(OFFSET(装备属性!$F$1083,1+INT(COUNTA($Q$11:Q1741)/5),0),"[",""),"]","")+_xlfn.XLOOKUP(C1742,$M$3:$M$7,$N$3:$N$7)*100,R1741)</f>
        <v>60700</v>
      </c>
    </row>
    <row r="1743" customHeight="1" spans="1:18">
      <c r="A1743" s="78">
        <f ca="1" t="shared" si="85"/>
        <v>60701</v>
      </c>
      <c r="B1743" s="82">
        <f ca="1">IFERROR(R1743+COUNTIFS($R$11:$R1743,R1743),"")</f>
        <v>60738</v>
      </c>
      <c r="C1743" s="83" t="str">
        <f ca="1">IF(MOD(COUNTIF($Q$11:Q1742,Q1742),5)=0,OFFSET(装备属性!$D$1083,1+INT(COUNTA($Q$11:Q1742)/5),0),C1742)</f>
        <v>粉</v>
      </c>
      <c r="D1743" s="82">
        <f t="shared" si="84"/>
        <v>2000</v>
      </c>
      <c r="F1743" s="82">
        <f ca="1" t="shared" si="86"/>
        <v>60707</v>
      </c>
      <c r="G1743" s="78" t="str">
        <f ca="1">IF(AND(LEFT("[{"&amp;M1743&amp;","&amp;CEILING(N1743*10000+(O1743-N1743)/4*(COUNTIF($F$11:F1743,F1743)-1)*10000,10)&amp;"}]",7)="[{equip",MID("[{"&amp;M1743&amp;","&amp;CEILING(N1743*10000+(O1743-N1743)/4*(COUNTIF($F$11:F1743,F1743)-1)*10000,10)&amp;"}]",8,1)&lt;&gt;"_"),"[{"&amp;M1743&amp;","&amp;1&amp;"}]","[{"&amp;M1743&amp;","&amp;CEILING(N1743*10000+(O1743-N1743)/4*(COUNTIF($F$11:F1743,F1743)-1)*10000,10)&amp;"}]")</f>
        <v>[{summon_class_dmg_rate,1200}]</v>
      </c>
      <c r="H1743" s="82" t="s">
        <v>563</v>
      </c>
      <c r="J1743" s="78">
        <f ca="1">IF(MOD(COUNTIF($Q$11:Q1742,Q1742),5)=0,OFFSET(装备属性!$P$1083,1+INT(COUNTA($Q$11:Q1742)/5),0),J1742)</f>
        <v>4</v>
      </c>
      <c r="K1743" s="83" t="str">
        <f ca="1">IF(RIGHT(G1743,13)="rune_slot,1}]",_xlfn.XLOOKUP(LEFT(SUBSTITUTE(G1743,"[{",""),FIND(",",SUBSTITUTE(G1743,"[{",""))-1),Sheet2!B:B,Sheet2!C:C)&amp;"+"&amp;1,_xlfn.XLOOKUP(LEFT(SUBSTITUTE(G1743,"[{",""),FIND(",",SUBSTITUTE(G1743,"[{",""))-1),Sheet2!B:B,Sheet2!C:C)&amp;"+"&amp;SUBSTITUTE(RIGHT(G1743,LEN(G1743)-FIND(",",G1743)),"}]","")/100&amp;"%")</f>
        <v>上阵两个召唤职业增伤+12%</v>
      </c>
      <c r="L1743" s="83" t="str">
        <f ca="1">IF(MOD(COUNTIF($Q$11:Q1742,Q1742),5)=0,OFFSET(装备属性!$G$1083,1+INT(COUNTA($Q$11:Q1742)/5),0),L1742)</f>
        <v>召唤小队Ⅳ</v>
      </c>
      <c r="M1743" s="89" t="str">
        <f ca="1">IF(MOD(COUNTIF($Q$11:Q1742,Q1742),5)=0,OFFSET(装备属性!$H$1083,1+INT(COUNTA($Q$11:Q1742)/5),0),M1742)</f>
        <v>summon_class_dmg_rate</v>
      </c>
      <c r="N1743" s="76">
        <f ca="1">IF(MOD(COUNTIF($Q$11:Q1742,Q1742),5)=0,OFFSET(装备属性!$K$1083,1+INT(COUNTA($Q$11:Q1742)/5),0),N1742)</f>
        <v>0.11</v>
      </c>
      <c r="O1743" s="76">
        <f ca="1">IF(MOD(COUNTIF($Q$11:Q1742,Q1742),5)=0,OFFSET(装备属性!$L$1083,1+INT(COUNTA($Q$11:Q1742)/5),0),O1742)</f>
        <v>0.13</v>
      </c>
      <c r="Q1743" s="89" t="str">
        <f ca="1">IF(MOD(COUNTIF($Q$11:Q1742,Q1742),5)=0,OFFSET(装备属性!$M$1083,1+INT(COUNTA($Q$11:Q1742)/5),0),Q1742)</f>
        <v>通用属性</v>
      </c>
      <c r="R1743" s="83">
        <f ca="1">IF(MOD(COUNTIF($Q$11:Q1742,Q1742),5)=0,10000*SUBSTITUTE(SUBSTITUTE(OFFSET(装备属性!$F$1083,1+INT(COUNTA($Q$11:Q1742)/5),0),"[",""),"]","")+_xlfn.XLOOKUP(C1743,$M$3:$M$7,$N$3:$N$7)*100,R1742)</f>
        <v>60700</v>
      </c>
    </row>
    <row r="1744" customHeight="1" spans="1:18">
      <c r="A1744" s="78">
        <f ca="1" t="shared" si="85"/>
        <v>60701</v>
      </c>
      <c r="B1744" s="82">
        <f ca="1">IFERROR(R1744+COUNTIFS($R$11:$R1744,R1744),"")</f>
        <v>60739</v>
      </c>
      <c r="C1744" s="83" t="str">
        <f ca="1">IF(MOD(COUNTIF($Q$11:Q1743,Q1743),5)=0,OFFSET(装备属性!$D$1083,1+INT(COUNTA($Q$11:Q1743)/5),0),C1743)</f>
        <v>粉</v>
      </c>
      <c r="D1744" s="82">
        <f t="shared" si="84"/>
        <v>1500</v>
      </c>
      <c r="F1744" s="82">
        <f ca="1" t="shared" si="86"/>
        <v>60707</v>
      </c>
      <c r="G1744" s="78" t="str">
        <f ca="1">IF(AND(LEFT("[{"&amp;M1744&amp;","&amp;CEILING(N1744*10000+(O1744-N1744)/4*(COUNTIF($F$11:F1744,F1744)-1)*10000,10)&amp;"}]",7)="[{equip",MID("[{"&amp;M1744&amp;","&amp;CEILING(N1744*10000+(O1744-N1744)/4*(COUNTIF($F$11:F1744,F1744)-1)*10000,10)&amp;"}]",8,1)&lt;&gt;"_"),"[{"&amp;M1744&amp;","&amp;1&amp;"}]","[{"&amp;M1744&amp;","&amp;CEILING(N1744*10000+(O1744-N1744)/4*(COUNTIF($F$11:F1744,F1744)-1)*10000,10)&amp;"}]")</f>
        <v>[{summon_class_dmg_rate,1250}]</v>
      </c>
      <c r="H1744" s="82" t="s">
        <v>563</v>
      </c>
      <c r="J1744" s="78">
        <f ca="1">IF(MOD(COUNTIF($Q$11:Q1743,Q1743),5)=0,OFFSET(装备属性!$P$1083,1+INT(COUNTA($Q$11:Q1743)/5),0),J1743)</f>
        <v>4</v>
      </c>
      <c r="K1744" s="83" t="str">
        <f ca="1">IF(RIGHT(G1744,13)="rune_slot,1}]",_xlfn.XLOOKUP(LEFT(SUBSTITUTE(G1744,"[{",""),FIND(",",SUBSTITUTE(G1744,"[{",""))-1),Sheet2!B:B,Sheet2!C:C)&amp;"+"&amp;1,_xlfn.XLOOKUP(LEFT(SUBSTITUTE(G1744,"[{",""),FIND(",",SUBSTITUTE(G1744,"[{",""))-1),Sheet2!B:B,Sheet2!C:C)&amp;"+"&amp;SUBSTITUTE(RIGHT(G1744,LEN(G1744)-FIND(",",G1744)),"}]","")/100&amp;"%")</f>
        <v>上阵两个召唤职业增伤+12.5%</v>
      </c>
      <c r="L1744" s="83" t="str">
        <f ca="1">IF(MOD(COUNTIF($Q$11:Q1743,Q1743),5)=0,OFFSET(装备属性!$G$1083,1+INT(COUNTA($Q$11:Q1743)/5),0),L1743)</f>
        <v>召唤小队Ⅳ</v>
      </c>
      <c r="M1744" s="89" t="str">
        <f ca="1">IF(MOD(COUNTIF($Q$11:Q1743,Q1743),5)=0,OFFSET(装备属性!$H$1083,1+INT(COUNTA($Q$11:Q1743)/5),0),M1743)</f>
        <v>summon_class_dmg_rate</v>
      </c>
      <c r="N1744" s="76">
        <f ca="1">IF(MOD(COUNTIF($Q$11:Q1743,Q1743),5)=0,OFFSET(装备属性!$K$1083,1+INT(COUNTA($Q$11:Q1743)/5),0),N1743)</f>
        <v>0.11</v>
      </c>
      <c r="O1744" s="76">
        <f ca="1">IF(MOD(COUNTIF($Q$11:Q1743,Q1743),5)=0,OFFSET(装备属性!$L$1083,1+INT(COUNTA($Q$11:Q1743)/5),0),O1743)</f>
        <v>0.13</v>
      </c>
      <c r="Q1744" s="89" t="str">
        <f ca="1">IF(MOD(COUNTIF($Q$11:Q1743,Q1743),5)=0,OFFSET(装备属性!$M$1083,1+INT(COUNTA($Q$11:Q1743)/5),0),Q1743)</f>
        <v>通用属性</v>
      </c>
      <c r="R1744" s="83">
        <f ca="1">IF(MOD(COUNTIF($Q$11:Q1743,Q1743),5)=0,10000*SUBSTITUTE(SUBSTITUTE(OFFSET(装备属性!$F$1083,1+INT(COUNTA($Q$11:Q1743)/5),0),"[",""),"]","")+_xlfn.XLOOKUP(C1744,$M$3:$M$7,$N$3:$N$7)*100,R1743)</f>
        <v>60700</v>
      </c>
    </row>
    <row r="1745" customHeight="1" spans="1:18">
      <c r="A1745" s="78">
        <f ca="1" t="shared" si="85"/>
        <v>60701</v>
      </c>
      <c r="B1745" s="82">
        <f ca="1">IFERROR(R1745+COUNTIFS($R$11:$R1745,R1745),"")</f>
        <v>60740</v>
      </c>
      <c r="C1745" s="83" t="str">
        <f ca="1">IF(MOD(COUNTIF($Q$11:Q1744,Q1744),5)=0,OFFSET(装备属性!$D$1083,1+INT(COUNTA($Q$11:Q1744)/5),0),C1744)</f>
        <v>粉</v>
      </c>
      <c r="D1745" s="82">
        <f t="shared" si="84"/>
        <v>1000</v>
      </c>
      <c r="F1745" s="82">
        <f ca="1" t="shared" si="86"/>
        <v>60707</v>
      </c>
      <c r="G1745" s="78" t="str">
        <f ca="1">IF(AND(LEFT("[{"&amp;M1745&amp;","&amp;CEILING(N1745*10000+(O1745-N1745)/4*(COUNTIF($F$11:F1745,F1745)-1)*10000,10)&amp;"}]",7)="[{equip",MID("[{"&amp;M1745&amp;","&amp;CEILING(N1745*10000+(O1745-N1745)/4*(COUNTIF($F$11:F1745,F1745)-1)*10000,10)&amp;"}]",8,1)&lt;&gt;"_"),"[{"&amp;M1745&amp;","&amp;1&amp;"}]","[{"&amp;M1745&amp;","&amp;CEILING(N1745*10000+(O1745-N1745)/4*(COUNTIF($F$11:F1745,F1745)-1)*10000,10)&amp;"}]")</f>
        <v>[{summon_class_dmg_rate,1300}]</v>
      </c>
      <c r="H1745" s="82" t="s">
        <v>563</v>
      </c>
      <c r="J1745" s="78">
        <f ca="1">IF(MOD(COUNTIF($Q$11:Q1744,Q1744),5)=0,OFFSET(装备属性!$P$1083,1+INT(COUNTA($Q$11:Q1744)/5),0),J1744)</f>
        <v>4</v>
      </c>
      <c r="K1745" s="83" t="str">
        <f ca="1">IF(RIGHT(G1745,13)="rune_slot,1}]",_xlfn.XLOOKUP(LEFT(SUBSTITUTE(G1745,"[{",""),FIND(",",SUBSTITUTE(G1745,"[{",""))-1),Sheet2!B:B,Sheet2!C:C)&amp;"+"&amp;1,_xlfn.XLOOKUP(LEFT(SUBSTITUTE(G1745,"[{",""),FIND(",",SUBSTITUTE(G1745,"[{",""))-1),Sheet2!B:B,Sheet2!C:C)&amp;"+"&amp;SUBSTITUTE(RIGHT(G1745,LEN(G1745)-FIND(",",G1745)),"}]","")/100&amp;"%")</f>
        <v>上阵两个召唤职业增伤+13%</v>
      </c>
      <c r="L1745" s="83" t="str">
        <f ca="1">IF(MOD(COUNTIF($Q$11:Q1744,Q1744),5)=0,OFFSET(装备属性!$G$1083,1+INT(COUNTA($Q$11:Q1744)/5),0),L1744)</f>
        <v>召唤小队Ⅳ</v>
      </c>
      <c r="M1745" s="89" t="str">
        <f ca="1">IF(MOD(COUNTIF($Q$11:Q1744,Q1744),5)=0,OFFSET(装备属性!$H$1083,1+INT(COUNTA($Q$11:Q1744)/5),0),M1744)</f>
        <v>summon_class_dmg_rate</v>
      </c>
      <c r="N1745" s="76">
        <f ca="1">IF(MOD(COUNTIF($Q$11:Q1744,Q1744),5)=0,OFFSET(装备属性!$K$1083,1+INT(COUNTA($Q$11:Q1744)/5),0),N1744)</f>
        <v>0.11</v>
      </c>
      <c r="O1745" s="76">
        <f ca="1">IF(MOD(COUNTIF($Q$11:Q1744,Q1744),5)=0,OFFSET(装备属性!$L$1083,1+INT(COUNTA($Q$11:Q1744)/5),0),O1744)</f>
        <v>0.13</v>
      </c>
      <c r="Q1745" s="89" t="str">
        <f ca="1">IF(MOD(COUNTIF($Q$11:Q1744,Q1744),5)=0,OFFSET(装备属性!$M$1083,1+INT(COUNTA($Q$11:Q1744)/5),0),Q1744)</f>
        <v>通用属性</v>
      </c>
      <c r="R1745" s="83">
        <f ca="1">IF(MOD(COUNTIF($Q$11:Q1744,Q1744),5)=0,10000*SUBSTITUTE(SUBSTITUTE(OFFSET(装备属性!$F$1083,1+INT(COUNTA($Q$11:Q1744)/5),0),"[",""),"]","")+_xlfn.XLOOKUP(C1745,$M$3:$M$7,$N$3:$N$7)*100,R1744)</f>
        <v>60700</v>
      </c>
    </row>
    <row r="1746" customHeight="1" spans="1:18">
      <c r="A1746" s="78">
        <f ca="1" t="shared" si="85"/>
        <v>60701</v>
      </c>
      <c r="B1746" s="82">
        <f ca="1">IFERROR(R1746+COUNTIFS($R$11:$R1746,R1746),"")</f>
        <v>60741</v>
      </c>
      <c r="C1746" s="83" t="str">
        <f ca="1">IF(MOD(COUNTIF($Q$11:Q1745,Q1745),5)=0,OFFSET(装备属性!$D$1083,1+INT(COUNTA($Q$11:Q1745)/5),0),C1745)</f>
        <v>粉</v>
      </c>
      <c r="D1746" s="82">
        <f t="shared" si="84"/>
        <v>3000</v>
      </c>
      <c r="F1746" s="82">
        <f ca="1" t="shared" si="86"/>
        <v>60708</v>
      </c>
      <c r="G1746" s="78" t="str">
        <f ca="1">IF(AND(LEFT("[{"&amp;M1746&amp;","&amp;CEILING(N1746*10000+(O1746-N1746)/4*(COUNTIF($F$11:F1746,F1746)-1)*10000,10)&amp;"}]",7)="[{equip",MID("[{"&amp;M1746&amp;","&amp;CEILING(N1746*10000+(O1746-N1746)/4*(COUNTIF($F$11:F1746,F1746)-1)*10000,10)&amp;"}]",8,1)&lt;&gt;"_"),"[{"&amp;M1746&amp;","&amp;1&amp;"}]","[{"&amp;M1746&amp;","&amp;CEILING(N1746*10000+(O1746-N1746)/4*(COUNTIF($F$11:F1746,F1746)-1)*10000,10)&amp;"}]")</f>
        <v>[{summon_crit_dmg,3300}]</v>
      </c>
      <c r="H1746" s="82" t="s">
        <v>563</v>
      </c>
      <c r="J1746" s="78">
        <f ca="1">IF(MOD(COUNTIF($Q$11:Q1745,Q1745),5)=0,OFFSET(装备属性!$P$1083,1+INT(COUNTA($Q$11:Q1745)/5),0),J1745)</f>
        <v>10</v>
      </c>
      <c r="K1746" s="83" t="str">
        <f ca="1">IF(RIGHT(G1746,13)="rune_slot,1}]",_xlfn.XLOOKUP(LEFT(SUBSTITUTE(G1746,"[{",""),FIND(",",SUBSTITUTE(G1746,"[{",""))-1),Sheet2!B:B,Sheet2!C:C)&amp;"+"&amp;1,_xlfn.XLOOKUP(LEFT(SUBSTITUTE(G1746,"[{",""),FIND(",",SUBSTITUTE(G1746,"[{",""))-1),Sheet2!B:B,Sheet2!C:C)&amp;"+"&amp;SUBSTITUTE(RIGHT(G1746,LEN(G1746)-FIND(",",G1746)),"}]","")/100&amp;"%")</f>
        <v>召唤暴击伤害+33%</v>
      </c>
      <c r="L1746" s="83" t="str">
        <f ca="1">IF(MOD(COUNTIF($Q$11:Q1745,Q1745),5)=0,OFFSET(装备属性!$G$1083,1+INT(COUNTA($Q$11:Q1745)/5),0),L1745)</f>
        <v>暴走召唤Ⅳ</v>
      </c>
      <c r="M1746" s="89" t="str">
        <f ca="1">IF(MOD(COUNTIF($Q$11:Q1745,Q1745),5)=0,OFFSET(装备属性!$H$1083,1+INT(COUNTA($Q$11:Q1745)/5),0),M1745)</f>
        <v>summon_crit_dmg</v>
      </c>
      <c r="N1746" s="76">
        <f ca="1">IF(MOD(COUNTIF($Q$11:Q1745,Q1745),5)=0,OFFSET(装备属性!$K$1083,1+INT(COUNTA($Q$11:Q1745)/5),0),N1745)</f>
        <v>0.33</v>
      </c>
      <c r="O1746" s="76">
        <f ca="1">IF(MOD(COUNTIF($Q$11:Q1745,Q1745),5)=0,OFFSET(装备属性!$L$1083,1+INT(COUNTA($Q$11:Q1745)/5),0),O1745)</f>
        <v>0.39</v>
      </c>
      <c r="Q1746" s="89" t="str">
        <f ca="1">IF(MOD(COUNTIF($Q$11:Q1745,Q1745),5)=0,OFFSET(装备属性!$M$1083,1+INT(COUNTA($Q$11:Q1745)/5),0),Q1745)</f>
        <v>通用属性</v>
      </c>
      <c r="R1746" s="83">
        <f ca="1">IF(MOD(COUNTIF($Q$11:Q1745,Q1745),5)=0,10000*SUBSTITUTE(SUBSTITUTE(OFFSET(装备属性!$F$1083,1+INT(COUNTA($Q$11:Q1745)/5),0),"[",""),"]","")+_xlfn.XLOOKUP(C1746,$M$3:$M$7,$N$3:$N$7)*100,R1745)</f>
        <v>60700</v>
      </c>
    </row>
    <row r="1747" customHeight="1" spans="1:18">
      <c r="A1747" s="78">
        <f ca="1" t="shared" si="85"/>
        <v>60701</v>
      </c>
      <c r="B1747" s="82">
        <f ca="1">IFERROR(R1747+COUNTIFS($R$11:$R1747,R1747),"")</f>
        <v>60742</v>
      </c>
      <c r="C1747" s="83" t="str">
        <f ca="1">IF(MOD(COUNTIF($Q$11:Q1746,Q1746),5)=0,OFFSET(装备属性!$D$1083,1+INT(COUNTA($Q$11:Q1746)/5),0),C1746)</f>
        <v>粉</v>
      </c>
      <c r="D1747" s="82">
        <f t="shared" si="84"/>
        <v>2500</v>
      </c>
      <c r="F1747" s="82">
        <f ca="1" t="shared" si="86"/>
        <v>60708</v>
      </c>
      <c r="G1747" s="78" t="str">
        <f ca="1">IF(AND(LEFT("[{"&amp;M1747&amp;","&amp;CEILING(N1747*10000+(O1747-N1747)/4*(COUNTIF($F$11:F1747,F1747)-1)*10000,10)&amp;"}]",7)="[{equip",MID("[{"&amp;M1747&amp;","&amp;CEILING(N1747*10000+(O1747-N1747)/4*(COUNTIF($F$11:F1747,F1747)-1)*10000,10)&amp;"}]",8,1)&lt;&gt;"_"),"[{"&amp;M1747&amp;","&amp;1&amp;"}]","[{"&amp;M1747&amp;","&amp;CEILING(N1747*10000+(O1747-N1747)/4*(COUNTIF($F$11:F1747,F1747)-1)*10000,10)&amp;"}]")</f>
        <v>[{summon_crit_dmg,3450}]</v>
      </c>
      <c r="H1747" s="82" t="s">
        <v>563</v>
      </c>
      <c r="J1747" s="78">
        <f ca="1">IF(MOD(COUNTIF($Q$11:Q1746,Q1746),5)=0,OFFSET(装备属性!$P$1083,1+INT(COUNTA($Q$11:Q1746)/5),0),J1746)</f>
        <v>10</v>
      </c>
      <c r="K1747" s="83" t="str">
        <f ca="1">IF(RIGHT(G1747,13)="rune_slot,1}]",_xlfn.XLOOKUP(LEFT(SUBSTITUTE(G1747,"[{",""),FIND(",",SUBSTITUTE(G1747,"[{",""))-1),Sheet2!B:B,Sheet2!C:C)&amp;"+"&amp;1,_xlfn.XLOOKUP(LEFT(SUBSTITUTE(G1747,"[{",""),FIND(",",SUBSTITUTE(G1747,"[{",""))-1),Sheet2!B:B,Sheet2!C:C)&amp;"+"&amp;SUBSTITUTE(RIGHT(G1747,LEN(G1747)-FIND(",",G1747)),"}]","")/100&amp;"%")</f>
        <v>召唤暴击伤害+34.5%</v>
      </c>
      <c r="L1747" s="83" t="str">
        <f ca="1">IF(MOD(COUNTIF($Q$11:Q1746,Q1746),5)=0,OFFSET(装备属性!$G$1083,1+INT(COUNTA($Q$11:Q1746)/5),0),L1746)</f>
        <v>暴走召唤Ⅳ</v>
      </c>
      <c r="M1747" s="89" t="str">
        <f ca="1">IF(MOD(COUNTIF($Q$11:Q1746,Q1746),5)=0,OFFSET(装备属性!$H$1083,1+INT(COUNTA($Q$11:Q1746)/5),0),M1746)</f>
        <v>summon_crit_dmg</v>
      </c>
      <c r="N1747" s="76">
        <f ca="1">IF(MOD(COUNTIF($Q$11:Q1746,Q1746),5)=0,OFFSET(装备属性!$K$1083,1+INT(COUNTA($Q$11:Q1746)/5),0),N1746)</f>
        <v>0.33</v>
      </c>
      <c r="O1747" s="76">
        <f ca="1">IF(MOD(COUNTIF($Q$11:Q1746,Q1746),5)=0,OFFSET(装备属性!$L$1083,1+INT(COUNTA($Q$11:Q1746)/5),0),O1746)</f>
        <v>0.39</v>
      </c>
      <c r="Q1747" s="89" t="str">
        <f ca="1">IF(MOD(COUNTIF($Q$11:Q1746,Q1746),5)=0,OFFSET(装备属性!$M$1083,1+INT(COUNTA($Q$11:Q1746)/5),0),Q1746)</f>
        <v>通用属性</v>
      </c>
      <c r="R1747" s="83">
        <f ca="1">IF(MOD(COUNTIF($Q$11:Q1746,Q1746),5)=0,10000*SUBSTITUTE(SUBSTITUTE(OFFSET(装备属性!$F$1083,1+INT(COUNTA($Q$11:Q1746)/5),0),"[",""),"]","")+_xlfn.XLOOKUP(C1747,$M$3:$M$7,$N$3:$N$7)*100,R1746)</f>
        <v>60700</v>
      </c>
    </row>
    <row r="1748" customHeight="1" spans="1:18">
      <c r="A1748" s="78">
        <f ca="1" t="shared" si="85"/>
        <v>60701</v>
      </c>
      <c r="B1748" s="82">
        <f ca="1">IFERROR(R1748+COUNTIFS($R$11:$R1748,R1748),"")</f>
        <v>60743</v>
      </c>
      <c r="C1748" s="83" t="str">
        <f ca="1">IF(MOD(COUNTIF($Q$11:Q1747,Q1747),5)=0,OFFSET(装备属性!$D$1083,1+INT(COUNTA($Q$11:Q1747)/5),0),C1747)</f>
        <v>粉</v>
      </c>
      <c r="D1748" s="82">
        <f t="shared" si="84"/>
        <v>2000</v>
      </c>
      <c r="F1748" s="82">
        <f ca="1" t="shared" si="86"/>
        <v>60708</v>
      </c>
      <c r="G1748" s="78" t="str">
        <f ca="1">IF(AND(LEFT("[{"&amp;M1748&amp;","&amp;CEILING(N1748*10000+(O1748-N1748)/4*(COUNTIF($F$11:F1748,F1748)-1)*10000,10)&amp;"}]",7)="[{equip",MID("[{"&amp;M1748&amp;","&amp;CEILING(N1748*10000+(O1748-N1748)/4*(COUNTIF($F$11:F1748,F1748)-1)*10000,10)&amp;"}]",8,1)&lt;&gt;"_"),"[{"&amp;M1748&amp;","&amp;1&amp;"}]","[{"&amp;M1748&amp;","&amp;CEILING(N1748*10000+(O1748-N1748)/4*(COUNTIF($F$11:F1748,F1748)-1)*10000,10)&amp;"}]")</f>
        <v>[{summon_crit_dmg,3600}]</v>
      </c>
      <c r="H1748" s="82" t="s">
        <v>563</v>
      </c>
      <c r="J1748" s="78">
        <f ca="1">IF(MOD(COUNTIF($Q$11:Q1747,Q1747),5)=0,OFFSET(装备属性!$P$1083,1+INT(COUNTA($Q$11:Q1747)/5),0),J1747)</f>
        <v>10</v>
      </c>
      <c r="K1748" s="83" t="str">
        <f ca="1">IF(RIGHT(G1748,13)="rune_slot,1}]",_xlfn.XLOOKUP(LEFT(SUBSTITUTE(G1748,"[{",""),FIND(",",SUBSTITUTE(G1748,"[{",""))-1),Sheet2!B:B,Sheet2!C:C)&amp;"+"&amp;1,_xlfn.XLOOKUP(LEFT(SUBSTITUTE(G1748,"[{",""),FIND(",",SUBSTITUTE(G1748,"[{",""))-1),Sheet2!B:B,Sheet2!C:C)&amp;"+"&amp;SUBSTITUTE(RIGHT(G1748,LEN(G1748)-FIND(",",G1748)),"}]","")/100&amp;"%")</f>
        <v>召唤暴击伤害+36%</v>
      </c>
      <c r="L1748" s="83" t="str">
        <f ca="1">IF(MOD(COUNTIF($Q$11:Q1747,Q1747),5)=0,OFFSET(装备属性!$G$1083,1+INT(COUNTA($Q$11:Q1747)/5),0),L1747)</f>
        <v>暴走召唤Ⅳ</v>
      </c>
      <c r="M1748" s="89" t="str">
        <f ca="1">IF(MOD(COUNTIF($Q$11:Q1747,Q1747),5)=0,OFFSET(装备属性!$H$1083,1+INT(COUNTA($Q$11:Q1747)/5),0),M1747)</f>
        <v>summon_crit_dmg</v>
      </c>
      <c r="N1748" s="76">
        <f ca="1">IF(MOD(COUNTIF($Q$11:Q1747,Q1747),5)=0,OFFSET(装备属性!$K$1083,1+INT(COUNTA($Q$11:Q1747)/5),0),N1747)</f>
        <v>0.33</v>
      </c>
      <c r="O1748" s="76">
        <f ca="1">IF(MOD(COUNTIF($Q$11:Q1747,Q1747),5)=0,OFFSET(装备属性!$L$1083,1+INT(COUNTA($Q$11:Q1747)/5),0),O1747)</f>
        <v>0.39</v>
      </c>
      <c r="Q1748" s="89" t="str">
        <f ca="1">IF(MOD(COUNTIF($Q$11:Q1747,Q1747),5)=0,OFFSET(装备属性!$M$1083,1+INT(COUNTA($Q$11:Q1747)/5),0),Q1747)</f>
        <v>通用属性</v>
      </c>
      <c r="R1748" s="83">
        <f ca="1">IF(MOD(COUNTIF($Q$11:Q1747,Q1747),5)=0,10000*SUBSTITUTE(SUBSTITUTE(OFFSET(装备属性!$F$1083,1+INT(COUNTA($Q$11:Q1747)/5),0),"[",""),"]","")+_xlfn.XLOOKUP(C1748,$M$3:$M$7,$N$3:$N$7)*100,R1747)</f>
        <v>60700</v>
      </c>
    </row>
    <row r="1749" customHeight="1" spans="1:18">
      <c r="A1749" s="78">
        <f ca="1" t="shared" si="85"/>
        <v>60701</v>
      </c>
      <c r="B1749" s="82">
        <f ca="1">IFERROR(R1749+COUNTIFS($R$11:$R1749,R1749),"")</f>
        <v>60744</v>
      </c>
      <c r="C1749" s="83" t="str">
        <f ca="1">IF(MOD(COUNTIF($Q$11:Q1748,Q1748),5)=0,OFFSET(装备属性!$D$1083,1+INT(COUNTA($Q$11:Q1748)/5),0),C1748)</f>
        <v>粉</v>
      </c>
      <c r="D1749" s="82">
        <f t="shared" si="84"/>
        <v>1500</v>
      </c>
      <c r="F1749" s="82">
        <f ca="1" t="shared" si="86"/>
        <v>60708</v>
      </c>
      <c r="G1749" s="78" t="str">
        <f ca="1">IF(AND(LEFT("[{"&amp;M1749&amp;","&amp;CEILING(N1749*10000+(O1749-N1749)/4*(COUNTIF($F$11:F1749,F1749)-1)*10000,10)&amp;"}]",7)="[{equip",MID("[{"&amp;M1749&amp;","&amp;CEILING(N1749*10000+(O1749-N1749)/4*(COUNTIF($F$11:F1749,F1749)-1)*10000,10)&amp;"}]",8,1)&lt;&gt;"_"),"[{"&amp;M1749&amp;","&amp;1&amp;"}]","[{"&amp;M1749&amp;","&amp;CEILING(N1749*10000+(O1749-N1749)/4*(COUNTIF($F$11:F1749,F1749)-1)*10000,10)&amp;"}]")</f>
        <v>[{summon_crit_dmg,3750}]</v>
      </c>
      <c r="H1749" s="82" t="s">
        <v>563</v>
      </c>
      <c r="J1749" s="78">
        <f ca="1">IF(MOD(COUNTIF($Q$11:Q1748,Q1748),5)=0,OFFSET(装备属性!$P$1083,1+INT(COUNTA($Q$11:Q1748)/5),0),J1748)</f>
        <v>10</v>
      </c>
      <c r="K1749" s="83" t="str">
        <f ca="1">IF(RIGHT(G1749,13)="rune_slot,1}]",_xlfn.XLOOKUP(LEFT(SUBSTITUTE(G1749,"[{",""),FIND(",",SUBSTITUTE(G1749,"[{",""))-1),Sheet2!B:B,Sheet2!C:C)&amp;"+"&amp;1,_xlfn.XLOOKUP(LEFT(SUBSTITUTE(G1749,"[{",""),FIND(",",SUBSTITUTE(G1749,"[{",""))-1),Sheet2!B:B,Sheet2!C:C)&amp;"+"&amp;SUBSTITUTE(RIGHT(G1749,LEN(G1749)-FIND(",",G1749)),"}]","")/100&amp;"%")</f>
        <v>召唤暴击伤害+37.5%</v>
      </c>
      <c r="L1749" s="83" t="str">
        <f ca="1">IF(MOD(COUNTIF($Q$11:Q1748,Q1748),5)=0,OFFSET(装备属性!$G$1083,1+INT(COUNTA($Q$11:Q1748)/5),0),L1748)</f>
        <v>暴走召唤Ⅳ</v>
      </c>
      <c r="M1749" s="89" t="str">
        <f ca="1">IF(MOD(COUNTIF($Q$11:Q1748,Q1748),5)=0,OFFSET(装备属性!$H$1083,1+INT(COUNTA($Q$11:Q1748)/5),0),M1748)</f>
        <v>summon_crit_dmg</v>
      </c>
      <c r="N1749" s="76">
        <f ca="1">IF(MOD(COUNTIF($Q$11:Q1748,Q1748),5)=0,OFFSET(装备属性!$K$1083,1+INT(COUNTA($Q$11:Q1748)/5),0),N1748)</f>
        <v>0.33</v>
      </c>
      <c r="O1749" s="76">
        <f ca="1">IF(MOD(COUNTIF($Q$11:Q1748,Q1748),5)=0,OFFSET(装备属性!$L$1083,1+INT(COUNTA($Q$11:Q1748)/5),0),O1748)</f>
        <v>0.39</v>
      </c>
      <c r="Q1749" s="89" t="str">
        <f ca="1">IF(MOD(COUNTIF($Q$11:Q1748,Q1748),5)=0,OFFSET(装备属性!$M$1083,1+INT(COUNTA($Q$11:Q1748)/5),0),Q1748)</f>
        <v>通用属性</v>
      </c>
      <c r="R1749" s="83">
        <f ca="1">IF(MOD(COUNTIF($Q$11:Q1748,Q1748),5)=0,10000*SUBSTITUTE(SUBSTITUTE(OFFSET(装备属性!$F$1083,1+INT(COUNTA($Q$11:Q1748)/5),0),"[",""),"]","")+_xlfn.XLOOKUP(C1749,$M$3:$M$7,$N$3:$N$7)*100,R1748)</f>
        <v>60700</v>
      </c>
    </row>
    <row r="1750" customHeight="1" spans="1:18">
      <c r="A1750" s="78">
        <f ca="1" t="shared" si="85"/>
        <v>60701</v>
      </c>
      <c r="B1750" s="82">
        <f ca="1">IFERROR(R1750+COUNTIFS($R$11:$R1750,R1750),"")</f>
        <v>60745</v>
      </c>
      <c r="C1750" s="83" t="str">
        <f ca="1">IF(MOD(COUNTIF($Q$11:Q1749,Q1749),5)=0,OFFSET(装备属性!$D$1083,1+INT(COUNTA($Q$11:Q1749)/5),0),C1749)</f>
        <v>粉</v>
      </c>
      <c r="D1750" s="82">
        <f t="shared" si="84"/>
        <v>1000</v>
      </c>
      <c r="F1750" s="82">
        <f ca="1" t="shared" si="86"/>
        <v>60708</v>
      </c>
      <c r="G1750" s="78" t="str">
        <f ca="1">IF(AND(LEFT("[{"&amp;M1750&amp;","&amp;CEILING(N1750*10000+(O1750-N1750)/4*(COUNTIF($F$11:F1750,F1750)-1)*10000,10)&amp;"}]",7)="[{equip",MID("[{"&amp;M1750&amp;","&amp;CEILING(N1750*10000+(O1750-N1750)/4*(COUNTIF($F$11:F1750,F1750)-1)*10000,10)&amp;"}]",8,1)&lt;&gt;"_"),"[{"&amp;M1750&amp;","&amp;1&amp;"}]","[{"&amp;M1750&amp;","&amp;CEILING(N1750*10000+(O1750-N1750)/4*(COUNTIF($F$11:F1750,F1750)-1)*10000,10)&amp;"}]")</f>
        <v>[{summon_crit_dmg,3900}]</v>
      </c>
      <c r="H1750" s="82" t="s">
        <v>563</v>
      </c>
      <c r="J1750" s="78">
        <f ca="1">IF(MOD(COUNTIF($Q$11:Q1749,Q1749),5)=0,OFFSET(装备属性!$P$1083,1+INT(COUNTA($Q$11:Q1749)/5),0),J1749)</f>
        <v>10</v>
      </c>
      <c r="K1750" s="83" t="str">
        <f ca="1">IF(RIGHT(G1750,13)="rune_slot,1}]",_xlfn.XLOOKUP(LEFT(SUBSTITUTE(G1750,"[{",""),FIND(",",SUBSTITUTE(G1750,"[{",""))-1),Sheet2!B:B,Sheet2!C:C)&amp;"+"&amp;1,_xlfn.XLOOKUP(LEFT(SUBSTITUTE(G1750,"[{",""),FIND(",",SUBSTITUTE(G1750,"[{",""))-1),Sheet2!B:B,Sheet2!C:C)&amp;"+"&amp;SUBSTITUTE(RIGHT(G1750,LEN(G1750)-FIND(",",G1750)),"}]","")/100&amp;"%")</f>
        <v>召唤暴击伤害+39%</v>
      </c>
      <c r="L1750" s="83" t="str">
        <f ca="1">IF(MOD(COUNTIF($Q$11:Q1749,Q1749),5)=0,OFFSET(装备属性!$G$1083,1+INT(COUNTA($Q$11:Q1749)/5),0),L1749)</f>
        <v>暴走召唤Ⅳ</v>
      </c>
      <c r="M1750" s="89" t="str">
        <f ca="1">IF(MOD(COUNTIF($Q$11:Q1749,Q1749),5)=0,OFFSET(装备属性!$H$1083,1+INT(COUNTA($Q$11:Q1749)/5),0),M1749)</f>
        <v>summon_crit_dmg</v>
      </c>
      <c r="N1750" s="76">
        <f ca="1">IF(MOD(COUNTIF($Q$11:Q1749,Q1749),5)=0,OFFSET(装备属性!$K$1083,1+INT(COUNTA($Q$11:Q1749)/5),0),N1749)</f>
        <v>0.33</v>
      </c>
      <c r="O1750" s="76">
        <f ca="1">IF(MOD(COUNTIF($Q$11:Q1749,Q1749),5)=0,OFFSET(装备属性!$L$1083,1+INT(COUNTA($Q$11:Q1749)/5),0),O1749)</f>
        <v>0.39</v>
      </c>
      <c r="Q1750" s="89" t="str">
        <f ca="1">IF(MOD(COUNTIF($Q$11:Q1749,Q1749),5)=0,OFFSET(装备属性!$M$1083,1+INT(COUNTA($Q$11:Q1749)/5),0),Q1749)</f>
        <v>通用属性</v>
      </c>
      <c r="R1750" s="83">
        <f ca="1">IF(MOD(COUNTIF($Q$11:Q1749,Q1749),5)=0,10000*SUBSTITUTE(SUBSTITUTE(OFFSET(装备属性!$F$1083,1+INT(COUNTA($Q$11:Q1749)/5),0),"[",""),"]","")+_xlfn.XLOOKUP(C1750,$M$3:$M$7,$N$3:$N$7)*100,R1749)</f>
        <v>60700</v>
      </c>
    </row>
    <row r="1751" customHeight="1" spans="1:18">
      <c r="A1751" s="78" t="str">
        <f ca="1" t="shared" si="85"/>
        <v/>
      </c>
      <c r="B1751" s="82" t="str">
        <f ca="1">IFERROR(R1751+COUNTIFS($R$11:$R1751,R1751),"")</f>
        <v/>
      </c>
      <c r="C1751" s="83">
        <f ca="1">IF(MOD(COUNTIF($Q$11:Q1750,Q1750),5)=0,OFFSET(装备属性!$D$1083,1+INT(COUNTA($Q$11:Q1750)/5),0),C1750)</f>
        <v>0</v>
      </c>
      <c r="D1751" s="82">
        <f t="shared" si="84"/>
        <v>3000</v>
      </c>
      <c r="F1751" s="82" t="str">
        <f ca="1" t="shared" si="86"/>
        <v/>
      </c>
      <c r="G1751" s="78" t="str">
        <f ca="1">IF(AND(LEFT("[{"&amp;M1751&amp;","&amp;CEILING(N1751*10000+(O1751-N1751)/4*(COUNTIF($F$11:F1751,F1751)-1)*10000,10)&amp;"}]",7)="[{equip",MID("[{"&amp;M1751&amp;","&amp;CEILING(N1751*10000+(O1751-N1751)/4*(COUNTIF($F$11:F1751,F1751)-1)*10000,10)&amp;"}]",8,1)&lt;&gt;"_"),"[{"&amp;M1751&amp;","&amp;1&amp;"}]","[{"&amp;M1751&amp;","&amp;CEILING(N1751*10000+(O1751-N1751)/4*(COUNTIF($F$11:F1751,F1751)-1)*10000,10)&amp;"}]")</f>
        <v>[{global_dmg_rate,25400}]</v>
      </c>
      <c r="H1751" s="82" t="s">
        <v>563</v>
      </c>
      <c r="J1751" s="78">
        <f ca="1">IF(MOD(COUNTIF($Q$11:Q1750,Q1750),5)=0,OFFSET(装备属性!$P$1083,1+INT(COUNTA($Q$11:Q1750)/5),0),J1750)</f>
        <v>2</v>
      </c>
      <c r="K1751" s="83" t="str">
        <f ca="1">IF(RIGHT(G1751,13)="rune_slot,1}]",_xlfn.XLOOKUP(LEFT(SUBSTITUTE(G1751,"[{",""),FIND(",",SUBSTITUTE(G1751,"[{",""))-1),Sheet2!B:B,Sheet2!C:C)&amp;"+"&amp;1,_xlfn.XLOOKUP(LEFT(SUBSTITUTE(G1751,"[{",""),FIND(",",SUBSTITUTE(G1751,"[{",""))-1),Sheet2!B:B,Sheet2!C:C)&amp;"+"&amp;SUBSTITUTE(RIGHT(G1751,LEN(G1751)-FIND(",",G1751)),"}]","")/100&amp;"%")</f>
        <v>伤害加成+254%</v>
      </c>
      <c r="L1751" s="83" t="str">
        <f ca="1">IF(MOD(COUNTIF($Q$11:Q1750,Q1750),5)=0,OFFSET(装备属性!$G$1083,1+INT(COUNTA($Q$11:Q1750)/5),0),L1750)</f>
        <v>全职小队Ⅴ</v>
      </c>
      <c r="M1751" s="89" t="str">
        <f ca="1">IF(MOD(COUNTIF($Q$11:Q1750,Q1750),5)=0,OFFSET(装备属性!$H$1083,1+INT(COUNTA($Q$11:Q1750)/5),0),M1750)</f>
        <v>global_dmg_rate</v>
      </c>
      <c r="N1751" s="76">
        <f ca="1">IF(MOD(COUNTIF($Q$11:Q1750,Q1750),5)=0,OFFSET(装备属性!$K$1083,1+INT(COUNTA($Q$11:Q1750)/5),0),N1750)</f>
        <v>0.072</v>
      </c>
      <c r="O1751" s="76">
        <f ca="1">IF(MOD(COUNTIF($Q$11:Q1750,Q1750),5)=0,OFFSET(装备属性!$L$1083,1+INT(COUNTA($Q$11:Q1750)/5),0),O1750)</f>
        <v>0.086</v>
      </c>
      <c r="Q1751" s="89" t="str">
        <f ca="1">IF(MOD(COUNTIF($Q$11:Q1750,Q1750),5)=0,OFFSET(装备属性!$M$1083,1+INT(COUNTA($Q$11:Q1750)/5),0),Q1750)</f>
        <v>通用属性</v>
      </c>
      <c r="R1751" s="83" t="e">
        <f ca="1">IF(MOD(COUNTIF($Q$11:Q1750,Q1750),5)=0,10000*SUBSTITUTE(SUBSTITUTE(OFFSET(装备属性!$F$1083,1+INT(COUNTA($Q$11:Q1750)/5),0),"[",""),"]","")+_xlfn.XLOOKUP(C1751,$M$3:$M$7,$N$3:$N$7)*100,R1750)</f>
        <v>#N/A</v>
      </c>
    </row>
    <row r="1752" customHeight="1" spans="1:18">
      <c r="A1752" s="78" t="str">
        <f ca="1" t="shared" si="85"/>
        <v/>
      </c>
      <c r="B1752" s="82" t="str">
        <f ca="1">IFERROR(R1752+COUNTIFS($R$11:$R1752,R1752),"")</f>
        <v/>
      </c>
      <c r="C1752" s="83">
        <f ca="1">IF(MOD(COUNTIF($Q$11:Q1751,Q1751),5)=0,OFFSET(装备属性!$D$1083,1+INT(COUNTA($Q$11:Q1751)/5),0),C1751)</f>
        <v>0</v>
      </c>
      <c r="D1752" s="82">
        <f t="shared" si="84"/>
        <v>2500</v>
      </c>
      <c r="F1752" s="82" t="str">
        <f ca="1" t="shared" si="86"/>
        <v/>
      </c>
      <c r="G1752" s="78" t="str">
        <f ca="1">IF(AND(LEFT("[{"&amp;M1752&amp;","&amp;CEILING(N1752*10000+(O1752-N1752)/4*(COUNTIF($F$11:F1752,F1752)-1)*10000,10)&amp;"}]",7)="[{equip",MID("[{"&amp;M1752&amp;","&amp;CEILING(N1752*10000+(O1752-N1752)/4*(COUNTIF($F$11:F1752,F1752)-1)*10000,10)&amp;"}]",8,1)&lt;&gt;"_"),"[{"&amp;M1752&amp;","&amp;1&amp;"}]","[{"&amp;M1752&amp;","&amp;CEILING(N1752*10000+(O1752-N1752)/4*(COUNTIF($F$11:F1752,F1752)-1)*10000,10)&amp;"}]")</f>
        <v>[{global_dmg_rate,25430}]</v>
      </c>
      <c r="H1752" s="82" t="s">
        <v>563</v>
      </c>
      <c r="J1752" s="78">
        <f ca="1">IF(MOD(COUNTIF($Q$11:Q1751,Q1751),5)=0,OFFSET(装备属性!$P$1083,1+INT(COUNTA($Q$11:Q1751)/5),0),J1751)</f>
        <v>2</v>
      </c>
      <c r="K1752" s="83" t="str">
        <f ca="1">IF(RIGHT(G1752,13)="rune_slot,1}]",_xlfn.XLOOKUP(LEFT(SUBSTITUTE(G1752,"[{",""),FIND(",",SUBSTITUTE(G1752,"[{",""))-1),Sheet2!B:B,Sheet2!C:C)&amp;"+"&amp;1,_xlfn.XLOOKUP(LEFT(SUBSTITUTE(G1752,"[{",""),FIND(",",SUBSTITUTE(G1752,"[{",""))-1),Sheet2!B:B,Sheet2!C:C)&amp;"+"&amp;SUBSTITUTE(RIGHT(G1752,LEN(G1752)-FIND(",",G1752)),"}]","")/100&amp;"%")</f>
        <v>伤害加成+254.3%</v>
      </c>
      <c r="L1752" s="83" t="str">
        <f ca="1">IF(MOD(COUNTIF($Q$11:Q1751,Q1751),5)=0,OFFSET(装备属性!$G$1083,1+INT(COUNTA($Q$11:Q1751)/5),0),L1751)</f>
        <v>全职小队Ⅴ</v>
      </c>
      <c r="M1752" s="89" t="str">
        <f ca="1">IF(MOD(COUNTIF($Q$11:Q1751,Q1751),5)=0,OFFSET(装备属性!$H$1083,1+INT(COUNTA($Q$11:Q1751)/5),0),M1751)</f>
        <v>global_dmg_rate</v>
      </c>
      <c r="N1752" s="76">
        <f ca="1">IF(MOD(COUNTIF($Q$11:Q1751,Q1751),5)=0,OFFSET(装备属性!$K$1083,1+INT(COUNTA($Q$11:Q1751)/5),0),N1751)</f>
        <v>0.072</v>
      </c>
      <c r="O1752" s="76">
        <f ca="1">IF(MOD(COUNTIF($Q$11:Q1751,Q1751),5)=0,OFFSET(装备属性!$L$1083,1+INT(COUNTA($Q$11:Q1751)/5),0),O1751)</f>
        <v>0.086</v>
      </c>
      <c r="Q1752" s="89" t="str">
        <f ca="1">IF(MOD(COUNTIF($Q$11:Q1751,Q1751),5)=0,OFFSET(装备属性!$M$1083,1+INT(COUNTA($Q$11:Q1751)/5),0),Q1751)</f>
        <v>通用属性</v>
      </c>
      <c r="R1752" s="83" t="e">
        <f ca="1">IF(MOD(COUNTIF($Q$11:Q1751,Q1751),5)=0,10000*SUBSTITUTE(SUBSTITUTE(OFFSET(装备属性!$F$1083,1+INT(COUNTA($Q$11:Q1751)/5),0),"[",""),"]","")+_xlfn.XLOOKUP(C1752,$M$3:$M$7,$N$3:$N$7)*100,R1751)</f>
        <v>#N/A</v>
      </c>
    </row>
    <row r="1753" customHeight="1" spans="1:18">
      <c r="A1753" s="78" t="str">
        <f ca="1" t="shared" si="85"/>
        <v/>
      </c>
      <c r="B1753" s="82" t="str">
        <f ca="1">IFERROR(R1753+COUNTIFS($R$11:$R1753,R1753),"")</f>
        <v/>
      </c>
      <c r="C1753" s="83">
        <f ca="1">IF(MOD(COUNTIF($Q$11:Q1752,Q1752),5)=0,OFFSET(装备属性!$D$1083,1+INT(COUNTA($Q$11:Q1752)/5),0),C1752)</f>
        <v>0</v>
      </c>
      <c r="D1753" s="82">
        <f t="shared" si="84"/>
        <v>2000</v>
      </c>
      <c r="F1753" s="82" t="str">
        <f ca="1" t="shared" si="86"/>
        <v/>
      </c>
      <c r="G1753" s="78" t="str">
        <f ca="1">IF(AND(LEFT("[{"&amp;M1753&amp;","&amp;CEILING(N1753*10000+(O1753-N1753)/4*(COUNTIF($F$11:F1753,F1753)-1)*10000,10)&amp;"}]",7)="[{equip",MID("[{"&amp;M1753&amp;","&amp;CEILING(N1753*10000+(O1753-N1753)/4*(COUNTIF($F$11:F1753,F1753)-1)*10000,10)&amp;"}]",8,1)&lt;&gt;"_"),"[{"&amp;M1753&amp;","&amp;1&amp;"}]","[{"&amp;M1753&amp;","&amp;CEILING(N1753*10000+(O1753-N1753)/4*(COUNTIF($F$11:F1753,F1753)-1)*10000,10)&amp;"}]")</f>
        <v>[{global_dmg_rate,25470}]</v>
      </c>
      <c r="H1753" s="82" t="s">
        <v>563</v>
      </c>
      <c r="J1753" s="78">
        <f ca="1">IF(MOD(COUNTIF($Q$11:Q1752,Q1752),5)=0,OFFSET(装备属性!$P$1083,1+INT(COUNTA($Q$11:Q1752)/5),0),J1752)</f>
        <v>2</v>
      </c>
      <c r="K1753" s="83" t="str">
        <f ca="1">IF(RIGHT(G1753,13)="rune_slot,1}]",_xlfn.XLOOKUP(LEFT(SUBSTITUTE(G1753,"[{",""),FIND(",",SUBSTITUTE(G1753,"[{",""))-1),Sheet2!B:B,Sheet2!C:C)&amp;"+"&amp;1,_xlfn.XLOOKUP(LEFT(SUBSTITUTE(G1753,"[{",""),FIND(",",SUBSTITUTE(G1753,"[{",""))-1),Sheet2!B:B,Sheet2!C:C)&amp;"+"&amp;SUBSTITUTE(RIGHT(G1753,LEN(G1753)-FIND(",",G1753)),"}]","")/100&amp;"%")</f>
        <v>伤害加成+254.7%</v>
      </c>
      <c r="L1753" s="83" t="str">
        <f ca="1">IF(MOD(COUNTIF($Q$11:Q1752,Q1752),5)=0,OFFSET(装备属性!$G$1083,1+INT(COUNTA($Q$11:Q1752)/5),0),L1752)</f>
        <v>全职小队Ⅴ</v>
      </c>
      <c r="M1753" s="89" t="str">
        <f ca="1">IF(MOD(COUNTIF($Q$11:Q1752,Q1752),5)=0,OFFSET(装备属性!$H$1083,1+INT(COUNTA($Q$11:Q1752)/5),0),M1752)</f>
        <v>global_dmg_rate</v>
      </c>
      <c r="N1753" s="76">
        <f ca="1">IF(MOD(COUNTIF($Q$11:Q1752,Q1752),5)=0,OFFSET(装备属性!$K$1083,1+INT(COUNTA($Q$11:Q1752)/5),0),N1752)</f>
        <v>0.072</v>
      </c>
      <c r="O1753" s="76">
        <f ca="1">IF(MOD(COUNTIF($Q$11:Q1752,Q1752),5)=0,OFFSET(装备属性!$L$1083,1+INT(COUNTA($Q$11:Q1752)/5),0),O1752)</f>
        <v>0.086</v>
      </c>
      <c r="Q1753" s="89" t="str">
        <f ca="1">IF(MOD(COUNTIF($Q$11:Q1752,Q1752),5)=0,OFFSET(装备属性!$M$1083,1+INT(COUNTA($Q$11:Q1752)/5),0),Q1752)</f>
        <v>通用属性</v>
      </c>
      <c r="R1753" s="83" t="e">
        <f ca="1">IF(MOD(COUNTIF($Q$11:Q1752,Q1752),5)=0,10000*SUBSTITUTE(SUBSTITUTE(OFFSET(装备属性!$F$1083,1+INT(COUNTA($Q$11:Q1752)/5),0),"[",""),"]","")+_xlfn.XLOOKUP(C1753,$M$3:$M$7,$N$3:$N$7)*100,R1752)</f>
        <v>#N/A</v>
      </c>
    </row>
    <row r="1754" customHeight="1" spans="1:18">
      <c r="A1754" s="78" t="str">
        <f ca="1" t="shared" si="85"/>
        <v/>
      </c>
      <c r="B1754" s="82" t="str">
        <f ca="1">IFERROR(R1754+COUNTIFS($R$11:$R1754,R1754),"")</f>
        <v/>
      </c>
      <c r="C1754" s="83">
        <f ca="1">IF(MOD(COUNTIF($Q$11:Q1753,Q1753),5)=0,OFFSET(装备属性!$D$1083,1+INT(COUNTA($Q$11:Q1753)/5),0),C1753)</f>
        <v>0</v>
      </c>
      <c r="D1754" s="82">
        <f t="shared" si="84"/>
        <v>1500</v>
      </c>
      <c r="F1754" s="82" t="str">
        <f ca="1" t="shared" si="86"/>
        <v/>
      </c>
      <c r="G1754" s="78" t="str">
        <f ca="1">IF(AND(LEFT("[{"&amp;M1754&amp;","&amp;CEILING(N1754*10000+(O1754-N1754)/4*(COUNTIF($F$11:F1754,F1754)-1)*10000,10)&amp;"}]",7)="[{equip",MID("[{"&amp;M1754&amp;","&amp;CEILING(N1754*10000+(O1754-N1754)/4*(COUNTIF($F$11:F1754,F1754)-1)*10000,10)&amp;"}]",8,1)&lt;&gt;"_"),"[{"&amp;M1754&amp;","&amp;1&amp;"}]","[{"&amp;M1754&amp;","&amp;CEILING(N1754*10000+(O1754-N1754)/4*(COUNTIF($F$11:F1754,F1754)-1)*10000,10)&amp;"}]")</f>
        <v>[{global_dmg_rate,25500}]</v>
      </c>
      <c r="H1754" s="82" t="s">
        <v>563</v>
      </c>
      <c r="J1754" s="78">
        <f ca="1">IF(MOD(COUNTIF($Q$11:Q1753,Q1753),5)=0,OFFSET(装备属性!$P$1083,1+INT(COUNTA($Q$11:Q1753)/5),0),J1753)</f>
        <v>2</v>
      </c>
      <c r="K1754" s="83" t="str">
        <f ca="1">IF(RIGHT(G1754,13)="rune_slot,1}]",_xlfn.XLOOKUP(LEFT(SUBSTITUTE(G1754,"[{",""),FIND(",",SUBSTITUTE(G1754,"[{",""))-1),Sheet2!B:B,Sheet2!C:C)&amp;"+"&amp;1,_xlfn.XLOOKUP(LEFT(SUBSTITUTE(G1754,"[{",""),FIND(",",SUBSTITUTE(G1754,"[{",""))-1),Sheet2!B:B,Sheet2!C:C)&amp;"+"&amp;SUBSTITUTE(RIGHT(G1754,LEN(G1754)-FIND(",",G1754)),"}]","")/100&amp;"%")</f>
        <v>伤害加成+255%</v>
      </c>
      <c r="L1754" s="83" t="str">
        <f ca="1">IF(MOD(COUNTIF($Q$11:Q1753,Q1753),5)=0,OFFSET(装备属性!$G$1083,1+INT(COUNTA($Q$11:Q1753)/5),0),L1753)</f>
        <v>全职小队Ⅴ</v>
      </c>
      <c r="M1754" s="89" t="str">
        <f ca="1">IF(MOD(COUNTIF($Q$11:Q1753,Q1753),5)=0,OFFSET(装备属性!$H$1083,1+INT(COUNTA($Q$11:Q1753)/5),0),M1753)</f>
        <v>global_dmg_rate</v>
      </c>
      <c r="N1754" s="76">
        <f ca="1">IF(MOD(COUNTIF($Q$11:Q1753,Q1753),5)=0,OFFSET(装备属性!$K$1083,1+INT(COUNTA($Q$11:Q1753)/5),0),N1753)</f>
        <v>0.072</v>
      </c>
      <c r="O1754" s="76">
        <f ca="1">IF(MOD(COUNTIF($Q$11:Q1753,Q1753),5)=0,OFFSET(装备属性!$L$1083,1+INT(COUNTA($Q$11:Q1753)/5),0),O1753)</f>
        <v>0.086</v>
      </c>
      <c r="Q1754" s="89" t="str">
        <f ca="1">IF(MOD(COUNTIF($Q$11:Q1753,Q1753),5)=0,OFFSET(装备属性!$M$1083,1+INT(COUNTA($Q$11:Q1753)/5),0),Q1753)</f>
        <v>通用属性</v>
      </c>
      <c r="R1754" s="83" t="e">
        <f ca="1">IF(MOD(COUNTIF($Q$11:Q1753,Q1753),5)=0,10000*SUBSTITUTE(SUBSTITUTE(OFFSET(装备属性!$F$1083,1+INT(COUNTA($Q$11:Q1753)/5),0),"[",""),"]","")+_xlfn.XLOOKUP(C1754,$M$3:$M$7,$N$3:$N$7)*100,R1753)</f>
        <v>#N/A</v>
      </c>
    </row>
    <row r="1755" customHeight="1" spans="1:18">
      <c r="A1755" s="78" t="str">
        <f ca="1" t="shared" si="85"/>
        <v/>
      </c>
      <c r="B1755" s="82" t="str">
        <f ca="1">IFERROR(R1755+COUNTIFS($R$11:$R1755,R1755),"")</f>
        <v/>
      </c>
      <c r="C1755" s="83">
        <f ca="1">IF(MOD(COUNTIF($Q$11:Q1754,Q1754),5)=0,OFFSET(装备属性!$D$1083,1+INT(COUNTA($Q$11:Q1754)/5),0),C1754)</f>
        <v>0</v>
      </c>
      <c r="D1755" s="82">
        <f t="shared" si="84"/>
        <v>1000</v>
      </c>
      <c r="F1755" s="82" t="str">
        <f ca="1" t="shared" si="86"/>
        <v/>
      </c>
      <c r="G1755" s="78" t="str">
        <f ca="1">IF(AND(LEFT("[{"&amp;M1755&amp;","&amp;CEILING(N1755*10000+(O1755-N1755)/4*(COUNTIF($F$11:F1755,F1755)-1)*10000,10)&amp;"}]",7)="[{equip",MID("[{"&amp;M1755&amp;","&amp;CEILING(N1755*10000+(O1755-N1755)/4*(COUNTIF($F$11:F1755,F1755)-1)*10000,10)&amp;"}]",8,1)&lt;&gt;"_"),"[{"&amp;M1755&amp;","&amp;1&amp;"}]","[{"&amp;M1755&amp;","&amp;CEILING(N1755*10000+(O1755-N1755)/4*(COUNTIF($F$11:F1755,F1755)-1)*10000,10)&amp;"}]")</f>
        <v>[{global_dmg_rate,25540}]</v>
      </c>
      <c r="H1755" s="82" t="s">
        <v>563</v>
      </c>
      <c r="J1755" s="78">
        <f ca="1">IF(MOD(COUNTIF($Q$11:Q1754,Q1754),5)=0,OFFSET(装备属性!$P$1083,1+INT(COUNTA($Q$11:Q1754)/5),0),J1754)</f>
        <v>2</v>
      </c>
      <c r="K1755" s="83" t="str">
        <f ca="1">IF(RIGHT(G1755,13)="rune_slot,1}]",_xlfn.XLOOKUP(LEFT(SUBSTITUTE(G1755,"[{",""),FIND(",",SUBSTITUTE(G1755,"[{",""))-1),Sheet2!B:B,Sheet2!C:C)&amp;"+"&amp;1,_xlfn.XLOOKUP(LEFT(SUBSTITUTE(G1755,"[{",""),FIND(",",SUBSTITUTE(G1755,"[{",""))-1),Sheet2!B:B,Sheet2!C:C)&amp;"+"&amp;SUBSTITUTE(RIGHT(G1755,LEN(G1755)-FIND(",",G1755)),"}]","")/100&amp;"%")</f>
        <v>伤害加成+255.4%</v>
      </c>
      <c r="L1755" s="83" t="str">
        <f ca="1">IF(MOD(COUNTIF($Q$11:Q1754,Q1754),5)=0,OFFSET(装备属性!$G$1083,1+INT(COUNTA($Q$11:Q1754)/5),0),L1754)</f>
        <v>全职小队Ⅴ</v>
      </c>
      <c r="M1755" s="89" t="str">
        <f ca="1">IF(MOD(COUNTIF($Q$11:Q1754,Q1754),5)=0,OFFSET(装备属性!$H$1083,1+INT(COUNTA($Q$11:Q1754)/5),0),M1754)</f>
        <v>global_dmg_rate</v>
      </c>
      <c r="N1755" s="76">
        <f ca="1">IF(MOD(COUNTIF($Q$11:Q1754,Q1754),5)=0,OFFSET(装备属性!$K$1083,1+INT(COUNTA($Q$11:Q1754)/5),0),N1754)</f>
        <v>0.072</v>
      </c>
      <c r="O1755" s="76">
        <f ca="1">IF(MOD(COUNTIF($Q$11:Q1754,Q1754),5)=0,OFFSET(装备属性!$L$1083,1+INT(COUNTA($Q$11:Q1754)/5),0),O1754)</f>
        <v>0.086</v>
      </c>
      <c r="Q1755" s="89" t="str">
        <f ca="1">IF(MOD(COUNTIF($Q$11:Q1754,Q1754),5)=0,OFFSET(装备属性!$M$1083,1+INT(COUNTA($Q$11:Q1754)/5),0),Q1754)</f>
        <v>通用属性</v>
      </c>
      <c r="R1755" s="83" t="e">
        <f ca="1">IF(MOD(COUNTIF($Q$11:Q1754,Q1754),5)=0,10000*SUBSTITUTE(SUBSTITUTE(OFFSET(装备属性!$F$1083,1+INT(COUNTA($Q$11:Q1754)/5),0),"[",""),"]","")+_xlfn.XLOOKUP(C1755,$M$3:$M$7,$N$3:$N$7)*100,R1754)</f>
        <v>#N/A</v>
      </c>
    </row>
    <row r="1756" customHeight="1" spans="1:18">
      <c r="A1756" s="78">
        <f ca="1" t="shared" si="85"/>
        <v>60801</v>
      </c>
      <c r="B1756" s="82">
        <f ca="1">IFERROR(R1756+COUNTIFS($R$11:$R1756,R1756),"")</f>
        <v>60801</v>
      </c>
      <c r="C1756" s="83" t="str">
        <f ca="1">IF(MOD(COUNTIF($Q$11:Q1755,Q1755),5)=0,OFFSET(装备属性!$D$1083,1+INT(COUNTA($Q$11:Q1755)/5),0),C1755)</f>
        <v>彩</v>
      </c>
      <c r="D1756" s="82">
        <f t="shared" si="84"/>
        <v>3000</v>
      </c>
      <c r="F1756" s="82">
        <f ca="1" t="shared" si="86"/>
        <v>60800</v>
      </c>
      <c r="G1756" s="78" t="str">
        <f ca="1">IF(AND(LEFT("[{"&amp;M1756&amp;","&amp;CEILING(N1756*10000+(O1756-N1756)/4*(COUNTIF($F$11:F1756,F1756)-1)*10000,10)&amp;"}]",7)="[{equip",MID("[{"&amp;M1756&amp;","&amp;CEILING(N1756*10000+(O1756-N1756)/4*(COUNTIF($F$11:F1756,F1756)-1)*10000,10)&amp;"}]",8,1)&lt;&gt;"_"),"[{"&amp;M1756&amp;","&amp;1&amp;"}]","[{"&amp;M1756&amp;","&amp;CEILING(N1756*10000+(O1756-N1756)/4*(COUNTIF($F$11:F1756,F1756)-1)*10000,10)&amp;"}]")</f>
        <v>[{dmg_red_rate,300}]</v>
      </c>
      <c r="H1756" s="82" t="s">
        <v>563</v>
      </c>
      <c r="J1756" s="78">
        <f ca="1">IF(MOD(COUNTIF($Q$11:Q1755,Q1755),5)=0,OFFSET(装备属性!$P$1083,1+INT(COUNTA($Q$11:Q1755)/5),0),J1755)</f>
        <v>6</v>
      </c>
      <c r="K1756" s="83" t="str">
        <f ca="1">IF(RIGHT(G1756,13)="rune_slot,1}]",_xlfn.XLOOKUP(LEFT(SUBSTITUTE(G1756,"[{",""),FIND(",",SUBSTITUTE(G1756,"[{",""))-1),Sheet2!B:B,Sheet2!C:C)&amp;"+"&amp;1,_xlfn.XLOOKUP(LEFT(SUBSTITUTE(G1756,"[{",""),FIND(",",SUBSTITUTE(G1756,"[{",""))-1),Sheet2!B:B,Sheet2!C:C)&amp;"+"&amp;SUBSTITUTE(RIGHT(G1756,LEN(G1756)-FIND(",",G1756)),"}]","")/100&amp;"%")</f>
        <v>伤害减免+3%</v>
      </c>
      <c r="L1756" s="83" t="str">
        <f ca="1">IF(MOD(COUNTIF($Q$11:Q1755,Q1755),5)=0,OFFSET(装备属性!$G$1083,1+INT(COUNTA($Q$11:Q1755)/5),0),L1755)</f>
        <v>全员抗揍Ⅴ</v>
      </c>
      <c r="M1756" s="89" t="str">
        <f ca="1">IF(MOD(COUNTIF($Q$11:Q1755,Q1755),5)=0,OFFSET(装备属性!$H$1083,1+INT(COUNTA($Q$11:Q1755)/5),0),M1755)</f>
        <v>dmg_red_rate</v>
      </c>
      <c r="N1756" s="76">
        <f ca="1">IF(MOD(COUNTIF($Q$11:Q1755,Q1755),5)=0,OFFSET(装备属性!$K$1083,1+INT(COUNTA($Q$11:Q1755)/5),0),N1755)</f>
        <v>0.03</v>
      </c>
      <c r="O1756" s="76">
        <f ca="1">IF(MOD(COUNTIF($Q$11:Q1755,Q1755),5)=0,OFFSET(装备属性!$L$1083,1+INT(COUNTA($Q$11:Q1755)/5),0),O1755)</f>
        <v>0.034</v>
      </c>
      <c r="Q1756" s="89" t="str">
        <f ca="1">IF(MOD(COUNTIF($Q$11:Q1755,Q1755),5)=0,OFFSET(装备属性!$M$1083,1+INT(COUNTA($Q$11:Q1755)/5),0),Q1755)</f>
        <v>通用属性</v>
      </c>
      <c r="R1756" s="83">
        <f ca="1">IF(MOD(COUNTIF($Q$11:Q1755,Q1755),5)=0,10000*SUBSTITUTE(SUBSTITUTE(OFFSET(装备属性!$F$1083,1+INT(COUNTA($Q$11:Q1755)/5),0),"[",""),"]","")+_xlfn.XLOOKUP(C1756,$M$3:$M$7,$N$3:$N$7)*100,R1755)</f>
        <v>60800</v>
      </c>
    </row>
    <row r="1757" customHeight="1" spans="1:18">
      <c r="A1757" s="78">
        <f ca="1" t="shared" si="85"/>
        <v>60801</v>
      </c>
      <c r="B1757" s="82">
        <f ca="1">IFERROR(R1757+COUNTIFS($R$11:$R1757,R1757),"")</f>
        <v>60802</v>
      </c>
      <c r="C1757" s="83" t="str">
        <f ca="1">IF(MOD(COUNTIF($Q$11:Q1756,Q1756),5)=0,OFFSET(装备属性!$D$1083,1+INT(COUNTA($Q$11:Q1756)/5),0),C1756)</f>
        <v>彩</v>
      </c>
      <c r="D1757" s="82">
        <f t="shared" si="84"/>
        <v>2500</v>
      </c>
      <c r="F1757" s="82">
        <f ca="1" t="shared" si="86"/>
        <v>60800</v>
      </c>
      <c r="G1757" s="78" t="str">
        <f ca="1">IF(AND(LEFT("[{"&amp;M1757&amp;","&amp;CEILING(N1757*10000+(O1757-N1757)/4*(COUNTIF($F$11:F1757,F1757)-1)*10000,10)&amp;"}]",7)="[{equip",MID("[{"&amp;M1757&amp;","&amp;CEILING(N1757*10000+(O1757-N1757)/4*(COUNTIF($F$11:F1757,F1757)-1)*10000,10)&amp;"}]",8,1)&lt;&gt;"_"),"[{"&amp;M1757&amp;","&amp;1&amp;"}]","[{"&amp;M1757&amp;","&amp;CEILING(N1757*10000+(O1757-N1757)/4*(COUNTIF($F$11:F1757,F1757)-1)*10000,10)&amp;"}]")</f>
        <v>[{dmg_red_rate,310}]</v>
      </c>
      <c r="H1757" s="82" t="s">
        <v>563</v>
      </c>
      <c r="J1757" s="78">
        <f ca="1">IF(MOD(COUNTIF($Q$11:Q1756,Q1756),5)=0,OFFSET(装备属性!$P$1083,1+INT(COUNTA($Q$11:Q1756)/5),0),J1756)</f>
        <v>6</v>
      </c>
      <c r="K1757" s="83" t="str">
        <f ca="1">IF(RIGHT(G1757,13)="rune_slot,1}]",_xlfn.XLOOKUP(LEFT(SUBSTITUTE(G1757,"[{",""),FIND(",",SUBSTITUTE(G1757,"[{",""))-1),Sheet2!B:B,Sheet2!C:C)&amp;"+"&amp;1,_xlfn.XLOOKUP(LEFT(SUBSTITUTE(G1757,"[{",""),FIND(",",SUBSTITUTE(G1757,"[{",""))-1),Sheet2!B:B,Sheet2!C:C)&amp;"+"&amp;SUBSTITUTE(RIGHT(G1757,LEN(G1757)-FIND(",",G1757)),"}]","")/100&amp;"%")</f>
        <v>伤害减免+3.1%</v>
      </c>
      <c r="L1757" s="83" t="str">
        <f ca="1">IF(MOD(COUNTIF($Q$11:Q1756,Q1756),5)=0,OFFSET(装备属性!$G$1083,1+INT(COUNTA($Q$11:Q1756)/5),0),L1756)</f>
        <v>全员抗揍Ⅴ</v>
      </c>
      <c r="M1757" s="89" t="str">
        <f ca="1">IF(MOD(COUNTIF($Q$11:Q1756,Q1756),5)=0,OFFSET(装备属性!$H$1083,1+INT(COUNTA($Q$11:Q1756)/5),0),M1756)</f>
        <v>dmg_red_rate</v>
      </c>
      <c r="N1757" s="76">
        <f ca="1">IF(MOD(COUNTIF($Q$11:Q1756,Q1756),5)=0,OFFSET(装备属性!$K$1083,1+INT(COUNTA($Q$11:Q1756)/5),0),N1756)</f>
        <v>0.03</v>
      </c>
      <c r="O1757" s="76">
        <f ca="1">IF(MOD(COUNTIF($Q$11:Q1756,Q1756),5)=0,OFFSET(装备属性!$L$1083,1+INT(COUNTA($Q$11:Q1756)/5),0),O1756)</f>
        <v>0.034</v>
      </c>
      <c r="Q1757" s="89" t="str">
        <f ca="1">IF(MOD(COUNTIF($Q$11:Q1756,Q1756),5)=0,OFFSET(装备属性!$M$1083,1+INT(COUNTA($Q$11:Q1756)/5),0),Q1756)</f>
        <v>通用属性</v>
      </c>
      <c r="R1757" s="83">
        <f ca="1">IF(MOD(COUNTIF($Q$11:Q1756,Q1756),5)=0,10000*SUBSTITUTE(SUBSTITUTE(OFFSET(装备属性!$F$1083,1+INT(COUNTA($Q$11:Q1756)/5),0),"[",""),"]","")+_xlfn.XLOOKUP(C1757,$M$3:$M$7,$N$3:$N$7)*100,R1756)</f>
        <v>60800</v>
      </c>
    </row>
    <row r="1758" customHeight="1" spans="1:18">
      <c r="A1758" s="78">
        <f ca="1" t="shared" si="85"/>
        <v>60801</v>
      </c>
      <c r="B1758" s="82">
        <f ca="1">IFERROR(R1758+COUNTIFS($R$11:$R1758,R1758),"")</f>
        <v>60803</v>
      </c>
      <c r="C1758" s="83" t="str">
        <f ca="1">IF(MOD(COUNTIF($Q$11:Q1757,Q1757),5)=0,OFFSET(装备属性!$D$1083,1+INT(COUNTA($Q$11:Q1757)/5),0),C1757)</f>
        <v>彩</v>
      </c>
      <c r="D1758" s="82">
        <f t="shared" si="84"/>
        <v>2000</v>
      </c>
      <c r="F1758" s="82">
        <f ca="1" t="shared" si="86"/>
        <v>60800</v>
      </c>
      <c r="G1758" s="78" t="str">
        <f ca="1">IF(AND(LEFT("[{"&amp;M1758&amp;","&amp;CEILING(N1758*10000+(O1758-N1758)/4*(COUNTIF($F$11:F1758,F1758)-1)*10000,10)&amp;"}]",7)="[{equip",MID("[{"&amp;M1758&amp;","&amp;CEILING(N1758*10000+(O1758-N1758)/4*(COUNTIF($F$11:F1758,F1758)-1)*10000,10)&amp;"}]",8,1)&lt;&gt;"_"),"[{"&amp;M1758&amp;","&amp;1&amp;"}]","[{"&amp;M1758&amp;","&amp;CEILING(N1758*10000+(O1758-N1758)/4*(COUNTIF($F$11:F1758,F1758)-1)*10000,10)&amp;"}]")</f>
        <v>[{dmg_red_rate,320}]</v>
      </c>
      <c r="H1758" s="82" t="s">
        <v>563</v>
      </c>
      <c r="J1758" s="78">
        <f ca="1">IF(MOD(COUNTIF($Q$11:Q1757,Q1757),5)=0,OFFSET(装备属性!$P$1083,1+INT(COUNTA($Q$11:Q1757)/5),0),J1757)</f>
        <v>6</v>
      </c>
      <c r="K1758" s="83" t="str">
        <f ca="1">IF(RIGHT(G1758,13)="rune_slot,1}]",_xlfn.XLOOKUP(LEFT(SUBSTITUTE(G1758,"[{",""),FIND(",",SUBSTITUTE(G1758,"[{",""))-1),Sheet2!B:B,Sheet2!C:C)&amp;"+"&amp;1,_xlfn.XLOOKUP(LEFT(SUBSTITUTE(G1758,"[{",""),FIND(",",SUBSTITUTE(G1758,"[{",""))-1),Sheet2!B:B,Sheet2!C:C)&amp;"+"&amp;SUBSTITUTE(RIGHT(G1758,LEN(G1758)-FIND(",",G1758)),"}]","")/100&amp;"%")</f>
        <v>伤害减免+3.2%</v>
      </c>
      <c r="L1758" s="83" t="str">
        <f ca="1">IF(MOD(COUNTIF($Q$11:Q1757,Q1757),5)=0,OFFSET(装备属性!$G$1083,1+INT(COUNTA($Q$11:Q1757)/5),0),L1757)</f>
        <v>全员抗揍Ⅴ</v>
      </c>
      <c r="M1758" s="89" t="str">
        <f ca="1">IF(MOD(COUNTIF($Q$11:Q1757,Q1757),5)=0,OFFSET(装备属性!$H$1083,1+INT(COUNTA($Q$11:Q1757)/5),0),M1757)</f>
        <v>dmg_red_rate</v>
      </c>
      <c r="N1758" s="76">
        <f ca="1">IF(MOD(COUNTIF($Q$11:Q1757,Q1757),5)=0,OFFSET(装备属性!$K$1083,1+INT(COUNTA($Q$11:Q1757)/5),0),N1757)</f>
        <v>0.03</v>
      </c>
      <c r="O1758" s="76">
        <f ca="1">IF(MOD(COUNTIF($Q$11:Q1757,Q1757),5)=0,OFFSET(装备属性!$L$1083,1+INT(COUNTA($Q$11:Q1757)/5),0),O1757)</f>
        <v>0.034</v>
      </c>
      <c r="Q1758" s="89" t="str">
        <f ca="1">IF(MOD(COUNTIF($Q$11:Q1757,Q1757),5)=0,OFFSET(装备属性!$M$1083,1+INT(COUNTA($Q$11:Q1757)/5),0),Q1757)</f>
        <v>通用属性</v>
      </c>
      <c r="R1758" s="83">
        <f ca="1">IF(MOD(COUNTIF($Q$11:Q1757,Q1757),5)=0,10000*SUBSTITUTE(SUBSTITUTE(OFFSET(装备属性!$F$1083,1+INT(COUNTA($Q$11:Q1757)/5),0),"[",""),"]","")+_xlfn.XLOOKUP(C1758,$M$3:$M$7,$N$3:$N$7)*100,R1757)</f>
        <v>60800</v>
      </c>
    </row>
    <row r="1759" customHeight="1" spans="1:18">
      <c r="A1759" s="78">
        <f ca="1" t="shared" si="85"/>
        <v>60801</v>
      </c>
      <c r="B1759" s="82">
        <f ca="1">IFERROR(R1759+COUNTIFS($R$11:$R1759,R1759),"")</f>
        <v>60804</v>
      </c>
      <c r="C1759" s="83" t="str">
        <f ca="1">IF(MOD(COUNTIF($Q$11:Q1758,Q1758),5)=0,OFFSET(装备属性!$D$1083,1+INT(COUNTA($Q$11:Q1758)/5),0),C1758)</f>
        <v>彩</v>
      </c>
      <c r="D1759" s="82">
        <f t="shared" si="84"/>
        <v>1500</v>
      </c>
      <c r="F1759" s="82">
        <f ca="1" t="shared" si="86"/>
        <v>60800</v>
      </c>
      <c r="G1759" s="78" t="str">
        <f ca="1">IF(AND(LEFT("[{"&amp;M1759&amp;","&amp;CEILING(N1759*10000+(O1759-N1759)/4*(COUNTIF($F$11:F1759,F1759)-1)*10000,10)&amp;"}]",7)="[{equip",MID("[{"&amp;M1759&amp;","&amp;CEILING(N1759*10000+(O1759-N1759)/4*(COUNTIF($F$11:F1759,F1759)-1)*10000,10)&amp;"}]",8,1)&lt;&gt;"_"),"[{"&amp;M1759&amp;","&amp;1&amp;"}]","[{"&amp;M1759&amp;","&amp;CEILING(N1759*10000+(O1759-N1759)/4*(COUNTIF($F$11:F1759,F1759)-1)*10000,10)&amp;"}]")</f>
        <v>[{dmg_red_rate,330}]</v>
      </c>
      <c r="H1759" s="82" t="s">
        <v>563</v>
      </c>
      <c r="J1759" s="78">
        <f ca="1">IF(MOD(COUNTIF($Q$11:Q1758,Q1758),5)=0,OFFSET(装备属性!$P$1083,1+INT(COUNTA($Q$11:Q1758)/5),0),J1758)</f>
        <v>6</v>
      </c>
      <c r="K1759" s="83" t="str">
        <f ca="1">IF(RIGHT(G1759,13)="rune_slot,1}]",_xlfn.XLOOKUP(LEFT(SUBSTITUTE(G1759,"[{",""),FIND(",",SUBSTITUTE(G1759,"[{",""))-1),Sheet2!B:B,Sheet2!C:C)&amp;"+"&amp;1,_xlfn.XLOOKUP(LEFT(SUBSTITUTE(G1759,"[{",""),FIND(",",SUBSTITUTE(G1759,"[{",""))-1),Sheet2!B:B,Sheet2!C:C)&amp;"+"&amp;SUBSTITUTE(RIGHT(G1759,LEN(G1759)-FIND(",",G1759)),"}]","")/100&amp;"%")</f>
        <v>伤害减免+3.3%</v>
      </c>
      <c r="L1759" s="83" t="str">
        <f ca="1">IF(MOD(COUNTIF($Q$11:Q1758,Q1758),5)=0,OFFSET(装备属性!$G$1083,1+INT(COUNTA($Q$11:Q1758)/5),0),L1758)</f>
        <v>全员抗揍Ⅴ</v>
      </c>
      <c r="M1759" s="89" t="str">
        <f ca="1">IF(MOD(COUNTIF($Q$11:Q1758,Q1758),5)=0,OFFSET(装备属性!$H$1083,1+INT(COUNTA($Q$11:Q1758)/5),0),M1758)</f>
        <v>dmg_red_rate</v>
      </c>
      <c r="N1759" s="76">
        <f ca="1">IF(MOD(COUNTIF($Q$11:Q1758,Q1758),5)=0,OFFSET(装备属性!$K$1083,1+INT(COUNTA($Q$11:Q1758)/5),0),N1758)</f>
        <v>0.03</v>
      </c>
      <c r="O1759" s="76">
        <f ca="1">IF(MOD(COUNTIF($Q$11:Q1758,Q1758),5)=0,OFFSET(装备属性!$L$1083,1+INT(COUNTA($Q$11:Q1758)/5),0),O1758)</f>
        <v>0.034</v>
      </c>
      <c r="Q1759" s="89" t="str">
        <f ca="1">IF(MOD(COUNTIF($Q$11:Q1758,Q1758),5)=0,OFFSET(装备属性!$M$1083,1+INT(COUNTA($Q$11:Q1758)/5),0),Q1758)</f>
        <v>通用属性</v>
      </c>
      <c r="R1759" s="83">
        <f ca="1">IF(MOD(COUNTIF($Q$11:Q1758,Q1758),5)=0,10000*SUBSTITUTE(SUBSTITUTE(OFFSET(装备属性!$F$1083,1+INT(COUNTA($Q$11:Q1758)/5),0),"[",""),"]","")+_xlfn.XLOOKUP(C1759,$M$3:$M$7,$N$3:$N$7)*100,R1758)</f>
        <v>60800</v>
      </c>
    </row>
    <row r="1760" customHeight="1" spans="1:18">
      <c r="A1760" s="78">
        <f ca="1" t="shared" si="85"/>
        <v>60801</v>
      </c>
      <c r="B1760" s="82">
        <f ca="1">IFERROR(R1760+COUNTIFS($R$11:$R1760,R1760),"")</f>
        <v>60805</v>
      </c>
      <c r="C1760" s="83" t="str">
        <f ca="1">IF(MOD(COUNTIF($Q$11:Q1759,Q1759),5)=0,OFFSET(装备属性!$D$1083,1+INT(COUNTA($Q$11:Q1759)/5),0),C1759)</f>
        <v>彩</v>
      </c>
      <c r="D1760" s="82">
        <f t="shared" si="84"/>
        <v>1000</v>
      </c>
      <c r="F1760" s="82">
        <f ca="1" t="shared" si="86"/>
        <v>60800</v>
      </c>
      <c r="G1760" s="78" t="str">
        <f ca="1">IF(AND(LEFT("[{"&amp;M1760&amp;","&amp;CEILING(N1760*10000+(O1760-N1760)/4*(COUNTIF($F$11:F1760,F1760)-1)*10000,10)&amp;"}]",7)="[{equip",MID("[{"&amp;M1760&amp;","&amp;CEILING(N1760*10000+(O1760-N1760)/4*(COUNTIF($F$11:F1760,F1760)-1)*10000,10)&amp;"}]",8,1)&lt;&gt;"_"),"[{"&amp;M1760&amp;","&amp;1&amp;"}]","[{"&amp;M1760&amp;","&amp;CEILING(N1760*10000+(O1760-N1760)/4*(COUNTIF($F$11:F1760,F1760)-1)*10000,10)&amp;"}]")</f>
        <v>[{dmg_red_rate,340}]</v>
      </c>
      <c r="H1760" s="82" t="s">
        <v>563</v>
      </c>
      <c r="J1760" s="78">
        <f ca="1">IF(MOD(COUNTIF($Q$11:Q1759,Q1759),5)=0,OFFSET(装备属性!$P$1083,1+INT(COUNTA($Q$11:Q1759)/5),0),J1759)</f>
        <v>6</v>
      </c>
      <c r="K1760" s="83" t="str">
        <f ca="1">IF(RIGHT(G1760,13)="rune_slot,1}]",_xlfn.XLOOKUP(LEFT(SUBSTITUTE(G1760,"[{",""),FIND(",",SUBSTITUTE(G1760,"[{",""))-1),Sheet2!B:B,Sheet2!C:C)&amp;"+"&amp;1,_xlfn.XLOOKUP(LEFT(SUBSTITUTE(G1760,"[{",""),FIND(",",SUBSTITUTE(G1760,"[{",""))-1),Sheet2!B:B,Sheet2!C:C)&amp;"+"&amp;SUBSTITUTE(RIGHT(G1760,LEN(G1760)-FIND(",",G1760)),"}]","")/100&amp;"%")</f>
        <v>伤害减免+3.4%</v>
      </c>
      <c r="L1760" s="83" t="str">
        <f ca="1">IF(MOD(COUNTIF($Q$11:Q1759,Q1759),5)=0,OFFSET(装备属性!$G$1083,1+INT(COUNTA($Q$11:Q1759)/5),0),L1759)</f>
        <v>全员抗揍Ⅴ</v>
      </c>
      <c r="M1760" s="89" t="str">
        <f ca="1">IF(MOD(COUNTIF($Q$11:Q1759,Q1759),5)=0,OFFSET(装备属性!$H$1083,1+INT(COUNTA($Q$11:Q1759)/5),0),M1759)</f>
        <v>dmg_red_rate</v>
      </c>
      <c r="N1760" s="76">
        <f ca="1">IF(MOD(COUNTIF($Q$11:Q1759,Q1759),5)=0,OFFSET(装备属性!$K$1083,1+INT(COUNTA($Q$11:Q1759)/5),0),N1759)</f>
        <v>0.03</v>
      </c>
      <c r="O1760" s="76">
        <f ca="1">IF(MOD(COUNTIF($Q$11:Q1759,Q1759),5)=0,OFFSET(装备属性!$L$1083,1+INT(COUNTA($Q$11:Q1759)/5),0),O1759)</f>
        <v>0.034</v>
      </c>
      <c r="Q1760" s="89" t="str">
        <f ca="1">IF(MOD(COUNTIF($Q$11:Q1759,Q1759),5)=0,OFFSET(装备属性!$M$1083,1+INT(COUNTA($Q$11:Q1759)/5),0),Q1759)</f>
        <v>通用属性</v>
      </c>
      <c r="R1760" s="83">
        <f ca="1">IF(MOD(COUNTIF($Q$11:Q1759,Q1759),5)=0,10000*SUBSTITUTE(SUBSTITUTE(OFFSET(装备属性!$F$1083,1+INT(COUNTA($Q$11:Q1759)/5),0),"[",""),"]","")+_xlfn.XLOOKUP(C1760,$M$3:$M$7,$N$3:$N$7)*100,R1759)</f>
        <v>60800</v>
      </c>
    </row>
    <row r="1761" customHeight="1" spans="1:18">
      <c r="A1761" s="78">
        <f ca="1" t="shared" si="85"/>
        <v>60801</v>
      </c>
      <c r="B1761" s="82">
        <f ca="1">IFERROR(R1761+COUNTIFS($R$11:$R1761,R1761),"")</f>
        <v>60806</v>
      </c>
      <c r="C1761" s="83" t="str">
        <f ca="1">IF(MOD(COUNTIF($Q$11:Q1760,Q1760),5)=0,OFFSET(装备属性!$D$1083,1+INT(COUNTA($Q$11:Q1760)/5),0),C1760)</f>
        <v>彩</v>
      </c>
      <c r="D1761" s="82">
        <f t="shared" si="84"/>
        <v>3000</v>
      </c>
      <c r="F1761" s="82">
        <f ca="1" t="shared" si="86"/>
        <v>60801</v>
      </c>
      <c r="G1761" s="78" t="str">
        <f ca="1">IF(AND(LEFT("[{"&amp;M1761&amp;","&amp;CEILING(N1761*10000+(O1761-N1761)/4*(COUNTIF($F$11:F1761,F1761)-1)*10000,10)&amp;"}]",7)="[{equip",MID("[{"&amp;M1761&amp;","&amp;CEILING(N1761*10000+(O1761-N1761)/4*(COUNTIF($F$11:F1761,F1761)-1)*10000,10)&amp;"}]",8,1)&lt;&gt;"_"),"[{"&amp;M1761&amp;","&amp;1&amp;"}]","[{"&amp;M1761&amp;","&amp;CEILING(N1761*10000+(O1761-N1761)/4*(COUNTIF($F$11:F1761,F1761)-1)*10000,10)&amp;"}]")</f>
        <v>[{all_class_dmg,720}]</v>
      </c>
      <c r="H1761" s="82" t="s">
        <v>563</v>
      </c>
      <c r="J1761" s="78">
        <f ca="1">IF(MOD(COUNTIF($Q$11:Q1760,Q1760),5)=0,OFFSET(装备属性!$P$1083,1+INT(COUNTA($Q$11:Q1760)/5),0),J1760)</f>
        <v>2</v>
      </c>
      <c r="K1761" s="83" t="str">
        <f ca="1">IF(RIGHT(G1761,13)="rune_slot,1}]",_xlfn.XLOOKUP(LEFT(SUBSTITUTE(G1761,"[{",""),FIND(",",SUBSTITUTE(G1761,"[{",""))-1),Sheet2!B:B,Sheet2!C:C)&amp;"+"&amp;1,_xlfn.XLOOKUP(LEFT(SUBSTITUTE(G1761,"[{",""),FIND(",",SUBSTITUTE(G1761,"[{",""))-1),Sheet2!B:B,Sheet2!C:C)&amp;"+"&amp;SUBSTITUTE(RIGHT(G1761,LEN(G1761)-FIND(",",G1761)),"}]","")/100&amp;"%")</f>
        <v>上阵五个不同职业增伤+7.2%</v>
      </c>
      <c r="L1761" s="83" t="str">
        <f ca="1">IF(MOD(COUNTIF($Q$11:Q1760,Q1760),5)=0,OFFSET(装备属性!$G$1083,1+INT(COUNTA($Q$11:Q1760)/5),0),L1760)</f>
        <v>全员出力Ⅴ</v>
      </c>
      <c r="M1761" s="89" t="str">
        <f ca="1">IF(MOD(COUNTIF($Q$11:Q1760,Q1760),5)=0,OFFSET(装备属性!$H$1083,1+INT(COUNTA($Q$11:Q1760)/5),0),M1760)</f>
        <v>all_class_dmg</v>
      </c>
      <c r="N1761" s="76">
        <f ca="1">IF(MOD(COUNTIF($Q$11:Q1760,Q1760),5)=0,OFFSET(装备属性!$K$1083,1+INT(COUNTA($Q$11:Q1760)/5),0),N1760)</f>
        <v>0.072</v>
      </c>
      <c r="O1761" s="76">
        <f ca="1">IF(MOD(COUNTIF($Q$11:Q1760,Q1760),5)=0,OFFSET(装备属性!$L$1083,1+INT(COUNTA($Q$11:Q1760)/5),0),O1760)</f>
        <v>0.086</v>
      </c>
      <c r="Q1761" s="89" t="str">
        <f ca="1">IF(MOD(COUNTIF($Q$11:Q1760,Q1760),5)=0,OFFSET(装备属性!$M$1083,1+INT(COUNTA($Q$11:Q1760)/5),0),Q1760)</f>
        <v>通用属性</v>
      </c>
      <c r="R1761" s="83">
        <f ca="1">IF(MOD(COUNTIF($Q$11:Q1760,Q1760),5)=0,10000*SUBSTITUTE(SUBSTITUTE(OFFSET(装备属性!$F$1083,1+INT(COUNTA($Q$11:Q1760)/5),0),"[",""),"]","")+_xlfn.XLOOKUP(C1761,$M$3:$M$7,$N$3:$N$7)*100,R1760)</f>
        <v>60800</v>
      </c>
    </row>
    <row r="1762" customHeight="1" spans="1:18">
      <c r="A1762" s="78">
        <f ca="1" t="shared" si="85"/>
        <v>60801</v>
      </c>
      <c r="B1762" s="82">
        <f ca="1">IFERROR(R1762+COUNTIFS($R$11:$R1762,R1762),"")</f>
        <v>60807</v>
      </c>
      <c r="C1762" s="83" t="str">
        <f ca="1">IF(MOD(COUNTIF($Q$11:Q1761,Q1761),5)=0,OFFSET(装备属性!$D$1083,1+INT(COUNTA($Q$11:Q1761)/5),0),C1761)</f>
        <v>彩</v>
      </c>
      <c r="D1762" s="82">
        <f t="shared" si="84"/>
        <v>2500</v>
      </c>
      <c r="F1762" s="82">
        <f ca="1" t="shared" si="86"/>
        <v>60801</v>
      </c>
      <c r="G1762" s="78" t="str">
        <f ca="1">IF(AND(LEFT("[{"&amp;M1762&amp;","&amp;CEILING(N1762*10000+(O1762-N1762)/4*(COUNTIF($F$11:F1762,F1762)-1)*10000,10)&amp;"}]",7)="[{equip",MID("[{"&amp;M1762&amp;","&amp;CEILING(N1762*10000+(O1762-N1762)/4*(COUNTIF($F$11:F1762,F1762)-1)*10000,10)&amp;"}]",8,1)&lt;&gt;"_"),"[{"&amp;M1762&amp;","&amp;1&amp;"}]","[{"&amp;M1762&amp;","&amp;CEILING(N1762*10000+(O1762-N1762)/4*(COUNTIF($F$11:F1762,F1762)-1)*10000,10)&amp;"}]")</f>
        <v>[{all_class_dmg,760}]</v>
      </c>
      <c r="H1762" s="82" t="s">
        <v>563</v>
      </c>
      <c r="J1762" s="78">
        <f ca="1">IF(MOD(COUNTIF($Q$11:Q1761,Q1761),5)=0,OFFSET(装备属性!$P$1083,1+INT(COUNTA($Q$11:Q1761)/5),0),J1761)</f>
        <v>2</v>
      </c>
      <c r="K1762" s="83" t="str">
        <f ca="1">IF(RIGHT(G1762,13)="rune_slot,1}]",_xlfn.XLOOKUP(LEFT(SUBSTITUTE(G1762,"[{",""),FIND(",",SUBSTITUTE(G1762,"[{",""))-1),Sheet2!B:B,Sheet2!C:C)&amp;"+"&amp;1,_xlfn.XLOOKUP(LEFT(SUBSTITUTE(G1762,"[{",""),FIND(",",SUBSTITUTE(G1762,"[{",""))-1),Sheet2!B:B,Sheet2!C:C)&amp;"+"&amp;SUBSTITUTE(RIGHT(G1762,LEN(G1762)-FIND(",",G1762)),"}]","")/100&amp;"%")</f>
        <v>上阵五个不同职业增伤+7.6%</v>
      </c>
      <c r="L1762" s="83" t="str">
        <f ca="1">IF(MOD(COUNTIF($Q$11:Q1761,Q1761),5)=0,OFFSET(装备属性!$G$1083,1+INT(COUNTA($Q$11:Q1761)/5),0),L1761)</f>
        <v>全员出力Ⅴ</v>
      </c>
      <c r="M1762" s="89" t="str">
        <f ca="1">IF(MOD(COUNTIF($Q$11:Q1761,Q1761),5)=0,OFFSET(装备属性!$H$1083,1+INT(COUNTA($Q$11:Q1761)/5),0),M1761)</f>
        <v>all_class_dmg</v>
      </c>
      <c r="N1762" s="76">
        <f ca="1">IF(MOD(COUNTIF($Q$11:Q1761,Q1761),5)=0,OFFSET(装备属性!$K$1083,1+INT(COUNTA($Q$11:Q1761)/5),0),N1761)</f>
        <v>0.072</v>
      </c>
      <c r="O1762" s="76">
        <f ca="1">IF(MOD(COUNTIF($Q$11:Q1761,Q1761),5)=0,OFFSET(装备属性!$L$1083,1+INT(COUNTA($Q$11:Q1761)/5),0),O1761)</f>
        <v>0.086</v>
      </c>
      <c r="Q1762" s="89" t="str">
        <f ca="1">IF(MOD(COUNTIF($Q$11:Q1761,Q1761),5)=0,OFFSET(装备属性!$M$1083,1+INT(COUNTA($Q$11:Q1761)/5),0),Q1761)</f>
        <v>通用属性</v>
      </c>
      <c r="R1762" s="83">
        <f ca="1">IF(MOD(COUNTIF($Q$11:Q1761,Q1761),5)=0,10000*SUBSTITUTE(SUBSTITUTE(OFFSET(装备属性!$F$1083,1+INT(COUNTA($Q$11:Q1761)/5),0),"[",""),"]","")+_xlfn.XLOOKUP(C1762,$M$3:$M$7,$N$3:$N$7)*100,R1761)</f>
        <v>60800</v>
      </c>
    </row>
    <row r="1763" customHeight="1" spans="1:18">
      <c r="A1763" s="78">
        <f ca="1" t="shared" si="85"/>
        <v>60801</v>
      </c>
      <c r="B1763" s="82">
        <f ca="1">IFERROR(R1763+COUNTIFS($R$11:$R1763,R1763),"")</f>
        <v>60808</v>
      </c>
      <c r="C1763" s="83" t="str">
        <f ca="1">IF(MOD(COUNTIF($Q$11:Q1762,Q1762),5)=0,OFFSET(装备属性!$D$1083,1+INT(COUNTA($Q$11:Q1762)/5),0),C1762)</f>
        <v>彩</v>
      </c>
      <c r="D1763" s="82">
        <f t="shared" si="84"/>
        <v>2000</v>
      </c>
      <c r="F1763" s="82">
        <f ca="1" t="shared" si="86"/>
        <v>60801</v>
      </c>
      <c r="G1763" s="78" t="str">
        <f ca="1">IF(AND(LEFT("[{"&amp;M1763&amp;","&amp;CEILING(N1763*10000+(O1763-N1763)/4*(COUNTIF($F$11:F1763,F1763)-1)*10000,10)&amp;"}]",7)="[{equip",MID("[{"&amp;M1763&amp;","&amp;CEILING(N1763*10000+(O1763-N1763)/4*(COUNTIF($F$11:F1763,F1763)-1)*10000,10)&amp;"}]",8,1)&lt;&gt;"_"),"[{"&amp;M1763&amp;","&amp;1&amp;"}]","[{"&amp;M1763&amp;","&amp;CEILING(N1763*10000+(O1763-N1763)/4*(COUNTIF($F$11:F1763,F1763)-1)*10000,10)&amp;"}]")</f>
        <v>[{all_class_dmg,790}]</v>
      </c>
      <c r="H1763" s="82" t="s">
        <v>563</v>
      </c>
      <c r="J1763" s="78">
        <f ca="1">IF(MOD(COUNTIF($Q$11:Q1762,Q1762),5)=0,OFFSET(装备属性!$P$1083,1+INT(COUNTA($Q$11:Q1762)/5),0),J1762)</f>
        <v>2</v>
      </c>
      <c r="K1763" s="83" t="str">
        <f ca="1">IF(RIGHT(G1763,13)="rune_slot,1}]",_xlfn.XLOOKUP(LEFT(SUBSTITUTE(G1763,"[{",""),FIND(",",SUBSTITUTE(G1763,"[{",""))-1),Sheet2!B:B,Sheet2!C:C)&amp;"+"&amp;1,_xlfn.XLOOKUP(LEFT(SUBSTITUTE(G1763,"[{",""),FIND(",",SUBSTITUTE(G1763,"[{",""))-1),Sheet2!B:B,Sheet2!C:C)&amp;"+"&amp;SUBSTITUTE(RIGHT(G1763,LEN(G1763)-FIND(",",G1763)),"}]","")/100&amp;"%")</f>
        <v>上阵五个不同职业增伤+7.9%</v>
      </c>
      <c r="L1763" s="83" t="str">
        <f ca="1">IF(MOD(COUNTIF($Q$11:Q1762,Q1762),5)=0,OFFSET(装备属性!$G$1083,1+INT(COUNTA($Q$11:Q1762)/5),0),L1762)</f>
        <v>全员出力Ⅴ</v>
      </c>
      <c r="M1763" s="89" t="str">
        <f ca="1">IF(MOD(COUNTIF($Q$11:Q1762,Q1762),5)=0,OFFSET(装备属性!$H$1083,1+INT(COUNTA($Q$11:Q1762)/5),0),M1762)</f>
        <v>all_class_dmg</v>
      </c>
      <c r="N1763" s="76">
        <f ca="1">IF(MOD(COUNTIF($Q$11:Q1762,Q1762),5)=0,OFFSET(装备属性!$K$1083,1+INT(COUNTA($Q$11:Q1762)/5),0),N1762)</f>
        <v>0.072</v>
      </c>
      <c r="O1763" s="76">
        <f ca="1">IF(MOD(COUNTIF($Q$11:Q1762,Q1762),5)=0,OFFSET(装备属性!$L$1083,1+INT(COUNTA($Q$11:Q1762)/5),0),O1762)</f>
        <v>0.086</v>
      </c>
      <c r="Q1763" s="89" t="str">
        <f ca="1">IF(MOD(COUNTIF($Q$11:Q1762,Q1762),5)=0,OFFSET(装备属性!$M$1083,1+INT(COUNTA($Q$11:Q1762)/5),0),Q1762)</f>
        <v>通用属性</v>
      </c>
      <c r="R1763" s="83">
        <f ca="1">IF(MOD(COUNTIF($Q$11:Q1762,Q1762),5)=0,10000*SUBSTITUTE(SUBSTITUTE(OFFSET(装备属性!$F$1083,1+INT(COUNTA($Q$11:Q1762)/5),0),"[",""),"]","")+_xlfn.XLOOKUP(C1763,$M$3:$M$7,$N$3:$N$7)*100,R1762)</f>
        <v>60800</v>
      </c>
    </row>
    <row r="1764" customHeight="1" spans="1:18">
      <c r="A1764" s="78">
        <f ca="1" t="shared" si="85"/>
        <v>60801</v>
      </c>
      <c r="B1764" s="82">
        <f ca="1">IFERROR(R1764+COUNTIFS($R$11:$R1764,R1764),"")</f>
        <v>60809</v>
      </c>
      <c r="C1764" s="83" t="str">
        <f ca="1">IF(MOD(COUNTIF($Q$11:Q1763,Q1763),5)=0,OFFSET(装备属性!$D$1083,1+INT(COUNTA($Q$11:Q1763)/5),0),C1763)</f>
        <v>彩</v>
      </c>
      <c r="D1764" s="82">
        <f t="shared" si="84"/>
        <v>1500</v>
      </c>
      <c r="F1764" s="82">
        <f ca="1" t="shared" si="86"/>
        <v>60801</v>
      </c>
      <c r="G1764" s="78" t="str">
        <f ca="1">IF(AND(LEFT("[{"&amp;M1764&amp;","&amp;CEILING(N1764*10000+(O1764-N1764)/4*(COUNTIF($F$11:F1764,F1764)-1)*10000,10)&amp;"}]",7)="[{equip",MID("[{"&amp;M1764&amp;","&amp;CEILING(N1764*10000+(O1764-N1764)/4*(COUNTIF($F$11:F1764,F1764)-1)*10000,10)&amp;"}]",8,1)&lt;&gt;"_"),"[{"&amp;M1764&amp;","&amp;1&amp;"}]","[{"&amp;M1764&amp;","&amp;CEILING(N1764*10000+(O1764-N1764)/4*(COUNTIF($F$11:F1764,F1764)-1)*10000,10)&amp;"}]")</f>
        <v>[{all_class_dmg,830}]</v>
      </c>
      <c r="H1764" s="82" t="s">
        <v>563</v>
      </c>
      <c r="J1764" s="78">
        <f ca="1">IF(MOD(COUNTIF($Q$11:Q1763,Q1763),5)=0,OFFSET(装备属性!$P$1083,1+INT(COUNTA($Q$11:Q1763)/5),0),J1763)</f>
        <v>2</v>
      </c>
      <c r="K1764" s="83" t="str">
        <f ca="1">IF(RIGHT(G1764,13)="rune_slot,1}]",_xlfn.XLOOKUP(LEFT(SUBSTITUTE(G1764,"[{",""),FIND(",",SUBSTITUTE(G1764,"[{",""))-1),Sheet2!B:B,Sheet2!C:C)&amp;"+"&amp;1,_xlfn.XLOOKUP(LEFT(SUBSTITUTE(G1764,"[{",""),FIND(",",SUBSTITUTE(G1764,"[{",""))-1),Sheet2!B:B,Sheet2!C:C)&amp;"+"&amp;SUBSTITUTE(RIGHT(G1764,LEN(G1764)-FIND(",",G1764)),"}]","")/100&amp;"%")</f>
        <v>上阵五个不同职业增伤+8.3%</v>
      </c>
      <c r="L1764" s="83" t="str">
        <f ca="1">IF(MOD(COUNTIF($Q$11:Q1763,Q1763),5)=0,OFFSET(装备属性!$G$1083,1+INT(COUNTA($Q$11:Q1763)/5),0),L1763)</f>
        <v>全员出力Ⅴ</v>
      </c>
      <c r="M1764" s="89" t="str">
        <f ca="1">IF(MOD(COUNTIF($Q$11:Q1763,Q1763),5)=0,OFFSET(装备属性!$H$1083,1+INT(COUNTA($Q$11:Q1763)/5),0),M1763)</f>
        <v>all_class_dmg</v>
      </c>
      <c r="N1764" s="76">
        <f ca="1">IF(MOD(COUNTIF($Q$11:Q1763,Q1763),5)=0,OFFSET(装备属性!$K$1083,1+INT(COUNTA($Q$11:Q1763)/5),0),N1763)</f>
        <v>0.072</v>
      </c>
      <c r="O1764" s="76">
        <f ca="1">IF(MOD(COUNTIF($Q$11:Q1763,Q1763),5)=0,OFFSET(装备属性!$L$1083,1+INT(COUNTA($Q$11:Q1763)/5),0),O1763)</f>
        <v>0.086</v>
      </c>
      <c r="Q1764" s="89" t="str">
        <f ca="1">IF(MOD(COUNTIF($Q$11:Q1763,Q1763),5)=0,OFFSET(装备属性!$M$1083,1+INT(COUNTA($Q$11:Q1763)/5),0),Q1763)</f>
        <v>通用属性</v>
      </c>
      <c r="R1764" s="83">
        <f ca="1">IF(MOD(COUNTIF($Q$11:Q1763,Q1763),5)=0,10000*SUBSTITUTE(SUBSTITUTE(OFFSET(装备属性!$F$1083,1+INT(COUNTA($Q$11:Q1763)/5),0),"[",""),"]","")+_xlfn.XLOOKUP(C1764,$M$3:$M$7,$N$3:$N$7)*100,R1763)</f>
        <v>60800</v>
      </c>
    </row>
    <row r="1765" customHeight="1" spans="1:18">
      <c r="A1765" s="78">
        <f ca="1" t="shared" si="85"/>
        <v>60801</v>
      </c>
      <c r="B1765" s="82">
        <f ca="1">IFERROR(R1765+COUNTIFS($R$11:$R1765,R1765),"")</f>
        <v>60810</v>
      </c>
      <c r="C1765" s="83" t="str">
        <f ca="1">IF(MOD(COUNTIF($Q$11:Q1764,Q1764),5)=0,OFFSET(装备属性!$D$1083,1+INT(COUNTA($Q$11:Q1764)/5),0),C1764)</f>
        <v>彩</v>
      </c>
      <c r="D1765" s="82">
        <f t="shared" si="84"/>
        <v>1000</v>
      </c>
      <c r="F1765" s="82">
        <f ca="1" t="shared" si="86"/>
        <v>60801</v>
      </c>
      <c r="G1765" s="78" t="str">
        <f ca="1">IF(AND(LEFT("[{"&amp;M1765&amp;","&amp;CEILING(N1765*10000+(O1765-N1765)/4*(COUNTIF($F$11:F1765,F1765)-1)*10000,10)&amp;"}]",7)="[{equip",MID("[{"&amp;M1765&amp;","&amp;CEILING(N1765*10000+(O1765-N1765)/4*(COUNTIF($F$11:F1765,F1765)-1)*10000,10)&amp;"}]",8,1)&lt;&gt;"_"),"[{"&amp;M1765&amp;","&amp;1&amp;"}]","[{"&amp;M1765&amp;","&amp;CEILING(N1765*10000+(O1765-N1765)/4*(COUNTIF($F$11:F1765,F1765)-1)*10000,10)&amp;"}]")</f>
        <v>[{all_class_dmg,860}]</v>
      </c>
      <c r="H1765" s="82" t="s">
        <v>563</v>
      </c>
      <c r="J1765" s="78">
        <f ca="1">IF(MOD(COUNTIF($Q$11:Q1764,Q1764),5)=0,OFFSET(装备属性!$P$1083,1+INT(COUNTA($Q$11:Q1764)/5),0),J1764)</f>
        <v>2</v>
      </c>
      <c r="K1765" s="83" t="str">
        <f ca="1">IF(RIGHT(G1765,13)="rune_slot,1}]",_xlfn.XLOOKUP(LEFT(SUBSTITUTE(G1765,"[{",""),FIND(",",SUBSTITUTE(G1765,"[{",""))-1),Sheet2!B:B,Sheet2!C:C)&amp;"+"&amp;1,_xlfn.XLOOKUP(LEFT(SUBSTITUTE(G1765,"[{",""),FIND(",",SUBSTITUTE(G1765,"[{",""))-1),Sheet2!B:B,Sheet2!C:C)&amp;"+"&amp;SUBSTITUTE(RIGHT(G1765,LEN(G1765)-FIND(",",G1765)),"}]","")/100&amp;"%")</f>
        <v>上阵五个不同职业增伤+8.6%</v>
      </c>
      <c r="L1765" s="83" t="str">
        <f ca="1">IF(MOD(COUNTIF($Q$11:Q1764,Q1764),5)=0,OFFSET(装备属性!$G$1083,1+INT(COUNTA($Q$11:Q1764)/5),0),L1764)</f>
        <v>全员出力Ⅴ</v>
      </c>
      <c r="M1765" s="89" t="str">
        <f ca="1">IF(MOD(COUNTIF($Q$11:Q1764,Q1764),5)=0,OFFSET(装备属性!$H$1083,1+INT(COUNTA($Q$11:Q1764)/5),0),M1764)</f>
        <v>all_class_dmg</v>
      </c>
      <c r="N1765" s="76">
        <f ca="1">IF(MOD(COUNTIF($Q$11:Q1764,Q1764),5)=0,OFFSET(装备属性!$K$1083,1+INT(COUNTA($Q$11:Q1764)/5),0),N1764)</f>
        <v>0.072</v>
      </c>
      <c r="O1765" s="76">
        <f ca="1">IF(MOD(COUNTIF($Q$11:Q1764,Q1764),5)=0,OFFSET(装备属性!$L$1083,1+INT(COUNTA($Q$11:Q1764)/5),0),O1764)</f>
        <v>0.086</v>
      </c>
      <c r="Q1765" s="89" t="str">
        <f ca="1">IF(MOD(COUNTIF($Q$11:Q1764,Q1764),5)=0,OFFSET(装备属性!$M$1083,1+INT(COUNTA($Q$11:Q1764)/5),0),Q1764)</f>
        <v>通用属性</v>
      </c>
      <c r="R1765" s="83">
        <f ca="1">IF(MOD(COUNTIF($Q$11:Q1764,Q1764),5)=0,10000*SUBSTITUTE(SUBSTITUTE(OFFSET(装备属性!$F$1083,1+INT(COUNTA($Q$11:Q1764)/5),0),"[",""),"]","")+_xlfn.XLOOKUP(C1765,$M$3:$M$7,$N$3:$N$7)*100,R1764)</f>
        <v>60800</v>
      </c>
    </row>
    <row r="1766" customHeight="1" spans="1:18">
      <c r="A1766" s="78">
        <f ca="1" t="shared" si="85"/>
        <v>60803</v>
      </c>
      <c r="B1766" s="82">
        <f ca="1">IFERROR(R1766+COUNTIFS($R$11:$R1766,R1766),"")</f>
        <v>60811</v>
      </c>
      <c r="C1766" s="83" t="str">
        <f ca="1">IF(MOD(COUNTIF($Q$11:Q1765,Q1765),5)=0,OFFSET(装备属性!$D$1083,1+INT(COUNTA($Q$11:Q1765)/5),0),C1765)</f>
        <v>彩</v>
      </c>
      <c r="D1766" s="82">
        <f t="shared" si="84"/>
        <v>3000</v>
      </c>
      <c r="F1766" s="82">
        <f ca="1" t="shared" si="86"/>
        <v>60802</v>
      </c>
      <c r="G1766" s="78" t="str">
        <f ca="1">IF(AND(LEFT("[{"&amp;M1766&amp;","&amp;CEILING(N1766*10000+(O1766-N1766)/4*(COUNTIF($F$11:F1766,F1766)-1)*10000,10)&amp;"}]",7)="[{equip",MID("[{"&amp;M1766&amp;","&amp;CEILING(N1766*10000+(O1766-N1766)/4*(COUNTIF($F$11:F1766,F1766)-1)*10000,10)&amp;"}]",8,1)&lt;&gt;"_"),"[{"&amp;M1766&amp;","&amp;1&amp;"}]","[{"&amp;M1766&amp;","&amp;CEILING(N1766*10000+(O1766-N1766)/4*(COUNTIF($F$11:F1766,F1766)-1)*10000,10)&amp;"}]")</f>
        <v>[{exp_boost,2000}]</v>
      </c>
      <c r="H1766" s="82" t="s">
        <v>563</v>
      </c>
      <c r="J1766" s="78">
        <f ca="1">IF(MOD(COUNTIF($Q$11:Q1765,Q1765),5)=0,OFFSET(装备属性!$P$1083,1+INT(COUNTA($Q$11:Q1765)/5),0),J1765)</f>
        <v>9</v>
      </c>
      <c r="K1766" s="83" t="str">
        <f ca="1">IF(RIGHT(G1766,13)="rune_slot,1}]",_xlfn.XLOOKUP(LEFT(SUBSTITUTE(G1766,"[{",""),FIND(",",SUBSTITUTE(G1766,"[{",""))-1),Sheet2!B:B,Sheet2!C:C)&amp;"+"&amp;1,_xlfn.XLOOKUP(LEFT(SUBSTITUTE(G1766,"[{",""),FIND(",",SUBSTITUTE(G1766,"[{",""))-1),Sheet2!B:B,Sheet2!C:C)&amp;"+"&amp;SUBSTITUTE(RIGHT(G1766,LEN(G1766)-FIND(",",G1766)),"}]","")/100&amp;"%")</f>
        <v>经验加成+20%</v>
      </c>
      <c r="L1766" s="83" t="str">
        <f ca="1">IF(MOD(COUNTIF($Q$11:Q1765,Q1765),5)=0,OFFSET(装备属性!$G$1083,1+INT(COUNTA($Q$11:Q1765)/5),0),L1765)</f>
        <v>涨见识</v>
      </c>
      <c r="M1766" s="89" t="str">
        <f ca="1">IF(MOD(COUNTIF($Q$11:Q1765,Q1765),5)=0,OFFSET(装备属性!$H$1083,1+INT(COUNTA($Q$11:Q1765)/5),0),M1765)</f>
        <v>exp_boost</v>
      </c>
      <c r="N1766" s="76">
        <f ca="1">IF(MOD(COUNTIF($Q$11:Q1765,Q1765),5)=0,OFFSET(装备属性!$K$1083,1+INT(COUNTA($Q$11:Q1765)/5),0),N1765)</f>
        <v>0.2</v>
      </c>
      <c r="O1766" s="76">
        <f ca="1">IF(MOD(COUNTIF($Q$11:Q1765,Q1765),5)=0,OFFSET(装备属性!$L$1083,1+INT(COUNTA($Q$11:Q1765)/5),0),O1765)</f>
        <v>0.2</v>
      </c>
      <c r="Q1766" s="89" t="str">
        <f ca="1">IF(MOD(COUNTIF($Q$11:Q1765,Q1765),5)=0,OFFSET(装备属性!$M$1083,1+INT(COUNTA($Q$11:Q1765)/5),0),Q1765)</f>
        <v>稀有词条</v>
      </c>
      <c r="R1766" s="83">
        <f ca="1">IF(MOD(COUNTIF($Q$11:Q1765,Q1765),5)=0,10000*SUBSTITUTE(SUBSTITUTE(OFFSET(装备属性!$F$1083,1+INT(COUNTA($Q$11:Q1765)/5),0),"[",""),"]","")+_xlfn.XLOOKUP(C1766,$M$3:$M$7,$N$3:$N$7)*100,R1765)</f>
        <v>60800</v>
      </c>
    </row>
    <row r="1767" customHeight="1" spans="1:18">
      <c r="A1767" s="78">
        <f ca="1" t="shared" si="85"/>
        <v>60803</v>
      </c>
      <c r="B1767" s="82">
        <f ca="1">IFERROR(R1767+COUNTIFS($R$11:$R1767,R1767),"")</f>
        <v>60812</v>
      </c>
      <c r="C1767" s="83" t="str">
        <f ca="1">IF(MOD(COUNTIF($Q$11:Q1766,Q1766),5)=0,OFFSET(装备属性!$D$1083,1+INT(COUNTA($Q$11:Q1766)/5),0),C1766)</f>
        <v>彩</v>
      </c>
      <c r="D1767" s="82">
        <f t="shared" si="84"/>
        <v>2500</v>
      </c>
      <c r="F1767" s="82">
        <f ca="1" t="shared" si="86"/>
        <v>60802</v>
      </c>
      <c r="G1767" s="78" t="str">
        <f ca="1">IF(AND(LEFT("[{"&amp;M1767&amp;","&amp;CEILING(N1767*10000+(O1767-N1767)/4*(COUNTIF($F$11:F1767,F1767)-1)*10000,10)&amp;"}]",7)="[{equip",MID("[{"&amp;M1767&amp;","&amp;CEILING(N1767*10000+(O1767-N1767)/4*(COUNTIF($F$11:F1767,F1767)-1)*10000,10)&amp;"}]",8,1)&lt;&gt;"_"),"[{"&amp;M1767&amp;","&amp;1&amp;"}]","[{"&amp;M1767&amp;","&amp;CEILING(N1767*10000+(O1767-N1767)/4*(COUNTIF($F$11:F1767,F1767)-1)*10000,10)&amp;"}]")</f>
        <v>[{exp_boost,2000}]</v>
      </c>
      <c r="H1767" s="82" t="s">
        <v>563</v>
      </c>
      <c r="J1767" s="78">
        <f ca="1">IF(MOD(COUNTIF($Q$11:Q1766,Q1766),5)=0,OFFSET(装备属性!$P$1083,1+INT(COUNTA($Q$11:Q1766)/5),0),J1766)</f>
        <v>9</v>
      </c>
      <c r="K1767" s="83" t="str">
        <f ca="1">IF(RIGHT(G1767,13)="rune_slot,1}]",_xlfn.XLOOKUP(LEFT(SUBSTITUTE(G1767,"[{",""),FIND(",",SUBSTITUTE(G1767,"[{",""))-1),Sheet2!B:B,Sheet2!C:C)&amp;"+"&amp;1,_xlfn.XLOOKUP(LEFT(SUBSTITUTE(G1767,"[{",""),FIND(",",SUBSTITUTE(G1767,"[{",""))-1),Sheet2!B:B,Sheet2!C:C)&amp;"+"&amp;SUBSTITUTE(RIGHT(G1767,LEN(G1767)-FIND(",",G1767)),"}]","")/100&amp;"%")</f>
        <v>经验加成+20%</v>
      </c>
      <c r="L1767" s="83" t="str">
        <f ca="1">IF(MOD(COUNTIF($Q$11:Q1766,Q1766),5)=0,OFFSET(装备属性!$G$1083,1+INT(COUNTA($Q$11:Q1766)/5),0),L1766)</f>
        <v>涨见识</v>
      </c>
      <c r="M1767" s="89" t="str">
        <f ca="1">IF(MOD(COUNTIF($Q$11:Q1766,Q1766),5)=0,OFFSET(装备属性!$H$1083,1+INT(COUNTA($Q$11:Q1766)/5),0),M1766)</f>
        <v>exp_boost</v>
      </c>
      <c r="N1767" s="76">
        <f ca="1">IF(MOD(COUNTIF($Q$11:Q1766,Q1766),5)=0,OFFSET(装备属性!$K$1083,1+INT(COUNTA($Q$11:Q1766)/5),0),N1766)</f>
        <v>0.2</v>
      </c>
      <c r="O1767" s="76">
        <f ca="1">IF(MOD(COUNTIF($Q$11:Q1766,Q1766),5)=0,OFFSET(装备属性!$L$1083,1+INT(COUNTA($Q$11:Q1766)/5),0),O1766)</f>
        <v>0.2</v>
      </c>
      <c r="Q1767" s="89" t="str">
        <f ca="1">IF(MOD(COUNTIF($Q$11:Q1766,Q1766),5)=0,OFFSET(装备属性!$M$1083,1+INT(COUNTA($Q$11:Q1766)/5),0),Q1766)</f>
        <v>稀有词条</v>
      </c>
      <c r="R1767" s="83">
        <f ca="1">IF(MOD(COUNTIF($Q$11:Q1766,Q1766),5)=0,10000*SUBSTITUTE(SUBSTITUTE(OFFSET(装备属性!$F$1083,1+INT(COUNTA($Q$11:Q1766)/5),0),"[",""),"]","")+_xlfn.XLOOKUP(C1767,$M$3:$M$7,$N$3:$N$7)*100,R1766)</f>
        <v>60800</v>
      </c>
    </row>
    <row r="1768" customHeight="1" spans="1:18">
      <c r="A1768" s="78">
        <f ca="1" t="shared" si="85"/>
        <v>60803</v>
      </c>
      <c r="B1768" s="82">
        <f ca="1">IFERROR(R1768+COUNTIFS($R$11:$R1768,R1768),"")</f>
        <v>60813</v>
      </c>
      <c r="C1768" s="83" t="str">
        <f ca="1">IF(MOD(COUNTIF($Q$11:Q1767,Q1767),5)=0,OFFSET(装备属性!$D$1083,1+INT(COUNTA($Q$11:Q1767)/5),0),C1767)</f>
        <v>彩</v>
      </c>
      <c r="D1768" s="82">
        <f t="shared" ref="D1768:D1790" si="87">D1763</f>
        <v>2000</v>
      </c>
      <c r="F1768" s="82">
        <f ca="1" t="shared" si="86"/>
        <v>60802</v>
      </c>
      <c r="G1768" s="78" t="str">
        <f ca="1">IF(AND(LEFT("[{"&amp;M1768&amp;","&amp;CEILING(N1768*10000+(O1768-N1768)/4*(COUNTIF($F$11:F1768,F1768)-1)*10000,10)&amp;"}]",7)="[{equip",MID("[{"&amp;M1768&amp;","&amp;CEILING(N1768*10000+(O1768-N1768)/4*(COUNTIF($F$11:F1768,F1768)-1)*10000,10)&amp;"}]",8,1)&lt;&gt;"_"),"[{"&amp;M1768&amp;","&amp;1&amp;"}]","[{"&amp;M1768&amp;","&amp;CEILING(N1768*10000+(O1768-N1768)/4*(COUNTIF($F$11:F1768,F1768)-1)*10000,10)&amp;"}]")</f>
        <v>[{exp_boost,2000}]</v>
      </c>
      <c r="H1768" s="82" t="s">
        <v>563</v>
      </c>
      <c r="J1768" s="78">
        <f ca="1">IF(MOD(COUNTIF($Q$11:Q1767,Q1767),5)=0,OFFSET(装备属性!$P$1083,1+INT(COUNTA($Q$11:Q1767)/5),0),J1767)</f>
        <v>9</v>
      </c>
      <c r="K1768" s="83" t="str">
        <f ca="1">IF(RIGHT(G1768,13)="rune_slot,1}]",_xlfn.XLOOKUP(LEFT(SUBSTITUTE(G1768,"[{",""),FIND(",",SUBSTITUTE(G1768,"[{",""))-1),Sheet2!B:B,Sheet2!C:C)&amp;"+"&amp;1,_xlfn.XLOOKUP(LEFT(SUBSTITUTE(G1768,"[{",""),FIND(",",SUBSTITUTE(G1768,"[{",""))-1),Sheet2!B:B,Sheet2!C:C)&amp;"+"&amp;SUBSTITUTE(RIGHT(G1768,LEN(G1768)-FIND(",",G1768)),"}]","")/100&amp;"%")</f>
        <v>经验加成+20%</v>
      </c>
      <c r="L1768" s="83" t="str">
        <f ca="1">IF(MOD(COUNTIF($Q$11:Q1767,Q1767),5)=0,OFFSET(装备属性!$G$1083,1+INT(COUNTA($Q$11:Q1767)/5),0),L1767)</f>
        <v>涨见识</v>
      </c>
      <c r="M1768" s="89" t="str">
        <f ca="1">IF(MOD(COUNTIF($Q$11:Q1767,Q1767),5)=0,OFFSET(装备属性!$H$1083,1+INT(COUNTA($Q$11:Q1767)/5),0),M1767)</f>
        <v>exp_boost</v>
      </c>
      <c r="N1768" s="76">
        <f ca="1">IF(MOD(COUNTIF($Q$11:Q1767,Q1767),5)=0,OFFSET(装备属性!$K$1083,1+INT(COUNTA($Q$11:Q1767)/5),0),N1767)</f>
        <v>0.2</v>
      </c>
      <c r="O1768" s="76">
        <f ca="1">IF(MOD(COUNTIF($Q$11:Q1767,Q1767),5)=0,OFFSET(装备属性!$L$1083,1+INT(COUNTA($Q$11:Q1767)/5),0),O1767)</f>
        <v>0.2</v>
      </c>
      <c r="Q1768" s="89" t="str">
        <f ca="1">IF(MOD(COUNTIF($Q$11:Q1767,Q1767),5)=0,OFFSET(装备属性!$M$1083,1+INT(COUNTA($Q$11:Q1767)/5),0),Q1767)</f>
        <v>稀有词条</v>
      </c>
      <c r="R1768" s="83">
        <f ca="1">IF(MOD(COUNTIF($Q$11:Q1767,Q1767),5)=0,10000*SUBSTITUTE(SUBSTITUTE(OFFSET(装备属性!$F$1083,1+INT(COUNTA($Q$11:Q1767)/5),0),"[",""),"]","")+_xlfn.XLOOKUP(C1768,$M$3:$M$7,$N$3:$N$7)*100,R1767)</f>
        <v>60800</v>
      </c>
    </row>
    <row r="1769" customHeight="1" spans="1:18">
      <c r="A1769" s="78">
        <f ca="1" t="shared" si="85"/>
        <v>60803</v>
      </c>
      <c r="B1769" s="82">
        <f ca="1">IFERROR(R1769+COUNTIFS($R$11:$R1769,R1769),"")</f>
        <v>60814</v>
      </c>
      <c r="C1769" s="83" t="str">
        <f ca="1">IF(MOD(COUNTIF($Q$11:Q1768,Q1768),5)=0,OFFSET(装备属性!$D$1083,1+INT(COUNTA($Q$11:Q1768)/5),0),C1768)</f>
        <v>彩</v>
      </c>
      <c r="D1769" s="82">
        <f t="shared" si="87"/>
        <v>1500</v>
      </c>
      <c r="F1769" s="82">
        <f ca="1" t="shared" si="86"/>
        <v>60802</v>
      </c>
      <c r="G1769" s="78" t="str">
        <f ca="1">IF(AND(LEFT("[{"&amp;M1769&amp;","&amp;CEILING(N1769*10000+(O1769-N1769)/4*(COUNTIF($F$11:F1769,F1769)-1)*10000,10)&amp;"}]",7)="[{equip",MID("[{"&amp;M1769&amp;","&amp;CEILING(N1769*10000+(O1769-N1769)/4*(COUNTIF($F$11:F1769,F1769)-1)*10000,10)&amp;"}]",8,1)&lt;&gt;"_"),"[{"&amp;M1769&amp;","&amp;1&amp;"}]","[{"&amp;M1769&amp;","&amp;CEILING(N1769*10000+(O1769-N1769)/4*(COUNTIF($F$11:F1769,F1769)-1)*10000,10)&amp;"}]")</f>
        <v>[{exp_boost,2000}]</v>
      </c>
      <c r="H1769" s="82" t="s">
        <v>563</v>
      </c>
      <c r="J1769" s="78">
        <f ca="1">IF(MOD(COUNTIF($Q$11:Q1768,Q1768),5)=0,OFFSET(装备属性!$P$1083,1+INT(COUNTA($Q$11:Q1768)/5),0),J1768)</f>
        <v>9</v>
      </c>
      <c r="K1769" s="83" t="str">
        <f ca="1">IF(RIGHT(G1769,13)="rune_slot,1}]",_xlfn.XLOOKUP(LEFT(SUBSTITUTE(G1769,"[{",""),FIND(",",SUBSTITUTE(G1769,"[{",""))-1),Sheet2!B:B,Sheet2!C:C)&amp;"+"&amp;1,_xlfn.XLOOKUP(LEFT(SUBSTITUTE(G1769,"[{",""),FIND(",",SUBSTITUTE(G1769,"[{",""))-1),Sheet2!B:B,Sheet2!C:C)&amp;"+"&amp;SUBSTITUTE(RIGHT(G1769,LEN(G1769)-FIND(",",G1769)),"}]","")/100&amp;"%")</f>
        <v>经验加成+20%</v>
      </c>
      <c r="L1769" s="83" t="str">
        <f ca="1">IF(MOD(COUNTIF($Q$11:Q1768,Q1768),5)=0,OFFSET(装备属性!$G$1083,1+INT(COUNTA($Q$11:Q1768)/5),0),L1768)</f>
        <v>涨见识</v>
      </c>
      <c r="M1769" s="89" t="str">
        <f ca="1">IF(MOD(COUNTIF($Q$11:Q1768,Q1768),5)=0,OFFSET(装备属性!$H$1083,1+INT(COUNTA($Q$11:Q1768)/5),0),M1768)</f>
        <v>exp_boost</v>
      </c>
      <c r="N1769" s="76">
        <f ca="1">IF(MOD(COUNTIF($Q$11:Q1768,Q1768),5)=0,OFFSET(装备属性!$K$1083,1+INT(COUNTA($Q$11:Q1768)/5),0),N1768)</f>
        <v>0.2</v>
      </c>
      <c r="O1769" s="76">
        <f ca="1">IF(MOD(COUNTIF($Q$11:Q1768,Q1768),5)=0,OFFSET(装备属性!$L$1083,1+INT(COUNTA($Q$11:Q1768)/5),0),O1768)</f>
        <v>0.2</v>
      </c>
      <c r="Q1769" s="89" t="str">
        <f ca="1">IF(MOD(COUNTIF($Q$11:Q1768,Q1768),5)=0,OFFSET(装备属性!$M$1083,1+INT(COUNTA($Q$11:Q1768)/5),0),Q1768)</f>
        <v>稀有词条</v>
      </c>
      <c r="R1769" s="83">
        <f ca="1">IF(MOD(COUNTIF($Q$11:Q1768,Q1768),5)=0,10000*SUBSTITUTE(SUBSTITUTE(OFFSET(装备属性!$F$1083,1+INT(COUNTA($Q$11:Q1768)/5),0),"[",""),"]","")+_xlfn.XLOOKUP(C1769,$M$3:$M$7,$N$3:$N$7)*100,R1768)</f>
        <v>60800</v>
      </c>
    </row>
    <row r="1770" customHeight="1" spans="1:18">
      <c r="A1770" s="78">
        <f ca="1" t="shared" si="85"/>
        <v>60803</v>
      </c>
      <c r="B1770" s="82">
        <f ca="1">IFERROR(R1770+COUNTIFS($R$11:$R1770,R1770),"")</f>
        <v>60815</v>
      </c>
      <c r="C1770" s="83" t="str">
        <f ca="1">IF(MOD(COUNTIF($Q$11:Q1769,Q1769),5)=0,OFFSET(装备属性!$D$1083,1+INT(COUNTA($Q$11:Q1769)/5),0),C1769)</f>
        <v>彩</v>
      </c>
      <c r="D1770" s="82">
        <f t="shared" si="87"/>
        <v>1000</v>
      </c>
      <c r="F1770" s="82">
        <f ca="1" t="shared" si="86"/>
        <v>60802</v>
      </c>
      <c r="G1770" s="78" t="str">
        <f ca="1">IF(AND(LEFT("[{"&amp;M1770&amp;","&amp;CEILING(N1770*10000+(O1770-N1770)/4*(COUNTIF($F$11:F1770,F1770)-1)*10000,10)&amp;"}]",7)="[{equip",MID("[{"&amp;M1770&amp;","&amp;CEILING(N1770*10000+(O1770-N1770)/4*(COUNTIF($F$11:F1770,F1770)-1)*10000,10)&amp;"}]",8,1)&lt;&gt;"_"),"[{"&amp;M1770&amp;","&amp;1&amp;"}]","[{"&amp;M1770&amp;","&amp;CEILING(N1770*10000+(O1770-N1770)/4*(COUNTIF($F$11:F1770,F1770)-1)*10000,10)&amp;"}]")</f>
        <v>[{exp_boost,2000}]</v>
      </c>
      <c r="H1770" s="82" t="s">
        <v>563</v>
      </c>
      <c r="J1770" s="78">
        <f ca="1">IF(MOD(COUNTIF($Q$11:Q1769,Q1769),5)=0,OFFSET(装备属性!$P$1083,1+INT(COUNTA($Q$11:Q1769)/5),0),J1769)</f>
        <v>9</v>
      </c>
      <c r="K1770" s="83" t="str">
        <f ca="1">IF(RIGHT(G1770,13)="rune_slot,1}]",_xlfn.XLOOKUP(LEFT(SUBSTITUTE(G1770,"[{",""),FIND(",",SUBSTITUTE(G1770,"[{",""))-1),Sheet2!B:B,Sheet2!C:C)&amp;"+"&amp;1,_xlfn.XLOOKUP(LEFT(SUBSTITUTE(G1770,"[{",""),FIND(",",SUBSTITUTE(G1770,"[{",""))-1),Sheet2!B:B,Sheet2!C:C)&amp;"+"&amp;SUBSTITUTE(RIGHT(G1770,LEN(G1770)-FIND(",",G1770)),"}]","")/100&amp;"%")</f>
        <v>经验加成+20%</v>
      </c>
      <c r="L1770" s="83" t="str">
        <f ca="1">IF(MOD(COUNTIF($Q$11:Q1769,Q1769),5)=0,OFFSET(装备属性!$G$1083,1+INT(COUNTA($Q$11:Q1769)/5),0),L1769)</f>
        <v>涨见识</v>
      </c>
      <c r="M1770" s="89" t="str">
        <f ca="1">IF(MOD(COUNTIF($Q$11:Q1769,Q1769),5)=0,OFFSET(装备属性!$H$1083,1+INT(COUNTA($Q$11:Q1769)/5),0),M1769)</f>
        <v>exp_boost</v>
      </c>
      <c r="N1770" s="76">
        <f ca="1">IF(MOD(COUNTIF($Q$11:Q1769,Q1769),5)=0,OFFSET(装备属性!$K$1083,1+INT(COUNTA($Q$11:Q1769)/5),0),N1769)</f>
        <v>0.2</v>
      </c>
      <c r="O1770" s="76">
        <f ca="1">IF(MOD(COUNTIF($Q$11:Q1769,Q1769),5)=0,OFFSET(装备属性!$L$1083,1+INT(COUNTA($Q$11:Q1769)/5),0),O1769)</f>
        <v>0.2</v>
      </c>
      <c r="Q1770" s="89" t="str">
        <f ca="1">IF(MOD(COUNTIF($Q$11:Q1769,Q1769),5)=0,OFFSET(装备属性!$M$1083,1+INT(COUNTA($Q$11:Q1769)/5),0),Q1769)</f>
        <v>稀有词条</v>
      </c>
      <c r="R1770" s="83">
        <f ca="1">IF(MOD(COUNTIF($Q$11:Q1769,Q1769),5)=0,10000*SUBSTITUTE(SUBSTITUTE(OFFSET(装备属性!$F$1083,1+INT(COUNTA($Q$11:Q1769)/5),0),"[",""),"]","")+_xlfn.XLOOKUP(C1770,$M$3:$M$7,$N$3:$N$7)*100,R1769)</f>
        <v>60800</v>
      </c>
    </row>
    <row r="1771" customHeight="1" spans="1:18">
      <c r="A1771" s="78">
        <f ca="1" t="shared" si="85"/>
        <v>60803</v>
      </c>
      <c r="B1771" s="82">
        <f ca="1">IFERROR(R1771+COUNTIFS($R$11:$R1771,R1771),"")</f>
        <v>60816</v>
      </c>
      <c r="C1771" s="83" t="str">
        <f ca="1">IF(MOD(COUNTIF($Q$11:Q1770,Q1770),5)=0,OFFSET(装备属性!$D$1083,1+INT(COUNTA($Q$11:Q1770)/5),0),C1770)</f>
        <v>彩</v>
      </c>
      <c r="D1771" s="82">
        <f t="shared" si="87"/>
        <v>3000</v>
      </c>
      <c r="F1771" s="82">
        <f ca="1" t="shared" si="86"/>
        <v>60803</v>
      </c>
      <c r="G1771" s="78" t="str">
        <f ca="1">IF(AND(LEFT("[{"&amp;M1771&amp;","&amp;CEILING(N1771*10000+(O1771-N1771)/4*(COUNTIF($F$11:F1771,F1771)-1)*10000,10)&amp;"}]",7)="[{equip",MID("[{"&amp;M1771&amp;","&amp;CEILING(N1771*10000+(O1771-N1771)/4*(COUNTIF($F$11:F1771,F1771)-1)*10000,10)&amp;"}]",8,1)&lt;&gt;"_"),"[{"&amp;M1771&amp;","&amp;1&amp;"}]","[{"&amp;M1771&amp;","&amp;CEILING(N1771*10000+(O1771-N1771)/4*(COUNTIF($F$11:F1771,F1771)-1)*10000,10)&amp;"}]")</f>
        <v>[{equip_base_attr,2500}]</v>
      </c>
      <c r="H1771" s="82" t="s">
        <v>563</v>
      </c>
      <c r="J1771" s="78">
        <f ca="1">IF(MOD(COUNTIF($Q$11:Q1770,Q1770),5)=0,OFFSET(装备属性!$P$1083,1+INT(COUNTA($Q$11:Q1770)/5),0),J1770)</f>
        <v>7</v>
      </c>
      <c r="K1771" s="83" t="str">
        <f ca="1">IF(RIGHT(G1771,13)="rune_slot,1}]",_xlfn.XLOOKUP(LEFT(SUBSTITUTE(G1771,"[{",""),FIND(",",SUBSTITUTE(G1771,"[{",""))-1),Sheet2!B:B,Sheet2!C:C)&amp;"+"&amp;1,_xlfn.XLOOKUP(LEFT(SUBSTITUTE(G1771,"[{",""),FIND(",",SUBSTITUTE(G1771,"[{",""))-1),Sheet2!B:B,Sheet2!C:C)&amp;"+"&amp;SUBSTITUTE(RIGHT(G1771,LEN(G1771)-FIND(",",G1771)),"}]","")/100&amp;"%")</f>
        <v>装备基础属性加成+25%</v>
      </c>
      <c r="L1771" s="83" t="str">
        <f ca="1">IF(MOD(COUNTIF($Q$11:Q1770,Q1770),5)=0,OFFSET(装备属性!$G$1083,1+INT(COUNTA($Q$11:Q1770)/5),0),L1770)</f>
        <v>厚底子</v>
      </c>
      <c r="M1771" s="89" t="str">
        <f ca="1">IF(MOD(COUNTIF($Q$11:Q1770,Q1770),5)=0,OFFSET(装备属性!$H$1083,1+INT(COUNTA($Q$11:Q1770)/5),0),M1770)</f>
        <v>equip_base_attr</v>
      </c>
      <c r="N1771" s="76">
        <f ca="1">IF(MOD(COUNTIF($Q$11:Q1770,Q1770),5)=0,OFFSET(装备属性!$K$1083,1+INT(COUNTA($Q$11:Q1770)/5),0),N1770)</f>
        <v>0.25</v>
      </c>
      <c r="O1771" s="76">
        <f ca="1">IF(MOD(COUNTIF($Q$11:Q1770,Q1770),5)=0,OFFSET(装备属性!$L$1083,1+INT(COUNTA($Q$11:Q1770)/5),0),O1770)</f>
        <v>0.25</v>
      </c>
      <c r="Q1771" s="89" t="str">
        <f ca="1">IF(MOD(COUNTIF($Q$11:Q1770,Q1770),5)=0,OFFSET(装备属性!$M$1083,1+INT(COUNTA($Q$11:Q1770)/5),0),Q1770)</f>
        <v>稀有词条</v>
      </c>
      <c r="R1771" s="83">
        <f ca="1">IF(MOD(COUNTIF($Q$11:Q1770,Q1770),5)=0,10000*SUBSTITUTE(SUBSTITUTE(OFFSET(装备属性!$F$1083,1+INT(COUNTA($Q$11:Q1770)/5),0),"[",""),"]","")+_xlfn.XLOOKUP(C1771,$M$3:$M$7,$N$3:$N$7)*100,R1770)</f>
        <v>60800</v>
      </c>
    </row>
    <row r="1772" customHeight="1" spans="1:18">
      <c r="A1772" s="78">
        <f ca="1" t="shared" si="85"/>
        <v>60803</v>
      </c>
      <c r="B1772" s="82">
        <f ca="1">IFERROR(R1772+COUNTIFS($R$11:$R1772,R1772),"")</f>
        <v>60817</v>
      </c>
      <c r="C1772" s="83" t="str">
        <f ca="1">IF(MOD(COUNTIF($Q$11:Q1771,Q1771),5)=0,OFFSET(装备属性!$D$1083,1+INT(COUNTA($Q$11:Q1771)/5),0),C1771)</f>
        <v>彩</v>
      </c>
      <c r="D1772" s="82">
        <f t="shared" si="87"/>
        <v>2500</v>
      </c>
      <c r="F1772" s="82">
        <f ca="1" t="shared" si="86"/>
        <v>60803</v>
      </c>
      <c r="G1772" s="78" t="str">
        <f ca="1">IF(AND(LEFT("[{"&amp;M1772&amp;","&amp;CEILING(N1772*10000+(O1772-N1772)/4*(COUNTIF($F$11:F1772,F1772)-1)*10000,10)&amp;"}]",7)="[{equip",MID("[{"&amp;M1772&amp;","&amp;CEILING(N1772*10000+(O1772-N1772)/4*(COUNTIF($F$11:F1772,F1772)-1)*10000,10)&amp;"}]",8,1)&lt;&gt;"_"),"[{"&amp;M1772&amp;","&amp;1&amp;"}]","[{"&amp;M1772&amp;","&amp;CEILING(N1772*10000+(O1772-N1772)/4*(COUNTIF($F$11:F1772,F1772)-1)*10000,10)&amp;"}]")</f>
        <v>[{equip_base_attr,2500}]</v>
      </c>
      <c r="H1772" s="82" t="s">
        <v>563</v>
      </c>
      <c r="J1772" s="78">
        <f ca="1">IF(MOD(COUNTIF($Q$11:Q1771,Q1771),5)=0,OFFSET(装备属性!$P$1083,1+INT(COUNTA($Q$11:Q1771)/5),0),J1771)</f>
        <v>7</v>
      </c>
      <c r="K1772" s="83" t="str">
        <f ca="1">IF(RIGHT(G1772,13)="rune_slot,1}]",_xlfn.XLOOKUP(LEFT(SUBSTITUTE(G1772,"[{",""),FIND(",",SUBSTITUTE(G1772,"[{",""))-1),Sheet2!B:B,Sheet2!C:C)&amp;"+"&amp;1,_xlfn.XLOOKUP(LEFT(SUBSTITUTE(G1772,"[{",""),FIND(",",SUBSTITUTE(G1772,"[{",""))-1),Sheet2!B:B,Sheet2!C:C)&amp;"+"&amp;SUBSTITUTE(RIGHT(G1772,LEN(G1772)-FIND(",",G1772)),"}]","")/100&amp;"%")</f>
        <v>装备基础属性加成+25%</v>
      </c>
      <c r="L1772" s="83" t="str">
        <f ca="1">IF(MOD(COUNTIF($Q$11:Q1771,Q1771),5)=0,OFFSET(装备属性!$G$1083,1+INT(COUNTA($Q$11:Q1771)/5),0),L1771)</f>
        <v>厚底子</v>
      </c>
      <c r="M1772" s="89" t="str">
        <f ca="1">IF(MOD(COUNTIF($Q$11:Q1771,Q1771),5)=0,OFFSET(装备属性!$H$1083,1+INT(COUNTA($Q$11:Q1771)/5),0),M1771)</f>
        <v>equip_base_attr</v>
      </c>
      <c r="N1772" s="76">
        <f ca="1">IF(MOD(COUNTIF($Q$11:Q1771,Q1771),5)=0,OFFSET(装备属性!$K$1083,1+INT(COUNTA($Q$11:Q1771)/5),0),N1771)</f>
        <v>0.25</v>
      </c>
      <c r="O1772" s="76">
        <f ca="1">IF(MOD(COUNTIF($Q$11:Q1771,Q1771),5)=0,OFFSET(装备属性!$L$1083,1+INT(COUNTA($Q$11:Q1771)/5),0),O1771)</f>
        <v>0.25</v>
      </c>
      <c r="Q1772" s="89" t="str">
        <f ca="1">IF(MOD(COUNTIF($Q$11:Q1771,Q1771),5)=0,OFFSET(装备属性!$M$1083,1+INT(COUNTA($Q$11:Q1771)/5),0),Q1771)</f>
        <v>稀有词条</v>
      </c>
      <c r="R1772" s="83">
        <f ca="1">IF(MOD(COUNTIF($Q$11:Q1771,Q1771),5)=0,10000*SUBSTITUTE(SUBSTITUTE(OFFSET(装备属性!$F$1083,1+INT(COUNTA($Q$11:Q1771)/5),0),"[",""),"]","")+_xlfn.XLOOKUP(C1772,$M$3:$M$7,$N$3:$N$7)*100,R1771)</f>
        <v>60800</v>
      </c>
    </row>
    <row r="1773" customHeight="1" spans="1:18">
      <c r="A1773" s="78">
        <f ca="1" t="shared" si="85"/>
        <v>60803</v>
      </c>
      <c r="B1773" s="82">
        <f ca="1">IFERROR(R1773+COUNTIFS($R$11:$R1773,R1773),"")</f>
        <v>60818</v>
      </c>
      <c r="C1773" s="83" t="str">
        <f ca="1">IF(MOD(COUNTIF($Q$11:Q1772,Q1772),5)=0,OFFSET(装备属性!$D$1083,1+INT(COUNTA($Q$11:Q1772)/5),0),C1772)</f>
        <v>彩</v>
      </c>
      <c r="D1773" s="82">
        <f t="shared" si="87"/>
        <v>2000</v>
      </c>
      <c r="F1773" s="82">
        <f ca="1" t="shared" si="86"/>
        <v>60803</v>
      </c>
      <c r="G1773" s="78" t="str">
        <f ca="1">IF(AND(LEFT("[{"&amp;M1773&amp;","&amp;CEILING(N1773*10000+(O1773-N1773)/4*(COUNTIF($F$11:F1773,F1773)-1)*10000,10)&amp;"}]",7)="[{equip",MID("[{"&amp;M1773&amp;","&amp;CEILING(N1773*10000+(O1773-N1773)/4*(COUNTIF($F$11:F1773,F1773)-1)*10000,10)&amp;"}]",8,1)&lt;&gt;"_"),"[{"&amp;M1773&amp;","&amp;1&amp;"}]","[{"&amp;M1773&amp;","&amp;CEILING(N1773*10000+(O1773-N1773)/4*(COUNTIF($F$11:F1773,F1773)-1)*10000,10)&amp;"}]")</f>
        <v>[{equip_base_attr,2500}]</v>
      </c>
      <c r="H1773" s="82" t="s">
        <v>563</v>
      </c>
      <c r="J1773" s="78">
        <f ca="1">IF(MOD(COUNTIF($Q$11:Q1772,Q1772),5)=0,OFFSET(装备属性!$P$1083,1+INT(COUNTA($Q$11:Q1772)/5),0),J1772)</f>
        <v>7</v>
      </c>
      <c r="K1773" s="83" t="str">
        <f ca="1">IF(RIGHT(G1773,13)="rune_slot,1}]",_xlfn.XLOOKUP(LEFT(SUBSTITUTE(G1773,"[{",""),FIND(",",SUBSTITUTE(G1773,"[{",""))-1),Sheet2!B:B,Sheet2!C:C)&amp;"+"&amp;1,_xlfn.XLOOKUP(LEFT(SUBSTITUTE(G1773,"[{",""),FIND(",",SUBSTITUTE(G1773,"[{",""))-1),Sheet2!B:B,Sheet2!C:C)&amp;"+"&amp;SUBSTITUTE(RIGHT(G1773,LEN(G1773)-FIND(",",G1773)),"}]","")/100&amp;"%")</f>
        <v>装备基础属性加成+25%</v>
      </c>
      <c r="L1773" s="83" t="str">
        <f ca="1">IF(MOD(COUNTIF($Q$11:Q1772,Q1772),5)=0,OFFSET(装备属性!$G$1083,1+INT(COUNTA($Q$11:Q1772)/5),0),L1772)</f>
        <v>厚底子</v>
      </c>
      <c r="M1773" s="89" t="str">
        <f ca="1">IF(MOD(COUNTIF($Q$11:Q1772,Q1772),5)=0,OFFSET(装备属性!$H$1083,1+INT(COUNTA($Q$11:Q1772)/5),0),M1772)</f>
        <v>equip_base_attr</v>
      </c>
      <c r="N1773" s="76">
        <f ca="1">IF(MOD(COUNTIF($Q$11:Q1772,Q1772),5)=0,OFFSET(装备属性!$K$1083,1+INT(COUNTA($Q$11:Q1772)/5),0),N1772)</f>
        <v>0.25</v>
      </c>
      <c r="O1773" s="76">
        <f ca="1">IF(MOD(COUNTIF($Q$11:Q1772,Q1772),5)=0,OFFSET(装备属性!$L$1083,1+INT(COUNTA($Q$11:Q1772)/5),0),O1772)</f>
        <v>0.25</v>
      </c>
      <c r="Q1773" s="89" t="str">
        <f ca="1">IF(MOD(COUNTIF($Q$11:Q1772,Q1772),5)=0,OFFSET(装备属性!$M$1083,1+INT(COUNTA($Q$11:Q1772)/5),0),Q1772)</f>
        <v>稀有词条</v>
      </c>
      <c r="R1773" s="83">
        <f ca="1">IF(MOD(COUNTIF($Q$11:Q1772,Q1772),5)=0,10000*SUBSTITUTE(SUBSTITUTE(OFFSET(装备属性!$F$1083,1+INT(COUNTA($Q$11:Q1772)/5),0),"[",""),"]","")+_xlfn.XLOOKUP(C1773,$M$3:$M$7,$N$3:$N$7)*100,R1772)</f>
        <v>60800</v>
      </c>
    </row>
    <row r="1774" customHeight="1" spans="1:18">
      <c r="A1774" s="78">
        <f ca="1" t="shared" si="85"/>
        <v>60803</v>
      </c>
      <c r="B1774" s="82">
        <f ca="1">IFERROR(R1774+COUNTIFS($R$11:$R1774,R1774),"")</f>
        <v>60819</v>
      </c>
      <c r="C1774" s="83" t="str">
        <f ca="1">IF(MOD(COUNTIF($Q$11:Q1773,Q1773),5)=0,OFFSET(装备属性!$D$1083,1+INT(COUNTA($Q$11:Q1773)/5),0),C1773)</f>
        <v>彩</v>
      </c>
      <c r="D1774" s="82">
        <f t="shared" si="87"/>
        <v>1500</v>
      </c>
      <c r="F1774" s="82">
        <f ca="1" t="shared" si="86"/>
        <v>60803</v>
      </c>
      <c r="G1774" s="78" t="str">
        <f ca="1">IF(AND(LEFT("[{"&amp;M1774&amp;","&amp;CEILING(N1774*10000+(O1774-N1774)/4*(COUNTIF($F$11:F1774,F1774)-1)*10000,10)&amp;"}]",7)="[{equip",MID("[{"&amp;M1774&amp;","&amp;CEILING(N1774*10000+(O1774-N1774)/4*(COUNTIF($F$11:F1774,F1774)-1)*10000,10)&amp;"}]",8,1)&lt;&gt;"_"),"[{"&amp;M1774&amp;","&amp;1&amp;"}]","[{"&amp;M1774&amp;","&amp;CEILING(N1774*10000+(O1774-N1774)/4*(COUNTIF($F$11:F1774,F1774)-1)*10000,10)&amp;"}]")</f>
        <v>[{equip_base_attr,2500}]</v>
      </c>
      <c r="H1774" s="82" t="s">
        <v>563</v>
      </c>
      <c r="J1774" s="78">
        <f ca="1">IF(MOD(COUNTIF($Q$11:Q1773,Q1773),5)=0,OFFSET(装备属性!$P$1083,1+INT(COUNTA($Q$11:Q1773)/5),0),J1773)</f>
        <v>7</v>
      </c>
      <c r="K1774" s="83" t="str">
        <f ca="1">IF(RIGHT(G1774,13)="rune_slot,1}]",_xlfn.XLOOKUP(LEFT(SUBSTITUTE(G1774,"[{",""),FIND(",",SUBSTITUTE(G1774,"[{",""))-1),Sheet2!B:B,Sheet2!C:C)&amp;"+"&amp;1,_xlfn.XLOOKUP(LEFT(SUBSTITUTE(G1774,"[{",""),FIND(",",SUBSTITUTE(G1774,"[{",""))-1),Sheet2!B:B,Sheet2!C:C)&amp;"+"&amp;SUBSTITUTE(RIGHT(G1774,LEN(G1774)-FIND(",",G1774)),"}]","")/100&amp;"%")</f>
        <v>装备基础属性加成+25%</v>
      </c>
      <c r="L1774" s="83" t="str">
        <f ca="1">IF(MOD(COUNTIF($Q$11:Q1773,Q1773),5)=0,OFFSET(装备属性!$G$1083,1+INT(COUNTA($Q$11:Q1773)/5),0),L1773)</f>
        <v>厚底子</v>
      </c>
      <c r="M1774" s="89" t="str">
        <f ca="1">IF(MOD(COUNTIF($Q$11:Q1773,Q1773),5)=0,OFFSET(装备属性!$H$1083,1+INT(COUNTA($Q$11:Q1773)/5),0),M1773)</f>
        <v>equip_base_attr</v>
      </c>
      <c r="N1774" s="76">
        <f ca="1">IF(MOD(COUNTIF($Q$11:Q1773,Q1773),5)=0,OFFSET(装备属性!$K$1083,1+INT(COUNTA($Q$11:Q1773)/5),0),N1773)</f>
        <v>0.25</v>
      </c>
      <c r="O1774" s="76">
        <f ca="1">IF(MOD(COUNTIF($Q$11:Q1773,Q1773),5)=0,OFFSET(装备属性!$L$1083,1+INT(COUNTA($Q$11:Q1773)/5),0),O1773)</f>
        <v>0.25</v>
      </c>
      <c r="Q1774" s="89" t="str">
        <f ca="1">IF(MOD(COUNTIF($Q$11:Q1773,Q1773),5)=0,OFFSET(装备属性!$M$1083,1+INT(COUNTA($Q$11:Q1773)/5),0),Q1773)</f>
        <v>稀有词条</v>
      </c>
      <c r="R1774" s="83">
        <f ca="1">IF(MOD(COUNTIF($Q$11:Q1773,Q1773),5)=0,10000*SUBSTITUTE(SUBSTITUTE(OFFSET(装备属性!$F$1083,1+INT(COUNTA($Q$11:Q1773)/5),0),"[",""),"]","")+_xlfn.XLOOKUP(C1774,$M$3:$M$7,$N$3:$N$7)*100,R1773)</f>
        <v>60800</v>
      </c>
    </row>
    <row r="1775" customHeight="1" spans="1:18">
      <c r="A1775" s="78">
        <f ca="1" t="shared" si="85"/>
        <v>60803</v>
      </c>
      <c r="B1775" s="82">
        <f ca="1">IFERROR(R1775+COUNTIFS($R$11:$R1775,R1775),"")</f>
        <v>60820</v>
      </c>
      <c r="C1775" s="83" t="str">
        <f ca="1">IF(MOD(COUNTIF($Q$11:Q1774,Q1774),5)=0,OFFSET(装备属性!$D$1083,1+INT(COUNTA($Q$11:Q1774)/5),0),C1774)</f>
        <v>彩</v>
      </c>
      <c r="D1775" s="82">
        <f t="shared" si="87"/>
        <v>1000</v>
      </c>
      <c r="F1775" s="82">
        <f ca="1" t="shared" si="86"/>
        <v>60803</v>
      </c>
      <c r="G1775" s="78" t="str">
        <f ca="1">IF(AND(LEFT("[{"&amp;M1775&amp;","&amp;CEILING(N1775*10000+(O1775-N1775)/4*(COUNTIF($F$11:F1775,F1775)-1)*10000,10)&amp;"}]",7)="[{equip",MID("[{"&amp;M1775&amp;","&amp;CEILING(N1775*10000+(O1775-N1775)/4*(COUNTIF($F$11:F1775,F1775)-1)*10000,10)&amp;"}]",8,1)&lt;&gt;"_"),"[{"&amp;M1775&amp;","&amp;1&amp;"}]","[{"&amp;M1775&amp;","&amp;CEILING(N1775*10000+(O1775-N1775)/4*(COUNTIF($F$11:F1775,F1775)-1)*10000,10)&amp;"}]")</f>
        <v>[{equip_base_attr,2500}]</v>
      </c>
      <c r="H1775" s="82" t="s">
        <v>563</v>
      </c>
      <c r="J1775" s="78">
        <f ca="1">IF(MOD(COUNTIF($Q$11:Q1774,Q1774),5)=0,OFFSET(装备属性!$P$1083,1+INT(COUNTA($Q$11:Q1774)/5),0),J1774)</f>
        <v>7</v>
      </c>
      <c r="K1775" s="83" t="str">
        <f ca="1">IF(RIGHT(G1775,13)="rune_slot,1}]",_xlfn.XLOOKUP(LEFT(SUBSTITUTE(G1775,"[{",""),FIND(",",SUBSTITUTE(G1775,"[{",""))-1),Sheet2!B:B,Sheet2!C:C)&amp;"+"&amp;1,_xlfn.XLOOKUP(LEFT(SUBSTITUTE(G1775,"[{",""),FIND(",",SUBSTITUTE(G1775,"[{",""))-1),Sheet2!B:B,Sheet2!C:C)&amp;"+"&amp;SUBSTITUTE(RIGHT(G1775,LEN(G1775)-FIND(",",G1775)),"}]","")/100&amp;"%")</f>
        <v>装备基础属性加成+25%</v>
      </c>
      <c r="L1775" s="83" t="str">
        <f ca="1">IF(MOD(COUNTIF($Q$11:Q1774,Q1774),5)=0,OFFSET(装备属性!$G$1083,1+INT(COUNTA($Q$11:Q1774)/5),0),L1774)</f>
        <v>厚底子</v>
      </c>
      <c r="M1775" s="89" t="str">
        <f ca="1">IF(MOD(COUNTIF($Q$11:Q1774,Q1774),5)=0,OFFSET(装备属性!$H$1083,1+INT(COUNTA($Q$11:Q1774)/5),0),M1774)</f>
        <v>equip_base_attr</v>
      </c>
      <c r="N1775" s="76">
        <f ca="1">IF(MOD(COUNTIF($Q$11:Q1774,Q1774),5)=0,OFFSET(装备属性!$K$1083,1+INT(COUNTA($Q$11:Q1774)/5),0),N1774)</f>
        <v>0.25</v>
      </c>
      <c r="O1775" s="76">
        <f ca="1">IF(MOD(COUNTIF($Q$11:Q1774,Q1774),5)=0,OFFSET(装备属性!$L$1083,1+INT(COUNTA($Q$11:Q1774)/5),0),O1774)</f>
        <v>0.25</v>
      </c>
      <c r="Q1775" s="89" t="str">
        <f ca="1">IF(MOD(COUNTIF($Q$11:Q1774,Q1774),5)=0,OFFSET(装备属性!$M$1083,1+INT(COUNTA($Q$11:Q1774)/5),0),Q1774)</f>
        <v>稀有词条</v>
      </c>
      <c r="R1775" s="83">
        <f ca="1">IF(MOD(COUNTIF($Q$11:Q1774,Q1774),5)=0,10000*SUBSTITUTE(SUBSTITUTE(OFFSET(装备属性!$F$1083,1+INT(COUNTA($Q$11:Q1774)/5),0),"[",""),"]","")+_xlfn.XLOOKUP(C1775,$M$3:$M$7,$N$3:$N$7)*100,R1774)</f>
        <v>60800</v>
      </c>
    </row>
    <row r="1776" customHeight="1" spans="1:18">
      <c r="A1776" s="78">
        <f ca="1" t="shared" si="85"/>
        <v>60803</v>
      </c>
      <c r="B1776" s="82">
        <f ca="1">IFERROR(R1776+COUNTIFS($R$11:$R1776,R1776),"")</f>
        <v>60821</v>
      </c>
      <c r="C1776" s="83" t="str">
        <f ca="1">IF(MOD(COUNTIF($Q$11:Q1775,Q1775),5)=0,OFFSET(装备属性!$D$1083,1+INT(COUNTA($Q$11:Q1775)/5),0),C1775)</f>
        <v>彩</v>
      </c>
      <c r="D1776" s="82">
        <f t="shared" si="87"/>
        <v>3000</v>
      </c>
      <c r="F1776" s="82">
        <f ca="1" t="shared" si="86"/>
        <v>60804</v>
      </c>
      <c r="G1776" s="78" t="str">
        <f ca="1">IF(AND(LEFT("[{"&amp;M1776&amp;","&amp;CEILING(N1776*10000+(O1776-N1776)/4*(COUNTIF($F$11:F1776,F1776)-1)*10000,10)&amp;"}]",7)="[{equip",MID("[{"&amp;M1776&amp;","&amp;CEILING(N1776*10000+(O1776-N1776)/4*(COUNTIF($F$11:F1776,F1776)-1)*10000,10)&amp;"}]",8,1)&lt;&gt;"_"),"[{"&amp;M1776&amp;","&amp;1&amp;"}]","[{"&amp;M1776&amp;","&amp;CEILING(N1776*10000+(O1776-N1776)/4*(COUNTIF($F$11:F1776,F1776)-1)*10000,10)&amp;"}]")</f>
        <v>[{equip_extra_attr,5000}]</v>
      </c>
      <c r="H1776" s="82" t="s">
        <v>563</v>
      </c>
      <c r="J1776" s="78">
        <f ca="1">IF(MOD(COUNTIF($Q$11:Q1775,Q1775),5)=0,OFFSET(装备属性!$P$1083,1+INT(COUNTA($Q$11:Q1775)/5),0),J1775)</f>
        <v>8</v>
      </c>
      <c r="K1776" s="83" t="str">
        <f ca="1">IF(RIGHT(G1776,13)="rune_slot,1}]",_xlfn.XLOOKUP(LEFT(SUBSTITUTE(G1776,"[{",""),FIND(",",SUBSTITUTE(G1776,"[{",""))-1),Sheet2!B:B,Sheet2!C:C)&amp;"+"&amp;1,_xlfn.XLOOKUP(LEFT(SUBSTITUTE(G1776,"[{",""),FIND(",",SUBSTITUTE(G1776,"[{",""))-1),Sheet2!B:B,Sheet2!C:C)&amp;"+"&amp;SUBSTITUTE(RIGHT(G1776,LEN(G1776)-FIND(",",G1776)),"}]","")/100&amp;"%")</f>
        <v>装备附加属性加成+50%</v>
      </c>
      <c r="L1776" s="83" t="str">
        <f ca="1">IF(MOD(COUNTIF($Q$11:Q1775,Q1775),5)=0,OFFSET(装备属性!$G$1083,1+INT(COUNTA($Q$11:Q1775)/5),0),L1775)</f>
        <v>提成色</v>
      </c>
      <c r="M1776" s="89" t="str">
        <f ca="1">IF(MOD(COUNTIF($Q$11:Q1775,Q1775),5)=0,OFFSET(装备属性!$H$1083,1+INT(COUNTA($Q$11:Q1775)/5),0),M1775)</f>
        <v>equip_extra_attr</v>
      </c>
      <c r="N1776" s="76">
        <f ca="1">IF(MOD(COUNTIF($Q$11:Q1775,Q1775),5)=0,OFFSET(装备属性!$K$1083,1+INT(COUNTA($Q$11:Q1775)/5),0),N1775)</f>
        <v>0.5</v>
      </c>
      <c r="O1776" s="76">
        <f ca="1">IF(MOD(COUNTIF($Q$11:Q1775,Q1775),5)=0,OFFSET(装备属性!$L$1083,1+INT(COUNTA($Q$11:Q1775)/5),0),O1775)</f>
        <v>0.5</v>
      </c>
      <c r="Q1776" s="89" t="str">
        <f ca="1">IF(MOD(COUNTIF($Q$11:Q1775,Q1775),5)=0,OFFSET(装备属性!$M$1083,1+INT(COUNTA($Q$11:Q1775)/5),0),Q1775)</f>
        <v>稀有词条</v>
      </c>
      <c r="R1776" s="83">
        <f ca="1">IF(MOD(COUNTIF($Q$11:Q1775,Q1775),5)=0,10000*SUBSTITUTE(SUBSTITUTE(OFFSET(装备属性!$F$1083,1+INT(COUNTA($Q$11:Q1775)/5),0),"[",""),"]","")+_xlfn.XLOOKUP(C1776,$M$3:$M$7,$N$3:$N$7)*100,R1775)</f>
        <v>60800</v>
      </c>
    </row>
    <row r="1777" customHeight="1" spans="1:18">
      <c r="A1777" s="78">
        <f ca="1" t="shared" si="85"/>
        <v>60803</v>
      </c>
      <c r="B1777" s="82">
        <f ca="1">IFERROR(R1777+COUNTIFS($R$11:$R1777,R1777),"")</f>
        <v>60822</v>
      </c>
      <c r="C1777" s="83" t="str">
        <f ca="1">IF(MOD(COUNTIF($Q$11:Q1776,Q1776),5)=0,OFFSET(装备属性!$D$1083,1+INT(COUNTA($Q$11:Q1776)/5),0),C1776)</f>
        <v>彩</v>
      </c>
      <c r="D1777" s="82">
        <f t="shared" si="87"/>
        <v>2500</v>
      </c>
      <c r="F1777" s="82">
        <f ca="1" t="shared" si="86"/>
        <v>60804</v>
      </c>
      <c r="G1777" s="78" t="str">
        <f ca="1">IF(AND(LEFT("[{"&amp;M1777&amp;","&amp;CEILING(N1777*10000+(O1777-N1777)/4*(COUNTIF($F$11:F1777,F1777)-1)*10000,10)&amp;"}]",7)="[{equip",MID("[{"&amp;M1777&amp;","&amp;CEILING(N1777*10000+(O1777-N1777)/4*(COUNTIF($F$11:F1777,F1777)-1)*10000,10)&amp;"}]",8,1)&lt;&gt;"_"),"[{"&amp;M1777&amp;","&amp;1&amp;"}]","[{"&amp;M1777&amp;","&amp;CEILING(N1777*10000+(O1777-N1777)/4*(COUNTIF($F$11:F1777,F1777)-1)*10000,10)&amp;"}]")</f>
        <v>[{equip_extra_attr,5000}]</v>
      </c>
      <c r="H1777" s="82" t="s">
        <v>563</v>
      </c>
      <c r="J1777" s="78">
        <f ca="1">IF(MOD(COUNTIF($Q$11:Q1776,Q1776),5)=0,OFFSET(装备属性!$P$1083,1+INT(COUNTA($Q$11:Q1776)/5),0),J1776)</f>
        <v>8</v>
      </c>
      <c r="K1777" s="83" t="str">
        <f ca="1">IF(RIGHT(G1777,13)="rune_slot,1}]",_xlfn.XLOOKUP(LEFT(SUBSTITUTE(G1777,"[{",""),FIND(",",SUBSTITUTE(G1777,"[{",""))-1),Sheet2!B:B,Sheet2!C:C)&amp;"+"&amp;1,_xlfn.XLOOKUP(LEFT(SUBSTITUTE(G1777,"[{",""),FIND(",",SUBSTITUTE(G1777,"[{",""))-1),Sheet2!B:B,Sheet2!C:C)&amp;"+"&amp;SUBSTITUTE(RIGHT(G1777,LEN(G1777)-FIND(",",G1777)),"}]","")/100&amp;"%")</f>
        <v>装备附加属性加成+50%</v>
      </c>
      <c r="L1777" s="83" t="str">
        <f ca="1">IF(MOD(COUNTIF($Q$11:Q1776,Q1776),5)=0,OFFSET(装备属性!$G$1083,1+INT(COUNTA($Q$11:Q1776)/5),0),L1776)</f>
        <v>提成色</v>
      </c>
      <c r="M1777" s="89" t="str">
        <f ca="1">IF(MOD(COUNTIF($Q$11:Q1776,Q1776),5)=0,OFFSET(装备属性!$H$1083,1+INT(COUNTA($Q$11:Q1776)/5),0),M1776)</f>
        <v>equip_extra_attr</v>
      </c>
      <c r="N1777" s="76">
        <f ca="1">IF(MOD(COUNTIF($Q$11:Q1776,Q1776),5)=0,OFFSET(装备属性!$K$1083,1+INT(COUNTA($Q$11:Q1776)/5),0),N1776)</f>
        <v>0.5</v>
      </c>
      <c r="O1777" s="76">
        <f ca="1">IF(MOD(COUNTIF($Q$11:Q1776,Q1776),5)=0,OFFSET(装备属性!$L$1083,1+INT(COUNTA($Q$11:Q1776)/5),0),O1776)</f>
        <v>0.5</v>
      </c>
      <c r="Q1777" s="89" t="str">
        <f ca="1">IF(MOD(COUNTIF($Q$11:Q1776,Q1776),5)=0,OFFSET(装备属性!$M$1083,1+INT(COUNTA($Q$11:Q1776)/5),0),Q1776)</f>
        <v>稀有词条</v>
      </c>
      <c r="R1777" s="83">
        <f ca="1">IF(MOD(COUNTIF($Q$11:Q1776,Q1776),5)=0,10000*SUBSTITUTE(SUBSTITUTE(OFFSET(装备属性!$F$1083,1+INT(COUNTA($Q$11:Q1776)/5),0),"[",""),"]","")+_xlfn.XLOOKUP(C1777,$M$3:$M$7,$N$3:$N$7)*100,R1776)</f>
        <v>60800</v>
      </c>
    </row>
    <row r="1778" customHeight="1" spans="1:18">
      <c r="A1778" s="78">
        <f ca="1" t="shared" si="85"/>
        <v>60803</v>
      </c>
      <c r="B1778" s="82">
        <f ca="1">IFERROR(R1778+COUNTIFS($R$11:$R1778,R1778),"")</f>
        <v>60823</v>
      </c>
      <c r="C1778" s="83" t="str">
        <f ca="1">IF(MOD(COUNTIF($Q$11:Q1777,Q1777),5)=0,OFFSET(装备属性!$D$1083,1+INT(COUNTA($Q$11:Q1777)/5),0),C1777)</f>
        <v>彩</v>
      </c>
      <c r="D1778" s="82">
        <f t="shared" si="87"/>
        <v>2000</v>
      </c>
      <c r="F1778" s="82">
        <f ca="1" t="shared" si="86"/>
        <v>60804</v>
      </c>
      <c r="G1778" s="78" t="str">
        <f ca="1">IF(AND(LEFT("[{"&amp;M1778&amp;","&amp;CEILING(N1778*10000+(O1778-N1778)/4*(COUNTIF($F$11:F1778,F1778)-1)*10000,10)&amp;"}]",7)="[{equip",MID("[{"&amp;M1778&amp;","&amp;CEILING(N1778*10000+(O1778-N1778)/4*(COUNTIF($F$11:F1778,F1778)-1)*10000,10)&amp;"}]",8,1)&lt;&gt;"_"),"[{"&amp;M1778&amp;","&amp;1&amp;"}]","[{"&amp;M1778&amp;","&amp;CEILING(N1778*10000+(O1778-N1778)/4*(COUNTIF($F$11:F1778,F1778)-1)*10000,10)&amp;"}]")</f>
        <v>[{equip_extra_attr,5000}]</v>
      </c>
      <c r="H1778" s="82" t="s">
        <v>563</v>
      </c>
      <c r="J1778" s="78">
        <f ca="1">IF(MOD(COUNTIF($Q$11:Q1777,Q1777),5)=0,OFFSET(装备属性!$P$1083,1+INT(COUNTA($Q$11:Q1777)/5),0),J1777)</f>
        <v>8</v>
      </c>
      <c r="K1778" s="83" t="str">
        <f ca="1">IF(RIGHT(G1778,13)="rune_slot,1}]",_xlfn.XLOOKUP(LEFT(SUBSTITUTE(G1778,"[{",""),FIND(",",SUBSTITUTE(G1778,"[{",""))-1),Sheet2!B:B,Sheet2!C:C)&amp;"+"&amp;1,_xlfn.XLOOKUP(LEFT(SUBSTITUTE(G1778,"[{",""),FIND(",",SUBSTITUTE(G1778,"[{",""))-1),Sheet2!B:B,Sheet2!C:C)&amp;"+"&amp;SUBSTITUTE(RIGHT(G1778,LEN(G1778)-FIND(",",G1778)),"}]","")/100&amp;"%")</f>
        <v>装备附加属性加成+50%</v>
      </c>
      <c r="L1778" s="83" t="str">
        <f ca="1">IF(MOD(COUNTIF($Q$11:Q1777,Q1777),5)=0,OFFSET(装备属性!$G$1083,1+INT(COUNTA($Q$11:Q1777)/5),0),L1777)</f>
        <v>提成色</v>
      </c>
      <c r="M1778" s="89" t="str">
        <f ca="1">IF(MOD(COUNTIF($Q$11:Q1777,Q1777),5)=0,OFFSET(装备属性!$H$1083,1+INT(COUNTA($Q$11:Q1777)/5),0),M1777)</f>
        <v>equip_extra_attr</v>
      </c>
      <c r="N1778" s="76">
        <f ca="1">IF(MOD(COUNTIF($Q$11:Q1777,Q1777),5)=0,OFFSET(装备属性!$K$1083,1+INT(COUNTA($Q$11:Q1777)/5),0),N1777)</f>
        <v>0.5</v>
      </c>
      <c r="O1778" s="76">
        <f ca="1">IF(MOD(COUNTIF($Q$11:Q1777,Q1777),5)=0,OFFSET(装备属性!$L$1083,1+INT(COUNTA($Q$11:Q1777)/5),0),O1777)</f>
        <v>0.5</v>
      </c>
      <c r="Q1778" s="89" t="str">
        <f ca="1">IF(MOD(COUNTIF($Q$11:Q1777,Q1777),5)=0,OFFSET(装备属性!$M$1083,1+INT(COUNTA($Q$11:Q1777)/5),0),Q1777)</f>
        <v>稀有词条</v>
      </c>
      <c r="R1778" s="83">
        <f ca="1">IF(MOD(COUNTIF($Q$11:Q1777,Q1777),5)=0,10000*SUBSTITUTE(SUBSTITUTE(OFFSET(装备属性!$F$1083,1+INT(COUNTA($Q$11:Q1777)/5),0),"[",""),"]","")+_xlfn.XLOOKUP(C1778,$M$3:$M$7,$N$3:$N$7)*100,R1777)</f>
        <v>60800</v>
      </c>
    </row>
    <row r="1779" customHeight="1" spans="1:18">
      <c r="A1779" s="78">
        <f ca="1" t="shared" si="85"/>
        <v>60803</v>
      </c>
      <c r="B1779" s="82">
        <f ca="1">IFERROR(R1779+COUNTIFS($R$11:$R1779,R1779),"")</f>
        <v>60824</v>
      </c>
      <c r="C1779" s="83" t="str">
        <f ca="1">IF(MOD(COUNTIF($Q$11:Q1778,Q1778),5)=0,OFFSET(装备属性!$D$1083,1+INT(COUNTA($Q$11:Q1778)/5),0),C1778)</f>
        <v>彩</v>
      </c>
      <c r="D1779" s="82">
        <f t="shared" si="87"/>
        <v>1500</v>
      </c>
      <c r="F1779" s="82">
        <f ca="1" t="shared" si="86"/>
        <v>60804</v>
      </c>
      <c r="G1779" s="78" t="str">
        <f ca="1">IF(AND(LEFT("[{"&amp;M1779&amp;","&amp;CEILING(N1779*10000+(O1779-N1779)/4*(COUNTIF($F$11:F1779,F1779)-1)*10000,10)&amp;"}]",7)="[{equip",MID("[{"&amp;M1779&amp;","&amp;CEILING(N1779*10000+(O1779-N1779)/4*(COUNTIF($F$11:F1779,F1779)-1)*10000,10)&amp;"}]",8,1)&lt;&gt;"_"),"[{"&amp;M1779&amp;","&amp;1&amp;"}]","[{"&amp;M1779&amp;","&amp;CEILING(N1779*10000+(O1779-N1779)/4*(COUNTIF($F$11:F1779,F1779)-1)*10000,10)&amp;"}]")</f>
        <v>[{equip_extra_attr,5000}]</v>
      </c>
      <c r="H1779" s="82" t="s">
        <v>563</v>
      </c>
      <c r="J1779" s="78">
        <f ca="1">IF(MOD(COUNTIF($Q$11:Q1778,Q1778),5)=0,OFFSET(装备属性!$P$1083,1+INT(COUNTA($Q$11:Q1778)/5),0),J1778)</f>
        <v>8</v>
      </c>
      <c r="K1779" s="83" t="str">
        <f ca="1">IF(RIGHT(G1779,13)="rune_slot,1}]",_xlfn.XLOOKUP(LEFT(SUBSTITUTE(G1779,"[{",""),FIND(",",SUBSTITUTE(G1779,"[{",""))-1),Sheet2!B:B,Sheet2!C:C)&amp;"+"&amp;1,_xlfn.XLOOKUP(LEFT(SUBSTITUTE(G1779,"[{",""),FIND(",",SUBSTITUTE(G1779,"[{",""))-1),Sheet2!B:B,Sheet2!C:C)&amp;"+"&amp;SUBSTITUTE(RIGHT(G1779,LEN(G1779)-FIND(",",G1779)),"}]","")/100&amp;"%")</f>
        <v>装备附加属性加成+50%</v>
      </c>
      <c r="L1779" s="83" t="str">
        <f ca="1">IF(MOD(COUNTIF($Q$11:Q1778,Q1778),5)=0,OFFSET(装备属性!$G$1083,1+INT(COUNTA($Q$11:Q1778)/5),0),L1778)</f>
        <v>提成色</v>
      </c>
      <c r="M1779" s="89" t="str">
        <f ca="1">IF(MOD(COUNTIF($Q$11:Q1778,Q1778),5)=0,OFFSET(装备属性!$H$1083,1+INT(COUNTA($Q$11:Q1778)/5),0),M1778)</f>
        <v>equip_extra_attr</v>
      </c>
      <c r="N1779" s="76">
        <f ca="1">IF(MOD(COUNTIF($Q$11:Q1778,Q1778),5)=0,OFFSET(装备属性!$K$1083,1+INT(COUNTA($Q$11:Q1778)/5),0),N1778)</f>
        <v>0.5</v>
      </c>
      <c r="O1779" s="76">
        <f ca="1">IF(MOD(COUNTIF($Q$11:Q1778,Q1778),5)=0,OFFSET(装备属性!$L$1083,1+INT(COUNTA($Q$11:Q1778)/5),0),O1778)</f>
        <v>0.5</v>
      </c>
      <c r="Q1779" s="89" t="str">
        <f ca="1">IF(MOD(COUNTIF($Q$11:Q1778,Q1778),5)=0,OFFSET(装备属性!$M$1083,1+INT(COUNTA($Q$11:Q1778)/5),0),Q1778)</f>
        <v>稀有词条</v>
      </c>
      <c r="R1779" s="83">
        <f ca="1">IF(MOD(COUNTIF($Q$11:Q1778,Q1778),5)=0,10000*SUBSTITUTE(SUBSTITUTE(OFFSET(装备属性!$F$1083,1+INT(COUNTA($Q$11:Q1778)/5),0),"[",""),"]","")+_xlfn.XLOOKUP(C1779,$M$3:$M$7,$N$3:$N$7)*100,R1778)</f>
        <v>60800</v>
      </c>
    </row>
    <row r="1780" customHeight="1" spans="1:18">
      <c r="A1780" s="78">
        <f ca="1" t="shared" si="85"/>
        <v>60803</v>
      </c>
      <c r="B1780" s="82">
        <f ca="1">IFERROR(R1780+COUNTIFS($R$11:$R1780,R1780),"")</f>
        <v>60825</v>
      </c>
      <c r="C1780" s="83" t="str">
        <f ca="1">IF(MOD(COUNTIF($Q$11:Q1779,Q1779),5)=0,OFFSET(装备属性!$D$1083,1+INT(COUNTA($Q$11:Q1779)/5),0),C1779)</f>
        <v>彩</v>
      </c>
      <c r="D1780" s="82">
        <f t="shared" si="87"/>
        <v>1000</v>
      </c>
      <c r="F1780" s="82">
        <f ca="1" t="shared" si="86"/>
        <v>60804</v>
      </c>
      <c r="G1780" s="78" t="str">
        <f ca="1">IF(AND(LEFT("[{"&amp;M1780&amp;","&amp;CEILING(N1780*10000+(O1780-N1780)/4*(COUNTIF($F$11:F1780,F1780)-1)*10000,10)&amp;"}]",7)="[{equip",MID("[{"&amp;M1780&amp;","&amp;CEILING(N1780*10000+(O1780-N1780)/4*(COUNTIF($F$11:F1780,F1780)-1)*10000,10)&amp;"}]",8,1)&lt;&gt;"_"),"[{"&amp;M1780&amp;","&amp;1&amp;"}]","[{"&amp;M1780&amp;","&amp;CEILING(N1780*10000+(O1780-N1780)/4*(COUNTIF($F$11:F1780,F1780)-1)*10000,10)&amp;"}]")</f>
        <v>[{equip_extra_attr,5000}]</v>
      </c>
      <c r="H1780" s="82" t="s">
        <v>563</v>
      </c>
      <c r="J1780" s="78">
        <f ca="1">IF(MOD(COUNTIF($Q$11:Q1779,Q1779),5)=0,OFFSET(装备属性!$P$1083,1+INT(COUNTA($Q$11:Q1779)/5),0),J1779)</f>
        <v>8</v>
      </c>
      <c r="K1780" s="83" t="str">
        <f ca="1">IF(RIGHT(G1780,13)="rune_slot,1}]",_xlfn.XLOOKUP(LEFT(SUBSTITUTE(G1780,"[{",""),FIND(",",SUBSTITUTE(G1780,"[{",""))-1),Sheet2!B:B,Sheet2!C:C)&amp;"+"&amp;1,_xlfn.XLOOKUP(LEFT(SUBSTITUTE(G1780,"[{",""),FIND(",",SUBSTITUTE(G1780,"[{",""))-1),Sheet2!B:B,Sheet2!C:C)&amp;"+"&amp;SUBSTITUTE(RIGHT(G1780,LEN(G1780)-FIND(",",G1780)),"}]","")/100&amp;"%")</f>
        <v>装备附加属性加成+50%</v>
      </c>
      <c r="L1780" s="83" t="str">
        <f ca="1">IF(MOD(COUNTIF($Q$11:Q1779,Q1779),5)=0,OFFSET(装备属性!$G$1083,1+INT(COUNTA($Q$11:Q1779)/5),0),L1779)</f>
        <v>提成色</v>
      </c>
      <c r="M1780" s="89" t="str">
        <f ca="1">IF(MOD(COUNTIF($Q$11:Q1779,Q1779),5)=0,OFFSET(装备属性!$H$1083,1+INT(COUNTA($Q$11:Q1779)/5),0),M1779)</f>
        <v>equip_extra_attr</v>
      </c>
      <c r="N1780" s="76">
        <f ca="1">IF(MOD(COUNTIF($Q$11:Q1779,Q1779),5)=0,OFFSET(装备属性!$K$1083,1+INT(COUNTA($Q$11:Q1779)/5),0),N1779)</f>
        <v>0.5</v>
      </c>
      <c r="O1780" s="76">
        <f ca="1">IF(MOD(COUNTIF($Q$11:Q1779,Q1779),5)=0,OFFSET(装备属性!$L$1083,1+INT(COUNTA($Q$11:Q1779)/5),0),O1779)</f>
        <v>0.5</v>
      </c>
      <c r="Q1780" s="89" t="str">
        <f ca="1">IF(MOD(COUNTIF($Q$11:Q1779,Q1779),5)=0,OFFSET(装备属性!$M$1083,1+INT(COUNTA($Q$11:Q1779)/5),0),Q1779)</f>
        <v>稀有词条</v>
      </c>
      <c r="R1780" s="83">
        <f ca="1">IF(MOD(COUNTIF($Q$11:Q1779,Q1779),5)=0,10000*SUBSTITUTE(SUBSTITUTE(OFFSET(装备属性!$F$1083,1+INT(COUNTA($Q$11:Q1779)/5),0),"[",""),"]","")+_xlfn.XLOOKUP(C1780,$M$3:$M$7,$N$3:$N$7)*100,R1779)</f>
        <v>60800</v>
      </c>
    </row>
    <row r="1781" customHeight="1" spans="1:18">
      <c r="A1781" s="78" t="str">
        <f ca="1" t="shared" si="85"/>
        <v/>
      </c>
      <c r="B1781" s="82" t="str">
        <f ca="1">IFERROR(R1781+COUNTIFS($R$11:$R1781,R1781),"")</f>
        <v/>
      </c>
      <c r="C1781" s="83">
        <f ca="1">IF(MOD(COUNTIF($Q$11:Q1780,Q1780),5)=0,OFFSET(装备属性!$D$1083,1+INT(COUNTA($Q$11:Q1780)/5),0),C1780)</f>
        <v>0</v>
      </c>
      <c r="D1781" s="82">
        <f t="shared" si="87"/>
        <v>3000</v>
      </c>
      <c r="F1781" s="82" t="str">
        <f ca="1" t="shared" si="86"/>
        <v/>
      </c>
      <c r="G1781" s="78" t="str">
        <f ca="1">IF(AND(LEFT("[{"&amp;M1781&amp;","&amp;CEILING(N1781*10000+(O1781-N1781)/4*(COUNTIF($F$11:F1781,F1781)-1)*10000,10)&amp;"}]",7)="[{equip",MID("[{"&amp;M1781&amp;","&amp;CEILING(N1781*10000+(O1781-N1781)/4*(COUNTIF($F$11:F1781,F1781)-1)*10000,10)&amp;"}]",8,1)&lt;&gt;"_"),"[{"&amp;M1781&amp;","&amp;1&amp;"}]","[{"&amp;M1781&amp;","&amp;CEILING(N1781*10000+(O1781-N1781)/4*(COUNTIF($F$11:F1781,F1781)-1)*10000,10)&amp;"}]")</f>
        <v>[{equip4_rune_slot,1}]</v>
      </c>
      <c r="H1781" s="82" t="s">
        <v>563</v>
      </c>
      <c r="J1781" s="78">
        <f ca="1">IF(MOD(COUNTIF($Q$11:Q1780,Q1780),5)=0,OFFSET(装备属性!$P$1083,1+INT(COUNTA($Q$11:Q1780)/5),0),J1780)</f>
        <v>1</v>
      </c>
      <c r="K1781" s="83" t="str">
        <f ca="1">IF(RIGHT(G1781,13)="rune_slot,1}]",_xlfn.XLOOKUP(LEFT(SUBSTITUTE(G1781,"[{",""),FIND(",",SUBSTITUTE(G1781,"[{",""))-1),Sheet2!B:B,Sheet2!C:C)&amp;"+"&amp;1,_xlfn.XLOOKUP(LEFT(SUBSTITUTE(G1781,"[{",""),FIND(",",SUBSTITUTE(G1781,"[{",""))-1),Sheet2!B:B,Sheet2!C:C)&amp;"+"&amp;SUBSTITUTE(RIGHT(G1781,LEN(G1781)-FIND(",",G1781)),"}]","")/100&amp;"%")</f>
        <v>手套符文孔位+1</v>
      </c>
      <c r="L1781" s="83" t="str">
        <f ca="1">IF(MOD(COUNTIF($Q$11:Q1780,Q1780),5)=0,OFFSET(装备属性!$G$1083,1+INT(COUNTA($Q$11:Q1780)/5),0),L1780)</f>
        <v>扩符槽</v>
      </c>
      <c r="M1781" s="89" t="str">
        <f ca="1">IF(MOD(COUNTIF($Q$11:Q1780,Q1780),5)=0,OFFSET(装备属性!$H$1083,1+INT(COUNTA($Q$11:Q1780)/5),0),M1780)</f>
        <v>equip4_rune_slot</v>
      </c>
      <c r="N1781" s="76">
        <f ca="1">IF(MOD(COUNTIF($Q$11:Q1780,Q1780),5)=0,OFFSET(装备属性!$K$1083,1+INT(COUNTA($Q$11:Q1780)/5),0),N1780)</f>
        <v>1</v>
      </c>
      <c r="O1781" s="76">
        <f ca="1">IF(MOD(COUNTIF($Q$11:Q1780,Q1780),5)=0,OFFSET(装备属性!$L$1083,1+INT(COUNTA($Q$11:Q1780)/5),0),O1780)</f>
        <v>1</v>
      </c>
      <c r="Q1781" s="89" t="str">
        <f ca="1">IF(MOD(COUNTIF($Q$11:Q1780,Q1780),5)=0,OFFSET(装备属性!$M$1083,1+INT(COUNTA($Q$11:Q1780)/5),0),Q1780)</f>
        <v>稀有词条</v>
      </c>
      <c r="R1781" s="83" t="e">
        <f ca="1">IF(MOD(COUNTIF($Q$11:Q1780,Q1780),5)=0,10000*SUBSTITUTE(SUBSTITUTE(OFFSET(装备属性!$F$1083,1+INT(COUNTA($Q$11:Q1780)/5),0),"[",""),"]","")+_xlfn.XLOOKUP(C1781,$M$3:$M$7,$N$3:$N$7)*100,R1780)</f>
        <v>#N/A</v>
      </c>
    </row>
    <row r="1782" customHeight="1" spans="1:18">
      <c r="A1782" s="78" t="str">
        <f ca="1" t="shared" si="85"/>
        <v/>
      </c>
      <c r="B1782" s="82" t="str">
        <f ca="1">IFERROR(R1782+COUNTIFS($R$11:$R1782,R1782),"")</f>
        <v/>
      </c>
      <c r="C1782" s="83">
        <f ca="1">IF(MOD(COUNTIF($Q$11:Q1781,Q1781),5)=0,OFFSET(装备属性!$D$1083,1+INT(COUNTA($Q$11:Q1781)/5),0),C1781)</f>
        <v>0</v>
      </c>
      <c r="D1782" s="82">
        <f t="shared" si="87"/>
        <v>2500</v>
      </c>
      <c r="F1782" s="82" t="str">
        <f ca="1" t="shared" si="86"/>
        <v/>
      </c>
      <c r="G1782" s="78" t="str">
        <f ca="1">IF(AND(LEFT("[{"&amp;M1782&amp;","&amp;CEILING(N1782*10000+(O1782-N1782)/4*(COUNTIF($F$11:F1782,F1782)-1)*10000,10)&amp;"}]",7)="[{equip",MID("[{"&amp;M1782&amp;","&amp;CEILING(N1782*10000+(O1782-N1782)/4*(COUNTIF($F$11:F1782,F1782)-1)*10000,10)&amp;"}]",8,1)&lt;&gt;"_"),"[{"&amp;M1782&amp;","&amp;1&amp;"}]","[{"&amp;M1782&amp;","&amp;CEILING(N1782*10000+(O1782-N1782)/4*(COUNTIF($F$11:F1782,F1782)-1)*10000,10)&amp;"}]")</f>
        <v>[{equip4_rune_slot,1}]</v>
      </c>
      <c r="H1782" s="82" t="s">
        <v>563</v>
      </c>
      <c r="J1782" s="78">
        <f ca="1">IF(MOD(COUNTIF($Q$11:Q1781,Q1781),5)=0,OFFSET(装备属性!$P$1083,1+INT(COUNTA($Q$11:Q1781)/5),0),J1781)</f>
        <v>1</v>
      </c>
      <c r="K1782" s="83" t="str">
        <f ca="1">IF(RIGHT(G1782,13)="rune_slot,1}]",_xlfn.XLOOKUP(LEFT(SUBSTITUTE(G1782,"[{",""),FIND(",",SUBSTITUTE(G1782,"[{",""))-1),Sheet2!B:B,Sheet2!C:C)&amp;"+"&amp;1,_xlfn.XLOOKUP(LEFT(SUBSTITUTE(G1782,"[{",""),FIND(",",SUBSTITUTE(G1782,"[{",""))-1),Sheet2!B:B,Sheet2!C:C)&amp;"+"&amp;SUBSTITUTE(RIGHT(G1782,LEN(G1782)-FIND(",",G1782)),"}]","")/100&amp;"%")</f>
        <v>手套符文孔位+1</v>
      </c>
      <c r="L1782" s="83" t="str">
        <f ca="1">IF(MOD(COUNTIF($Q$11:Q1781,Q1781),5)=0,OFFSET(装备属性!$G$1083,1+INT(COUNTA($Q$11:Q1781)/5),0),L1781)</f>
        <v>扩符槽</v>
      </c>
      <c r="M1782" s="89" t="str">
        <f ca="1">IF(MOD(COUNTIF($Q$11:Q1781,Q1781),5)=0,OFFSET(装备属性!$H$1083,1+INT(COUNTA($Q$11:Q1781)/5),0),M1781)</f>
        <v>equip4_rune_slot</v>
      </c>
      <c r="N1782" s="76">
        <f ca="1">IF(MOD(COUNTIF($Q$11:Q1781,Q1781),5)=0,OFFSET(装备属性!$K$1083,1+INT(COUNTA($Q$11:Q1781)/5),0),N1781)</f>
        <v>1</v>
      </c>
      <c r="O1782" s="76">
        <f ca="1">IF(MOD(COUNTIF($Q$11:Q1781,Q1781),5)=0,OFFSET(装备属性!$L$1083,1+INT(COUNTA($Q$11:Q1781)/5),0),O1781)</f>
        <v>1</v>
      </c>
      <c r="Q1782" s="89" t="str">
        <f ca="1">IF(MOD(COUNTIF($Q$11:Q1781,Q1781),5)=0,OFFSET(装备属性!$M$1083,1+INT(COUNTA($Q$11:Q1781)/5),0),Q1781)</f>
        <v>稀有词条</v>
      </c>
      <c r="R1782" s="83" t="e">
        <f ca="1">IF(MOD(COUNTIF($Q$11:Q1781,Q1781),5)=0,10000*SUBSTITUTE(SUBSTITUTE(OFFSET(装备属性!$F$1083,1+INT(COUNTA($Q$11:Q1781)/5),0),"[",""),"]","")+_xlfn.XLOOKUP(C1782,$M$3:$M$7,$N$3:$N$7)*100,R1781)</f>
        <v>#N/A</v>
      </c>
    </row>
    <row r="1783" customHeight="1" spans="1:18">
      <c r="A1783" s="78" t="str">
        <f ca="1" t="shared" si="85"/>
        <v/>
      </c>
      <c r="B1783" s="82" t="str">
        <f ca="1">IFERROR(R1783+COUNTIFS($R$11:$R1783,R1783),"")</f>
        <v/>
      </c>
      <c r="C1783" s="83">
        <f ca="1">IF(MOD(COUNTIF($Q$11:Q1782,Q1782),5)=0,OFFSET(装备属性!$D$1083,1+INT(COUNTA($Q$11:Q1782)/5),0),C1782)</f>
        <v>0</v>
      </c>
      <c r="D1783" s="82">
        <f t="shared" si="87"/>
        <v>2000</v>
      </c>
      <c r="F1783" s="82" t="str">
        <f ca="1" t="shared" si="86"/>
        <v/>
      </c>
      <c r="G1783" s="78" t="str">
        <f ca="1">IF(AND(LEFT("[{"&amp;M1783&amp;","&amp;CEILING(N1783*10000+(O1783-N1783)/4*(COUNTIF($F$11:F1783,F1783)-1)*10000,10)&amp;"}]",7)="[{equip",MID("[{"&amp;M1783&amp;","&amp;CEILING(N1783*10000+(O1783-N1783)/4*(COUNTIF($F$11:F1783,F1783)-1)*10000,10)&amp;"}]",8,1)&lt;&gt;"_"),"[{"&amp;M1783&amp;","&amp;1&amp;"}]","[{"&amp;M1783&amp;","&amp;CEILING(N1783*10000+(O1783-N1783)/4*(COUNTIF($F$11:F1783,F1783)-1)*10000,10)&amp;"}]")</f>
        <v>[{equip4_rune_slot,1}]</v>
      </c>
      <c r="H1783" s="82" t="s">
        <v>563</v>
      </c>
      <c r="J1783" s="78">
        <f ca="1">IF(MOD(COUNTIF($Q$11:Q1782,Q1782),5)=0,OFFSET(装备属性!$P$1083,1+INT(COUNTA($Q$11:Q1782)/5),0),J1782)</f>
        <v>1</v>
      </c>
      <c r="K1783" s="83" t="str">
        <f ca="1">IF(RIGHT(G1783,13)="rune_slot,1}]",_xlfn.XLOOKUP(LEFT(SUBSTITUTE(G1783,"[{",""),FIND(",",SUBSTITUTE(G1783,"[{",""))-1),Sheet2!B:B,Sheet2!C:C)&amp;"+"&amp;1,_xlfn.XLOOKUP(LEFT(SUBSTITUTE(G1783,"[{",""),FIND(",",SUBSTITUTE(G1783,"[{",""))-1),Sheet2!B:B,Sheet2!C:C)&amp;"+"&amp;SUBSTITUTE(RIGHT(G1783,LEN(G1783)-FIND(",",G1783)),"}]","")/100&amp;"%")</f>
        <v>手套符文孔位+1</v>
      </c>
      <c r="L1783" s="83" t="str">
        <f ca="1">IF(MOD(COUNTIF($Q$11:Q1782,Q1782),5)=0,OFFSET(装备属性!$G$1083,1+INT(COUNTA($Q$11:Q1782)/5),0),L1782)</f>
        <v>扩符槽</v>
      </c>
      <c r="M1783" s="89" t="str">
        <f ca="1">IF(MOD(COUNTIF($Q$11:Q1782,Q1782),5)=0,OFFSET(装备属性!$H$1083,1+INT(COUNTA($Q$11:Q1782)/5),0),M1782)</f>
        <v>equip4_rune_slot</v>
      </c>
      <c r="N1783" s="76">
        <f ca="1">IF(MOD(COUNTIF($Q$11:Q1782,Q1782),5)=0,OFFSET(装备属性!$K$1083,1+INT(COUNTA($Q$11:Q1782)/5),0),N1782)</f>
        <v>1</v>
      </c>
      <c r="O1783" s="76">
        <f ca="1">IF(MOD(COUNTIF($Q$11:Q1782,Q1782),5)=0,OFFSET(装备属性!$L$1083,1+INT(COUNTA($Q$11:Q1782)/5),0),O1782)</f>
        <v>1</v>
      </c>
      <c r="Q1783" s="89" t="str">
        <f ca="1">IF(MOD(COUNTIF($Q$11:Q1782,Q1782),5)=0,OFFSET(装备属性!$M$1083,1+INT(COUNTA($Q$11:Q1782)/5),0),Q1782)</f>
        <v>稀有词条</v>
      </c>
      <c r="R1783" s="83" t="e">
        <f ca="1">IF(MOD(COUNTIF($Q$11:Q1782,Q1782),5)=0,10000*SUBSTITUTE(SUBSTITUTE(OFFSET(装备属性!$F$1083,1+INT(COUNTA($Q$11:Q1782)/5),0),"[",""),"]","")+_xlfn.XLOOKUP(C1783,$M$3:$M$7,$N$3:$N$7)*100,R1782)</f>
        <v>#N/A</v>
      </c>
    </row>
    <row r="1784" customHeight="1" spans="1:18">
      <c r="A1784" s="78" t="str">
        <f ca="1" t="shared" si="85"/>
        <v/>
      </c>
      <c r="B1784" s="82" t="str">
        <f ca="1">IFERROR(R1784+COUNTIFS($R$11:$R1784,R1784),"")</f>
        <v/>
      </c>
      <c r="C1784" s="83">
        <f ca="1">IF(MOD(COUNTIF($Q$11:Q1783,Q1783),5)=0,OFFSET(装备属性!$D$1083,1+INT(COUNTA($Q$11:Q1783)/5),0),C1783)</f>
        <v>0</v>
      </c>
      <c r="D1784" s="82">
        <f t="shared" si="87"/>
        <v>1500</v>
      </c>
      <c r="F1784" s="82" t="str">
        <f ca="1" t="shared" si="86"/>
        <v/>
      </c>
      <c r="G1784" s="78" t="str">
        <f ca="1">IF(AND(LEFT("[{"&amp;M1784&amp;","&amp;CEILING(N1784*10000+(O1784-N1784)/4*(COUNTIF($F$11:F1784,F1784)-1)*10000,10)&amp;"}]",7)="[{equip",MID("[{"&amp;M1784&amp;","&amp;CEILING(N1784*10000+(O1784-N1784)/4*(COUNTIF($F$11:F1784,F1784)-1)*10000,10)&amp;"}]",8,1)&lt;&gt;"_"),"[{"&amp;M1784&amp;","&amp;1&amp;"}]","[{"&amp;M1784&amp;","&amp;CEILING(N1784*10000+(O1784-N1784)/4*(COUNTIF($F$11:F1784,F1784)-1)*10000,10)&amp;"}]")</f>
        <v>[{equip4_rune_slot,1}]</v>
      </c>
      <c r="H1784" s="82" t="s">
        <v>563</v>
      </c>
      <c r="J1784" s="78">
        <f ca="1">IF(MOD(COUNTIF($Q$11:Q1783,Q1783),5)=0,OFFSET(装备属性!$P$1083,1+INT(COUNTA($Q$11:Q1783)/5),0),J1783)</f>
        <v>1</v>
      </c>
      <c r="K1784" s="83" t="str">
        <f ca="1">IF(RIGHT(G1784,13)="rune_slot,1}]",_xlfn.XLOOKUP(LEFT(SUBSTITUTE(G1784,"[{",""),FIND(",",SUBSTITUTE(G1784,"[{",""))-1),Sheet2!B:B,Sheet2!C:C)&amp;"+"&amp;1,_xlfn.XLOOKUP(LEFT(SUBSTITUTE(G1784,"[{",""),FIND(",",SUBSTITUTE(G1784,"[{",""))-1),Sheet2!B:B,Sheet2!C:C)&amp;"+"&amp;SUBSTITUTE(RIGHT(G1784,LEN(G1784)-FIND(",",G1784)),"}]","")/100&amp;"%")</f>
        <v>手套符文孔位+1</v>
      </c>
      <c r="L1784" s="83" t="str">
        <f ca="1">IF(MOD(COUNTIF($Q$11:Q1783,Q1783),5)=0,OFFSET(装备属性!$G$1083,1+INT(COUNTA($Q$11:Q1783)/5),0),L1783)</f>
        <v>扩符槽</v>
      </c>
      <c r="M1784" s="89" t="str">
        <f ca="1">IF(MOD(COUNTIF($Q$11:Q1783,Q1783),5)=0,OFFSET(装备属性!$H$1083,1+INT(COUNTA($Q$11:Q1783)/5),0),M1783)</f>
        <v>equip4_rune_slot</v>
      </c>
      <c r="N1784" s="76">
        <f ca="1">IF(MOD(COUNTIF($Q$11:Q1783,Q1783),5)=0,OFFSET(装备属性!$K$1083,1+INT(COUNTA($Q$11:Q1783)/5),0),N1783)</f>
        <v>1</v>
      </c>
      <c r="O1784" s="76">
        <f ca="1">IF(MOD(COUNTIF($Q$11:Q1783,Q1783),5)=0,OFFSET(装备属性!$L$1083,1+INT(COUNTA($Q$11:Q1783)/5),0),O1783)</f>
        <v>1</v>
      </c>
      <c r="Q1784" s="89" t="str">
        <f ca="1">IF(MOD(COUNTIF($Q$11:Q1783,Q1783),5)=0,OFFSET(装备属性!$M$1083,1+INT(COUNTA($Q$11:Q1783)/5),0),Q1783)</f>
        <v>稀有词条</v>
      </c>
      <c r="R1784" s="83" t="e">
        <f ca="1">IF(MOD(COUNTIF($Q$11:Q1783,Q1783),5)=0,10000*SUBSTITUTE(SUBSTITUTE(OFFSET(装备属性!$F$1083,1+INT(COUNTA($Q$11:Q1783)/5),0),"[",""),"]","")+_xlfn.XLOOKUP(C1784,$M$3:$M$7,$N$3:$N$7)*100,R1783)</f>
        <v>#N/A</v>
      </c>
    </row>
    <row r="1785" customHeight="1" spans="1:18">
      <c r="A1785" s="78" t="str">
        <f ca="1" t="shared" si="85"/>
        <v/>
      </c>
      <c r="B1785" s="82" t="str">
        <f ca="1">IFERROR(R1785+COUNTIFS($R$11:$R1785,R1785),"")</f>
        <v/>
      </c>
      <c r="C1785" s="83">
        <f ca="1">IF(MOD(COUNTIF($Q$11:Q1784,Q1784),5)=0,OFFSET(装备属性!$D$1083,1+INT(COUNTA($Q$11:Q1784)/5),0),C1784)</f>
        <v>0</v>
      </c>
      <c r="D1785" s="82">
        <f t="shared" si="87"/>
        <v>1000</v>
      </c>
      <c r="F1785" s="82" t="str">
        <f ca="1" t="shared" si="86"/>
        <v/>
      </c>
      <c r="G1785" s="78" t="str">
        <f ca="1">IF(AND(LEFT("[{"&amp;M1785&amp;","&amp;CEILING(N1785*10000+(O1785-N1785)/4*(COUNTIF($F$11:F1785,F1785)-1)*10000,10)&amp;"}]",7)="[{equip",MID("[{"&amp;M1785&amp;","&amp;CEILING(N1785*10000+(O1785-N1785)/4*(COUNTIF($F$11:F1785,F1785)-1)*10000,10)&amp;"}]",8,1)&lt;&gt;"_"),"[{"&amp;M1785&amp;","&amp;1&amp;"}]","[{"&amp;M1785&amp;","&amp;CEILING(N1785*10000+(O1785-N1785)/4*(COUNTIF($F$11:F1785,F1785)-1)*10000,10)&amp;"}]")</f>
        <v>[{equip4_rune_slot,1}]</v>
      </c>
      <c r="H1785" s="82" t="s">
        <v>563</v>
      </c>
      <c r="J1785" s="78">
        <f ca="1">IF(MOD(COUNTIF($Q$11:Q1784,Q1784),5)=0,OFFSET(装备属性!$P$1083,1+INT(COUNTA($Q$11:Q1784)/5),0),J1784)</f>
        <v>1</v>
      </c>
      <c r="K1785" s="83" t="str">
        <f ca="1">IF(RIGHT(G1785,13)="rune_slot,1}]",_xlfn.XLOOKUP(LEFT(SUBSTITUTE(G1785,"[{",""),FIND(",",SUBSTITUTE(G1785,"[{",""))-1),Sheet2!B:B,Sheet2!C:C)&amp;"+"&amp;1,_xlfn.XLOOKUP(LEFT(SUBSTITUTE(G1785,"[{",""),FIND(",",SUBSTITUTE(G1785,"[{",""))-1),Sheet2!B:B,Sheet2!C:C)&amp;"+"&amp;SUBSTITUTE(RIGHT(G1785,LEN(G1785)-FIND(",",G1785)),"}]","")/100&amp;"%")</f>
        <v>手套符文孔位+1</v>
      </c>
      <c r="L1785" s="83" t="str">
        <f ca="1">IF(MOD(COUNTIF($Q$11:Q1784,Q1784),5)=0,OFFSET(装备属性!$G$1083,1+INT(COUNTA($Q$11:Q1784)/5),0),L1784)</f>
        <v>扩符槽</v>
      </c>
      <c r="M1785" s="89" t="str">
        <f ca="1">IF(MOD(COUNTIF($Q$11:Q1784,Q1784),5)=0,OFFSET(装备属性!$H$1083,1+INT(COUNTA($Q$11:Q1784)/5),0),M1784)</f>
        <v>equip4_rune_slot</v>
      </c>
      <c r="N1785" s="76">
        <f ca="1">IF(MOD(COUNTIF($Q$11:Q1784,Q1784),5)=0,OFFSET(装备属性!$K$1083,1+INT(COUNTA($Q$11:Q1784)/5),0),N1784)</f>
        <v>1</v>
      </c>
      <c r="O1785" s="76">
        <f ca="1">IF(MOD(COUNTIF($Q$11:Q1784,Q1784),5)=0,OFFSET(装备属性!$L$1083,1+INT(COUNTA($Q$11:Q1784)/5),0),O1784)</f>
        <v>1</v>
      </c>
      <c r="Q1785" s="89" t="str">
        <f ca="1">IF(MOD(COUNTIF($Q$11:Q1784,Q1784),5)=0,OFFSET(装备属性!$M$1083,1+INT(COUNTA($Q$11:Q1784)/5),0),Q1784)</f>
        <v>稀有词条</v>
      </c>
      <c r="R1785" s="83" t="e">
        <f ca="1">IF(MOD(COUNTIF($Q$11:Q1784,Q1784),5)=0,10000*SUBSTITUTE(SUBSTITUTE(OFFSET(装备属性!$F$1083,1+INT(COUNTA($Q$11:Q1784)/5),0),"[",""),"]","")+_xlfn.XLOOKUP(C1785,$M$3:$M$7,$N$3:$N$7)*100,R1784)</f>
        <v>#N/A</v>
      </c>
    </row>
    <row r="1786" customHeight="1" spans="1:18">
      <c r="A1786" s="78">
        <f ca="1" t="shared" si="85"/>
        <v>60802</v>
      </c>
      <c r="B1786" s="82">
        <f ca="1">IFERROR(R1786+COUNTIFS($R$11:$R1786,R1786),"")</f>
        <v>60826</v>
      </c>
      <c r="C1786" s="83" t="str">
        <f ca="1">IF(MOD(COUNTIF($Q$11:Q1785,Q1785),5)=0,OFFSET(装备属性!$D$1083,1+INT(COUNTA($Q$11:Q1785)/5),0),C1785)</f>
        <v>彩</v>
      </c>
      <c r="D1786" s="82">
        <f t="shared" si="87"/>
        <v>3000</v>
      </c>
      <c r="F1786" s="82">
        <f ca="1" t="shared" si="86"/>
        <v>60805</v>
      </c>
      <c r="G1786" s="78" t="str">
        <f ca="1">IF(AND(LEFT("[{"&amp;M1786&amp;","&amp;CEILING(N1786*10000+(O1786-N1786)/4*(COUNTIF($F$11:F1786,F1786)-1)*10000,10)&amp;"}]",7)="[{equip",MID("[{"&amp;M1786&amp;","&amp;CEILING(N1786*10000+(O1786-N1786)/4*(COUNTIF($F$11:F1786,F1786)-1)*10000,10)&amp;"}]",8,1)&lt;&gt;"_"),"[{"&amp;M1786&amp;","&amp;1&amp;"}]","[{"&amp;M1786&amp;","&amp;CEILING(N1786*10000+(O1786-N1786)/4*(COUNTIF($F$11:F1786,F1786)-1)*10000,10)&amp;"}]")</f>
        <v>[{elitist_monster_hit_rate,1100}]</v>
      </c>
      <c r="H1786" s="82" t="s">
        <v>563</v>
      </c>
      <c r="J1786" s="78">
        <f ca="1">IF(MOD(COUNTIF($Q$11:Q1785,Q1785),5)=0,OFFSET(装备属性!$P$1083,1+INT(COUNTA($Q$11:Q1785)/5),0),J1785)</f>
        <v>6</v>
      </c>
      <c r="K1786" s="83" t="str">
        <f ca="1">IF(RIGHT(G1786,13)="rune_slot,1}]",_xlfn.XLOOKUP(LEFT(SUBSTITUTE(G1786,"[{",""),FIND(",",SUBSTITUTE(G1786,"[{",""))-1),Sheet2!B:B,Sheet2!C:C)&amp;"+"&amp;1,_xlfn.XLOOKUP(LEFT(SUBSTITUTE(G1786,"[{",""),FIND(",",SUBSTITUTE(G1786,"[{",""))-1),Sheet2!B:B,Sheet2!C:C)&amp;"+"&amp;SUBSTITUTE(RIGHT(G1786,LEN(G1786)-FIND(",",G1786)),"}]","")/100&amp;"%")</f>
        <v>对精英增伤+11%</v>
      </c>
      <c r="L1786" s="83" t="str">
        <f ca="1">IF(MOD(COUNTIF($Q$11:Q1785,Q1785),5)=0,OFFSET(装备属性!$G$1083,1+INT(COUNTA($Q$11:Q1785)/5),0),L1785)</f>
        <v>Boss加餐Ⅴ</v>
      </c>
      <c r="M1786" s="89" t="str">
        <f ca="1">IF(MOD(COUNTIF($Q$11:Q1785,Q1785),5)=0,OFFSET(装备属性!$H$1083,1+INT(COUNTA($Q$11:Q1785)/5),0),M1785)</f>
        <v>elitist_monster_hit_rate</v>
      </c>
      <c r="N1786" s="76">
        <f ca="1">IF(MOD(COUNTIF($Q$11:Q1785,Q1785),5)=0,OFFSET(装备属性!$K$1083,1+INT(COUNTA($Q$11:Q1785)/5),0),N1785)</f>
        <v>0.11</v>
      </c>
      <c r="O1786" s="76">
        <f ca="1">IF(MOD(COUNTIF($Q$11:Q1785,Q1785),5)=0,OFFSET(装备属性!$L$1083,1+INT(COUNTA($Q$11:Q1785)/5),0),O1785)</f>
        <v>0.12</v>
      </c>
      <c r="Q1786" s="89" t="str">
        <f ca="1">IF(MOD(COUNTIF($Q$11:Q1785,Q1785),5)=0,OFFSET(装备属性!$M$1083,1+INT(COUNTA($Q$11:Q1785)/5),0),Q1785)</f>
        <v>玩法类</v>
      </c>
      <c r="R1786" s="83">
        <f ca="1">IF(MOD(COUNTIF($Q$11:Q1785,Q1785),5)=0,10000*SUBSTITUTE(SUBSTITUTE(OFFSET(装备属性!$F$1083,1+INT(COUNTA($Q$11:Q1785)/5),0),"[",""),"]","")+_xlfn.XLOOKUP(C1786,$M$3:$M$7,$N$3:$N$7)*100,R1785)</f>
        <v>60800</v>
      </c>
    </row>
    <row r="1787" customHeight="1" spans="1:18">
      <c r="A1787" s="78">
        <f ca="1" t="shared" si="85"/>
        <v>60802</v>
      </c>
      <c r="B1787" s="82">
        <f ca="1">IFERROR(R1787+COUNTIFS($R$11:$R1787,R1787),"")</f>
        <v>60827</v>
      </c>
      <c r="C1787" s="83" t="str">
        <f ca="1">IF(MOD(COUNTIF($Q$11:Q1786,Q1786),5)=0,OFFSET(装备属性!$D$1083,1+INT(COUNTA($Q$11:Q1786)/5),0),C1786)</f>
        <v>彩</v>
      </c>
      <c r="D1787" s="82">
        <f t="shared" si="87"/>
        <v>2500</v>
      </c>
      <c r="F1787" s="82">
        <f ca="1" t="shared" si="86"/>
        <v>60805</v>
      </c>
      <c r="G1787" s="78" t="str">
        <f ca="1">IF(AND(LEFT("[{"&amp;M1787&amp;","&amp;CEILING(N1787*10000+(O1787-N1787)/4*(COUNTIF($F$11:F1787,F1787)-1)*10000,10)&amp;"}]",7)="[{equip",MID("[{"&amp;M1787&amp;","&amp;CEILING(N1787*10000+(O1787-N1787)/4*(COUNTIF($F$11:F1787,F1787)-1)*10000,10)&amp;"}]",8,1)&lt;&gt;"_"),"[{"&amp;M1787&amp;","&amp;1&amp;"}]","[{"&amp;M1787&amp;","&amp;CEILING(N1787*10000+(O1787-N1787)/4*(COUNTIF($F$11:F1787,F1787)-1)*10000,10)&amp;"}]")</f>
        <v>[{elitist_monster_hit_rate,1130}]</v>
      </c>
      <c r="H1787" s="82" t="s">
        <v>563</v>
      </c>
      <c r="J1787" s="78">
        <f ca="1">IF(MOD(COUNTIF($Q$11:Q1786,Q1786),5)=0,OFFSET(装备属性!$P$1083,1+INT(COUNTA($Q$11:Q1786)/5),0),J1786)</f>
        <v>6</v>
      </c>
      <c r="K1787" s="83" t="str">
        <f ca="1">IF(RIGHT(G1787,13)="rune_slot,1}]",_xlfn.XLOOKUP(LEFT(SUBSTITUTE(G1787,"[{",""),FIND(",",SUBSTITUTE(G1787,"[{",""))-1),Sheet2!B:B,Sheet2!C:C)&amp;"+"&amp;1,_xlfn.XLOOKUP(LEFT(SUBSTITUTE(G1787,"[{",""),FIND(",",SUBSTITUTE(G1787,"[{",""))-1),Sheet2!B:B,Sheet2!C:C)&amp;"+"&amp;SUBSTITUTE(RIGHT(G1787,LEN(G1787)-FIND(",",G1787)),"}]","")/100&amp;"%")</f>
        <v>对精英增伤+11.3%</v>
      </c>
      <c r="L1787" s="83" t="str">
        <f ca="1">IF(MOD(COUNTIF($Q$11:Q1786,Q1786),5)=0,OFFSET(装备属性!$G$1083,1+INT(COUNTA($Q$11:Q1786)/5),0),L1786)</f>
        <v>Boss加餐Ⅴ</v>
      </c>
      <c r="M1787" s="89" t="str">
        <f ca="1">IF(MOD(COUNTIF($Q$11:Q1786,Q1786),5)=0,OFFSET(装备属性!$H$1083,1+INT(COUNTA($Q$11:Q1786)/5),0),M1786)</f>
        <v>elitist_monster_hit_rate</v>
      </c>
      <c r="N1787" s="76">
        <f ca="1">IF(MOD(COUNTIF($Q$11:Q1786,Q1786),5)=0,OFFSET(装备属性!$K$1083,1+INT(COUNTA($Q$11:Q1786)/5),0),N1786)</f>
        <v>0.11</v>
      </c>
      <c r="O1787" s="76">
        <f ca="1">IF(MOD(COUNTIF($Q$11:Q1786,Q1786),5)=0,OFFSET(装备属性!$L$1083,1+INT(COUNTA($Q$11:Q1786)/5),0),O1786)</f>
        <v>0.12</v>
      </c>
      <c r="Q1787" s="89" t="str">
        <f ca="1">IF(MOD(COUNTIF($Q$11:Q1786,Q1786),5)=0,OFFSET(装备属性!$M$1083,1+INT(COUNTA($Q$11:Q1786)/5),0),Q1786)</f>
        <v>玩法类</v>
      </c>
      <c r="R1787" s="83">
        <f ca="1">IF(MOD(COUNTIF($Q$11:Q1786,Q1786),5)=0,10000*SUBSTITUTE(SUBSTITUTE(OFFSET(装备属性!$F$1083,1+INT(COUNTA($Q$11:Q1786)/5),0),"[",""),"]","")+_xlfn.XLOOKUP(C1787,$M$3:$M$7,$N$3:$N$7)*100,R1786)</f>
        <v>60800</v>
      </c>
    </row>
    <row r="1788" customHeight="1" spans="1:18">
      <c r="A1788" s="78">
        <f ca="1" t="shared" si="85"/>
        <v>60802</v>
      </c>
      <c r="B1788" s="82">
        <f ca="1">IFERROR(R1788+COUNTIFS($R$11:$R1788,R1788),"")</f>
        <v>60828</v>
      </c>
      <c r="C1788" s="83" t="str">
        <f ca="1">IF(MOD(COUNTIF($Q$11:Q1787,Q1787),5)=0,OFFSET(装备属性!$D$1083,1+INT(COUNTA($Q$11:Q1787)/5),0),C1787)</f>
        <v>彩</v>
      </c>
      <c r="D1788" s="82">
        <f t="shared" si="87"/>
        <v>2000</v>
      </c>
      <c r="F1788" s="82">
        <f ca="1" t="shared" si="86"/>
        <v>60805</v>
      </c>
      <c r="G1788" s="78" t="str">
        <f ca="1">IF(AND(LEFT("[{"&amp;M1788&amp;","&amp;CEILING(N1788*10000+(O1788-N1788)/4*(COUNTIF($F$11:F1788,F1788)-1)*10000,10)&amp;"}]",7)="[{equip",MID("[{"&amp;M1788&amp;","&amp;CEILING(N1788*10000+(O1788-N1788)/4*(COUNTIF($F$11:F1788,F1788)-1)*10000,10)&amp;"}]",8,1)&lt;&gt;"_"),"[{"&amp;M1788&amp;","&amp;1&amp;"}]","[{"&amp;M1788&amp;","&amp;CEILING(N1788*10000+(O1788-N1788)/4*(COUNTIF($F$11:F1788,F1788)-1)*10000,10)&amp;"}]")</f>
        <v>[{elitist_monster_hit_rate,1150}]</v>
      </c>
      <c r="H1788" s="82" t="s">
        <v>563</v>
      </c>
      <c r="J1788" s="78">
        <f ca="1">IF(MOD(COUNTIF($Q$11:Q1787,Q1787),5)=0,OFFSET(装备属性!$P$1083,1+INT(COUNTA($Q$11:Q1787)/5),0),J1787)</f>
        <v>6</v>
      </c>
      <c r="K1788" s="83" t="str">
        <f ca="1">IF(RIGHT(G1788,13)="rune_slot,1}]",_xlfn.XLOOKUP(LEFT(SUBSTITUTE(G1788,"[{",""),FIND(",",SUBSTITUTE(G1788,"[{",""))-1),Sheet2!B:B,Sheet2!C:C)&amp;"+"&amp;1,_xlfn.XLOOKUP(LEFT(SUBSTITUTE(G1788,"[{",""),FIND(",",SUBSTITUTE(G1788,"[{",""))-1),Sheet2!B:B,Sheet2!C:C)&amp;"+"&amp;SUBSTITUTE(RIGHT(G1788,LEN(G1788)-FIND(",",G1788)),"}]","")/100&amp;"%")</f>
        <v>对精英增伤+11.5%</v>
      </c>
      <c r="L1788" s="83" t="str">
        <f ca="1">IF(MOD(COUNTIF($Q$11:Q1787,Q1787),5)=0,OFFSET(装备属性!$G$1083,1+INT(COUNTA($Q$11:Q1787)/5),0),L1787)</f>
        <v>Boss加餐Ⅴ</v>
      </c>
      <c r="M1788" s="89" t="str">
        <f ca="1">IF(MOD(COUNTIF($Q$11:Q1787,Q1787),5)=0,OFFSET(装备属性!$H$1083,1+INT(COUNTA($Q$11:Q1787)/5),0),M1787)</f>
        <v>elitist_monster_hit_rate</v>
      </c>
      <c r="N1788" s="76">
        <f ca="1">IF(MOD(COUNTIF($Q$11:Q1787,Q1787),5)=0,OFFSET(装备属性!$K$1083,1+INT(COUNTA($Q$11:Q1787)/5),0),N1787)</f>
        <v>0.11</v>
      </c>
      <c r="O1788" s="76">
        <f ca="1">IF(MOD(COUNTIF($Q$11:Q1787,Q1787),5)=0,OFFSET(装备属性!$L$1083,1+INT(COUNTA($Q$11:Q1787)/5),0),O1787)</f>
        <v>0.12</v>
      </c>
      <c r="Q1788" s="89" t="str">
        <f ca="1">IF(MOD(COUNTIF($Q$11:Q1787,Q1787),5)=0,OFFSET(装备属性!$M$1083,1+INT(COUNTA($Q$11:Q1787)/5),0),Q1787)</f>
        <v>玩法类</v>
      </c>
      <c r="R1788" s="83">
        <f ca="1">IF(MOD(COUNTIF($Q$11:Q1787,Q1787),5)=0,10000*SUBSTITUTE(SUBSTITUTE(OFFSET(装备属性!$F$1083,1+INT(COUNTA($Q$11:Q1787)/5),0),"[",""),"]","")+_xlfn.XLOOKUP(C1788,$M$3:$M$7,$N$3:$N$7)*100,R1787)</f>
        <v>60800</v>
      </c>
    </row>
    <row r="1789" customHeight="1" spans="1:18">
      <c r="A1789" s="78">
        <f ca="1" t="shared" si="85"/>
        <v>60802</v>
      </c>
      <c r="B1789" s="82">
        <f ca="1">IFERROR(R1789+COUNTIFS($R$11:$R1789,R1789),"")</f>
        <v>60829</v>
      </c>
      <c r="C1789" s="83" t="str">
        <f ca="1">IF(MOD(COUNTIF($Q$11:Q1788,Q1788),5)=0,OFFSET(装备属性!$D$1083,1+INT(COUNTA($Q$11:Q1788)/5),0),C1788)</f>
        <v>彩</v>
      </c>
      <c r="D1789" s="82">
        <f t="shared" si="87"/>
        <v>1500</v>
      </c>
      <c r="F1789" s="82">
        <f ca="1" t="shared" si="86"/>
        <v>60805</v>
      </c>
      <c r="G1789" s="78" t="str">
        <f ca="1">IF(AND(LEFT("[{"&amp;M1789&amp;","&amp;CEILING(N1789*10000+(O1789-N1789)/4*(COUNTIF($F$11:F1789,F1789)-1)*10000,10)&amp;"}]",7)="[{equip",MID("[{"&amp;M1789&amp;","&amp;CEILING(N1789*10000+(O1789-N1789)/4*(COUNTIF($F$11:F1789,F1789)-1)*10000,10)&amp;"}]",8,1)&lt;&gt;"_"),"[{"&amp;M1789&amp;","&amp;1&amp;"}]","[{"&amp;M1789&amp;","&amp;CEILING(N1789*10000+(O1789-N1789)/4*(COUNTIF($F$11:F1789,F1789)-1)*10000,10)&amp;"}]")</f>
        <v>[{elitist_monster_hit_rate,1180}]</v>
      </c>
      <c r="H1789" s="82" t="s">
        <v>563</v>
      </c>
      <c r="J1789" s="78">
        <f ca="1">IF(MOD(COUNTIF($Q$11:Q1788,Q1788),5)=0,OFFSET(装备属性!$P$1083,1+INT(COUNTA($Q$11:Q1788)/5),0),J1788)</f>
        <v>6</v>
      </c>
      <c r="K1789" s="83" t="str">
        <f ca="1">IF(RIGHT(G1789,13)="rune_slot,1}]",_xlfn.XLOOKUP(LEFT(SUBSTITUTE(G1789,"[{",""),FIND(",",SUBSTITUTE(G1789,"[{",""))-1),Sheet2!B:B,Sheet2!C:C)&amp;"+"&amp;1,_xlfn.XLOOKUP(LEFT(SUBSTITUTE(G1789,"[{",""),FIND(",",SUBSTITUTE(G1789,"[{",""))-1),Sheet2!B:B,Sheet2!C:C)&amp;"+"&amp;SUBSTITUTE(RIGHT(G1789,LEN(G1789)-FIND(",",G1789)),"}]","")/100&amp;"%")</f>
        <v>对精英增伤+11.8%</v>
      </c>
      <c r="L1789" s="83" t="str">
        <f ca="1">IF(MOD(COUNTIF($Q$11:Q1788,Q1788),5)=0,OFFSET(装备属性!$G$1083,1+INT(COUNTA($Q$11:Q1788)/5),0),L1788)</f>
        <v>Boss加餐Ⅴ</v>
      </c>
      <c r="M1789" s="89" t="str">
        <f ca="1">IF(MOD(COUNTIF($Q$11:Q1788,Q1788),5)=0,OFFSET(装备属性!$H$1083,1+INT(COUNTA($Q$11:Q1788)/5),0),M1788)</f>
        <v>elitist_monster_hit_rate</v>
      </c>
      <c r="N1789" s="76">
        <f ca="1">IF(MOD(COUNTIF($Q$11:Q1788,Q1788),5)=0,OFFSET(装备属性!$K$1083,1+INT(COUNTA($Q$11:Q1788)/5),0),N1788)</f>
        <v>0.11</v>
      </c>
      <c r="O1789" s="76">
        <f ca="1">IF(MOD(COUNTIF($Q$11:Q1788,Q1788),5)=0,OFFSET(装备属性!$L$1083,1+INT(COUNTA($Q$11:Q1788)/5),0),O1788)</f>
        <v>0.12</v>
      </c>
      <c r="Q1789" s="89" t="str">
        <f ca="1">IF(MOD(COUNTIF($Q$11:Q1788,Q1788),5)=0,OFFSET(装备属性!$M$1083,1+INT(COUNTA($Q$11:Q1788)/5),0),Q1788)</f>
        <v>玩法类</v>
      </c>
      <c r="R1789" s="83">
        <f ca="1">IF(MOD(COUNTIF($Q$11:Q1788,Q1788),5)=0,10000*SUBSTITUTE(SUBSTITUTE(OFFSET(装备属性!$F$1083,1+INT(COUNTA($Q$11:Q1788)/5),0),"[",""),"]","")+_xlfn.XLOOKUP(C1789,$M$3:$M$7,$N$3:$N$7)*100,R1788)</f>
        <v>60800</v>
      </c>
    </row>
    <row r="1790" customHeight="1" spans="1:18">
      <c r="A1790" s="78">
        <f ca="1" t="shared" si="85"/>
        <v>60802</v>
      </c>
      <c r="B1790" s="82">
        <f ca="1">IFERROR(R1790+COUNTIFS($R$11:$R1790,R1790),"")</f>
        <v>60830</v>
      </c>
      <c r="C1790" s="83" t="str">
        <f ca="1">IF(MOD(COUNTIF($Q$11:Q1789,Q1789),5)=0,OFFSET(装备属性!$D$1083,1+INT(COUNTA($Q$11:Q1789)/5),0),C1789)</f>
        <v>彩</v>
      </c>
      <c r="D1790" s="82">
        <f t="shared" ref="D1790:D1810" si="88">D1785</f>
        <v>1000</v>
      </c>
      <c r="F1790" s="82">
        <f ca="1" t="shared" si="86"/>
        <v>60805</v>
      </c>
      <c r="G1790" s="78" t="str">
        <f ca="1">IF(AND(LEFT("[{"&amp;M1790&amp;","&amp;CEILING(N1790*10000+(O1790-N1790)/4*(COUNTIF($F$11:F1790,F1790)-1)*10000,10)&amp;"}]",7)="[{equip",MID("[{"&amp;M1790&amp;","&amp;CEILING(N1790*10000+(O1790-N1790)/4*(COUNTIF($F$11:F1790,F1790)-1)*10000,10)&amp;"}]",8,1)&lt;&gt;"_"),"[{"&amp;M1790&amp;","&amp;1&amp;"}]","[{"&amp;M1790&amp;","&amp;CEILING(N1790*10000+(O1790-N1790)/4*(COUNTIF($F$11:F1790,F1790)-1)*10000,10)&amp;"}]")</f>
        <v>[{elitist_monster_hit_rate,1200}]</v>
      </c>
      <c r="H1790" s="82" t="s">
        <v>563</v>
      </c>
      <c r="J1790" s="78">
        <f ca="1">IF(MOD(COUNTIF($Q$11:Q1789,Q1789),5)=0,OFFSET(装备属性!$P$1083,1+INT(COUNTA($Q$11:Q1789)/5),0),J1789)</f>
        <v>6</v>
      </c>
      <c r="K1790" s="83" t="str">
        <f ca="1">IF(RIGHT(G1790,13)="rune_slot,1}]",_xlfn.XLOOKUP(LEFT(SUBSTITUTE(G1790,"[{",""),FIND(",",SUBSTITUTE(G1790,"[{",""))-1),Sheet2!B:B,Sheet2!C:C)&amp;"+"&amp;1,_xlfn.XLOOKUP(LEFT(SUBSTITUTE(G1790,"[{",""),FIND(",",SUBSTITUTE(G1790,"[{",""))-1),Sheet2!B:B,Sheet2!C:C)&amp;"+"&amp;SUBSTITUTE(RIGHT(G1790,LEN(G1790)-FIND(",",G1790)),"}]","")/100&amp;"%")</f>
        <v>对精英增伤+12%</v>
      </c>
      <c r="L1790" s="83" t="str">
        <f ca="1">IF(MOD(COUNTIF($Q$11:Q1789,Q1789),5)=0,OFFSET(装备属性!$G$1083,1+INT(COUNTA($Q$11:Q1789)/5),0),L1789)</f>
        <v>Boss加餐Ⅴ</v>
      </c>
      <c r="M1790" s="89" t="str">
        <f ca="1">IF(MOD(COUNTIF($Q$11:Q1789,Q1789),5)=0,OFFSET(装备属性!$H$1083,1+INT(COUNTA($Q$11:Q1789)/5),0),M1789)</f>
        <v>elitist_monster_hit_rate</v>
      </c>
      <c r="N1790" s="76">
        <f ca="1">IF(MOD(COUNTIF($Q$11:Q1789,Q1789),5)=0,OFFSET(装备属性!$K$1083,1+INT(COUNTA($Q$11:Q1789)/5),0),N1789)</f>
        <v>0.11</v>
      </c>
      <c r="O1790" s="76">
        <f ca="1">IF(MOD(COUNTIF($Q$11:Q1789,Q1789),5)=0,OFFSET(装备属性!$L$1083,1+INT(COUNTA($Q$11:Q1789)/5),0),O1789)</f>
        <v>0.12</v>
      </c>
      <c r="Q1790" s="89" t="str">
        <f ca="1">IF(MOD(COUNTIF($Q$11:Q1789,Q1789),5)=0,OFFSET(装备属性!$M$1083,1+INT(COUNTA($Q$11:Q1789)/5),0),Q1789)</f>
        <v>玩法类</v>
      </c>
      <c r="R1790" s="83">
        <f ca="1">IF(MOD(COUNTIF($Q$11:Q1789,Q1789),5)=0,10000*SUBSTITUTE(SUBSTITUTE(OFFSET(装备属性!$F$1083,1+INT(COUNTA($Q$11:Q1789)/5),0),"[",""),"]","")+_xlfn.XLOOKUP(C1790,$M$3:$M$7,$N$3:$N$7)*100,R1789)</f>
        <v>60800</v>
      </c>
    </row>
    <row r="1791" customHeight="1" spans="1:18">
      <c r="A1791" s="78">
        <f ca="1" t="shared" si="85"/>
        <v>60801</v>
      </c>
      <c r="B1791" s="82">
        <f ca="1">IFERROR(R1791+COUNTIFS($R$11:$R1791,R1791),"")</f>
        <v>60831</v>
      </c>
      <c r="C1791" s="83" t="str">
        <f ca="1">IF(MOD(COUNTIF($Q$11:Q1790,Q1790),5)=0,OFFSET(装备属性!$D$1083,1+INT(COUNTA($Q$11:Q1790)/5),0),C1790)</f>
        <v>彩</v>
      </c>
      <c r="D1791" s="82">
        <f t="shared" si="88"/>
        <v>3000</v>
      </c>
      <c r="F1791" s="82">
        <f ca="1" t="shared" si="86"/>
        <v>60806</v>
      </c>
      <c r="G1791" s="78" t="str">
        <f ca="1">IF(AND(LEFT("[{"&amp;M1791&amp;","&amp;CEILING(N1791*10000+(O1791-N1791)/4*(COUNTIF($F$11:F1791,F1791)-1)*10000,10)&amp;"}]",7)="[{equip",MID("[{"&amp;M1791&amp;","&amp;CEILING(N1791*10000+(O1791-N1791)/4*(COUNTIF($F$11:F1791,F1791)-1)*10000,10)&amp;"}]",8,1)&lt;&gt;"_"),"[{"&amp;M1791&amp;","&amp;1&amp;"}]","[{"&amp;M1791&amp;","&amp;CEILING(N1791*10000+(O1791-N1791)/4*(COUNTIF($F$11:F1791,F1791)-1)*10000,10)&amp;"}]")</f>
        <v>[{summon_dmg_rate,900}]</v>
      </c>
      <c r="H1791" s="82" t="s">
        <v>563</v>
      </c>
      <c r="J1791" s="78">
        <f ca="1">IF(MOD(COUNTIF($Q$11:Q1790,Q1790),5)=0,OFFSET(装备属性!$P$1083,1+INT(COUNTA($Q$11:Q1790)/5),0),J1790)</f>
        <v>5</v>
      </c>
      <c r="K1791" s="83" t="str">
        <f ca="1">IF(RIGHT(G1791,13)="rune_slot,1}]",_xlfn.XLOOKUP(LEFT(SUBSTITUTE(G1791,"[{",""),FIND(",",SUBSTITUTE(G1791,"[{",""))-1),Sheet2!B:B,Sheet2!C:C)&amp;"+"&amp;1,_xlfn.XLOOKUP(LEFT(SUBSTITUTE(G1791,"[{",""),FIND(",",SUBSTITUTE(G1791,"[{",""))-1),Sheet2!B:B,Sheet2!C:C)&amp;"+"&amp;SUBSTITUTE(RIGHT(G1791,LEN(G1791)-FIND(",",G1791)),"}]","")/100&amp;"%")</f>
        <v>召唤伤害+9%</v>
      </c>
      <c r="L1791" s="83" t="str">
        <f ca="1">IF(MOD(COUNTIF($Q$11:Q1790,Q1790),5)=0,OFFSET(装备属性!$G$1083,1+INT(COUNTA($Q$11:Q1790)/5),0),L1790)</f>
        <v>召唤加班Ⅴ</v>
      </c>
      <c r="M1791" s="89" t="str">
        <f ca="1">IF(MOD(COUNTIF($Q$11:Q1790,Q1790),5)=0,OFFSET(装备属性!$H$1083,1+INT(COUNTA($Q$11:Q1790)/5),0),M1790)</f>
        <v>summon_dmg_rate</v>
      </c>
      <c r="N1791" s="76">
        <f ca="1">IF(MOD(COUNTIF($Q$11:Q1790,Q1790),5)=0,OFFSET(装备属性!$K$1083,1+INT(COUNTA($Q$11:Q1790)/5),0),N1790)</f>
        <v>0.09</v>
      </c>
      <c r="O1791" s="76">
        <f ca="1">IF(MOD(COUNTIF($Q$11:Q1790,Q1790),5)=0,OFFSET(装备属性!$L$1083,1+INT(COUNTA($Q$11:Q1790)/5),0),O1790)</f>
        <v>0.1</v>
      </c>
      <c r="Q1791" s="89" t="str">
        <f ca="1">IF(MOD(COUNTIF($Q$11:Q1790,Q1790),5)=0,OFFSET(装备属性!$M$1083,1+INT(COUNTA($Q$11:Q1790)/5),0),Q1790)</f>
        <v>通用属性</v>
      </c>
      <c r="R1791" s="83">
        <f ca="1">IF(MOD(COUNTIF($Q$11:Q1790,Q1790),5)=0,10000*SUBSTITUTE(SUBSTITUTE(OFFSET(装备属性!$F$1083,1+INT(COUNTA($Q$11:Q1790)/5),0),"[",""),"]","")+_xlfn.XLOOKUP(C1791,$M$3:$M$7,$N$3:$N$7)*100,R1790)</f>
        <v>60800</v>
      </c>
    </row>
    <row r="1792" customHeight="1" spans="1:18">
      <c r="A1792" s="78">
        <f ca="1" t="shared" si="85"/>
        <v>60801</v>
      </c>
      <c r="B1792" s="82">
        <f ca="1">IFERROR(R1792+COUNTIFS($R$11:$R1792,R1792),"")</f>
        <v>60832</v>
      </c>
      <c r="C1792" s="83" t="str">
        <f ca="1">IF(MOD(COUNTIF($Q$11:Q1791,Q1791),5)=0,OFFSET(装备属性!$D$1083,1+INT(COUNTA($Q$11:Q1791)/5),0),C1791)</f>
        <v>彩</v>
      </c>
      <c r="D1792" s="82">
        <f t="shared" si="88"/>
        <v>2500</v>
      </c>
      <c r="F1792" s="82">
        <f ca="1" t="shared" si="86"/>
        <v>60806</v>
      </c>
      <c r="G1792" s="78" t="str">
        <f ca="1">IF(AND(LEFT("[{"&amp;M1792&amp;","&amp;CEILING(N1792*10000+(O1792-N1792)/4*(COUNTIF($F$11:F1792,F1792)-1)*10000,10)&amp;"}]",7)="[{equip",MID("[{"&amp;M1792&amp;","&amp;CEILING(N1792*10000+(O1792-N1792)/4*(COUNTIF($F$11:F1792,F1792)-1)*10000,10)&amp;"}]",8,1)&lt;&gt;"_"),"[{"&amp;M1792&amp;","&amp;1&amp;"}]","[{"&amp;M1792&amp;","&amp;CEILING(N1792*10000+(O1792-N1792)/4*(COUNTIF($F$11:F1792,F1792)-1)*10000,10)&amp;"}]")</f>
        <v>[{summon_dmg_rate,930}]</v>
      </c>
      <c r="H1792" s="82" t="s">
        <v>563</v>
      </c>
      <c r="J1792" s="78">
        <f ca="1">IF(MOD(COUNTIF($Q$11:Q1791,Q1791),5)=0,OFFSET(装备属性!$P$1083,1+INT(COUNTA($Q$11:Q1791)/5),0),J1791)</f>
        <v>5</v>
      </c>
      <c r="K1792" s="83" t="str">
        <f ca="1">IF(RIGHT(G1792,13)="rune_slot,1}]",_xlfn.XLOOKUP(LEFT(SUBSTITUTE(G1792,"[{",""),FIND(",",SUBSTITUTE(G1792,"[{",""))-1),Sheet2!B:B,Sheet2!C:C)&amp;"+"&amp;1,_xlfn.XLOOKUP(LEFT(SUBSTITUTE(G1792,"[{",""),FIND(",",SUBSTITUTE(G1792,"[{",""))-1),Sheet2!B:B,Sheet2!C:C)&amp;"+"&amp;SUBSTITUTE(RIGHT(G1792,LEN(G1792)-FIND(",",G1792)),"}]","")/100&amp;"%")</f>
        <v>召唤伤害+9.3%</v>
      </c>
      <c r="L1792" s="83" t="str">
        <f ca="1">IF(MOD(COUNTIF($Q$11:Q1791,Q1791),5)=0,OFFSET(装备属性!$G$1083,1+INT(COUNTA($Q$11:Q1791)/5),0),L1791)</f>
        <v>召唤加班Ⅴ</v>
      </c>
      <c r="M1792" s="89" t="str">
        <f ca="1">IF(MOD(COUNTIF($Q$11:Q1791,Q1791),5)=0,OFFSET(装备属性!$H$1083,1+INT(COUNTA($Q$11:Q1791)/5),0),M1791)</f>
        <v>summon_dmg_rate</v>
      </c>
      <c r="N1792" s="76">
        <f ca="1">IF(MOD(COUNTIF($Q$11:Q1791,Q1791),5)=0,OFFSET(装备属性!$K$1083,1+INT(COUNTA($Q$11:Q1791)/5),0),N1791)</f>
        <v>0.09</v>
      </c>
      <c r="O1792" s="76">
        <f ca="1">IF(MOD(COUNTIF($Q$11:Q1791,Q1791),5)=0,OFFSET(装备属性!$L$1083,1+INT(COUNTA($Q$11:Q1791)/5),0),O1791)</f>
        <v>0.1</v>
      </c>
      <c r="Q1792" s="89" t="str">
        <f ca="1">IF(MOD(COUNTIF($Q$11:Q1791,Q1791),5)=0,OFFSET(装备属性!$M$1083,1+INT(COUNTA($Q$11:Q1791)/5),0),Q1791)</f>
        <v>通用属性</v>
      </c>
      <c r="R1792" s="83">
        <f ca="1">IF(MOD(COUNTIF($Q$11:Q1791,Q1791),5)=0,10000*SUBSTITUTE(SUBSTITUTE(OFFSET(装备属性!$F$1083,1+INT(COUNTA($Q$11:Q1791)/5),0),"[",""),"]","")+_xlfn.XLOOKUP(C1792,$M$3:$M$7,$N$3:$N$7)*100,R1791)</f>
        <v>60800</v>
      </c>
    </row>
    <row r="1793" customHeight="1" spans="1:18">
      <c r="A1793" s="78">
        <f ca="1" t="shared" si="85"/>
        <v>60801</v>
      </c>
      <c r="B1793" s="82">
        <f ca="1">IFERROR(R1793+COUNTIFS($R$11:$R1793,R1793),"")</f>
        <v>60833</v>
      </c>
      <c r="C1793" s="83" t="str">
        <f ca="1">IF(MOD(COUNTIF($Q$11:Q1792,Q1792),5)=0,OFFSET(装备属性!$D$1083,1+INT(COUNTA($Q$11:Q1792)/5),0),C1792)</f>
        <v>彩</v>
      </c>
      <c r="D1793" s="82">
        <f t="shared" si="88"/>
        <v>2000</v>
      </c>
      <c r="F1793" s="82">
        <f ca="1" t="shared" si="86"/>
        <v>60806</v>
      </c>
      <c r="G1793" s="78" t="str">
        <f ca="1">IF(AND(LEFT("[{"&amp;M1793&amp;","&amp;CEILING(N1793*10000+(O1793-N1793)/4*(COUNTIF($F$11:F1793,F1793)-1)*10000,10)&amp;"}]",7)="[{equip",MID("[{"&amp;M1793&amp;","&amp;CEILING(N1793*10000+(O1793-N1793)/4*(COUNTIF($F$11:F1793,F1793)-1)*10000,10)&amp;"}]",8,1)&lt;&gt;"_"),"[{"&amp;M1793&amp;","&amp;1&amp;"}]","[{"&amp;M1793&amp;","&amp;CEILING(N1793*10000+(O1793-N1793)/4*(COUNTIF($F$11:F1793,F1793)-1)*10000,10)&amp;"}]")</f>
        <v>[{summon_dmg_rate,950}]</v>
      </c>
      <c r="H1793" s="82" t="s">
        <v>563</v>
      </c>
      <c r="J1793" s="78">
        <f ca="1">IF(MOD(COUNTIF($Q$11:Q1792,Q1792),5)=0,OFFSET(装备属性!$P$1083,1+INT(COUNTA($Q$11:Q1792)/5),0),J1792)</f>
        <v>5</v>
      </c>
      <c r="K1793" s="83" t="str">
        <f ca="1">IF(RIGHT(G1793,13)="rune_slot,1}]",_xlfn.XLOOKUP(LEFT(SUBSTITUTE(G1793,"[{",""),FIND(",",SUBSTITUTE(G1793,"[{",""))-1),Sheet2!B:B,Sheet2!C:C)&amp;"+"&amp;1,_xlfn.XLOOKUP(LEFT(SUBSTITUTE(G1793,"[{",""),FIND(",",SUBSTITUTE(G1793,"[{",""))-1),Sheet2!B:B,Sheet2!C:C)&amp;"+"&amp;SUBSTITUTE(RIGHT(G1793,LEN(G1793)-FIND(",",G1793)),"}]","")/100&amp;"%")</f>
        <v>召唤伤害+9.5%</v>
      </c>
      <c r="L1793" s="83" t="str">
        <f ca="1">IF(MOD(COUNTIF($Q$11:Q1792,Q1792),5)=0,OFFSET(装备属性!$G$1083,1+INT(COUNTA($Q$11:Q1792)/5),0),L1792)</f>
        <v>召唤加班Ⅴ</v>
      </c>
      <c r="M1793" s="89" t="str">
        <f ca="1">IF(MOD(COUNTIF($Q$11:Q1792,Q1792),5)=0,OFFSET(装备属性!$H$1083,1+INT(COUNTA($Q$11:Q1792)/5),0),M1792)</f>
        <v>summon_dmg_rate</v>
      </c>
      <c r="N1793" s="76">
        <f ca="1">IF(MOD(COUNTIF($Q$11:Q1792,Q1792),5)=0,OFFSET(装备属性!$K$1083,1+INT(COUNTA($Q$11:Q1792)/5),0),N1792)</f>
        <v>0.09</v>
      </c>
      <c r="O1793" s="76">
        <f ca="1">IF(MOD(COUNTIF($Q$11:Q1792,Q1792),5)=0,OFFSET(装备属性!$L$1083,1+INT(COUNTA($Q$11:Q1792)/5),0),O1792)</f>
        <v>0.1</v>
      </c>
      <c r="Q1793" s="89" t="str">
        <f ca="1">IF(MOD(COUNTIF($Q$11:Q1792,Q1792),5)=0,OFFSET(装备属性!$M$1083,1+INT(COUNTA($Q$11:Q1792)/5),0),Q1792)</f>
        <v>通用属性</v>
      </c>
      <c r="R1793" s="83">
        <f ca="1">IF(MOD(COUNTIF($Q$11:Q1792,Q1792),5)=0,10000*SUBSTITUTE(SUBSTITUTE(OFFSET(装备属性!$F$1083,1+INT(COUNTA($Q$11:Q1792)/5),0),"[",""),"]","")+_xlfn.XLOOKUP(C1793,$M$3:$M$7,$N$3:$N$7)*100,R1792)</f>
        <v>60800</v>
      </c>
    </row>
    <row r="1794" customHeight="1" spans="1:18">
      <c r="A1794" s="78">
        <f ca="1" t="shared" si="85"/>
        <v>60801</v>
      </c>
      <c r="B1794" s="82">
        <f ca="1">IFERROR(R1794+COUNTIFS($R$11:$R1794,R1794),"")</f>
        <v>60834</v>
      </c>
      <c r="C1794" s="83" t="str">
        <f ca="1">IF(MOD(COUNTIF($Q$11:Q1793,Q1793),5)=0,OFFSET(装备属性!$D$1083,1+INT(COUNTA($Q$11:Q1793)/5),0),C1793)</f>
        <v>彩</v>
      </c>
      <c r="D1794" s="82">
        <f t="shared" si="88"/>
        <v>1500</v>
      </c>
      <c r="F1794" s="82">
        <f ca="1" t="shared" si="86"/>
        <v>60806</v>
      </c>
      <c r="G1794" s="78" t="str">
        <f ca="1">IF(AND(LEFT("[{"&amp;M1794&amp;","&amp;CEILING(N1794*10000+(O1794-N1794)/4*(COUNTIF($F$11:F1794,F1794)-1)*10000,10)&amp;"}]",7)="[{equip",MID("[{"&amp;M1794&amp;","&amp;CEILING(N1794*10000+(O1794-N1794)/4*(COUNTIF($F$11:F1794,F1794)-1)*10000,10)&amp;"}]",8,1)&lt;&gt;"_"),"[{"&amp;M1794&amp;","&amp;1&amp;"}]","[{"&amp;M1794&amp;","&amp;CEILING(N1794*10000+(O1794-N1794)/4*(COUNTIF($F$11:F1794,F1794)-1)*10000,10)&amp;"}]")</f>
        <v>[{summon_dmg_rate,980}]</v>
      </c>
      <c r="H1794" s="82" t="s">
        <v>563</v>
      </c>
      <c r="J1794" s="78">
        <f ca="1">IF(MOD(COUNTIF($Q$11:Q1793,Q1793),5)=0,OFFSET(装备属性!$P$1083,1+INT(COUNTA($Q$11:Q1793)/5),0),J1793)</f>
        <v>5</v>
      </c>
      <c r="K1794" s="83" t="str">
        <f ca="1">IF(RIGHT(G1794,13)="rune_slot,1}]",_xlfn.XLOOKUP(LEFT(SUBSTITUTE(G1794,"[{",""),FIND(",",SUBSTITUTE(G1794,"[{",""))-1),Sheet2!B:B,Sheet2!C:C)&amp;"+"&amp;1,_xlfn.XLOOKUP(LEFT(SUBSTITUTE(G1794,"[{",""),FIND(",",SUBSTITUTE(G1794,"[{",""))-1),Sheet2!B:B,Sheet2!C:C)&amp;"+"&amp;SUBSTITUTE(RIGHT(G1794,LEN(G1794)-FIND(",",G1794)),"}]","")/100&amp;"%")</f>
        <v>召唤伤害+9.8%</v>
      </c>
      <c r="L1794" s="83" t="str">
        <f ca="1">IF(MOD(COUNTIF($Q$11:Q1793,Q1793),5)=0,OFFSET(装备属性!$G$1083,1+INT(COUNTA($Q$11:Q1793)/5),0),L1793)</f>
        <v>召唤加班Ⅴ</v>
      </c>
      <c r="M1794" s="89" t="str">
        <f ca="1">IF(MOD(COUNTIF($Q$11:Q1793,Q1793),5)=0,OFFSET(装备属性!$H$1083,1+INT(COUNTA($Q$11:Q1793)/5),0),M1793)</f>
        <v>summon_dmg_rate</v>
      </c>
      <c r="N1794" s="76">
        <f ca="1">IF(MOD(COUNTIF($Q$11:Q1793,Q1793),5)=0,OFFSET(装备属性!$K$1083,1+INT(COUNTA($Q$11:Q1793)/5),0),N1793)</f>
        <v>0.09</v>
      </c>
      <c r="O1794" s="76">
        <f ca="1">IF(MOD(COUNTIF($Q$11:Q1793,Q1793),5)=0,OFFSET(装备属性!$L$1083,1+INT(COUNTA($Q$11:Q1793)/5),0),O1793)</f>
        <v>0.1</v>
      </c>
      <c r="Q1794" s="89" t="str">
        <f ca="1">IF(MOD(COUNTIF($Q$11:Q1793,Q1793),5)=0,OFFSET(装备属性!$M$1083,1+INT(COUNTA($Q$11:Q1793)/5),0),Q1793)</f>
        <v>通用属性</v>
      </c>
      <c r="R1794" s="83">
        <f ca="1">IF(MOD(COUNTIF($Q$11:Q1793,Q1793),5)=0,10000*SUBSTITUTE(SUBSTITUTE(OFFSET(装备属性!$F$1083,1+INT(COUNTA($Q$11:Q1793)/5),0),"[",""),"]","")+_xlfn.XLOOKUP(C1794,$M$3:$M$7,$N$3:$N$7)*100,R1793)</f>
        <v>60800</v>
      </c>
    </row>
    <row r="1795" customHeight="1" spans="1:18">
      <c r="A1795" s="78">
        <f ca="1" t="shared" si="85"/>
        <v>60801</v>
      </c>
      <c r="B1795" s="82">
        <f ca="1">IFERROR(R1795+COUNTIFS($R$11:$R1795,R1795),"")</f>
        <v>60835</v>
      </c>
      <c r="C1795" s="83" t="str">
        <f ca="1">IF(MOD(COUNTIF($Q$11:Q1794,Q1794),5)=0,OFFSET(装备属性!$D$1083,1+INT(COUNTA($Q$11:Q1794)/5),0),C1794)</f>
        <v>彩</v>
      </c>
      <c r="D1795" s="82">
        <f t="shared" si="88"/>
        <v>1000</v>
      </c>
      <c r="F1795" s="82">
        <f ca="1" t="shared" si="86"/>
        <v>60806</v>
      </c>
      <c r="G1795" s="78" t="str">
        <f ca="1">IF(AND(LEFT("[{"&amp;M1795&amp;","&amp;CEILING(N1795*10000+(O1795-N1795)/4*(COUNTIF($F$11:F1795,F1795)-1)*10000,10)&amp;"}]",7)="[{equip",MID("[{"&amp;M1795&amp;","&amp;CEILING(N1795*10000+(O1795-N1795)/4*(COUNTIF($F$11:F1795,F1795)-1)*10000,10)&amp;"}]",8,1)&lt;&gt;"_"),"[{"&amp;M1795&amp;","&amp;1&amp;"}]","[{"&amp;M1795&amp;","&amp;CEILING(N1795*10000+(O1795-N1795)/4*(COUNTIF($F$11:F1795,F1795)-1)*10000,10)&amp;"}]")</f>
        <v>[{summon_dmg_rate,1000}]</v>
      </c>
      <c r="H1795" s="82" t="s">
        <v>563</v>
      </c>
      <c r="J1795" s="78">
        <f ca="1">IF(MOD(COUNTIF($Q$11:Q1794,Q1794),5)=0,OFFSET(装备属性!$P$1083,1+INT(COUNTA($Q$11:Q1794)/5),0),J1794)</f>
        <v>5</v>
      </c>
      <c r="K1795" s="83" t="str">
        <f ca="1">IF(RIGHT(G1795,13)="rune_slot,1}]",_xlfn.XLOOKUP(LEFT(SUBSTITUTE(G1795,"[{",""),FIND(",",SUBSTITUTE(G1795,"[{",""))-1),Sheet2!B:B,Sheet2!C:C)&amp;"+"&amp;1,_xlfn.XLOOKUP(LEFT(SUBSTITUTE(G1795,"[{",""),FIND(",",SUBSTITUTE(G1795,"[{",""))-1),Sheet2!B:B,Sheet2!C:C)&amp;"+"&amp;SUBSTITUTE(RIGHT(G1795,LEN(G1795)-FIND(",",G1795)),"}]","")/100&amp;"%")</f>
        <v>召唤伤害+10%</v>
      </c>
      <c r="L1795" s="83" t="str">
        <f ca="1">IF(MOD(COUNTIF($Q$11:Q1794,Q1794),5)=0,OFFSET(装备属性!$G$1083,1+INT(COUNTA($Q$11:Q1794)/5),0),L1794)</f>
        <v>召唤加班Ⅴ</v>
      </c>
      <c r="M1795" s="89" t="str">
        <f ca="1">IF(MOD(COUNTIF($Q$11:Q1794,Q1794),5)=0,OFFSET(装备属性!$H$1083,1+INT(COUNTA($Q$11:Q1794)/5),0),M1794)</f>
        <v>summon_dmg_rate</v>
      </c>
      <c r="N1795" s="76">
        <f ca="1">IF(MOD(COUNTIF($Q$11:Q1794,Q1794),5)=0,OFFSET(装备属性!$K$1083,1+INT(COUNTA($Q$11:Q1794)/5),0),N1794)</f>
        <v>0.09</v>
      </c>
      <c r="O1795" s="76">
        <f ca="1">IF(MOD(COUNTIF($Q$11:Q1794,Q1794),5)=0,OFFSET(装备属性!$L$1083,1+INT(COUNTA($Q$11:Q1794)/5),0),O1794)</f>
        <v>0.1</v>
      </c>
      <c r="Q1795" s="89" t="str">
        <f ca="1">IF(MOD(COUNTIF($Q$11:Q1794,Q1794),5)=0,OFFSET(装备属性!$M$1083,1+INT(COUNTA($Q$11:Q1794)/5),0),Q1794)</f>
        <v>通用属性</v>
      </c>
      <c r="R1795" s="83">
        <f ca="1">IF(MOD(COUNTIF($Q$11:Q1794,Q1794),5)=0,10000*SUBSTITUTE(SUBSTITUTE(OFFSET(装备属性!$F$1083,1+INT(COUNTA($Q$11:Q1794)/5),0),"[",""),"]","")+_xlfn.XLOOKUP(C1795,$M$3:$M$7,$N$3:$N$7)*100,R1794)</f>
        <v>60800</v>
      </c>
    </row>
    <row r="1796" customHeight="1" spans="1:18">
      <c r="A1796" s="78">
        <f ca="1" t="shared" si="85"/>
        <v>60801</v>
      </c>
      <c r="B1796" s="82">
        <f ca="1">IFERROR(R1796+COUNTIFS($R$11:$R1796,R1796),"")</f>
        <v>60836</v>
      </c>
      <c r="C1796" s="83" t="str">
        <f ca="1">IF(MOD(COUNTIF($Q$11:Q1795,Q1795),5)=0,OFFSET(装备属性!$D$1083,1+INT(COUNTA($Q$11:Q1795)/5),0),C1795)</f>
        <v>彩</v>
      </c>
      <c r="D1796" s="82">
        <f t="shared" si="88"/>
        <v>3000</v>
      </c>
      <c r="F1796" s="82">
        <f ca="1" t="shared" si="86"/>
        <v>60807</v>
      </c>
      <c r="G1796" s="78" t="str">
        <f ca="1">IF(AND(LEFT("[{"&amp;M1796&amp;","&amp;CEILING(N1796*10000+(O1796-N1796)/4*(COUNTIF($F$11:F1796,F1796)-1)*10000,10)&amp;"}]",7)="[{equip",MID("[{"&amp;M1796&amp;","&amp;CEILING(N1796*10000+(O1796-N1796)/4*(COUNTIF($F$11:F1796,F1796)-1)*10000,10)&amp;"}]",8,1)&lt;&gt;"_"),"[{"&amp;M1796&amp;","&amp;1&amp;"}]","[{"&amp;M1796&amp;","&amp;CEILING(N1796*10000+(O1796-N1796)/4*(COUNTIF($F$11:F1796,F1796)-1)*10000,10)&amp;"}]")</f>
        <v>[{summon_dmg_red_rate,350}]</v>
      </c>
      <c r="H1796" s="82" t="s">
        <v>563</v>
      </c>
      <c r="J1796" s="78">
        <f ca="1">IF(MOD(COUNTIF($Q$11:Q1795,Q1795),5)=0,OFFSET(装备属性!$P$1083,1+INT(COUNTA($Q$11:Q1795)/5),0),J1795)</f>
        <v>3</v>
      </c>
      <c r="K1796" s="83" t="str">
        <f ca="1">IF(RIGHT(G1796,13)="rune_slot,1}]",_xlfn.XLOOKUP(LEFT(SUBSTITUTE(G1796,"[{",""),FIND(",",SUBSTITUTE(G1796,"[{",""))-1),Sheet2!B:B,Sheet2!C:C)&amp;"+"&amp;1,_xlfn.XLOOKUP(LEFT(SUBSTITUTE(G1796,"[{",""),FIND(",",SUBSTITUTE(G1796,"[{",""))-1),Sheet2!B:B,Sheet2!C:C)&amp;"+"&amp;SUBSTITUTE(RIGHT(G1796,LEN(G1796)-FIND(",",G1796)),"}]","")/100&amp;"%")</f>
        <v>召唤伤害减免+3.5%</v>
      </c>
      <c r="L1796" s="83" t="str">
        <f ca="1">IF(MOD(COUNTIF($Q$11:Q1795,Q1795),5)=0,OFFSET(装备属性!$G$1083,1+INT(COUNTA($Q$11:Q1795)/5),0),L1795)</f>
        <v>召唤硬吃Ⅴ</v>
      </c>
      <c r="M1796" s="89" t="str">
        <f ca="1">IF(MOD(COUNTIF($Q$11:Q1795,Q1795),5)=0,OFFSET(装备属性!$H$1083,1+INT(COUNTA($Q$11:Q1795)/5),0),M1795)</f>
        <v>summon_dmg_red_rate</v>
      </c>
      <c r="N1796" s="76">
        <f ca="1">IF(MOD(COUNTIF($Q$11:Q1795,Q1795),5)=0,OFFSET(装备属性!$K$1083,1+INT(COUNTA($Q$11:Q1795)/5),0),N1795)</f>
        <v>0.035</v>
      </c>
      <c r="O1796" s="76">
        <f ca="1">IF(MOD(COUNTIF($Q$11:Q1795,Q1795),5)=0,OFFSET(装备属性!$L$1083,1+INT(COUNTA($Q$11:Q1795)/5),0),O1795)</f>
        <v>0.039</v>
      </c>
      <c r="Q1796" s="89" t="str">
        <f ca="1">IF(MOD(COUNTIF($Q$11:Q1795,Q1795),5)=0,OFFSET(装备属性!$M$1083,1+INT(COUNTA($Q$11:Q1795)/5),0),Q1795)</f>
        <v>通用属性</v>
      </c>
      <c r="R1796" s="83">
        <f ca="1">IF(MOD(COUNTIF($Q$11:Q1795,Q1795),5)=0,10000*SUBSTITUTE(SUBSTITUTE(OFFSET(装备属性!$F$1083,1+INT(COUNTA($Q$11:Q1795)/5),0),"[",""),"]","")+_xlfn.XLOOKUP(C1796,$M$3:$M$7,$N$3:$N$7)*100,R1795)</f>
        <v>60800</v>
      </c>
    </row>
    <row r="1797" customHeight="1" spans="1:18">
      <c r="A1797" s="78">
        <f ca="1" t="shared" si="85"/>
        <v>60801</v>
      </c>
      <c r="B1797" s="82">
        <f ca="1">IFERROR(R1797+COUNTIFS($R$11:$R1797,R1797),"")</f>
        <v>60837</v>
      </c>
      <c r="C1797" s="83" t="str">
        <f ca="1">IF(MOD(COUNTIF($Q$11:Q1796,Q1796),5)=0,OFFSET(装备属性!$D$1083,1+INT(COUNTA($Q$11:Q1796)/5),0),C1796)</f>
        <v>彩</v>
      </c>
      <c r="D1797" s="82">
        <f t="shared" si="88"/>
        <v>2500</v>
      </c>
      <c r="F1797" s="82">
        <f ca="1" t="shared" si="86"/>
        <v>60807</v>
      </c>
      <c r="G1797" s="78" t="str">
        <f ca="1">IF(AND(LEFT("[{"&amp;M1797&amp;","&amp;CEILING(N1797*10000+(O1797-N1797)/4*(COUNTIF($F$11:F1797,F1797)-1)*10000,10)&amp;"}]",7)="[{equip",MID("[{"&amp;M1797&amp;","&amp;CEILING(N1797*10000+(O1797-N1797)/4*(COUNTIF($F$11:F1797,F1797)-1)*10000,10)&amp;"}]",8,1)&lt;&gt;"_"),"[{"&amp;M1797&amp;","&amp;1&amp;"}]","[{"&amp;M1797&amp;","&amp;CEILING(N1797*10000+(O1797-N1797)/4*(COUNTIF($F$11:F1797,F1797)-1)*10000,10)&amp;"}]")</f>
        <v>[{summon_dmg_red_rate,360}]</v>
      </c>
      <c r="H1797" s="82" t="s">
        <v>563</v>
      </c>
      <c r="J1797" s="78">
        <f ca="1">IF(MOD(COUNTIF($Q$11:Q1796,Q1796),5)=0,OFFSET(装备属性!$P$1083,1+INT(COUNTA($Q$11:Q1796)/5),0),J1796)</f>
        <v>3</v>
      </c>
      <c r="K1797" s="83" t="str">
        <f ca="1">IF(RIGHT(G1797,13)="rune_slot,1}]",_xlfn.XLOOKUP(LEFT(SUBSTITUTE(G1797,"[{",""),FIND(",",SUBSTITUTE(G1797,"[{",""))-1),Sheet2!B:B,Sheet2!C:C)&amp;"+"&amp;1,_xlfn.XLOOKUP(LEFT(SUBSTITUTE(G1797,"[{",""),FIND(",",SUBSTITUTE(G1797,"[{",""))-1),Sheet2!B:B,Sheet2!C:C)&amp;"+"&amp;SUBSTITUTE(RIGHT(G1797,LEN(G1797)-FIND(",",G1797)),"}]","")/100&amp;"%")</f>
        <v>召唤伤害减免+3.6%</v>
      </c>
      <c r="L1797" s="83" t="str">
        <f ca="1">IF(MOD(COUNTIF($Q$11:Q1796,Q1796),5)=0,OFFSET(装备属性!$G$1083,1+INT(COUNTA($Q$11:Q1796)/5),0),L1796)</f>
        <v>召唤硬吃Ⅴ</v>
      </c>
      <c r="M1797" s="89" t="str">
        <f ca="1">IF(MOD(COUNTIF($Q$11:Q1796,Q1796),5)=0,OFFSET(装备属性!$H$1083,1+INT(COUNTA($Q$11:Q1796)/5),0),M1796)</f>
        <v>summon_dmg_red_rate</v>
      </c>
      <c r="N1797" s="76">
        <f ca="1">IF(MOD(COUNTIF($Q$11:Q1796,Q1796),5)=0,OFFSET(装备属性!$K$1083,1+INT(COUNTA($Q$11:Q1796)/5),0),N1796)</f>
        <v>0.035</v>
      </c>
      <c r="O1797" s="76">
        <f ca="1">IF(MOD(COUNTIF($Q$11:Q1796,Q1796),5)=0,OFFSET(装备属性!$L$1083,1+INT(COUNTA($Q$11:Q1796)/5),0),O1796)</f>
        <v>0.039</v>
      </c>
      <c r="Q1797" s="89" t="str">
        <f ca="1">IF(MOD(COUNTIF($Q$11:Q1796,Q1796),5)=0,OFFSET(装备属性!$M$1083,1+INT(COUNTA($Q$11:Q1796)/5),0),Q1796)</f>
        <v>通用属性</v>
      </c>
      <c r="R1797" s="83">
        <f ca="1">IF(MOD(COUNTIF($Q$11:Q1796,Q1796),5)=0,10000*SUBSTITUTE(SUBSTITUTE(OFFSET(装备属性!$F$1083,1+INT(COUNTA($Q$11:Q1796)/5),0),"[",""),"]","")+_xlfn.XLOOKUP(C1797,$M$3:$M$7,$N$3:$N$7)*100,R1796)</f>
        <v>60800</v>
      </c>
    </row>
    <row r="1798" customHeight="1" spans="1:18">
      <c r="A1798" s="78">
        <f ca="1" t="shared" si="85"/>
        <v>60801</v>
      </c>
      <c r="B1798" s="82">
        <f ca="1">IFERROR(R1798+COUNTIFS($R$11:$R1798,R1798),"")</f>
        <v>60838</v>
      </c>
      <c r="C1798" s="83" t="str">
        <f ca="1">IF(MOD(COUNTIF($Q$11:Q1797,Q1797),5)=0,OFFSET(装备属性!$D$1083,1+INT(COUNTA($Q$11:Q1797)/5),0),C1797)</f>
        <v>彩</v>
      </c>
      <c r="D1798" s="82">
        <f t="shared" si="88"/>
        <v>2000</v>
      </c>
      <c r="F1798" s="82">
        <f ca="1" t="shared" si="86"/>
        <v>60807</v>
      </c>
      <c r="G1798" s="78" t="str">
        <f ca="1">IF(AND(LEFT("[{"&amp;M1798&amp;","&amp;CEILING(N1798*10000+(O1798-N1798)/4*(COUNTIF($F$11:F1798,F1798)-1)*10000,10)&amp;"}]",7)="[{equip",MID("[{"&amp;M1798&amp;","&amp;CEILING(N1798*10000+(O1798-N1798)/4*(COUNTIF($F$11:F1798,F1798)-1)*10000,10)&amp;"}]",8,1)&lt;&gt;"_"),"[{"&amp;M1798&amp;","&amp;1&amp;"}]","[{"&amp;M1798&amp;","&amp;CEILING(N1798*10000+(O1798-N1798)/4*(COUNTIF($F$11:F1798,F1798)-1)*10000,10)&amp;"}]")</f>
        <v>[{summon_dmg_red_rate,370}]</v>
      </c>
      <c r="H1798" s="82" t="s">
        <v>563</v>
      </c>
      <c r="J1798" s="78">
        <f ca="1">IF(MOD(COUNTIF($Q$11:Q1797,Q1797),5)=0,OFFSET(装备属性!$P$1083,1+INT(COUNTA($Q$11:Q1797)/5),0),J1797)</f>
        <v>3</v>
      </c>
      <c r="K1798" s="83" t="str">
        <f ca="1">IF(RIGHT(G1798,13)="rune_slot,1}]",_xlfn.XLOOKUP(LEFT(SUBSTITUTE(G1798,"[{",""),FIND(",",SUBSTITUTE(G1798,"[{",""))-1),Sheet2!B:B,Sheet2!C:C)&amp;"+"&amp;1,_xlfn.XLOOKUP(LEFT(SUBSTITUTE(G1798,"[{",""),FIND(",",SUBSTITUTE(G1798,"[{",""))-1),Sheet2!B:B,Sheet2!C:C)&amp;"+"&amp;SUBSTITUTE(RIGHT(G1798,LEN(G1798)-FIND(",",G1798)),"}]","")/100&amp;"%")</f>
        <v>召唤伤害减免+3.7%</v>
      </c>
      <c r="L1798" s="83" t="str">
        <f ca="1">IF(MOD(COUNTIF($Q$11:Q1797,Q1797),5)=0,OFFSET(装备属性!$G$1083,1+INT(COUNTA($Q$11:Q1797)/5),0),L1797)</f>
        <v>召唤硬吃Ⅴ</v>
      </c>
      <c r="M1798" s="89" t="str">
        <f ca="1">IF(MOD(COUNTIF($Q$11:Q1797,Q1797),5)=0,OFFSET(装备属性!$H$1083,1+INT(COUNTA($Q$11:Q1797)/5),0),M1797)</f>
        <v>summon_dmg_red_rate</v>
      </c>
      <c r="N1798" s="76">
        <f ca="1">IF(MOD(COUNTIF($Q$11:Q1797,Q1797),5)=0,OFFSET(装备属性!$K$1083,1+INT(COUNTA($Q$11:Q1797)/5),0),N1797)</f>
        <v>0.035</v>
      </c>
      <c r="O1798" s="76">
        <f ca="1">IF(MOD(COUNTIF($Q$11:Q1797,Q1797),5)=0,OFFSET(装备属性!$L$1083,1+INT(COUNTA($Q$11:Q1797)/5),0),O1797)</f>
        <v>0.039</v>
      </c>
      <c r="Q1798" s="89" t="str">
        <f ca="1">IF(MOD(COUNTIF($Q$11:Q1797,Q1797),5)=0,OFFSET(装备属性!$M$1083,1+INT(COUNTA($Q$11:Q1797)/5),0),Q1797)</f>
        <v>通用属性</v>
      </c>
      <c r="R1798" s="83">
        <f ca="1">IF(MOD(COUNTIF($Q$11:Q1797,Q1797),5)=0,10000*SUBSTITUTE(SUBSTITUTE(OFFSET(装备属性!$F$1083,1+INT(COUNTA($Q$11:Q1797)/5),0),"[",""),"]","")+_xlfn.XLOOKUP(C1798,$M$3:$M$7,$N$3:$N$7)*100,R1797)</f>
        <v>60800</v>
      </c>
    </row>
    <row r="1799" customHeight="1" spans="1:18">
      <c r="A1799" s="78">
        <f ca="1" t="shared" si="85"/>
        <v>60801</v>
      </c>
      <c r="B1799" s="82">
        <f ca="1">IFERROR(R1799+COUNTIFS($R$11:$R1799,R1799),"")</f>
        <v>60839</v>
      </c>
      <c r="C1799" s="83" t="str">
        <f ca="1">IF(MOD(COUNTIF($Q$11:Q1798,Q1798),5)=0,OFFSET(装备属性!$D$1083,1+INT(COUNTA($Q$11:Q1798)/5),0),C1798)</f>
        <v>彩</v>
      </c>
      <c r="D1799" s="82">
        <f t="shared" si="88"/>
        <v>1500</v>
      </c>
      <c r="F1799" s="82">
        <f ca="1" t="shared" si="86"/>
        <v>60807</v>
      </c>
      <c r="G1799" s="78" t="str">
        <f ca="1">IF(AND(LEFT("[{"&amp;M1799&amp;","&amp;CEILING(N1799*10000+(O1799-N1799)/4*(COUNTIF($F$11:F1799,F1799)-1)*10000,10)&amp;"}]",7)="[{equip",MID("[{"&amp;M1799&amp;","&amp;CEILING(N1799*10000+(O1799-N1799)/4*(COUNTIF($F$11:F1799,F1799)-1)*10000,10)&amp;"}]",8,1)&lt;&gt;"_"),"[{"&amp;M1799&amp;","&amp;1&amp;"}]","[{"&amp;M1799&amp;","&amp;CEILING(N1799*10000+(O1799-N1799)/4*(COUNTIF($F$11:F1799,F1799)-1)*10000,10)&amp;"}]")</f>
        <v>[{summon_dmg_red_rate,380}]</v>
      </c>
      <c r="H1799" s="82" t="s">
        <v>563</v>
      </c>
      <c r="J1799" s="78">
        <f ca="1">IF(MOD(COUNTIF($Q$11:Q1798,Q1798),5)=0,OFFSET(装备属性!$P$1083,1+INT(COUNTA($Q$11:Q1798)/5),0),J1798)</f>
        <v>3</v>
      </c>
      <c r="K1799" s="83" t="str">
        <f ca="1">IF(RIGHT(G1799,13)="rune_slot,1}]",_xlfn.XLOOKUP(LEFT(SUBSTITUTE(G1799,"[{",""),FIND(",",SUBSTITUTE(G1799,"[{",""))-1),Sheet2!B:B,Sheet2!C:C)&amp;"+"&amp;1,_xlfn.XLOOKUP(LEFT(SUBSTITUTE(G1799,"[{",""),FIND(",",SUBSTITUTE(G1799,"[{",""))-1),Sheet2!B:B,Sheet2!C:C)&amp;"+"&amp;SUBSTITUTE(RIGHT(G1799,LEN(G1799)-FIND(",",G1799)),"}]","")/100&amp;"%")</f>
        <v>召唤伤害减免+3.8%</v>
      </c>
      <c r="L1799" s="83" t="str">
        <f ca="1">IF(MOD(COUNTIF($Q$11:Q1798,Q1798),5)=0,OFFSET(装备属性!$G$1083,1+INT(COUNTA($Q$11:Q1798)/5),0),L1798)</f>
        <v>召唤硬吃Ⅴ</v>
      </c>
      <c r="M1799" s="89" t="str">
        <f ca="1">IF(MOD(COUNTIF($Q$11:Q1798,Q1798),5)=0,OFFSET(装备属性!$H$1083,1+INT(COUNTA($Q$11:Q1798)/5),0),M1798)</f>
        <v>summon_dmg_red_rate</v>
      </c>
      <c r="N1799" s="76">
        <f ca="1">IF(MOD(COUNTIF($Q$11:Q1798,Q1798),5)=0,OFFSET(装备属性!$K$1083,1+INT(COUNTA($Q$11:Q1798)/5),0),N1798)</f>
        <v>0.035</v>
      </c>
      <c r="O1799" s="76">
        <f ca="1">IF(MOD(COUNTIF($Q$11:Q1798,Q1798),5)=0,OFFSET(装备属性!$L$1083,1+INT(COUNTA($Q$11:Q1798)/5),0),O1798)</f>
        <v>0.039</v>
      </c>
      <c r="Q1799" s="89" t="str">
        <f ca="1">IF(MOD(COUNTIF($Q$11:Q1798,Q1798),5)=0,OFFSET(装备属性!$M$1083,1+INT(COUNTA($Q$11:Q1798)/5),0),Q1798)</f>
        <v>通用属性</v>
      </c>
      <c r="R1799" s="83">
        <f ca="1">IF(MOD(COUNTIF($Q$11:Q1798,Q1798),5)=0,10000*SUBSTITUTE(SUBSTITUTE(OFFSET(装备属性!$F$1083,1+INT(COUNTA($Q$11:Q1798)/5),0),"[",""),"]","")+_xlfn.XLOOKUP(C1799,$M$3:$M$7,$N$3:$N$7)*100,R1798)</f>
        <v>60800</v>
      </c>
    </row>
    <row r="1800" customHeight="1" spans="1:18">
      <c r="A1800" s="78">
        <f ca="1" t="shared" si="85"/>
        <v>60801</v>
      </c>
      <c r="B1800" s="82">
        <f ca="1">IFERROR(R1800+COUNTIFS($R$11:$R1800,R1800),"")</f>
        <v>60840</v>
      </c>
      <c r="C1800" s="83" t="str">
        <f ca="1">IF(MOD(COUNTIF($Q$11:Q1799,Q1799),5)=0,OFFSET(装备属性!$D$1083,1+INT(COUNTA($Q$11:Q1799)/5),0),C1799)</f>
        <v>彩</v>
      </c>
      <c r="D1800" s="82">
        <f t="shared" si="88"/>
        <v>1000</v>
      </c>
      <c r="F1800" s="82">
        <f ca="1" t="shared" si="86"/>
        <v>60807</v>
      </c>
      <c r="G1800" s="78" t="str">
        <f ca="1">IF(AND(LEFT("[{"&amp;M1800&amp;","&amp;CEILING(N1800*10000+(O1800-N1800)/4*(COUNTIF($F$11:F1800,F1800)-1)*10000,10)&amp;"}]",7)="[{equip",MID("[{"&amp;M1800&amp;","&amp;CEILING(N1800*10000+(O1800-N1800)/4*(COUNTIF($F$11:F1800,F1800)-1)*10000,10)&amp;"}]",8,1)&lt;&gt;"_"),"[{"&amp;M1800&amp;","&amp;1&amp;"}]","[{"&amp;M1800&amp;","&amp;CEILING(N1800*10000+(O1800-N1800)/4*(COUNTIF($F$11:F1800,F1800)-1)*10000,10)&amp;"}]")</f>
        <v>[{summon_dmg_red_rate,390}]</v>
      </c>
      <c r="H1800" s="82" t="s">
        <v>563</v>
      </c>
      <c r="J1800" s="78">
        <f ca="1">IF(MOD(COUNTIF($Q$11:Q1799,Q1799),5)=0,OFFSET(装备属性!$P$1083,1+INT(COUNTA($Q$11:Q1799)/5),0),J1799)</f>
        <v>3</v>
      </c>
      <c r="K1800" s="83" t="str">
        <f ca="1">IF(RIGHT(G1800,13)="rune_slot,1}]",_xlfn.XLOOKUP(LEFT(SUBSTITUTE(G1800,"[{",""),FIND(",",SUBSTITUTE(G1800,"[{",""))-1),Sheet2!B:B,Sheet2!C:C)&amp;"+"&amp;1,_xlfn.XLOOKUP(LEFT(SUBSTITUTE(G1800,"[{",""),FIND(",",SUBSTITUTE(G1800,"[{",""))-1),Sheet2!B:B,Sheet2!C:C)&amp;"+"&amp;SUBSTITUTE(RIGHT(G1800,LEN(G1800)-FIND(",",G1800)),"}]","")/100&amp;"%")</f>
        <v>召唤伤害减免+3.9%</v>
      </c>
      <c r="L1800" s="83" t="str">
        <f ca="1">IF(MOD(COUNTIF($Q$11:Q1799,Q1799),5)=0,OFFSET(装备属性!$G$1083,1+INT(COUNTA($Q$11:Q1799)/5),0),L1799)</f>
        <v>召唤硬吃Ⅴ</v>
      </c>
      <c r="M1800" s="89" t="str">
        <f ca="1">IF(MOD(COUNTIF($Q$11:Q1799,Q1799),5)=0,OFFSET(装备属性!$H$1083,1+INT(COUNTA($Q$11:Q1799)/5),0),M1799)</f>
        <v>summon_dmg_red_rate</v>
      </c>
      <c r="N1800" s="76">
        <f ca="1">IF(MOD(COUNTIF($Q$11:Q1799,Q1799),5)=0,OFFSET(装备属性!$K$1083,1+INT(COUNTA($Q$11:Q1799)/5),0),N1799)</f>
        <v>0.035</v>
      </c>
      <c r="O1800" s="76">
        <f ca="1">IF(MOD(COUNTIF($Q$11:Q1799,Q1799),5)=0,OFFSET(装备属性!$L$1083,1+INT(COUNTA($Q$11:Q1799)/5),0),O1799)</f>
        <v>0.039</v>
      </c>
      <c r="Q1800" s="89" t="str">
        <f ca="1">IF(MOD(COUNTIF($Q$11:Q1799,Q1799),5)=0,OFFSET(装备属性!$M$1083,1+INT(COUNTA($Q$11:Q1799)/5),0),Q1799)</f>
        <v>通用属性</v>
      </c>
      <c r="R1800" s="83">
        <f ca="1">IF(MOD(COUNTIF($Q$11:Q1799,Q1799),5)=0,10000*SUBSTITUTE(SUBSTITUTE(OFFSET(装备属性!$F$1083,1+INT(COUNTA($Q$11:Q1799)/5),0),"[",""),"]","")+_xlfn.XLOOKUP(C1800,$M$3:$M$7,$N$3:$N$7)*100,R1799)</f>
        <v>60800</v>
      </c>
    </row>
    <row r="1801" customHeight="1" spans="1:18">
      <c r="A1801" s="78">
        <f ca="1" t="shared" si="85"/>
        <v>60801</v>
      </c>
      <c r="B1801" s="82">
        <f ca="1">IFERROR(R1801+COUNTIFS($R$11:$R1801,R1801),"")</f>
        <v>60841</v>
      </c>
      <c r="C1801" s="83" t="str">
        <f ca="1">IF(MOD(COUNTIF($Q$11:Q1800,Q1800),5)=0,OFFSET(装备属性!$D$1083,1+INT(COUNTA($Q$11:Q1800)/5),0),C1800)</f>
        <v>彩</v>
      </c>
      <c r="D1801" s="82">
        <f t="shared" si="88"/>
        <v>3000</v>
      </c>
      <c r="F1801" s="82">
        <f ca="1" t="shared" si="86"/>
        <v>60808</v>
      </c>
      <c r="G1801" s="78" t="str">
        <f ca="1">IF(AND(LEFT("[{"&amp;M1801&amp;","&amp;CEILING(N1801*10000+(O1801-N1801)/4*(COUNTIF($F$11:F1801,F1801)-1)*10000,10)&amp;"}]",7)="[{equip",MID("[{"&amp;M1801&amp;","&amp;CEILING(N1801*10000+(O1801-N1801)/4*(COUNTIF($F$11:F1801,F1801)-1)*10000,10)&amp;"}]",8,1)&lt;&gt;"_"),"[{"&amp;M1801&amp;","&amp;1&amp;"}]","[{"&amp;M1801&amp;","&amp;CEILING(N1801*10000+(O1801-N1801)/4*(COUNTIF($F$11:F1801,F1801)-1)*10000,10)&amp;"}]")</f>
        <v>[{summon_class_dmg_rate,1300}]</v>
      </c>
      <c r="H1801" s="82" t="s">
        <v>563</v>
      </c>
      <c r="J1801" s="78">
        <f ca="1">IF(MOD(COUNTIF($Q$11:Q1800,Q1800),5)=0,OFFSET(装备属性!$P$1083,1+INT(COUNTA($Q$11:Q1800)/5),0),J1800)</f>
        <v>4</v>
      </c>
      <c r="K1801" s="83" t="str">
        <f ca="1">IF(RIGHT(G1801,13)="rune_slot,1}]",_xlfn.XLOOKUP(LEFT(SUBSTITUTE(G1801,"[{",""),FIND(",",SUBSTITUTE(G1801,"[{",""))-1),Sheet2!B:B,Sheet2!C:C)&amp;"+"&amp;1,_xlfn.XLOOKUP(LEFT(SUBSTITUTE(G1801,"[{",""),FIND(",",SUBSTITUTE(G1801,"[{",""))-1),Sheet2!B:B,Sheet2!C:C)&amp;"+"&amp;SUBSTITUTE(RIGHT(G1801,LEN(G1801)-FIND(",",G1801)),"}]","")/100&amp;"%")</f>
        <v>上阵两个召唤职业增伤+13%</v>
      </c>
      <c r="L1801" s="83" t="str">
        <f ca="1">IF(MOD(COUNTIF($Q$11:Q1800,Q1800),5)=0,OFFSET(装备属性!$G$1083,1+INT(COUNTA($Q$11:Q1800)/5),0),L1800)</f>
        <v>召唤小队Ⅴ</v>
      </c>
      <c r="M1801" s="89" t="str">
        <f ca="1">IF(MOD(COUNTIF($Q$11:Q1800,Q1800),5)=0,OFFSET(装备属性!$H$1083,1+INT(COUNTA($Q$11:Q1800)/5),0),M1800)</f>
        <v>summon_class_dmg_rate</v>
      </c>
      <c r="N1801" s="76">
        <f ca="1">IF(MOD(COUNTIF($Q$11:Q1800,Q1800),5)=0,OFFSET(装备属性!$K$1083,1+INT(COUNTA($Q$11:Q1800)/5),0),N1800)</f>
        <v>0.13</v>
      </c>
      <c r="O1801" s="76">
        <f ca="1">IF(MOD(COUNTIF($Q$11:Q1800,Q1800),5)=0,OFFSET(装备属性!$L$1083,1+INT(COUNTA($Q$11:Q1800)/5),0),O1800)</f>
        <v>0.15</v>
      </c>
      <c r="Q1801" s="89" t="str">
        <f ca="1">IF(MOD(COUNTIF($Q$11:Q1800,Q1800),5)=0,OFFSET(装备属性!$M$1083,1+INT(COUNTA($Q$11:Q1800)/5),0),Q1800)</f>
        <v>通用属性</v>
      </c>
      <c r="R1801" s="83">
        <f ca="1">IF(MOD(COUNTIF($Q$11:Q1800,Q1800),5)=0,10000*SUBSTITUTE(SUBSTITUTE(OFFSET(装备属性!$F$1083,1+INT(COUNTA($Q$11:Q1800)/5),0),"[",""),"]","")+_xlfn.XLOOKUP(C1801,$M$3:$M$7,$N$3:$N$7)*100,R1800)</f>
        <v>60800</v>
      </c>
    </row>
    <row r="1802" customHeight="1" spans="1:18">
      <c r="A1802" s="78">
        <f ca="1" t="shared" si="85"/>
        <v>60801</v>
      </c>
      <c r="B1802" s="82">
        <f ca="1">IFERROR(R1802+COUNTIFS($R$11:$R1802,R1802),"")</f>
        <v>60842</v>
      </c>
      <c r="C1802" s="83" t="str">
        <f ca="1">IF(MOD(COUNTIF($Q$11:Q1801,Q1801),5)=0,OFFSET(装备属性!$D$1083,1+INT(COUNTA($Q$11:Q1801)/5),0),C1801)</f>
        <v>彩</v>
      </c>
      <c r="D1802" s="82">
        <f t="shared" si="88"/>
        <v>2500</v>
      </c>
      <c r="F1802" s="82">
        <f ca="1" t="shared" si="86"/>
        <v>60808</v>
      </c>
      <c r="G1802" s="78" t="str">
        <f ca="1">IF(AND(LEFT("[{"&amp;M1802&amp;","&amp;CEILING(N1802*10000+(O1802-N1802)/4*(COUNTIF($F$11:F1802,F1802)-1)*10000,10)&amp;"}]",7)="[{equip",MID("[{"&amp;M1802&amp;","&amp;CEILING(N1802*10000+(O1802-N1802)/4*(COUNTIF($F$11:F1802,F1802)-1)*10000,10)&amp;"}]",8,1)&lt;&gt;"_"),"[{"&amp;M1802&amp;","&amp;1&amp;"}]","[{"&amp;M1802&amp;","&amp;CEILING(N1802*10000+(O1802-N1802)/4*(COUNTIF($F$11:F1802,F1802)-1)*10000,10)&amp;"}]")</f>
        <v>[{summon_class_dmg_rate,1350}]</v>
      </c>
      <c r="H1802" s="82" t="s">
        <v>563</v>
      </c>
      <c r="J1802" s="78">
        <f ca="1">IF(MOD(COUNTIF($Q$11:Q1801,Q1801),5)=0,OFFSET(装备属性!$P$1083,1+INT(COUNTA($Q$11:Q1801)/5),0),J1801)</f>
        <v>4</v>
      </c>
      <c r="K1802" s="83" t="str">
        <f ca="1">IF(RIGHT(G1802,13)="rune_slot,1}]",_xlfn.XLOOKUP(LEFT(SUBSTITUTE(G1802,"[{",""),FIND(",",SUBSTITUTE(G1802,"[{",""))-1),Sheet2!B:B,Sheet2!C:C)&amp;"+"&amp;1,_xlfn.XLOOKUP(LEFT(SUBSTITUTE(G1802,"[{",""),FIND(",",SUBSTITUTE(G1802,"[{",""))-1),Sheet2!B:B,Sheet2!C:C)&amp;"+"&amp;SUBSTITUTE(RIGHT(G1802,LEN(G1802)-FIND(",",G1802)),"}]","")/100&amp;"%")</f>
        <v>上阵两个召唤职业增伤+13.5%</v>
      </c>
      <c r="L1802" s="83" t="str">
        <f ca="1">IF(MOD(COUNTIF($Q$11:Q1801,Q1801),5)=0,OFFSET(装备属性!$G$1083,1+INT(COUNTA($Q$11:Q1801)/5),0),L1801)</f>
        <v>召唤小队Ⅴ</v>
      </c>
      <c r="M1802" s="89" t="str">
        <f ca="1">IF(MOD(COUNTIF($Q$11:Q1801,Q1801),5)=0,OFFSET(装备属性!$H$1083,1+INT(COUNTA($Q$11:Q1801)/5),0),M1801)</f>
        <v>summon_class_dmg_rate</v>
      </c>
      <c r="N1802" s="76">
        <f ca="1">IF(MOD(COUNTIF($Q$11:Q1801,Q1801),5)=0,OFFSET(装备属性!$K$1083,1+INT(COUNTA($Q$11:Q1801)/5),0),N1801)</f>
        <v>0.13</v>
      </c>
      <c r="O1802" s="76">
        <f ca="1">IF(MOD(COUNTIF($Q$11:Q1801,Q1801),5)=0,OFFSET(装备属性!$L$1083,1+INT(COUNTA($Q$11:Q1801)/5),0),O1801)</f>
        <v>0.15</v>
      </c>
      <c r="Q1802" s="89" t="str">
        <f ca="1">IF(MOD(COUNTIF($Q$11:Q1801,Q1801),5)=0,OFFSET(装备属性!$M$1083,1+INT(COUNTA($Q$11:Q1801)/5),0),Q1801)</f>
        <v>通用属性</v>
      </c>
      <c r="R1802" s="83">
        <f ca="1">IF(MOD(COUNTIF($Q$11:Q1801,Q1801),5)=0,10000*SUBSTITUTE(SUBSTITUTE(OFFSET(装备属性!$F$1083,1+INT(COUNTA($Q$11:Q1801)/5),0),"[",""),"]","")+_xlfn.XLOOKUP(C1802,$M$3:$M$7,$N$3:$N$7)*100,R1801)</f>
        <v>60800</v>
      </c>
    </row>
    <row r="1803" customHeight="1" spans="1:18">
      <c r="A1803" s="78">
        <f ca="1" t="shared" si="85"/>
        <v>60801</v>
      </c>
      <c r="B1803" s="82">
        <f ca="1">IFERROR(R1803+COUNTIFS($R$11:$R1803,R1803),"")</f>
        <v>60843</v>
      </c>
      <c r="C1803" s="83" t="str">
        <f ca="1">IF(MOD(COUNTIF($Q$11:Q1802,Q1802),5)=0,OFFSET(装备属性!$D$1083,1+INT(COUNTA($Q$11:Q1802)/5),0),C1802)</f>
        <v>彩</v>
      </c>
      <c r="D1803" s="82">
        <f t="shared" si="88"/>
        <v>2000</v>
      </c>
      <c r="F1803" s="82">
        <f ca="1" t="shared" si="86"/>
        <v>60808</v>
      </c>
      <c r="G1803" s="78" t="str">
        <f ca="1">IF(AND(LEFT("[{"&amp;M1803&amp;","&amp;CEILING(N1803*10000+(O1803-N1803)/4*(COUNTIF($F$11:F1803,F1803)-1)*10000,10)&amp;"}]",7)="[{equip",MID("[{"&amp;M1803&amp;","&amp;CEILING(N1803*10000+(O1803-N1803)/4*(COUNTIF($F$11:F1803,F1803)-1)*10000,10)&amp;"}]",8,1)&lt;&gt;"_"),"[{"&amp;M1803&amp;","&amp;1&amp;"}]","[{"&amp;M1803&amp;","&amp;CEILING(N1803*10000+(O1803-N1803)/4*(COUNTIF($F$11:F1803,F1803)-1)*10000,10)&amp;"}]")</f>
        <v>[{summon_class_dmg_rate,1400}]</v>
      </c>
      <c r="H1803" s="82" t="s">
        <v>563</v>
      </c>
      <c r="J1803" s="78">
        <f ca="1">IF(MOD(COUNTIF($Q$11:Q1802,Q1802),5)=0,OFFSET(装备属性!$P$1083,1+INT(COUNTA($Q$11:Q1802)/5),0),J1802)</f>
        <v>4</v>
      </c>
      <c r="K1803" s="83" t="str">
        <f ca="1">IF(RIGHT(G1803,13)="rune_slot,1}]",_xlfn.XLOOKUP(LEFT(SUBSTITUTE(G1803,"[{",""),FIND(",",SUBSTITUTE(G1803,"[{",""))-1),Sheet2!B:B,Sheet2!C:C)&amp;"+"&amp;1,_xlfn.XLOOKUP(LEFT(SUBSTITUTE(G1803,"[{",""),FIND(",",SUBSTITUTE(G1803,"[{",""))-1),Sheet2!B:B,Sheet2!C:C)&amp;"+"&amp;SUBSTITUTE(RIGHT(G1803,LEN(G1803)-FIND(",",G1803)),"}]","")/100&amp;"%")</f>
        <v>上阵两个召唤职业增伤+14%</v>
      </c>
      <c r="L1803" s="83" t="str">
        <f ca="1">IF(MOD(COUNTIF($Q$11:Q1802,Q1802),5)=0,OFFSET(装备属性!$G$1083,1+INT(COUNTA($Q$11:Q1802)/5),0),L1802)</f>
        <v>召唤小队Ⅴ</v>
      </c>
      <c r="M1803" s="89" t="str">
        <f ca="1">IF(MOD(COUNTIF($Q$11:Q1802,Q1802),5)=0,OFFSET(装备属性!$H$1083,1+INT(COUNTA($Q$11:Q1802)/5),0),M1802)</f>
        <v>summon_class_dmg_rate</v>
      </c>
      <c r="N1803" s="76">
        <f ca="1">IF(MOD(COUNTIF($Q$11:Q1802,Q1802),5)=0,OFFSET(装备属性!$K$1083,1+INT(COUNTA($Q$11:Q1802)/5),0),N1802)</f>
        <v>0.13</v>
      </c>
      <c r="O1803" s="76">
        <f ca="1">IF(MOD(COUNTIF($Q$11:Q1802,Q1802),5)=0,OFFSET(装备属性!$L$1083,1+INT(COUNTA($Q$11:Q1802)/5),0),O1802)</f>
        <v>0.15</v>
      </c>
      <c r="Q1803" s="89" t="str">
        <f ca="1">IF(MOD(COUNTIF($Q$11:Q1802,Q1802),5)=0,OFFSET(装备属性!$M$1083,1+INT(COUNTA($Q$11:Q1802)/5),0),Q1802)</f>
        <v>通用属性</v>
      </c>
      <c r="R1803" s="83">
        <f ca="1">IF(MOD(COUNTIF($Q$11:Q1802,Q1802),5)=0,10000*SUBSTITUTE(SUBSTITUTE(OFFSET(装备属性!$F$1083,1+INT(COUNTA($Q$11:Q1802)/5),0),"[",""),"]","")+_xlfn.XLOOKUP(C1803,$M$3:$M$7,$N$3:$N$7)*100,R1802)</f>
        <v>60800</v>
      </c>
    </row>
    <row r="1804" customHeight="1" spans="1:18">
      <c r="A1804" s="78">
        <f ca="1" t="shared" ref="A1804:A1810" si="89">IFERROR(R1804+IF(Q1804="通用属性",1,IF(Q1804="玩法类",2,IF(Q1804="稀有词条",3,0))),"")</f>
        <v>60801</v>
      </c>
      <c r="B1804" s="82">
        <f ca="1">IFERROR(R1804+COUNTIFS($R$11:$R1804,R1804),"")</f>
        <v>60844</v>
      </c>
      <c r="C1804" s="83" t="str">
        <f ca="1">IF(MOD(COUNTIF($Q$11:Q1803,Q1803),5)=0,OFFSET(装备属性!$D$1083,1+INT(COUNTA($Q$11:Q1803)/5),0),C1803)</f>
        <v>彩</v>
      </c>
      <c r="D1804" s="82">
        <f t="shared" si="88"/>
        <v>1500</v>
      </c>
      <c r="F1804" s="82">
        <f ca="1" t="shared" ref="F1804:F1810" si="90">IFERROR(R1804+INT((B1804-R1804-1)/5),"")</f>
        <v>60808</v>
      </c>
      <c r="G1804" s="78" t="str">
        <f ca="1">IF(AND(LEFT("[{"&amp;M1804&amp;","&amp;CEILING(N1804*10000+(O1804-N1804)/4*(COUNTIF($F$11:F1804,F1804)-1)*10000,10)&amp;"}]",7)="[{equip",MID("[{"&amp;M1804&amp;","&amp;CEILING(N1804*10000+(O1804-N1804)/4*(COUNTIF($F$11:F1804,F1804)-1)*10000,10)&amp;"}]",8,1)&lt;&gt;"_"),"[{"&amp;M1804&amp;","&amp;1&amp;"}]","[{"&amp;M1804&amp;","&amp;CEILING(N1804*10000+(O1804-N1804)/4*(COUNTIF($F$11:F1804,F1804)-1)*10000,10)&amp;"}]")</f>
        <v>[{summon_class_dmg_rate,1450}]</v>
      </c>
      <c r="H1804" s="82" t="s">
        <v>563</v>
      </c>
      <c r="J1804" s="78">
        <f ca="1">IF(MOD(COUNTIF($Q$11:Q1803,Q1803),5)=0,OFFSET(装备属性!$P$1083,1+INT(COUNTA($Q$11:Q1803)/5),0),J1803)</f>
        <v>4</v>
      </c>
      <c r="K1804" s="83" t="str">
        <f ca="1">IF(RIGHT(G1804,13)="rune_slot,1}]",_xlfn.XLOOKUP(LEFT(SUBSTITUTE(G1804,"[{",""),FIND(",",SUBSTITUTE(G1804,"[{",""))-1),Sheet2!B:B,Sheet2!C:C)&amp;"+"&amp;1,_xlfn.XLOOKUP(LEFT(SUBSTITUTE(G1804,"[{",""),FIND(",",SUBSTITUTE(G1804,"[{",""))-1),Sheet2!B:B,Sheet2!C:C)&amp;"+"&amp;SUBSTITUTE(RIGHT(G1804,LEN(G1804)-FIND(",",G1804)),"}]","")/100&amp;"%")</f>
        <v>上阵两个召唤职业增伤+14.5%</v>
      </c>
      <c r="L1804" s="83" t="str">
        <f ca="1">IF(MOD(COUNTIF($Q$11:Q1803,Q1803),5)=0,OFFSET(装备属性!$G$1083,1+INT(COUNTA($Q$11:Q1803)/5),0),L1803)</f>
        <v>召唤小队Ⅴ</v>
      </c>
      <c r="M1804" s="89" t="str">
        <f ca="1">IF(MOD(COUNTIF($Q$11:Q1803,Q1803),5)=0,OFFSET(装备属性!$H$1083,1+INT(COUNTA($Q$11:Q1803)/5),0),M1803)</f>
        <v>summon_class_dmg_rate</v>
      </c>
      <c r="N1804" s="76">
        <f ca="1">IF(MOD(COUNTIF($Q$11:Q1803,Q1803),5)=0,OFFSET(装备属性!$K$1083,1+INT(COUNTA($Q$11:Q1803)/5),0),N1803)</f>
        <v>0.13</v>
      </c>
      <c r="O1804" s="76">
        <f ca="1">IF(MOD(COUNTIF($Q$11:Q1803,Q1803),5)=0,OFFSET(装备属性!$L$1083,1+INT(COUNTA($Q$11:Q1803)/5),0),O1803)</f>
        <v>0.15</v>
      </c>
      <c r="Q1804" s="89" t="str">
        <f ca="1">IF(MOD(COUNTIF($Q$11:Q1803,Q1803),5)=0,OFFSET(装备属性!$M$1083,1+INT(COUNTA($Q$11:Q1803)/5),0),Q1803)</f>
        <v>通用属性</v>
      </c>
      <c r="R1804" s="83">
        <f ca="1">IF(MOD(COUNTIF($Q$11:Q1803,Q1803),5)=0,10000*SUBSTITUTE(SUBSTITUTE(OFFSET(装备属性!$F$1083,1+INT(COUNTA($Q$11:Q1803)/5),0),"[",""),"]","")+_xlfn.XLOOKUP(C1804,$M$3:$M$7,$N$3:$N$7)*100,R1803)</f>
        <v>60800</v>
      </c>
    </row>
    <row r="1805" customHeight="1" spans="1:18">
      <c r="A1805" s="78">
        <f ca="1" t="shared" si="89"/>
        <v>60801</v>
      </c>
      <c r="B1805" s="82">
        <f ca="1">IFERROR(R1805+COUNTIFS($R$11:$R1805,R1805),"")</f>
        <v>60845</v>
      </c>
      <c r="C1805" s="83" t="str">
        <f ca="1">IF(MOD(COUNTIF($Q$11:Q1804,Q1804),5)=0,OFFSET(装备属性!$D$1083,1+INT(COUNTA($Q$11:Q1804)/5),0),C1804)</f>
        <v>彩</v>
      </c>
      <c r="D1805" s="82">
        <f t="shared" si="88"/>
        <v>1000</v>
      </c>
      <c r="F1805" s="82">
        <f ca="1" t="shared" si="90"/>
        <v>60808</v>
      </c>
      <c r="G1805" s="78" t="str">
        <f ca="1">IF(AND(LEFT("[{"&amp;M1805&amp;","&amp;CEILING(N1805*10000+(O1805-N1805)/4*(COUNTIF($F$11:F1805,F1805)-1)*10000,10)&amp;"}]",7)="[{equip",MID("[{"&amp;M1805&amp;","&amp;CEILING(N1805*10000+(O1805-N1805)/4*(COUNTIF($F$11:F1805,F1805)-1)*10000,10)&amp;"}]",8,1)&lt;&gt;"_"),"[{"&amp;M1805&amp;","&amp;1&amp;"}]","[{"&amp;M1805&amp;","&amp;CEILING(N1805*10000+(O1805-N1805)/4*(COUNTIF($F$11:F1805,F1805)-1)*10000,10)&amp;"}]")</f>
        <v>[{summon_class_dmg_rate,1500}]</v>
      </c>
      <c r="H1805" s="82" t="s">
        <v>563</v>
      </c>
      <c r="J1805" s="78">
        <f ca="1">IF(MOD(COUNTIF($Q$11:Q1804,Q1804),5)=0,OFFSET(装备属性!$P$1083,1+INT(COUNTA($Q$11:Q1804)/5),0),J1804)</f>
        <v>4</v>
      </c>
      <c r="K1805" s="83" t="str">
        <f ca="1">IF(RIGHT(G1805,13)="rune_slot,1}]",_xlfn.XLOOKUP(LEFT(SUBSTITUTE(G1805,"[{",""),FIND(",",SUBSTITUTE(G1805,"[{",""))-1),Sheet2!B:B,Sheet2!C:C)&amp;"+"&amp;1,_xlfn.XLOOKUP(LEFT(SUBSTITUTE(G1805,"[{",""),FIND(",",SUBSTITUTE(G1805,"[{",""))-1),Sheet2!B:B,Sheet2!C:C)&amp;"+"&amp;SUBSTITUTE(RIGHT(G1805,LEN(G1805)-FIND(",",G1805)),"}]","")/100&amp;"%")</f>
        <v>上阵两个召唤职业增伤+15%</v>
      </c>
      <c r="L1805" s="83" t="str">
        <f ca="1">IF(MOD(COUNTIF($Q$11:Q1804,Q1804),5)=0,OFFSET(装备属性!$G$1083,1+INT(COUNTA($Q$11:Q1804)/5),0),L1804)</f>
        <v>召唤小队Ⅴ</v>
      </c>
      <c r="M1805" s="89" t="str">
        <f ca="1">IF(MOD(COUNTIF($Q$11:Q1804,Q1804),5)=0,OFFSET(装备属性!$H$1083,1+INT(COUNTA($Q$11:Q1804)/5),0),M1804)</f>
        <v>summon_class_dmg_rate</v>
      </c>
      <c r="N1805" s="76">
        <f ca="1">IF(MOD(COUNTIF($Q$11:Q1804,Q1804),5)=0,OFFSET(装备属性!$K$1083,1+INT(COUNTA($Q$11:Q1804)/5),0),N1804)</f>
        <v>0.13</v>
      </c>
      <c r="O1805" s="76">
        <f ca="1">IF(MOD(COUNTIF($Q$11:Q1804,Q1804),5)=0,OFFSET(装备属性!$L$1083,1+INT(COUNTA($Q$11:Q1804)/5),0),O1804)</f>
        <v>0.15</v>
      </c>
      <c r="Q1805" s="89" t="str">
        <f ca="1">IF(MOD(COUNTIF($Q$11:Q1804,Q1804),5)=0,OFFSET(装备属性!$M$1083,1+INT(COUNTA($Q$11:Q1804)/5),0),Q1804)</f>
        <v>通用属性</v>
      </c>
      <c r="R1805" s="83">
        <f ca="1">IF(MOD(COUNTIF($Q$11:Q1804,Q1804),5)=0,10000*SUBSTITUTE(SUBSTITUTE(OFFSET(装备属性!$F$1083,1+INT(COUNTA($Q$11:Q1804)/5),0),"[",""),"]","")+_xlfn.XLOOKUP(C1805,$M$3:$M$7,$N$3:$N$7)*100,R1804)</f>
        <v>60800</v>
      </c>
    </row>
    <row r="1806" customHeight="1" spans="1:18">
      <c r="A1806" s="78">
        <f ca="1" t="shared" si="89"/>
        <v>60801</v>
      </c>
      <c r="B1806" s="82">
        <f ca="1">IFERROR(R1806+COUNTIFS($R$11:$R1806,R1806),"")</f>
        <v>60846</v>
      </c>
      <c r="C1806" s="83" t="str">
        <f ca="1">IF(MOD(COUNTIF($Q$11:Q1805,Q1805),5)=0,OFFSET(装备属性!$D$1083,1+INT(COUNTA($Q$11:Q1805)/5),0),C1805)</f>
        <v>彩</v>
      </c>
      <c r="D1806" s="82">
        <f t="shared" si="88"/>
        <v>3000</v>
      </c>
      <c r="F1806" s="82">
        <f ca="1" t="shared" si="90"/>
        <v>60809</v>
      </c>
      <c r="G1806" s="78" t="str">
        <f ca="1">IF(AND(LEFT("[{"&amp;M1806&amp;","&amp;CEILING(N1806*10000+(O1806-N1806)/4*(COUNTIF($F$11:F1806,F1806)-1)*10000,10)&amp;"}]",7)="[{equip",MID("[{"&amp;M1806&amp;","&amp;CEILING(N1806*10000+(O1806-N1806)/4*(COUNTIF($F$11:F1806,F1806)-1)*10000,10)&amp;"}]",8,1)&lt;&gt;"_"),"[{"&amp;M1806&amp;","&amp;1&amp;"}]","[{"&amp;M1806&amp;","&amp;CEILING(N1806*10000+(O1806-N1806)/4*(COUNTIF($F$11:F1806,F1806)-1)*10000,10)&amp;"}]")</f>
        <v>[{summon_crit_dmg,3900}]</v>
      </c>
      <c r="H1806" s="82" t="s">
        <v>563</v>
      </c>
      <c r="J1806" s="78">
        <f ca="1">IF(MOD(COUNTIF($Q$11:Q1805,Q1805),5)=0,OFFSET(装备属性!$P$1083,1+INT(COUNTA($Q$11:Q1805)/5),0),J1805)</f>
        <v>10</v>
      </c>
      <c r="K1806" s="83" t="str">
        <f ca="1">IF(RIGHT(G1806,13)="rune_slot,1}]",_xlfn.XLOOKUP(LEFT(SUBSTITUTE(G1806,"[{",""),FIND(",",SUBSTITUTE(G1806,"[{",""))-1),Sheet2!B:B,Sheet2!C:C)&amp;"+"&amp;1,_xlfn.XLOOKUP(LEFT(SUBSTITUTE(G1806,"[{",""),FIND(",",SUBSTITUTE(G1806,"[{",""))-1),Sheet2!B:B,Sheet2!C:C)&amp;"+"&amp;SUBSTITUTE(RIGHT(G1806,LEN(G1806)-FIND(",",G1806)),"}]","")/100&amp;"%")</f>
        <v>召唤暴击伤害+39%</v>
      </c>
      <c r="L1806" s="83" t="str">
        <f ca="1">IF(MOD(COUNTIF($Q$11:Q1805,Q1805),5)=0,OFFSET(装备属性!$G$1083,1+INT(COUNTA($Q$11:Q1805)/5),0),L1805)</f>
        <v>暴走召唤Ⅴ</v>
      </c>
      <c r="M1806" s="89" t="str">
        <f ca="1">IF(MOD(COUNTIF($Q$11:Q1805,Q1805),5)=0,OFFSET(装备属性!$H$1083,1+INT(COUNTA($Q$11:Q1805)/5),0),M1805)</f>
        <v>summon_crit_dmg</v>
      </c>
      <c r="N1806" s="76">
        <f ca="1">IF(MOD(COUNTIF($Q$11:Q1805,Q1805),5)=0,OFFSET(装备属性!$K$1083,1+INT(COUNTA($Q$11:Q1805)/5),0),N1805)</f>
        <v>0.39</v>
      </c>
      <c r="O1806" s="76">
        <f ca="1">IF(MOD(COUNTIF($Q$11:Q1805,Q1805),5)=0,OFFSET(装备属性!$L$1083,1+INT(COUNTA($Q$11:Q1805)/5),0),O1805)</f>
        <v>0.45</v>
      </c>
      <c r="Q1806" s="89" t="str">
        <f ca="1">IF(MOD(COUNTIF($Q$11:Q1805,Q1805),5)=0,OFFSET(装备属性!$M$1083,1+INT(COUNTA($Q$11:Q1805)/5),0),Q1805)</f>
        <v>通用属性</v>
      </c>
      <c r="R1806" s="83">
        <f ca="1">IF(MOD(COUNTIF($Q$11:Q1805,Q1805),5)=0,10000*SUBSTITUTE(SUBSTITUTE(OFFSET(装备属性!$F$1083,1+INT(COUNTA($Q$11:Q1805)/5),0),"[",""),"]","")+_xlfn.XLOOKUP(C1806,$M$3:$M$7,$N$3:$N$7)*100,R1805)</f>
        <v>60800</v>
      </c>
    </row>
    <row r="1807" customHeight="1" spans="1:18">
      <c r="A1807" s="78">
        <f ca="1" t="shared" si="89"/>
        <v>60801</v>
      </c>
      <c r="B1807" s="82">
        <f ca="1">IFERROR(R1807+COUNTIFS($R$11:$R1807,R1807),"")</f>
        <v>60847</v>
      </c>
      <c r="C1807" s="83" t="str">
        <f ca="1">IF(MOD(COUNTIF($Q$11:Q1806,Q1806),5)=0,OFFSET(装备属性!$D$1083,1+INT(COUNTA($Q$11:Q1806)/5),0),C1806)</f>
        <v>彩</v>
      </c>
      <c r="D1807" s="82">
        <f t="shared" si="88"/>
        <v>2500</v>
      </c>
      <c r="F1807" s="82">
        <f ca="1" t="shared" si="90"/>
        <v>60809</v>
      </c>
      <c r="G1807" s="78" t="str">
        <f ca="1">IF(AND(LEFT("[{"&amp;M1807&amp;","&amp;CEILING(N1807*10000+(O1807-N1807)/4*(COUNTIF($F$11:F1807,F1807)-1)*10000,10)&amp;"}]",7)="[{equip",MID("[{"&amp;M1807&amp;","&amp;CEILING(N1807*10000+(O1807-N1807)/4*(COUNTIF($F$11:F1807,F1807)-1)*10000,10)&amp;"}]",8,1)&lt;&gt;"_"),"[{"&amp;M1807&amp;","&amp;1&amp;"}]","[{"&amp;M1807&amp;","&amp;CEILING(N1807*10000+(O1807-N1807)/4*(COUNTIF($F$11:F1807,F1807)-1)*10000,10)&amp;"}]")</f>
        <v>[{summon_crit_dmg,4050}]</v>
      </c>
      <c r="H1807" s="82" t="s">
        <v>563</v>
      </c>
      <c r="J1807" s="78">
        <f ca="1">IF(MOD(COUNTIF($Q$11:Q1806,Q1806),5)=0,OFFSET(装备属性!$P$1083,1+INT(COUNTA($Q$11:Q1806)/5),0),J1806)</f>
        <v>10</v>
      </c>
      <c r="K1807" s="83" t="str">
        <f ca="1">IF(RIGHT(G1807,13)="rune_slot,1}]",_xlfn.XLOOKUP(LEFT(SUBSTITUTE(G1807,"[{",""),FIND(",",SUBSTITUTE(G1807,"[{",""))-1),Sheet2!B:B,Sheet2!C:C)&amp;"+"&amp;1,_xlfn.XLOOKUP(LEFT(SUBSTITUTE(G1807,"[{",""),FIND(",",SUBSTITUTE(G1807,"[{",""))-1),Sheet2!B:B,Sheet2!C:C)&amp;"+"&amp;SUBSTITUTE(RIGHT(G1807,LEN(G1807)-FIND(",",G1807)),"}]","")/100&amp;"%")</f>
        <v>召唤暴击伤害+40.5%</v>
      </c>
      <c r="L1807" s="83" t="str">
        <f ca="1">IF(MOD(COUNTIF($Q$11:Q1806,Q1806),5)=0,OFFSET(装备属性!$G$1083,1+INT(COUNTA($Q$11:Q1806)/5),0),L1806)</f>
        <v>暴走召唤Ⅴ</v>
      </c>
      <c r="M1807" s="89" t="str">
        <f ca="1">IF(MOD(COUNTIF($Q$11:Q1806,Q1806),5)=0,OFFSET(装备属性!$H$1083,1+INT(COUNTA($Q$11:Q1806)/5),0),M1806)</f>
        <v>summon_crit_dmg</v>
      </c>
      <c r="N1807" s="76">
        <f ca="1">IF(MOD(COUNTIF($Q$11:Q1806,Q1806),5)=0,OFFSET(装备属性!$K$1083,1+INT(COUNTA($Q$11:Q1806)/5),0),N1806)</f>
        <v>0.39</v>
      </c>
      <c r="O1807" s="76">
        <f ca="1">IF(MOD(COUNTIF($Q$11:Q1806,Q1806),5)=0,OFFSET(装备属性!$L$1083,1+INT(COUNTA($Q$11:Q1806)/5),0),O1806)</f>
        <v>0.45</v>
      </c>
      <c r="Q1807" s="89" t="str">
        <f ca="1">IF(MOD(COUNTIF($Q$11:Q1806,Q1806),5)=0,OFFSET(装备属性!$M$1083,1+INT(COUNTA($Q$11:Q1806)/5),0),Q1806)</f>
        <v>通用属性</v>
      </c>
      <c r="R1807" s="83">
        <f ca="1">IF(MOD(COUNTIF($Q$11:Q1806,Q1806),5)=0,10000*SUBSTITUTE(SUBSTITUTE(OFFSET(装备属性!$F$1083,1+INT(COUNTA($Q$11:Q1806)/5),0),"[",""),"]","")+_xlfn.XLOOKUP(C1807,$M$3:$M$7,$N$3:$N$7)*100,R1806)</f>
        <v>60800</v>
      </c>
    </row>
    <row r="1808" customHeight="1" spans="1:18">
      <c r="A1808" s="78">
        <f ca="1" t="shared" si="89"/>
        <v>60801</v>
      </c>
      <c r="B1808" s="82">
        <f ca="1">IFERROR(R1808+COUNTIFS($R$11:$R1808,R1808),"")</f>
        <v>60848</v>
      </c>
      <c r="C1808" s="83" t="str">
        <f ca="1">IF(MOD(COUNTIF($Q$11:Q1807,Q1807),5)=0,OFFSET(装备属性!$D$1083,1+INT(COUNTA($Q$11:Q1807)/5),0),C1807)</f>
        <v>彩</v>
      </c>
      <c r="D1808" s="82">
        <f t="shared" si="88"/>
        <v>2000</v>
      </c>
      <c r="F1808" s="82">
        <f ca="1" t="shared" si="90"/>
        <v>60809</v>
      </c>
      <c r="G1808" s="78" t="str">
        <f ca="1">IF(AND(LEFT("[{"&amp;M1808&amp;","&amp;CEILING(N1808*10000+(O1808-N1808)/4*(COUNTIF($F$11:F1808,F1808)-1)*10000,10)&amp;"}]",7)="[{equip",MID("[{"&amp;M1808&amp;","&amp;CEILING(N1808*10000+(O1808-N1808)/4*(COUNTIF($F$11:F1808,F1808)-1)*10000,10)&amp;"}]",8,1)&lt;&gt;"_"),"[{"&amp;M1808&amp;","&amp;1&amp;"}]","[{"&amp;M1808&amp;","&amp;CEILING(N1808*10000+(O1808-N1808)/4*(COUNTIF($F$11:F1808,F1808)-1)*10000,10)&amp;"}]")</f>
        <v>[{summon_crit_dmg,4200}]</v>
      </c>
      <c r="H1808" s="82" t="s">
        <v>563</v>
      </c>
      <c r="J1808" s="78">
        <f ca="1">IF(MOD(COUNTIF($Q$11:Q1807,Q1807),5)=0,OFFSET(装备属性!$P$1083,1+INT(COUNTA($Q$11:Q1807)/5),0),J1807)</f>
        <v>10</v>
      </c>
      <c r="K1808" s="83" t="str">
        <f ca="1">IF(RIGHT(G1808,13)="rune_slot,1}]",_xlfn.XLOOKUP(LEFT(SUBSTITUTE(G1808,"[{",""),FIND(",",SUBSTITUTE(G1808,"[{",""))-1),Sheet2!B:B,Sheet2!C:C)&amp;"+"&amp;1,_xlfn.XLOOKUP(LEFT(SUBSTITUTE(G1808,"[{",""),FIND(",",SUBSTITUTE(G1808,"[{",""))-1),Sheet2!B:B,Sheet2!C:C)&amp;"+"&amp;SUBSTITUTE(RIGHT(G1808,LEN(G1808)-FIND(",",G1808)),"}]","")/100&amp;"%")</f>
        <v>召唤暴击伤害+42%</v>
      </c>
      <c r="L1808" s="83" t="str">
        <f ca="1">IF(MOD(COUNTIF($Q$11:Q1807,Q1807),5)=0,OFFSET(装备属性!$G$1083,1+INT(COUNTA($Q$11:Q1807)/5),0),L1807)</f>
        <v>暴走召唤Ⅴ</v>
      </c>
      <c r="M1808" s="89" t="str">
        <f ca="1">IF(MOD(COUNTIF($Q$11:Q1807,Q1807),5)=0,OFFSET(装备属性!$H$1083,1+INT(COUNTA($Q$11:Q1807)/5),0),M1807)</f>
        <v>summon_crit_dmg</v>
      </c>
      <c r="N1808" s="76">
        <f ca="1">IF(MOD(COUNTIF($Q$11:Q1807,Q1807),5)=0,OFFSET(装备属性!$K$1083,1+INT(COUNTA($Q$11:Q1807)/5),0),N1807)</f>
        <v>0.39</v>
      </c>
      <c r="O1808" s="76">
        <f ca="1">IF(MOD(COUNTIF($Q$11:Q1807,Q1807),5)=0,OFFSET(装备属性!$L$1083,1+INT(COUNTA($Q$11:Q1807)/5),0),O1807)</f>
        <v>0.45</v>
      </c>
      <c r="Q1808" s="89" t="str">
        <f ca="1">IF(MOD(COUNTIF($Q$11:Q1807,Q1807),5)=0,OFFSET(装备属性!$M$1083,1+INT(COUNTA($Q$11:Q1807)/5),0),Q1807)</f>
        <v>通用属性</v>
      </c>
      <c r="R1808" s="83">
        <f ca="1">IF(MOD(COUNTIF($Q$11:Q1807,Q1807),5)=0,10000*SUBSTITUTE(SUBSTITUTE(OFFSET(装备属性!$F$1083,1+INT(COUNTA($Q$11:Q1807)/5),0),"[",""),"]","")+_xlfn.XLOOKUP(C1808,$M$3:$M$7,$N$3:$N$7)*100,R1807)</f>
        <v>60800</v>
      </c>
    </row>
    <row r="1809" customHeight="1" spans="1:18">
      <c r="A1809" s="78">
        <f ca="1" t="shared" si="89"/>
        <v>60801</v>
      </c>
      <c r="B1809" s="82">
        <f ca="1">IFERROR(R1809+COUNTIFS($R$11:$R1809,R1809),"")</f>
        <v>60849</v>
      </c>
      <c r="C1809" s="83" t="str">
        <f ca="1">IF(MOD(COUNTIF($Q$11:Q1808,Q1808),5)=0,OFFSET(装备属性!$D$1083,1+INT(COUNTA($Q$11:Q1808)/5),0),C1808)</f>
        <v>彩</v>
      </c>
      <c r="D1809" s="82">
        <f t="shared" si="88"/>
        <v>1500</v>
      </c>
      <c r="F1809" s="82">
        <f ca="1" t="shared" si="90"/>
        <v>60809</v>
      </c>
      <c r="G1809" s="78" t="str">
        <f ca="1">IF(AND(LEFT("[{"&amp;M1809&amp;","&amp;CEILING(N1809*10000+(O1809-N1809)/4*(COUNTIF($F$11:F1809,F1809)-1)*10000,10)&amp;"}]",7)="[{equip",MID("[{"&amp;M1809&amp;","&amp;CEILING(N1809*10000+(O1809-N1809)/4*(COUNTIF($F$11:F1809,F1809)-1)*10000,10)&amp;"}]",8,1)&lt;&gt;"_"),"[{"&amp;M1809&amp;","&amp;1&amp;"}]","[{"&amp;M1809&amp;","&amp;CEILING(N1809*10000+(O1809-N1809)/4*(COUNTIF($F$11:F1809,F1809)-1)*10000,10)&amp;"}]")</f>
        <v>[{summon_crit_dmg,4350}]</v>
      </c>
      <c r="H1809" s="82" t="s">
        <v>563</v>
      </c>
      <c r="J1809" s="78">
        <f ca="1">IF(MOD(COUNTIF($Q$11:Q1808,Q1808),5)=0,OFFSET(装备属性!$P$1083,1+INT(COUNTA($Q$11:Q1808)/5),0),J1808)</f>
        <v>10</v>
      </c>
      <c r="K1809" s="83" t="str">
        <f ca="1">IF(RIGHT(G1809,13)="rune_slot,1}]",_xlfn.XLOOKUP(LEFT(SUBSTITUTE(G1809,"[{",""),FIND(",",SUBSTITUTE(G1809,"[{",""))-1),Sheet2!B:B,Sheet2!C:C)&amp;"+"&amp;1,_xlfn.XLOOKUP(LEFT(SUBSTITUTE(G1809,"[{",""),FIND(",",SUBSTITUTE(G1809,"[{",""))-1),Sheet2!B:B,Sheet2!C:C)&amp;"+"&amp;SUBSTITUTE(RIGHT(G1809,LEN(G1809)-FIND(",",G1809)),"}]","")/100&amp;"%")</f>
        <v>召唤暴击伤害+43.5%</v>
      </c>
      <c r="L1809" s="83" t="str">
        <f ca="1">IF(MOD(COUNTIF($Q$11:Q1808,Q1808),5)=0,OFFSET(装备属性!$G$1083,1+INT(COUNTA($Q$11:Q1808)/5),0),L1808)</f>
        <v>暴走召唤Ⅴ</v>
      </c>
      <c r="M1809" s="89" t="str">
        <f ca="1">IF(MOD(COUNTIF($Q$11:Q1808,Q1808),5)=0,OFFSET(装备属性!$H$1083,1+INT(COUNTA($Q$11:Q1808)/5),0),M1808)</f>
        <v>summon_crit_dmg</v>
      </c>
      <c r="N1809" s="76">
        <f ca="1">IF(MOD(COUNTIF($Q$11:Q1808,Q1808),5)=0,OFFSET(装备属性!$K$1083,1+INT(COUNTA($Q$11:Q1808)/5),0),N1808)</f>
        <v>0.39</v>
      </c>
      <c r="O1809" s="76">
        <f ca="1">IF(MOD(COUNTIF($Q$11:Q1808,Q1808),5)=0,OFFSET(装备属性!$L$1083,1+INT(COUNTA($Q$11:Q1808)/5),0),O1808)</f>
        <v>0.45</v>
      </c>
      <c r="Q1809" s="89" t="str">
        <f ca="1">IF(MOD(COUNTIF($Q$11:Q1808,Q1808),5)=0,OFFSET(装备属性!$M$1083,1+INT(COUNTA($Q$11:Q1808)/5),0),Q1808)</f>
        <v>通用属性</v>
      </c>
      <c r="R1809" s="83">
        <f ca="1">IF(MOD(COUNTIF($Q$11:Q1808,Q1808),5)=0,10000*SUBSTITUTE(SUBSTITUTE(OFFSET(装备属性!$F$1083,1+INT(COUNTA($Q$11:Q1808)/5),0),"[",""),"]","")+_xlfn.XLOOKUP(C1809,$M$3:$M$7,$N$3:$N$7)*100,R1808)</f>
        <v>60800</v>
      </c>
    </row>
    <row r="1810" customHeight="1" spans="1:18">
      <c r="A1810" s="78">
        <f ca="1" t="shared" si="89"/>
        <v>60801</v>
      </c>
      <c r="B1810" s="82">
        <f ca="1">IFERROR(R1810+COUNTIFS($R$11:$R1810,R1810),"")</f>
        <v>60850</v>
      </c>
      <c r="C1810" s="83" t="str">
        <f ca="1">IF(MOD(COUNTIF($Q$11:Q1809,Q1809),5)=0,OFFSET(装备属性!$D$1083,1+INT(COUNTA($Q$11:Q1809)/5),0),C1809)</f>
        <v>彩</v>
      </c>
      <c r="D1810" s="82">
        <f t="shared" si="88"/>
        <v>1000</v>
      </c>
      <c r="F1810" s="82">
        <f ca="1" t="shared" si="90"/>
        <v>60809</v>
      </c>
      <c r="G1810" s="78" t="str">
        <f ca="1">IF(AND(LEFT("[{"&amp;M1810&amp;","&amp;CEILING(N1810*10000+(O1810-N1810)/4*(COUNTIF($F$11:F1810,F1810)-1)*10000,10)&amp;"}]",7)="[{equip",MID("[{"&amp;M1810&amp;","&amp;CEILING(N1810*10000+(O1810-N1810)/4*(COUNTIF($F$11:F1810,F1810)-1)*10000,10)&amp;"}]",8,1)&lt;&gt;"_"),"[{"&amp;M1810&amp;","&amp;1&amp;"}]","[{"&amp;M1810&amp;","&amp;CEILING(N1810*10000+(O1810-N1810)/4*(COUNTIF($F$11:F1810,F1810)-1)*10000,10)&amp;"}]")</f>
        <v>[{summon_crit_dmg,4500}]</v>
      </c>
      <c r="H1810" s="82" t="s">
        <v>563</v>
      </c>
      <c r="J1810" s="78">
        <f ca="1">IF(MOD(COUNTIF($Q$11:Q1809,Q1809),5)=0,OFFSET(装备属性!$P$1083,1+INT(COUNTA($Q$11:Q1809)/5),0),J1809)</f>
        <v>10</v>
      </c>
      <c r="K1810" s="83" t="str">
        <f ca="1">IF(RIGHT(G1810,13)="rune_slot,1}]",_xlfn.XLOOKUP(LEFT(SUBSTITUTE(G1810,"[{",""),FIND(",",SUBSTITUTE(G1810,"[{",""))-1),Sheet2!B:B,Sheet2!C:C)&amp;"+"&amp;1,_xlfn.XLOOKUP(LEFT(SUBSTITUTE(G1810,"[{",""),FIND(",",SUBSTITUTE(G1810,"[{",""))-1),Sheet2!B:B,Sheet2!C:C)&amp;"+"&amp;SUBSTITUTE(RIGHT(G1810,LEN(G1810)-FIND(",",G1810)),"}]","")/100&amp;"%")</f>
        <v>召唤暴击伤害+45%</v>
      </c>
      <c r="L1810" s="83" t="str">
        <f ca="1">IF(MOD(COUNTIF($Q$11:Q1809,Q1809),5)=0,OFFSET(装备属性!$G$1083,1+INT(COUNTA($Q$11:Q1809)/5),0),L1809)</f>
        <v>暴走召唤Ⅴ</v>
      </c>
      <c r="M1810" s="89" t="str">
        <f ca="1">IF(MOD(COUNTIF($Q$11:Q1809,Q1809),5)=0,OFFSET(装备属性!$H$1083,1+INT(COUNTA($Q$11:Q1809)/5),0),M1809)</f>
        <v>summon_crit_dmg</v>
      </c>
      <c r="N1810" s="76">
        <f ca="1">IF(MOD(COUNTIF($Q$11:Q1809,Q1809),5)=0,OFFSET(装备属性!$K$1083,1+INT(COUNTA($Q$11:Q1809)/5),0),N1809)</f>
        <v>0.39</v>
      </c>
      <c r="O1810" s="76">
        <f ca="1">IF(MOD(COUNTIF($Q$11:Q1809,Q1809),5)=0,OFFSET(装备属性!$L$1083,1+INT(COUNTA($Q$11:Q1809)/5),0),O1809)</f>
        <v>0.45</v>
      </c>
      <c r="Q1810" s="89" t="str">
        <f ca="1">IF(MOD(COUNTIF($Q$11:Q1809,Q1809),5)=0,OFFSET(装备属性!$M$1083,1+INT(COUNTA($Q$11:Q1809)/5),0),Q1809)</f>
        <v>通用属性</v>
      </c>
      <c r="R1810" s="83">
        <f ca="1">IF(MOD(COUNTIF($Q$11:Q1809,Q1809),5)=0,10000*SUBSTITUTE(SUBSTITUTE(OFFSET(装备属性!$F$1083,1+INT(COUNTA($Q$11:Q1809)/5),0),"[",""),"]","")+_xlfn.XLOOKUP(C1810,$M$3:$M$7,$N$3:$N$7)*100,R1809)</f>
        <v>60800</v>
      </c>
    </row>
    <row r="1811" customHeight="1" spans="1:18">
      <c r="B1811" s="82"/>
      <c r="C1811" s="83"/>
      <c r="D1811" s="89"/>
      <c r="E1811" s="82"/>
      <c r="G1811" s="82"/>
      <c r="H1811" s="78"/>
      <c r="I1811" s="82"/>
      <c r="K1811" s="78"/>
      <c r="L1811" s="83"/>
      <c r="M1811" s="89"/>
      <c r="P1811" s="83"/>
    </row>
    <row r="1812" customHeight="1" spans="1:18">
      <c r="B1812" s="82"/>
      <c r="C1812" s="83"/>
      <c r="D1812" s="89"/>
      <c r="E1812" s="82"/>
      <c r="G1812" s="82"/>
      <c r="H1812" s="78"/>
      <c r="I1812" s="82"/>
      <c r="K1812" s="78"/>
      <c r="L1812" s="83"/>
      <c r="M1812" s="89"/>
      <c r="P1812" s="83"/>
    </row>
    <row r="1813" customHeight="1" spans="1:18">
      <c r="B1813" s="82"/>
      <c r="C1813" s="83"/>
      <c r="D1813" s="89"/>
      <c r="E1813" s="82"/>
      <c r="G1813" s="82"/>
      <c r="H1813" s="78"/>
      <c r="I1813" s="82"/>
      <c r="K1813" s="78"/>
      <c r="L1813" s="83"/>
      <c r="M1813" s="89"/>
      <c r="P1813" s="83"/>
    </row>
    <row r="1814" customHeight="1" spans="1:18">
      <c r="B1814" s="82"/>
      <c r="C1814" s="83"/>
      <c r="D1814" s="89"/>
      <c r="E1814" s="82"/>
      <c r="G1814" s="82"/>
      <c r="H1814" s="78"/>
      <c r="I1814" s="82"/>
      <c r="K1814" s="78"/>
      <c r="L1814" s="83"/>
      <c r="M1814" s="89"/>
      <c r="P1814" s="83"/>
    </row>
    <row r="1815" customHeight="1" spans="1:18">
      <c r="B1815" s="82"/>
      <c r="C1815" s="83"/>
      <c r="D1815" s="89"/>
      <c r="E1815" s="82"/>
      <c r="G1815" s="82"/>
      <c r="H1815" s="78"/>
      <c r="I1815" s="82"/>
      <c r="K1815" s="78"/>
      <c r="L1815" s="83"/>
      <c r="M1815" s="89"/>
      <c r="P1815" s="83"/>
    </row>
    <row r="1816" customHeight="1" spans="1:18">
      <c r="B1816" s="82"/>
      <c r="C1816" s="83"/>
      <c r="D1816" s="89"/>
      <c r="E1816" s="82"/>
      <c r="G1816" s="82"/>
      <c r="H1816" s="78"/>
      <c r="I1816" s="82"/>
      <c r="K1816" s="78"/>
      <c r="L1816" s="83"/>
      <c r="M1816" s="89"/>
      <c r="P1816" s="83"/>
    </row>
    <row r="1817" customHeight="1" spans="1:18">
      <c r="B1817" s="82"/>
      <c r="C1817" s="83"/>
      <c r="D1817" s="89"/>
      <c r="E1817" s="82"/>
      <c r="G1817" s="82"/>
      <c r="H1817" s="78"/>
      <c r="I1817" s="82"/>
      <c r="K1817" s="78"/>
      <c r="L1817" s="83"/>
      <c r="M1817" s="89"/>
      <c r="P1817" s="83"/>
    </row>
    <row r="1818" customHeight="1" spans="1:18">
      <c r="B1818" s="82"/>
      <c r="C1818" s="83"/>
      <c r="D1818" s="89"/>
      <c r="E1818" s="82"/>
      <c r="G1818" s="82"/>
      <c r="H1818" s="78"/>
      <c r="I1818" s="82"/>
      <c r="K1818" s="78"/>
      <c r="L1818" s="83"/>
      <c r="M1818" s="89"/>
      <c r="P1818" s="83"/>
    </row>
    <row r="1819" customHeight="1" spans="1:18">
      <c r="B1819" s="82"/>
      <c r="C1819" s="83"/>
      <c r="D1819" s="89"/>
      <c r="E1819" s="82"/>
      <c r="G1819" s="82"/>
      <c r="H1819" s="78"/>
      <c r="I1819" s="82"/>
      <c r="K1819" s="78"/>
      <c r="L1819" s="83"/>
      <c r="M1819" s="89"/>
      <c r="P1819" s="83"/>
    </row>
    <row r="1820" customHeight="1" spans="1:18">
      <c r="B1820" s="82"/>
      <c r="C1820" s="83"/>
      <c r="D1820" s="89"/>
      <c r="E1820" s="82"/>
      <c r="G1820" s="82"/>
      <c r="H1820" s="78"/>
      <c r="I1820" s="82"/>
      <c r="K1820" s="78"/>
      <c r="L1820" s="83"/>
      <c r="M1820" s="89"/>
      <c r="P1820" s="83"/>
    </row>
    <row r="1821" customHeight="1" spans="1:18">
      <c r="B1821" s="82"/>
      <c r="C1821" s="83"/>
      <c r="D1821" s="89"/>
      <c r="E1821" s="82"/>
      <c r="G1821" s="82"/>
      <c r="H1821" s="78"/>
      <c r="I1821" s="82"/>
      <c r="K1821" s="78"/>
      <c r="L1821" s="83"/>
      <c r="M1821" s="89"/>
      <c r="P1821" s="83"/>
    </row>
    <row r="1822" customHeight="1" spans="1:18">
      <c r="B1822" s="82"/>
      <c r="C1822" s="83"/>
      <c r="D1822" s="89"/>
      <c r="E1822" s="82"/>
      <c r="G1822" s="82"/>
      <c r="H1822" s="78"/>
      <c r="I1822" s="82"/>
      <c r="K1822" s="78"/>
      <c r="L1822" s="83"/>
      <c r="M1822" s="89"/>
      <c r="P1822" s="83"/>
    </row>
    <row r="1823" customHeight="1" spans="1:18">
      <c r="B1823" s="82"/>
      <c r="C1823" s="83"/>
      <c r="D1823" s="89"/>
      <c r="E1823" s="82"/>
      <c r="G1823" s="82"/>
      <c r="H1823" s="78"/>
      <c r="I1823" s="82"/>
      <c r="K1823" s="78"/>
      <c r="L1823" s="83"/>
      <c r="M1823" s="89"/>
      <c r="P1823" s="83"/>
    </row>
    <row r="1824" customHeight="1" spans="1:18">
      <c r="B1824" s="82"/>
      <c r="C1824" s="83"/>
      <c r="D1824" s="89"/>
      <c r="E1824" s="82"/>
      <c r="G1824" s="82"/>
      <c r="H1824" s="78"/>
      <c r="I1824" s="82"/>
      <c r="K1824" s="78"/>
      <c r="L1824" s="83"/>
      <c r="M1824" s="89"/>
      <c r="P1824" s="83"/>
    </row>
    <row r="1825" customHeight="1" spans="2:16">
      <c r="B1825" s="82"/>
      <c r="C1825" s="83"/>
      <c r="D1825" s="89"/>
      <c r="E1825" s="82"/>
      <c r="G1825" s="82"/>
      <c r="H1825" s="78"/>
      <c r="I1825" s="82"/>
      <c r="K1825" s="78"/>
      <c r="L1825" s="83"/>
      <c r="M1825" s="89"/>
      <c r="P1825" s="83"/>
    </row>
    <row r="1826" customHeight="1" spans="2:16">
      <c r="B1826" s="82"/>
      <c r="C1826" s="83"/>
      <c r="D1826" s="89"/>
      <c r="E1826" s="82"/>
      <c r="G1826" s="82"/>
      <c r="H1826" s="78"/>
      <c r="I1826" s="82"/>
      <c r="K1826" s="78"/>
      <c r="L1826" s="83"/>
      <c r="M1826" s="89"/>
      <c r="P1826" s="83"/>
    </row>
    <row r="1827" customHeight="1" spans="2:16">
      <c r="B1827" s="82"/>
      <c r="C1827" s="83"/>
      <c r="D1827" s="89"/>
      <c r="E1827" s="82"/>
      <c r="G1827" s="82"/>
      <c r="H1827" s="78"/>
      <c r="I1827" s="82"/>
      <c r="K1827" s="78"/>
      <c r="L1827" s="83"/>
      <c r="M1827" s="89"/>
      <c r="P1827" s="83"/>
    </row>
  </sheetData>
  <autoFilter xmlns:etc="http://www.wps.cn/officeDocument/2017/etCustomData" ref="A1:N1827" etc:filterBottomFollowUsedRange="0">
    <extLst/>
  </autoFilter>
  <dataValidations count="2">
    <dataValidation type="whole" operator="between" allowBlank="1" showInputMessage="1" showErrorMessage="1" errorTitle="输入有误" error="数值只能为(0 ~ 9999999999)" sqref="A10:D10 G10:H10 M11 B11:B1810 F11:F1810 G1811:G1827 A1811:B1827 A1828:D1048576 G1828:H1048576">
      <formula1>0</formula1>
      <formula2>9999999999</formula2>
    </dataValidation>
    <dataValidation type="textLength" operator="between" allowBlank="1" showInputMessage="1" showErrorMessage="1" errorTitle="输入有误" error="数值只能为(0 ~ 9999999999)" sqref="P1:XFD2">
      <formula1>0</formula1>
      <formula2>9999999999</formula2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2:U310"/>
  <sheetViews>
    <sheetView workbookViewId="0">
      <selection activeCell="C7" sqref="C7"/>
    </sheetView>
  </sheetViews>
  <sheetFormatPr defaultColWidth="9.14285714285714" defaultRowHeight="12.75"/>
  <cols>
    <col min="2" max="5" width="16.2857142857143"/>
  </cols>
  <sheetData>
    <row r="2" ht="17.25" spans="1:21">
      <c r="A2" s="65" t="s">
        <v>565</v>
      </c>
    </row>
    <row r="3" ht="17.25" spans="1:21">
      <c r="I3" s="247" t="s">
        <v>566</v>
      </c>
      <c r="U3" s="65"/>
    </row>
    <row r="6" ht="15" spans="1:21">
      <c r="A6" s="66" t="s">
        <v>567</v>
      </c>
      <c r="B6" s="66" t="s">
        <v>568</v>
      </c>
      <c r="C6" s="66" t="s">
        <v>569</v>
      </c>
      <c r="D6" s="66" t="s">
        <v>570</v>
      </c>
      <c r="E6" s="66" t="s">
        <v>571</v>
      </c>
      <c r="F6" s="66" t="s">
        <v>44</v>
      </c>
      <c r="G6" s="66" t="s">
        <v>45</v>
      </c>
      <c r="H6" s="67" t="s">
        <v>572</v>
      </c>
      <c r="I6" s="66" t="s">
        <v>573</v>
      </c>
      <c r="J6" s="68" t="s">
        <v>574</v>
      </c>
      <c r="K6" s="68" t="s">
        <v>575</v>
      </c>
      <c r="L6" s="69" t="s">
        <v>576</v>
      </c>
      <c r="M6" s="69" t="s">
        <v>220</v>
      </c>
      <c r="N6" s="69" t="s">
        <v>577</v>
      </c>
      <c r="O6" s="69" t="s">
        <v>576</v>
      </c>
      <c r="P6" s="69" t="s">
        <v>578</v>
      </c>
    </row>
    <row r="7" ht="16.5" spans="1:21">
      <c r="A7" s="70">
        <v>1</v>
      </c>
      <c r="B7" s="61" t="s">
        <v>32</v>
      </c>
      <c r="C7" s="71">
        <f ca="1">OFFSET(装备属性!$D$14,MATCH(A7,装备属性!$H$15:$H$61,1),0)</f>
        <v>10</v>
      </c>
      <c r="D7" s="72">
        <f ca="1">IFERROR(MIN(MATCH(COUNTIFS($C$7:C7,C7,$B$7:B7,B7)*_xlfn.XLOOKUP(C7,装备属性!$D$15:$D$61,装备属性!$M$15:$M$61),装备产出!$Z$19:$Z$24,1),6),0)</f>
        <v>1</v>
      </c>
      <c r="E7" s="45" t="e">
        <f>MATCH(A7,装备属性!$AD$520:$AD$819,1)</f>
        <v>#N/A</v>
      </c>
      <c r="F7" s="73" t="e" cm="1">
        <f ca="1" t="array" ref="F7">_xlfn.XLOOKUP(B7&amp;C7,装备属性!$G$90:$G$466&amp;装备属性!$E$90:$E$466,装备属性!$I$90:$I$466)*D7+_xlfn.XLOOKUP(B7&amp;MAX(C7-10,1),装备属性!$G$90:$G$466&amp;装备属性!$E$90:$E$466,装备属性!$I$90:$I$466)*(6-D7)+_xlfn.XLOOKUP(B7&amp;C7,装备属性!$P$919:$P$955&amp;装备属性!$N$919:$N$955,装备属性!$R$919:$R$955)*D7*0.5+_xlfn.XLOOKUP(B7&amp;(MAX(C7-10,1)),装备属性!$P$919:$P$955&amp;装备属性!$N$919:$N$955,装备属性!$R$919:$R$955)*(6-D7)*0.5+_xlfn.XLOOKUP(E7,装备属性!$D$520:$D$819,装备属性!$I$520:$I$819)*6</f>
        <v>#N/A</v>
      </c>
      <c r="G7" s="73"/>
      <c r="H7" s="74"/>
      <c r="I7" s="74"/>
      <c r="J7" s="74"/>
      <c r="K7" s="56"/>
      <c r="L7" s="56"/>
      <c r="M7" s="56"/>
      <c r="N7" s="74"/>
      <c r="O7" s="74"/>
      <c r="P7" s="74"/>
    </row>
    <row r="8" ht="16.5" spans="1:21">
      <c r="A8" s="70">
        <v>2</v>
      </c>
      <c r="B8" s="45" t="str">
        <f ca="1">OFFSET(装备属性!$D$65,MATCH(A8,装备属性!$G$66:$G$73,1),0)</f>
        <v>橙</v>
      </c>
      <c r="C8" s="71">
        <f ca="1">OFFSET(装备属性!$D$14,MATCH(A8,装备属性!$H$15:$H$61,1),0)</f>
        <v>10</v>
      </c>
      <c r="D8" s="72">
        <f ca="1">IFERROR(MIN(MATCH(COUNTIFS($C$7:C8,C8,$B$7:B8,B8)*_xlfn.XLOOKUP(C8,装备属性!$D$15:$D$61,装备属性!$M$15:$M$61),装备产出!$Z$19:$Z$24,1),6),0)</f>
        <v>1</v>
      </c>
      <c r="E8" s="45" t="e">
        <f>MATCH(A8,装备属性!$AD$520:$AD$819,1)</f>
        <v>#N/A</v>
      </c>
      <c r="F8" s="73" t="e" cm="1">
        <f ca="1" t="array" ref="F8">_xlfn.XLOOKUP(B8&amp;C8,装备属性!$G$90:$G$466&amp;装备属性!$E$90:$E$466,装备属性!$I$90:$I$466)*D8+_xlfn.XLOOKUP(B8&amp;MAX(C8-10,1),装备属性!$G$90:$G$466&amp;装备属性!$E$90:$E$466,装备属性!$I$90:$I$466)*(6-D8)+_xlfn.XLOOKUP(B8&amp;C8,装备属性!$P$919:$P$955&amp;装备属性!$N$919:$N$955,装备属性!$R$919:$R$955)*D8*0.5+_xlfn.XLOOKUP(B8&amp;(MAX(C8-10,1)),装备属性!$P$919:$P$955&amp;装备属性!$N$919:$N$955,装备属性!$R$919:$R$955)*(6-D8)*0.5+_xlfn.XLOOKUP(E8,装备属性!$D$520:$D$819,装备属性!$I$520:$I$819)*6</f>
        <v>#N/A</v>
      </c>
      <c r="G8" s="73"/>
      <c r="H8" s="74"/>
      <c r="I8" s="74"/>
      <c r="J8" s="74"/>
      <c r="K8" s="56"/>
      <c r="L8" s="56"/>
      <c r="M8" s="56"/>
      <c r="N8" s="74"/>
      <c r="O8" s="74"/>
      <c r="P8" s="74"/>
    </row>
    <row r="9" ht="16.5" spans="1:21">
      <c r="A9" s="70">
        <v>3</v>
      </c>
      <c r="B9" s="45" t="str">
        <f ca="1">OFFSET(装备属性!$D$65,MATCH(A9,装备属性!$G$66:$G$73,1),0)</f>
        <v>橙</v>
      </c>
      <c r="C9" s="71">
        <f ca="1">OFFSET(装备属性!$D$14,MATCH(A9,装备属性!$H$15:$H$61,1),0)</f>
        <v>20</v>
      </c>
      <c r="D9" s="72">
        <f ca="1">IFERROR(MIN(MATCH(COUNTIFS($C$7:C9,C9,$B$7:B9,B9)*_xlfn.XLOOKUP(C9,装备属性!$D$15:$D$61,装备属性!$M$15:$M$61),装备产出!$Z$19:$Z$24,1),6),0)</f>
        <v>0</v>
      </c>
      <c r="E9" s="45" t="e">
        <f>MATCH(A9,装备属性!$AD$520:$AD$819,1)</f>
        <v>#N/A</v>
      </c>
      <c r="F9" s="73" t="e" cm="1">
        <f ca="1" t="array" ref="F9">_xlfn.XLOOKUP(B9&amp;C9,装备属性!$G$90:$G$466&amp;装备属性!$E$90:$E$466,装备属性!$I$90:$I$466)*D9+_xlfn.XLOOKUP(B9&amp;MAX(C9-10,1),装备属性!$G$90:$G$466&amp;装备属性!$E$90:$E$466,装备属性!$I$90:$I$466)*(6-D9)+_xlfn.XLOOKUP(B9&amp;C9,装备属性!$P$919:$P$955&amp;装备属性!$N$919:$N$955,装备属性!$R$919:$R$955)*D9*0.5+_xlfn.XLOOKUP(B9&amp;(MAX(C9-10,1)),装备属性!$P$919:$P$955&amp;装备属性!$N$919:$N$955,装备属性!$R$919:$R$955)*(6-D9)*0.5+_xlfn.XLOOKUP(E9,装备属性!$D$520:$D$819,装备属性!$I$520:$I$819)*6</f>
        <v>#N/A</v>
      </c>
      <c r="G9" s="73"/>
      <c r="H9" s="74"/>
      <c r="I9" s="74"/>
      <c r="J9" s="74"/>
      <c r="K9" s="56"/>
      <c r="L9" s="56"/>
      <c r="M9" s="56"/>
      <c r="N9" s="74"/>
      <c r="O9" s="74"/>
      <c r="P9" s="74"/>
    </row>
    <row r="10" ht="16.5" spans="1:21">
      <c r="A10" s="70">
        <v>4</v>
      </c>
      <c r="B10" s="45" t="str">
        <f ca="1">OFFSET(装备属性!$D$65,MATCH(A10,装备属性!$G$66:$G$73,1),0)</f>
        <v>红</v>
      </c>
      <c r="C10" s="71">
        <f ca="1">OFFSET(装备属性!$D$14,MATCH(A10,装备属性!$H$15:$H$61,1),0)</f>
        <v>20</v>
      </c>
      <c r="D10" s="72">
        <f ca="1">IFERROR(MIN(MATCH(COUNTIFS($C$7:C10,C10,$B$7:B10,B10)*_xlfn.XLOOKUP(C10,装备属性!$D$15:$D$61,装备属性!$M$15:$M$61),装备产出!$Z$19:$Z$24,1),6),0)</f>
        <v>0</v>
      </c>
      <c r="E10" s="45" t="e">
        <f>MATCH(A10,装备属性!$AD$520:$AD$819,1)</f>
        <v>#N/A</v>
      </c>
      <c r="F10" s="73" t="e" cm="1">
        <f ca="1" t="array" ref="F10">_xlfn.XLOOKUP(B10&amp;C10,装备属性!$G$90:$G$466&amp;装备属性!$E$90:$E$466,装备属性!$I$90:$I$466)*D10+_xlfn.XLOOKUP(B10&amp;MAX(C10-10,1),装备属性!$G$90:$G$466&amp;装备属性!$E$90:$E$466,装备属性!$I$90:$I$466)*(6-D10)+_xlfn.XLOOKUP(B10&amp;C10,装备属性!$P$919:$P$955&amp;装备属性!$N$919:$N$955,装备属性!$R$919:$R$955)*D10*0.5+_xlfn.XLOOKUP(B10&amp;(MAX(C10-10,1)),装备属性!$P$919:$P$955&amp;装备属性!$N$919:$N$955,装备属性!$R$919:$R$955)*(6-D10)*0.5+_xlfn.XLOOKUP(E10,装备属性!$D$520:$D$819,装备属性!$I$520:$I$819)*6</f>
        <v>#N/A</v>
      </c>
      <c r="G10" s="73"/>
      <c r="H10" s="74"/>
      <c r="I10" s="74"/>
      <c r="J10" s="74"/>
      <c r="K10" s="56"/>
      <c r="L10" s="56"/>
      <c r="M10" s="56"/>
      <c r="N10" s="74"/>
      <c r="O10" s="74"/>
      <c r="P10" s="74"/>
    </row>
    <row r="11" ht="16.5" spans="1:21">
      <c r="A11" s="70">
        <v>5</v>
      </c>
      <c r="B11" s="45" t="str">
        <f ca="1">OFFSET(装备属性!$D$65,MATCH(A11,装备属性!$G$66:$G$73,1),0)</f>
        <v>红</v>
      </c>
      <c r="C11" s="71">
        <f ca="1">OFFSET(装备属性!$D$14,MATCH(A11,装备属性!$H$15:$H$61,1),0)</f>
        <v>30</v>
      </c>
      <c r="D11" s="72">
        <f ca="1">IFERROR(MIN(MATCH(COUNTIFS($C$7:C11,C11,$B$7:B11,B11)*_xlfn.XLOOKUP(C11,装备属性!$D$15:$D$61,装备属性!$M$15:$M$61),装备产出!$Z$19:$Z$24,1),6),0)</f>
        <v>0</v>
      </c>
      <c r="E11" s="45" t="e">
        <f>MATCH(A11,装备属性!$AD$520:$AD$819,1)</f>
        <v>#N/A</v>
      </c>
      <c r="F11" s="73" t="e" cm="1">
        <f ca="1" t="array" ref="F11">_xlfn.XLOOKUP(B11&amp;C11,装备属性!$G$90:$G$466&amp;装备属性!$E$90:$E$466,装备属性!$I$90:$I$466)*D11+_xlfn.XLOOKUP(B11&amp;MAX(C11-10,1),装备属性!$G$90:$G$466&amp;装备属性!$E$90:$E$466,装备属性!$I$90:$I$466)*(6-D11)+_xlfn.XLOOKUP(B11&amp;C11,装备属性!$P$919:$P$955&amp;装备属性!$N$919:$N$955,装备属性!$R$919:$R$955)*D11*0.5+_xlfn.XLOOKUP(B11&amp;(MAX(C11-10,1)),装备属性!$P$919:$P$955&amp;装备属性!$N$919:$N$955,装备属性!$R$919:$R$955)*(6-D11)*0.5+_xlfn.XLOOKUP(E11,装备属性!$D$520:$D$819,装备属性!$I$520:$I$819)*6</f>
        <v>#N/A</v>
      </c>
      <c r="G11" s="73"/>
      <c r="H11" s="74"/>
      <c r="I11" s="74"/>
      <c r="J11" s="74"/>
      <c r="K11" s="56"/>
      <c r="L11" s="56"/>
      <c r="M11" s="56"/>
      <c r="N11" s="74"/>
      <c r="O11" s="74"/>
      <c r="P11" s="74"/>
    </row>
    <row r="12" ht="16.5" spans="1:21">
      <c r="A12" s="70">
        <v>6</v>
      </c>
      <c r="B12" s="45" t="str">
        <f ca="1">OFFSET(装备属性!$D$65,MATCH(A12,装备属性!$G$66:$G$73,1),0)</f>
        <v>红</v>
      </c>
      <c r="C12" s="71">
        <f ca="1">OFFSET(装备属性!$D$14,MATCH(A12,装备属性!$H$15:$H$61,1),0)</f>
        <v>30</v>
      </c>
      <c r="D12" s="72">
        <f ca="1">IFERROR(MIN(MATCH(COUNTIFS($C$7:C12,C12,$B$7:B12,B12)*_xlfn.XLOOKUP(C12,装备属性!$D$15:$D$61,装备属性!$M$15:$M$61),装备产出!$Z$19:$Z$24,1),6),0)</f>
        <v>0</v>
      </c>
      <c r="E12" s="45" t="e">
        <f>MATCH(A12,装备属性!$AD$520:$AD$819,1)</f>
        <v>#N/A</v>
      </c>
      <c r="F12" s="73" t="e" cm="1">
        <f ca="1" t="array" ref="F12">_xlfn.XLOOKUP(B12&amp;C12,装备属性!$G$90:$G$466&amp;装备属性!$E$90:$E$466,装备属性!$I$90:$I$466)*D12+_xlfn.XLOOKUP(B12&amp;MAX(C12-10,1),装备属性!$G$90:$G$466&amp;装备属性!$E$90:$E$466,装备属性!$I$90:$I$466)*(6-D12)+_xlfn.XLOOKUP(B12&amp;C12,装备属性!$P$919:$P$955&amp;装备属性!$N$919:$N$955,装备属性!$R$919:$R$955)*D12*0.5+_xlfn.XLOOKUP(B12&amp;(MAX(C12-10,1)),装备属性!$P$919:$P$955&amp;装备属性!$N$919:$N$955,装备属性!$R$919:$R$955)*(6-D12)*0.5+_xlfn.XLOOKUP(E12,装备属性!$D$520:$D$819,装备属性!$I$520:$I$819)*6</f>
        <v>#N/A</v>
      </c>
      <c r="G12" s="73"/>
      <c r="H12" s="74"/>
      <c r="I12" s="74"/>
      <c r="J12" s="74"/>
      <c r="K12" s="56"/>
      <c r="L12" s="56"/>
      <c r="M12" s="56"/>
      <c r="N12" s="74"/>
      <c r="O12" s="74"/>
      <c r="P12" s="74"/>
    </row>
    <row r="13" ht="16.5" spans="1:21">
      <c r="A13" s="70">
        <v>7</v>
      </c>
      <c r="B13" s="45" t="str">
        <f ca="1">OFFSET(装备属性!$D$65,MATCH(A13,装备属性!$G$66:$G$73,1),0)</f>
        <v>红</v>
      </c>
      <c r="C13" s="71">
        <f ca="1">OFFSET(装备属性!$D$14,MATCH(A13,装备属性!$H$15:$H$61,1),0)</f>
        <v>40</v>
      </c>
      <c r="D13" s="72">
        <f ca="1">IFERROR(MIN(MATCH(COUNTIFS($C$7:C13,C13,$B$7:B13,B13)*_xlfn.XLOOKUP(C13,装备属性!$D$15:$D$61,装备属性!$M$15:$M$61),装备产出!$Z$19:$Z$24,1),6),0)</f>
        <v>0</v>
      </c>
      <c r="E13" s="45" t="e">
        <f>MATCH(A13,装备属性!$AD$520:$AD$819,1)</f>
        <v>#N/A</v>
      </c>
      <c r="F13" s="73" t="e" cm="1">
        <f ca="1" t="array" ref="F13">_xlfn.XLOOKUP(B13&amp;C13,装备属性!$G$90:$G$466&amp;装备属性!$E$90:$E$466,装备属性!$I$90:$I$466)*D13+_xlfn.XLOOKUP(B13&amp;MAX(C13-10,1),装备属性!$G$90:$G$466&amp;装备属性!$E$90:$E$466,装备属性!$I$90:$I$466)*(6-D13)+_xlfn.XLOOKUP(B13&amp;C13,装备属性!$P$919:$P$955&amp;装备属性!$N$919:$N$955,装备属性!$R$919:$R$955)*D13*0.5+_xlfn.XLOOKUP(B13&amp;(MAX(C13-10,1)),装备属性!$P$919:$P$955&amp;装备属性!$N$919:$N$955,装备属性!$R$919:$R$955)*(6-D13)*0.5+_xlfn.XLOOKUP(E13,装备属性!$D$520:$D$819,装备属性!$I$520:$I$819)*6</f>
        <v>#N/A</v>
      </c>
      <c r="G13" s="73"/>
      <c r="H13" s="74"/>
      <c r="I13" s="74"/>
      <c r="J13" s="74"/>
      <c r="K13" s="56"/>
      <c r="L13" s="56"/>
      <c r="M13" s="56"/>
      <c r="N13" s="74"/>
      <c r="O13" s="74"/>
      <c r="P13" s="74"/>
    </row>
    <row r="14" ht="16.5" spans="1:21">
      <c r="A14" s="70">
        <v>8</v>
      </c>
      <c r="B14" s="45" t="str">
        <f ca="1">OFFSET(装备属性!$D$65,MATCH(A14,装备属性!$G$66:$G$73,1),0)</f>
        <v>红</v>
      </c>
      <c r="C14" s="71">
        <f ca="1">OFFSET(装备属性!$D$14,MATCH(A14,装备属性!$H$15:$H$61,1),0)</f>
        <v>40</v>
      </c>
      <c r="D14" s="72">
        <f ca="1">IFERROR(MIN(MATCH(COUNTIFS($C$7:C14,C14,$B$7:B14,B14)*_xlfn.XLOOKUP(C14,装备属性!$D$15:$D$61,装备属性!$M$15:$M$61),装备产出!$Z$19:$Z$24,1),6),0)</f>
        <v>0</v>
      </c>
      <c r="E14" s="45" t="e">
        <f>MATCH(A14,装备属性!$AD$520:$AD$819,1)</f>
        <v>#N/A</v>
      </c>
      <c r="F14" s="73" t="e" cm="1">
        <f ca="1" t="array" ref="F14">_xlfn.XLOOKUP(B14&amp;C14,装备属性!$G$90:$G$466&amp;装备属性!$E$90:$E$466,装备属性!$I$90:$I$466)*D14+_xlfn.XLOOKUP(B14&amp;MAX(C14-10,1),装备属性!$G$90:$G$466&amp;装备属性!$E$90:$E$466,装备属性!$I$90:$I$466)*(6-D14)+_xlfn.XLOOKUP(B14&amp;C14,装备属性!$P$919:$P$955&amp;装备属性!$N$919:$N$955,装备属性!$R$919:$R$955)*D14*0.5+_xlfn.XLOOKUP(B14&amp;(MAX(C14-10,1)),装备属性!$P$919:$P$955&amp;装备属性!$N$919:$N$955,装备属性!$R$919:$R$955)*(6-D14)*0.5+_xlfn.XLOOKUP(E14,装备属性!$D$520:$D$819,装备属性!$I$520:$I$819)*6</f>
        <v>#N/A</v>
      </c>
      <c r="G14" s="73"/>
      <c r="H14" s="74"/>
      <c r="I14" s="74"/>
      <c r="J14" s="74"/>
      <c r="K14" s="56"/>
      <c r="L14" s="56"/>
      <c r="M14" s="56"/>
      <c r="N14" s="74"/>
      <c r="O14" s="74"/>
      <c r="P14" s="74"/>
    </row>
    <row r="15" ht="16.5" spans="1:21">
      <c r="A15" s="70">
        <v>9</v>
      </c>
      <c r="B15" s="45" t="str">
        <f ca="1">OFFSET(装备属性!$D$65,MATCH(A15,装备属性!$G$66:$G$73,1),0)</f>
        <v>红</v>
      </c>
      <c r="C15" s="71">
        <f ca="1">OFFSET(装备属性!$D$14,MATCH(A15,装备属性!$H$15:$H$61,1),0)</f>
        <v>40</v>
      </c>
      <c r="D15" s="72">
        <f ca="1">IFERROR(MIN(MATCH(COUNTIFS($C$7:C15,C15,$B$7:B15,B15)*_xlfn.XLOOKUP(C15,装备属性!$D$15:$D$61,装备属性!$M$15:$M$61),装备产出!$Z$19:$Z$24,1),6),0)</f>
        <v>1</v>
      </c>
      <c r="E15" s="45" t="e">
        <f>MATCH(A15,装备属性!$AD$520:$AD$819,1)</f>
        <v>#N/A</v>
      </c>
      <c r="F15" s="73" t="e" cm="1">
        <f ca="1" t="array" ref="F15">_xlfn.XLOOKUP(B15&amp;C15,装备属性!$G$90:$G$466&amp;装备属性!$E$90:$E$466,装备属性!$I$90:$I$466)*D15+_xlfn.XLOOKUP(B15&amp;MAX(C15-10,1),装备属性!$G$90:$G$466&amp;装备属性!$E$90:$E$466,装备属性!$I$90:$I$466)*(6-D15)+_xlfn.XLOOKUP(B15&amp;C15,装备属性!$P$919:$P$955&amp;装备属性!$N$919:$N$955,装备属性!$R$919:$R$955)*D15*0.5+_xlfn.XLOOKUP(B15&amp;(MAX(C15-10,1)),装备属性!$P$919:$P$955&amp;装备属性!$N$919:$N$955,装备属性!$R$919:$R$955)*(6-D15)*0.5+_xlfn.XLOOKUP(E15,装备属性!$D$520:$D$819,装备属性!$I$520:$I$819)*6</f>
        <v>#N/A</v>
      </c>
      <c r="G15" s="73"/>
      <c r="H15" s="74"/>
      <c r="I15" s="74"/>
      <c r="J15" s="74"/>
      <c r="K15" s="56"/>
      <c r="L15" s="56"/>
      <c r="M15" s="56"/>
      <c r="N15" s="74"/>
      <c r="O15" s="74"/>
      <c r="P15" s="74"/>
    </row>
    <row r="16" ht="16.5" spans="1:21">
      <c r="A16" s="70">
        <v>10</v>
      </c>
      <c r="B16" s="45" t="str">
        <f ca="1">OFFSET(装备属性!$D$65,MATCH(A16,装备属性!$G$66:$G$73,1),0)</f>
        <v>红</v>
      </c>
      <c r="C16" s="71">
        <f ca="1">OFFSET(装备属性!$D$14,MATCH(A16,装备属性!$H$15:$H$61,1),0)</f>
        <v>40</v>
      </c>
      <c r="D16" s="72">
        <f ca="1">IFERROR(MIN(MATCH(COUNTIFS($C$7:C16,C16,$B$7:B16,B16)*_xlfn.XLOOKUP(C16,装备属性!$D$15:$D$61,装备属性!$M$15:$M$61),装备产出!$Z$19:$Z$24,1),6),0)</f>
        <v>1</v>
      </c>
      <c r="E16" s="45" t="e">
        <f>MATCH(A16,装备属性!$AD$520:$AD$819,1)</f>
        <v>#N/A</v>
      </c>
      <c r="F16" s="73" t="e" cm="1">
        <f ca="1" t="array" ref="F16">_xlfn.XLOOKUP(B16&amp;C16,装备属性!$G$90:$G$466&amp;装备属性!$E$90:$E$466,装备属性!$I$90:$I$466)*D16+_xlfn.XLOOKUP(B16&amp;MAX(C16-10,1),装备属性!$G$90:$G$466&amp;装备属性!$E$90:$E$466,装备属性!$I$90:$I$466)*(6-D16)+_xlfn.XLOOKUP(B16&amp;C16,装备属性!$P$919:$P$955&amp;装备属性!$N$919:$N$955,装备属性!$R$919:$R$955)*D16*0.5+_xlfn.XLOOKUP(B16&amp;(MAX(C16-10,1)),装备属性!$P$919:$P$955&amp;装备属性!$N$919:$N$955,装备属性!$R$919:$R$955)*(6-D16)*0.5+_xlfn.XLOOKUP(E16,装备属性!$D$520:$D$819,装备属性!$I$520:$I$819)*6</f>
        <v>#N/A</v>
      </c>
      <c r="G16" s="73"/>
      <c r="H16" s="74"/>
      <c r="I16" s="74"/>
      <c r="J16" s="74"/>
      <c r="K16" s="56"/>
      <c r="L16" s="56"/>
      <c r="M16" s="56"/>
      <c r="N16" s="74"/>
      <c r="O16" s="74"/>
      <c r="P16" s="74"/>
    </row>
    <row r="17" ht="16.5" spans="1:16">
      <c r="A17" s="70">
        <v>11</v>
      </c>
      <c r="B17" s="45" t="str">
        <f ca="1">OFFSET(装备属性!$D$65,MATCH(A17,装备属性!$G$66:$G$73,1),0)</f>
        <v>红</v>
      </c>
      <c r="C17" s="71">
        <f ca="1">OFFSET(装备属性!$D$14,MATCH(A17,装备属性!$H$15:$H$61,1),0)</f>
        <v>50</v>
      </c>
      <c r="D17" s="72">
        <f ca="1">IFERROR(MIN(MATCH(COUNTIFS($C$7:C17,C17,$B$7:B17,B17)*_xlfn.XLOOKUP(C17,装备属性!$D$15:$D$61,装备属性!$M$15:$M$61),装备产出!$Z$19:$Z$24,1),6),0)</f>
        <v>0</v>
      </c>
      <c r="E17" s="45" t="e">
        <f>MATCH(A17,装备属性!$AD$520:$AD$819,1)</f>
        <v>#N/A</v>
      </c>
      <c r="F17" s="73" t="e" cm="1">
        <f ca="1" t="array" ref="F17">_xlfn.XLOOKUP(B17&amp;C17,装备属性!$G$90:$G$466&amp;装备属性!$E$90:$E$466,装备属性!$I$90:$I$466)*D17+_xlfn.XLOOKUP(B17&amp;MAX(C17-10,1),装备属性!$G$90:$G$466&amp;装备属性!$E$90:$E$466,装备属性!$I$90:$I$466)*(6-D17)+_xlfn.XLOOKUP(B17&amp;C17,装备属性!$P$919:$P$955&amp;装备属性!$N$919:$N$955,装备属性!$R$919:$R$955)*D17*0.5+_xlfn.XLOOKUP(B17&amp;(MAX(C17-10,1)),装备属性!$P$919:$P$955&amp;装备属性!$N$919:$N$955,装备属性!$R$919:$R$955)*(6-D17)*0.5+_xlfn.XLOOKUP(E17,装备属性!$D$520:$D$819,装备属性!$I$520:$I$819)*6</f>
        <v>#N/A</v>
      </c>
      <c r="G17" s="73"/>
      <c r="H17" s="74"/>
      <c r="I17" s="74"/>
      <c r="J17" s="74"/>
      <c r="K17" s="56"/>
      <c r="L17" s="56"/>
      <c r="M17" s="56"/>
      <c r="N17" s="74"/>
      <c r="O17" s="74"/>
      <c r="P17" s="74"/>
    </row>
    <row r="18" ht="16.5" spans="1:16">
      <c r="A18" s="70">
        <v>12</v>
      </c>
      <c r="B18" s="45" t="str">
        <f ca="1">OFFSET(装备属性!$D$65,MATCH(A18,装备属性!$G$66:$G$73,1),0)</f>
        <v>红</v>
      </c>
      <c r="C18" s="71">
        <f ca="1">OFFSET(装备属性!$D$14,MATCH(A18,装备属性!$H$15:$H$61,1),0)</f>
        <v>50</v>
      </c>
      <c r="D18" s="72">
        <f ca="1">IFERROR(MIN(MATCH(COUNTIFS($C$7:C18,C18,$B$7:B18,B18)*_xlfn.XLOOKUP(C18,装备属性!$D$15:$D$61,装备属性!$M$15:$M$61),装备产出!$Z$19:$Z$24,1),6),0)</f>
        <v>0</v>
      </c>
      <c r="E18" s="45" t="e">
        <f>MATCH(A18,装备属性!$AD$520:$AD$819,1)</f>
        <v>#N/A</v>
      </c>
      <c r="F18" s="73" t="e" cm="1">
        <f ca="1" t="array" ref="F18">_xlfn.XLOOKUP(B18&amp;C18,装备属性!$G$90:$G$466&amp;装备属性!$E$90:$E$466,装备属性!$I$90:$I$466)*D18+_xlfn.XLOOKUP(B18&amp;MAX(C18-10,1),装备属性!$G$90:$G$466&amp;装备属性!$E$90:$E$466,装备属性!$I$90:$I$466)*(6-D18)+_xlfn.XLOOKUP(B18&amp;C18,装备属性!$P$919:$P$955&amp;装备属性!$N$919:$N$955,装备属性!$R$919:$R$955)*D18*0.5+_xlfn.XLOOKUP(B18&amp;(MAX(C18-10,1)),装备属性!$P$919:$P$955&amp;装备属性!$N$919:$N$955,装备属性!$R$919:$R$955)*(6-D18)*0.5+_xlfn.XLOOKUP(E18,装备属性!$D$520:$D$819,装备属性!$I$520:$I$819)*6</f>
        <v>#N/A</v>
      </c>
      <c r="G18" s="73"/>
      <c r="H18" s="74"/>
      <c r="I18" s="74"/>
      <c r="J18" s="74"/>
      <c r="K18" s="56"/>
      <c r="L18" s="56"/>
      <c r="M18" s="56"/>
      <c r="N18" s="74"/>
      <c r="O18" s="74"/>
      <c r="P18" s="74"/>
    </row>
    <row r="19" ht="16.5" spans="1:16">
      <c r="A19" s="70">
        <v>13</v>
      </c>
      <c r="B19" s="45" t="str">
        <f ca="1">OFFSET(装备属性!$D$65,MATCH(A19,装备属性!$G$66:$G$73,1),0)</f>
        <v>红</v>
      </c>
      <c r="C19" s="71">
        <f ca="1">OFFSET(装备属性!$D$14,MATCH(A19,装备属性!$H$15:$H$61,1),0)</f>
        <v>50</v>
      </c>
      <c r="D19" s="72">
        <f ca="1">IFERROR(MIN(MATCH(COUNTIFS($C$7:C19,C19,$B$7:B19,B19)*_xlfn.XLOOKUP(C19,装备属性!$D$15:$D$61,装备属性!$M$15:$M$61),装备产出!$Z$19:$Z$24,1),6),0)</f>
        <v>1</v>
      </c>
      <c r="E19" s="45" t="e">
        <f>MATCH(A19,装备属性!$AD$520:$AD$819,1)</f>
        <v>#N/A</v>
      </c>
      <c r="F19" s="73" t="e" cm="1">
        <f ca="1" t="array" ref="F19">_xlfn.XLOOKUP(B19&amp;C19,装备属性!$G$90:$G$466&amp;装备属性!$E$90:$E$466,装备属性!$I$90:$I$466)*D19+_xlfn.XLOOKUP(B19&amp;MAX(C19-10,1),装备属性!$G$90:$G$466&amp;装备属性!$E$90:$E$466,装备属性!$I$90:$I$466)*(6-D19)+_xlfn.XLOOKUP(B19&amp;C19,装备属性!$P$919:$P$955&amp;装备属性!$N$919:$N$955,装备属性!$R$919:$R$955)*D19*0.5+_xlfn.XLOOKUP(B19&amp;(MAX(C19-10,1)),装备属性!$P$919:$P$955&amp;装备属性!$N$919:$N$955,装备属性!$R$919:$R$955)*(6-D19)*0.5+_xlfn.XLOOKUP(E19,装备属性!$D$520:$D$819,装备属性!$I$520:$I$819)*6</f>
        <v>#N/A</v>
      </c>
      <c r="G19" s="73"/>
      <c r="H19" s="74"/>
      <c r="I19" s="74"/>
      <c r="J19" s="74"/>
      <c r="K19" s="56"/>
      <c r="L19" s="56"/>
      <c r="M19" s="56"/>
      <c r="N19" s="74"/>
      <c r="O19" s="74"/>
      <c r="P19" s="74"/>
    </row>
    <row r="20" ht="16.5" spans="1:16">
      <c r="A20" s="70">
        <v>14</v>
      </c>
      <c r="B20" s="45" t="str">
        <f ca="1">OFFSET(装备属性!$D$65,MATCH(A20,装备属性!$G$66:$G$73,1),0)</f>
        <v>红</v>
      </c>
      <c r="C20" s="71">
        <f ca="1">OFFSET(装备属性!$D$14,MATCH(A20,装备属性!$H$15:$H$61,1),0)</f>
        <v>50</v>
      </c>
      <c r="D20" s="72">
        <f ca="1">IFERROR(MIN(MATCH(COUNTIFS($C$7:C20,C20,$B$7:B20,B20)*_xlfn.XLOOKUP(C20,装备属性!$D$15:$D$61,装备属性!$M$15:$M$61),装备产出!$Z$19:$Z$24,1),6),0)</f>
        <v>1</v>
      </c>
      <c r="E20" s="45" t="e">
        <f>MATCH(A20,装备属性!$AD$520:$AD$819,1)</f>
        <v>#N/A</v>
      </c>
      <c r="F20" s="73" t="e" cm="1">
        <f ca="1" t="array" ref="F20">_xlfn.XLOOKUP(B20&amp;C20,装备属性!$G$90:$G$466&amp;装备属性!$E$90:$E$466,装备属性!$I$90:$I$466)*D20+_xlfn.XLOOKUP(B20&amp;MAX(C20-10,1),装备属性!$G$90:$G$466&amp;装备属性!$E$90:$E$466,装备属性!$I$90:$I$466)*(6-D20)+_xlfn.XLOOKUP(B20&amp;C20,装备属性!$P$919:$P$955&amp;装备属性!$N$919:$N$955,装备属性!$R$919:$R$955)*D20*0.5+_xlfn.XLOOKUP(B20&amp;(MAX(C20-10,1)),装备属性!$P$919:$P$955&amp;装备属性!$N$919:$N$955,装备属性!$R$919:$R$955)*(6-D20)*0.5+_xlfn.XLOOKUP(E20,装备属性!$D$520:$D$819,装备属性!$I$520:$I$819)*6</f>
        <v>#N/A</v>
      </c>
      <c r="G20" s="73"/>
      <c r="H20" s="74"/>
      <c r="I20" s="74"/>
      <c r="J20" s="74"/>
      <c r="K20" s="56"/>
      <c r="L20" s="56"/>
      <c r="M20" s="56"/>
      <c r="N20" s="74"/>
      <c r="O20" s="74"/>
      <c r="P20" s="74"/>
    </row>
    <row r="21" ht="16.5" spans="1:16">
      <c r="A21" s="70">
        <v>15</v>
      </c>
      <c r="B21" s="45" t="str">
        <f ca="1">OFFSET(装备属性!$D$65,MATCH(A21,装备属性!$G$66:$G$73,1),0)</f>
        <v>红</v>
      </c>
      <c r="C21" s="71">
        <f ca="1">OFFSET(装备属性!$D$14,MATCH(A21,装备属性!$H$15:$H$61,1),0)</f>
        <v>55</v>
      </c>
      <c r="D21" s="72">
        <f ca="1">IFERROR(MIN(MATCH(COUNTIFS($C$7:C21,C21,$B$7:B21,B21)*_xlfn.XLOOKUP(C21,装备属性!$D$15:$D$61,装备属性!$M$15:$M$61),装备产出!$Z$19:$Z$24,1),6),0)</f>
        <v>0</v>
      </c>
      <c r="E21" s="45" t="e">
        <f>MATCH(A21,装备属性!$AD$520:$AD$819,1)</f>
        <v>#N/A</v>
      </c>
      <c r="F21" s="73" t="e" cm="1">
        <f ca="1" t="array" ref="F21">_xlfn.XLOOKUP(B21&amp;C21,装备属性!$G$90:$G$466&amp;装备属性!$E$90:$E$466,装备属性!$I$90:$I$466)*D21+_xlfn.XLOOKUP(B21&amp;MAX(C21-10,1),装备属性!$G$90:$G$466&amp;装备属性!$E$90:$E$466,装备属性!$I$90:$I$466)*(6-D21)+_xlfn.XLOOKUP(B21&amp;C21,装备属性!$P$919:$P$955&amp;装备属性!$N$919:$N$955,装备属性!$R$919:$R$955)*D21*0.5+_xlfn.XLOOKUP(B21&amp;(MAX(C21-10,1)),装备属性!$P$919:$P$955&amp;装备属性!$N$919:$N$955,装备属性!$R$919:$R$955)*(6-D21)*0.5+_xlfn.XLOOKUP(E21,装备属性!$D$520:$D$819,装备属性!$I$520:$I$819)*6</f>
        <v>#N/A</v>
      </c>
      <c r="G21" s="73"/>
      <c r="H21" s="74"/>
      <c r="I21" s="74"/>
      <c r="J21" s="74"/>
      <c r="K21" s="56"/>
      <c r="L21" s="56"/>
      <c r="M21" s="56"/>
      <c r="N21" s="74"/>
      <c r="O21" s="74"/>
      <c r="P21" s="74"/>
    </row>
    <row r="22" ht="16.5" spans="1:16">
      <c r="A22" s="70">
        <v>16</v>
      </c>
      <c r="B22" s="45" t="str">
        <f ca="1">OFFSET(装备属性!$D$65,MATCH(A22,装备属性!$G$66:$G$73,1),0)</f>
        <v>粉</v>
      </c>
      <c r="C22" s="71">
        <f ca="1">OFFSET(装备属性!$D$14,MATCH(A22,装备属性!$H$15:$H$61,1),0)</f>
        <v>55</v>
      </c>
      <c r="D22" s="72">
        <f ca="1">IFERROR(MIN(MATCH(COUNTIFS($C$7:C22,C22,$B$7:B22,B22)*_xlfn.XLOOKUP(C22,装备属性!$D$15:$D$61,装备属性!$M$15:$M$61),装备产出!$Z$19:$Z$24,1),6),0)</f>
        <v>0</v>
      </c>
      <c r="E22" s="45" t="e">
        <f>MATCH(A22,装备属性!$AD$520:$AD$819,1)</f>
        <v>#N/A</v>
      </c>
      <c r="F22" s="73" t="e" cm="1">
        <f ca="1" t="array" ref="F22">_xlfn.XLOOKUP(B22&amp;C22,装备属性!$G$90:$G$466&amp;装备属性!$E$90:$E$466,装备属性!$I$90:$I$466)*D22+_xlfn.XLOOKUP(B22&amp;MAX(C22-10,1),装备属性!$G$90:$G$466&amp;装备属性!$E$90:$E$466,装备属性!$I$90:$I$466)*(6-D22)+_xlfn.XLOOKUP(B22&amp;C22,装备属性!$P$919:$P$955&amp;装备属性!$N$919:$N$955,装备属性!$R$919:$R$955)*D22*0.5+_xlfn.XLOOKUP(B22&amp;(MAX(C22-10,1)),装备属性!$P$919:$P$955&amp;装备属性!$N$919:$N$955,装备属性!$R$919:$R$955)*(6-D22)*0.5+_xlfn.XLOOKUP(E22,装备属性!$D$520:$D$819,装备属性!$I$520:$I$819)*6</f>
        <v>#N/A</v>
      </c>
      <c r="G22" s="73"/>
      <c r="H22" s="74"/>
      <c r="I22" s="74"/>
      <c r="J22" s="74"/>
      <c r="K22" s="56"/>
      <c r="L22" s="56"/>
      <c r="M22" s="56"/>
      <c r="N22" s="74"/>
      <c r="O22" s="74"/>
      <c r="P22" s="74"/>
    </row>
    <row r="23" ht="16.5" spans="1:16">
      <c r="A23" s="70">
        <v>17</v>
      </c>
      <c r="B23" s="45" t="str">
        <f ca="1">OFFSET(装备属性!$D$65,MATCH(A23,装备属性!$G$66:$G$73,1),0)</f>
        <v>粉</v>
      </c>
      <c r="C23" s="71">
        <f ca="1">OFFSET(装备属性!$D$14,MATCH(A23,装备属性!$H$15:$H$61,1),0)</f>
        <v>55</v>
      </c>
      <c r="D23" s="72">
        <f ca="1">IFERROR(MIN(MATCH(COUNTIFS($C$7:C23,C23,$B$7:B23,B23)*_xlfn.XLOOKUP(C23,装备属性!$D$15:$D$61,装备属性!$M$15:$M$61),装备产出!$Z$19:$Z$24,1),6),0)</f>
        <v>0</v>
      </c>
      <c r="E23" s="45" t="e">
        <f>MATCH(A23,装备属性!$AD$520:$AD$819,1)</f>
        <v>#N/A</v>
      </c>
      <c r="F23" s="73" t="e" cm="1">
        <f ca="1" t="array" ref="F23">_xlfn.XLOOKUP(B23&amp;C23,装备属性!$G$90:$G$466&amp;装备属性!$E$90:$E$466,装备属性!$I$90:$I$466)*D23+_xlfn.XLOOKUP(B23&amp;MAX(C23-10,1),装备属性!$G$90:$G$466&amp;装备属性!$E$90:$E$466,装备属性!$I$90:$I$466)*(6-D23)+_xlfn.XLOOKUP(B23&amp;C23,装备属性!$P$919:$P$955&amp;装备属性!$N$919:$N$955,装备属性!$R$919:$R$955)*D23*0.5+_xlfn.XLOOKUP(B23&amp;(MAX(C23-10,1)),装备属性!$P$919:$P$955&amp;装备属性!$N$919:$N$955,装备属性!$R$919:$R$955)*(6-D23)*0.5+_xlfn.XLOOKUP(E23,装备属性!$D$520:$D$819,装备属性!$I$520:$I$819)*6</f>
        <v>#N/A</v>
      </c>
      <c r="G23" s="73"/>
      <c r="H23" s="74"/>
      <c r="I23" s="74"/>
      <c r="J23" s="74"/>
      <c r="K23" s="56"/>
      <c r="L23" s="56"/>
      <c r="M23" s="56"/>
      <c r="N23" s="74"/>
      <c r="O23" s="74"/>
      <c r="P23" s="74"/>
    </row>
    <row r="24" ht="16.5" spans="1:16">
      <c r="A24" s="70">
        <v>18</v>
      </c>
      <c r="B24" s="45" t="str">
        <f ca="1">OFFSET(装备属性!$D$65,MATCH(A24,装备属性!$G$66:$G$73,1),0)</f>
        <v>粉</v>
      </c>
      <c r="C24" s="71">
        <f ca="1">OFFSET(装备属性!$D$14,MATCH(A24,装备属性!$H$15:$H$61,1),0)</f>
        <v>60</v>
      </c>
      <c r="D24" s="72">
        <f ca="1">IFERROR(MIN(MATCH(COUNTIFS($C$7:C24,C24,$B$7:B24,B24)*_xlfn.XLOOKUP(C24,装备属性!$D$15:$D$61,装备属性!$M$15:$M$61),装备产出!$Z$19:$Z$24,1),6),0)</f>
        <v>0</v>
      </c>
      <c r="E24" s="45" t="e">
        <f>MATCH(A24,装备属性!$AD$520:$AD$819,1)</f>
        <v>#N/A</v>
      </c>
      <c r="F24" s="73" t="e" cm="1">
        <f ca="1" t="array" ref="F24">_xlfn.XLOOKUP(B24&amp;C24,装备属性!$G$90:$G$466&amp;装备属性!$E$90:$E$466,装备属性!$I$90:$I$466)*D24+_xlfn.XLOOKUP(B24&amp;MAX(C24-10,1),装备属性!$G$90:$G$466&amp;装备属性!$E$90:$E$466,装备属性!$I$90:$I$466)*(6-D24)+_xlfn.XLOOKUP(B24&amp;C24,装备属性!$P$919:$P$955&amp;装备属性!$N$919:$N$955,装备属性!$R$919:$R$955)*D24*0.5+_xlfn.XLOOKUP(B24&amp;(MAX(C24-10,1)),装备属性!$P$919:$P$955&amp;装备属性!$N$919:$N$955,装备属性!$R$919:$R$955)*(6-D24)*0.5+_xlfn.XLOOKUP(E24,装备属性!$D$520:$D$819,装备属性!$I$520:$I$819)*6</f>
        <v>#N/A</v>
      </c>
      <c r="G24" s="73"/>
      <c r="H24" s="74"/>
      <c r="I24" s="74"/>
      <c r="J24" s="74"/>
      <c r="K24" s="56"/>
      <c r="L24" s="56"/>
      <c r="M24" s="56"/>
      <c r="N24" s="74"/>
      <c r="O24" s="74"/>
      <c r="P24" s="74"/>
    </row>
    <row r="25" ht="16.5" spans="1:16">
      <c r="A25" s="70">
        <v>19</v>
      </c>
      <c r="B25" s="45" t="str">
        <f ca="1">OFFSET(装备属性!$D$65,MATCH(A25,装备属性!$G$66:$G$73,1),0)</f>
        <v>粉</v>
      </c>
      <c r="C25" s="71">
        <f ca="1">OFFSET(装备属性!$D$14,MATCH(A25,装备属性!$H$15:$H$61,1),0)</f>
        <v>60</v>
      </c>
      <c r="D25" s="72">
        <f ca="1">IFERROR(MIN(MATCH(COUNTIFS($C$7:C25,C25,$B$7:B25,B25)*_xlfn.XLOOKUP(C25,装备属性!$D$15:$D$61,装备属性!$M$15:$M$61),装备产出!$Z$19:$Z$24,1),6),0)</f>
        <v>0</v>
      </c>
      <c r="E25" s="45" t="e">
        <f>MATCH(A25,装备属性!$AD$520:$AD$819,1)</f>
        <v>#N/A</v>
      </c>
      <c r="F25" s="73" t="e" cm="1">
        <f ca="1" t="array" ref="F25">_xlfn.XLOOKUP(B25&amp;C25,装备属性!$G$90:$G$466&amp;装备属性!$E$90:$E$466,装备属性!$I$90:$I$466)*D25+_xlfn.XLOOKUP(B25&amp;MAX(C25-10,1),装备属性!$G$90:$G$466&amp;装备属性!$E$90:$E$466,装备属性!$I$90:$I$466)*(6-D25)+_xlfn.XLOOKUP(B25&amp;C25,装备属性!$P$919:$P$955&amp;装备属性!$N$919:$N$955,装备属性!$R$919:$R$955)*D25*0.5+_xlfn.XLOOKUP(B25&amp;(MAX(C25-10,1)),装备属性!$P$919:$P$955&amp;装备属性!$N$919:$N$955,装备属性!$R$919:$R$955)*(6-D25)*0.5+_xlfn.XLOOKUP(E25,装备属性!$D$520:$D$819,装备属性!$I$520:$I$819)*6</f>
        <v>#N/A</v>
      </c>
      <c r="G25" s="73"/>
      <c r="H25" s="74"/>
      <c r="I25" s="74"/>
      <c r="J25" s="74"/>
      <c r="K25" s="56"/>
      <c r="L25" s="56"/>
      <c r="M25" s="56"/>
      <c r="N25" s="74"/>
      <c r="O25" s="74"/>
      <c r="P25" s="74"/>
    </row>
    <row r="26" ht="16.5" spans="1:16">
      <c r="A26" s="70">
        <v>20</v>
      </c>
      <c r="B26" s="45" t="str">
        <f ca="1">OFFSET(装备属性!$D$65,MATCH(A26,装备属性!$G$66:$G$73,1),0)</f>
        <v>粉</v>
      </c>
      <c r="C26" s="71">
        <f ca="1">OFFSET(装备属性!$D$14,MATCH(A26,装备属性!$H$15:$H$61,1),0)</f>
        <v>60</v>
      </c>
      <c r="D26" s="72">
        <f ca="1">IFERROR(MIN(MATCH(COUNTIFS($C$7:C26,C26,$B$7:B26,B26)*_xlfn.XLOOKUP(C26,装备属性!$D$15:$D$61,装备属性!$M$15:$M$61),装备产出!$Z$19:$Z$24,1),6),0)</f>
        <v>0</v>
      </c>
      <c r="E26" s="45" t="e">
        <f>MATCH(A26,装备属性!$AD$520:$AD$819,1)</f>
        <v>#N/A</v>
      </c>
      <c r="F26" s="73" t="e" cm="1">
        <f ca="1" t="array" ref="F26">_xlfn.XLOOKUP(B26&amp;C26,装备属性!$G$90:$G$466&amp;装备属性!$E$90:$E$466,装备属性!$I$90:$I$466)*D26+_xlfn.XLOOKUP(B26&amp;MAX(C26-10,1),装备属性!$G$90:$G$466&amp;装备属性!$E$90:$E$466,装备属性!$I$90:$I$466)*(6-D26)+_xlfn.XLOOKUP(B26&amp;C26,装备属性!$P$919:$P$955&amp;装备属性!$N$919:$N$955,装备属性!$R$919:$R$955)*D26*0.5+_xlfn.XLOOKUP(B26&amp;(MAX(C26-10,1)),装备属性!$P$919:$P$955&amp;装备属性!$N$919:$N$955,装备属性!$R$919:$R$955)*(6-D26)*0.5+_xlfn.XLOOKUP(E26,装备属性!$D$520:$D$819,装备属性!$I$520:$I$819)*6</f>
        <v>#N/A</v>
      </c>
      <c r="G26" s="73"/>
      <c r="H26" s="74"/>
      <c r="I26" s="74"/>
      <c r="J26" s="74"/>
      <c r="K26" s="56"/>
      <c r="L26" s="56"/>
      <c r="M26" s="56"/>
      <c r="N26" s="74"/>
      <c r="O26" s="74"/>
      <c r="P26" s="74"/>
    </row>
    <row r="27" ht="16.5" spans="1:16">
      <c r="A27" s="70">
        <v>21</v>
      </c>
      <c r="B27" s="45" t="str">
        <f ca="1">OFFSET(装备属性!$D$65,MATCH(A27,装备属性!$G$66:$G$73,1),0)</f>
        <v>粉</v>
      </c>
      <c r="C27" s="71">
        <f ca="1">OFFSET(装备属性!$D$14,MATCH(A27,装备属性!$H$15:$H$61,1),0)</f>
        <v>60</v>
      </c>
      <c r="D27" s="72">
        <f ca="1">IFERROR(MIN(MATCH(COUNTIFS($C$7:C27,C27,$B$7:B27,B27)*_xlfn.XLOOKUP(C27,装备属性!$D$15:$D$61,装备属性!$M$15:$M$61),装备产出!$Z$19:$Z$24,1),6),0)</f>
        <v>0</v>
      </c>
      <c r="E27" s="45" t="e">
        <f>MATCH(A27,装备属性!$AD$520:$AD$819,1)</f>
        <v>#N/A</v>
      </c>
      <c r="F27" s="73" t="e" cm="1">
        <f ca="1" t="array" ref="F27">_xlfn.XLOOKUP(B27&amp;C27,装备属性!$G$90:$G$466&amp;装备属性!$E$90:$E$466,装备属性!$I$90:$I$466)*D27+_xlfn.XLOOKUP(B27&amp;MAX(C27-10,1),装备属性!$G$90:$G$466&amp;装备属性!$E$90:$E$466,装备属性!$I$90:$I$466)*(6-D27)+_xlfn.XLOOKUP(B27&amp;C27,装备属性!$P$919:$P$955&amp;装备属性!$N$919:$N$955,装备属性!$R$919:$R$955)*D27*0.5+_xlfn.XLOOKUP(B27&amp;(MAX(C27-10,1)),装备属性!$P$919:$P$955&amp;装备属性!$N$919:$N$955,装备属性!$R$919:$R$955)*(6-D27)*0.5+_xlfn.XLOOKUP(E27,装备属性!$D$520:$D$819,装备属性!$I$520:$I$819)*6</f>
        <v>#N/A</v>
      </c>
      <c r="G27" s="73"/>
      <c r="H27" s="74"/>
      <c r="I27" s="74"/>
      <c r="J27" s="74"/>
      <c r="K27" s="56"/>
      <c r="L27" s="56"/>
      <c r="M27" s="56"/>
      <c r="N27" s="74"/>
      <c r="O27" s="74"/>
      <c r="P27" s="74"/>
    </row>
    <row r="28" ht="16.5" spans="1:16">
      <c r="A28" s="70">
        <v>22</v>
      </c>
      <c r="B28" s="45" t="str">
        <f ca="1">OFFSET(装备属性!$D$65,MATCH(A28,装备属性!$G$66:$G$73,1),0)</f>
        <v>粉</v>
      </c>
      <c r="C28" s="71">
        <f ca="1">OFFSET(装备属性!$D$14,MATCH(A28,装备属性!$H$15:$H$61,1),0)</f>
        <v>60</v>
      </c>
      <c r="D28" s="72">
        <f ca="1">IFERROR(MIN(MATCH(COUNTIFS($C$7:C28,C28,$B$7:B28,B28)*_xlfn.XLOOKUP(C28,装备属性!$D$15:$D$61,装备属性!$M$15:$M$61),装备产出!$Z$19:$Z$24,1),6),0)</f>
        <v>0</v>
      </c>
      <c r="E28" s="45" t="e">
        <f>MATCH(A28,装备属性!$AD$520:$AD$819,1)</f>
        <v>#N/A</v>
      </c>
      <c r="F28" s="73" t="e" cm="1">
        <f ca="1" t="array" ref="F28">_xlfn.XLOOKUP(B28&amp;C28,装备属性!$G$90:$G$466&amp;装备属性!$E$90:$E$466,装备属性!$I$90:$I$466)*D28+_xlfn.XLOOKUP(B28&amp;MAX(C28-10,1),装备属性!$G$90:$G$466&amp;装备属性!$E$90:$E$466,装备属性!$I$90:$I$466)*(6-D28)+_xlfn.XLOOKUP(B28&amp;C28,装备属性!$P$919:$P$955&amp;装备属性!$N$919:$N$955,装备属性!$R$919:$R$955)*D28*0.5+_xlfn.XLOOKUP(B28&amp;(MAX(C28-10,1)),装备属性!$P$919:$P$955&amp;装备属性!$N$919:$N$955,装备属性!$R$919:$R$955)*(6-D28)*0.5+_xlfn.XLOOKUP(E28,装备属性!$D$520:$D$819,装备属性!$I$520:$I$819)*6</f>
        <v>#N/A</v>
      </c>
      <c r="G28" s="73"/>
      <c r="H28" s="74"/>
      <c r="I28" s="74"/>
      <c r="J28" s="74"/>
      <c r="K28" s="56"/>
      <c r="L28" s="56"/>
      <c r="M28" s="56"/>
      <c r="N28" s="74"/>
      <c r="O28" s="74"/>
      <c r="P28" s="74"/>
    </row>
    <row r="29" ht="16.5" spans="1:16">
      <c r="A29" s="70">
        <v>23</v>
      </c>
      <c r="B29" s="45" t="str">
        <f ca="1">OFFSET(装备属性!$D$65,MATCH(A29,装备属性!$G$66:$G$73,1),0)</f>
        <v>粉</v>
      </c>
      <c r="C29" s="71">
        <f ca="1">OFFSET(装备属性!$D$14,MATCH(A29,装备属性!$H$15:$H$61,1),0)</f>
        <v>65</v>
      </c>
      <c r="D29" s="72">
        <f ca="1">IFERROR(MIN(MATCH(COUNTIFS($C$7:C29,C29,$B$7:B29,B29)*_xlfn.XLOOKUP(C29,装备属性!$D$15:$D$61,装备属性!$M$15:$M$61),装备产出!$Z$19:$Z$24,1),6),0)</f>
        <v>0</v>
      </c>
      <c r="E29" s="45" t="e">
        <f>MATCH(A29,装备属性!$AD$520:$AD$819,1)</f>
        <v>#N/A</v>
      </c>
      <c r="F29" s="73" t="e" cm="1">
        <f ca="1" t="array" ref="F29">_xlfn.XLOOKUP(B29&amp;C29,装备属性!$G$90:$G$466&amp;装备属性!$E$90:$E$466,装备属性!$I$90:$I$466)*D29+_xlfn.XLOOKUP(B29&amp;MAX(C29-10,1),装备属性!$G$90:$G$466&amp;装备属性!$E$90:$E$466,装备属性!$I$90:$I$466)*(6-D29)+_xlfn.XLOOKUP(B29&amp;C29,装备属性!$P$919:$P$955&amp;装备属性!$N$919:$N$955,装备属性!$R$919:$R$955)*D29*0.5+_xlfn.XLOOKUP(B29&amp;(MAX(C29-10,1)),装备属性!$P$919:$P$955&amp;装备属性!$N$919:$N$955,装备属性!$R$919:$R$955)*(6-D29)*0.5+_xlfn.XLOOKUP(E29,装备属性!$D$520:$D$819,装备属性!$I$520:$I$819)*6</f>
        <v>#N/A</v>
      </c>
      <c r="G29" s="73"/>
      <c r="H29" s="74"/>
      <c r="I29" s="74"/>
      <c r="J29" s="74"/>
      <c r="K29" s="56"/>
      <c r="L29" s="56"/>
      <c r="M29" s="56"/>
      <c r="N29" s="74"/>
      <c r="O29" s="74"/>
      <c r="P29" s="74"/>
    </row>
    <row r="30" ht="16.5" spans="1:16">
      <c r="A30" s="70">
        <v>24</v>
      </c>
      <c r="B30" s="45" t="str">
        <f ca="1">OFFSET(装备属性!$D$65,MATCH(A30,装备属性!$G$66:$G$73,1),0)</f>
        <v>粉</v>
      </c>
      <c r="C30" s="71">
        <f ca="1">OFFSET(装备属性!$D$14,MATCH(A30,装备属性!$H$15:$H$61,1),0)</f>
        <v>65</v>
      </c>
      <c r="D30" s="72">
        <f ca="1">IFERROR(MIN(MATCH(COUNTIFS($C$7:C30,C30,$B$7:B30,B30)*_xlfn.XLOOKUP(C30,装备属性!$D$15:$D$61,装备属性!$M$15:$M$61),装备产出!$Z$19:$Z$24,1),6),0)</f>
        <v>0</v>
      </c>
      <c r="E30" s="45" t="e">
        <f>MATCH(A30,装备属性!$AD$520:$AD$819,1)</f>
        <v>#N/A</v>
      </c>
      <c r="F30" s="73" t="e" cm="1">
        <f ca="1" t="array" ref="F30">_xlfn.XLOOKUP(B30&amp;C30,装备属性!$G$90:$G$466&amp;装备属性!$E$90:$E$466,装备属性!$I$90:$I$466)*D30+_xlfn.XLOOKUP(B30&amp;MAX(C30-10,1),装备属性!$G$90:$G$466&amp;装备属性!$E$90:$E$466,装备属性!$I$90:$I$466)*(6-D30)+_xlfn.XLOOKUP(B30&amp;C30,装备属性!$P$919:$P$955&amp;装备属性!$N$919:$N$955,装备属性!$R$919:$R$955)*D30*0.5+_xlfn.XLOOKUP(B30&amp;(MAX(C30-10,1)),装备属性!$P$919:$P$955&amp;装备属性!$N$919:$N$955,装备属性!$R$919:$R$955)*(6-D30)*0.5+_xlfn.XLOOKUP(E30,装备属性!$D$520:$D$819,装备属性!$I$520:$I$819)*6</f>
        <v>#N/A</v>
      </c>
      <c r="G30" s="73"/>
      <c r="H30" s="74"/>
      <c r="I30" s="74"/>
      <c r="J30" s="74"/>
      <c r="K30" s="56"/>
      <c r="L30" s="56"/>
      <c r="M30" s="56"/>
      <c r="N30" s="74"/>
      <c r="O30" s="74"/>
      <c r="P30" s="74"/>
    </row>
    <row r="31" ht="16.5" spans="1:16">
      <c r="A31" s="70">
        <v>25</v>
      </c>
      <c r="B31" s="45" t="str">
        <f ca="1">OFFSET(装备属性!$D$65,MATCH(A31,装备属性!$G$66:$G$73,1),0)</f>
        <v>粉</v>
      </c>
      <c r="C31" s="71">
        <f ca="1">OFFSET(装备属性!$D$14,MATCH(A31,装备属性!$H$15:$H$61,1),0)</f>
        <v>65</v>
      </c>
      <c r="D31" s="72">
        <f ca="1">IFERROR(MIN(MATCH(COUNTIFS($C$7:C31,C31,$B$7:B31,B31)*_xlfn.XLOOKUP(C31,装备属性!$D$15:$D$61,装备属性!$M$15:$M$61),装备产出!$Z$19:$Z$24,1),6),0)</f>
        <v>0</v>
      </c>
      <c r="E31" s="45" t="e">
        <f>MATCH(A31,装备属性!$AD$520:$AD$819,1)</f>
        <v>#N/A</v>
      </c>
      <c r="F31" s="73" t="e" cm="1">
        <f ca="1" t="array" ref="F31">_xlfn.XLOOKUP(B31&amp;C31,装备属性!$G$90:$G$466&amp;装备属性!$E$90:$E$466,装备属性!$I$90:$I$466)*D31+_xlfn.XLOOKUP(B31&amp;MAX(C31-10,1),装备属性!$G$90:$G$466&amp;装备属性!$E$90:$E$466,装备属性!$I$90:$I$466)*(6-D31)+_xlfn.XLOOKUP(B31&amp;C31,装备属性!$P$919:$P$955&amp;装备属性!$N$919:$N$955,装备属性!$R$919:$R$955)*D31*0.5+_xlfn.XLOOKUP(B31&amp;(MAX(C31-10,1)),装备属性!$P$919:$P$955&amp;装备属性!$N$919:$N$955,装备属性!$R$919:$R$955)*(6-D31)*0.5+_xlfn.XLOOKUP(E31,装备属性!$D$520:$D$819,装备属性!$I$520:$I$819)*6</f>
        <v>#N/A</v>
      </c>
      <c r="G31" s="73"/>
      <c r="H31" s="74"/>
      <c r="I31" s="74"/>
      <c r="J31" s="74"/>
      <c r="K31" s="56"/>
      <c r="L31" s="56"/>
      <c r="M31" s="56"/>
      <c r="N31" s="74"/>
      <c r="O31" s="74"/>
      <c r="P31" s="74"/>
    </row>
    <row r="32" ht="16.5" spans="1:16">
      <c r="A32" s="70">
        <v>26</v>
      </c>
      <c r="B32" s="45" t="str">
        <f ca="1">OFFSET(装备属性!$D$65,MATCH(A32,装备属性!$G$66:$G$73,1),0)</f>
        <v>粉</v>
      </c>
      <c r="C32" s="71">
        <f ca="1">OFFSET(装备属性!$D$14,MATCH(A32,装备属性!$H$15:$H$61,1),0)</f>
        <v>65</v>
      </c>
      <c r="D32" s="72">
        <f ca="1">IFERROR(MIN(MATCH(COUNTIFS($C$7:C32,C32,$B$7:B32,B32)*_xlfn.XLOOKUP(C32,装备属性!$D$15:$D$61,装备属性!$M$15:$M$61),装备产出!$Z$19:$Z$24,1),6),0)</f>
        <v>0</v>
      </c>
      <c r="E32" s="45" t="e">
        <f>MATCH(A32,装备属性!$AD$520:$AD$819,1)</f>
        <v>#N/A</v>
      </c>
      <c r="F32" s="73" t="e" cm="1">
        <f ca="1" t="array" ref="F32">_xlfn.XLOOKUP(B32&amp;C32,装备属性!$G$90:$G$466&amp;装备属性!$E$90:$E$466,装备属性!$I$90:$I$466)*D32+_xlfn.XLOOKUP(B32&amp;MAX(C32-10,1),装备属性!$G$90:$G$466&amp;装备属性!$E$90:$E$466,装备属性!$I$90:$I$466)*(6-D32)+_xlfn.XLOOKUP(B32&amp;C32,装备属性!$P$919:$P$955&amp;装备属性!$N$919:$N$955,装备属性!$R$919:$R$955)*D32*0.5+_xlfn.XLOOKUP(B32&amp;(MAX(C32-10,1)),装备属性!$P$919:$P$955&amp;装备属性!$N$919:$N$955,装备属性!$R$919:$R$955)*(6-D32)*0.5+_xlfn.XLOOKUP(E32,装备属性!$D$520:$D$819,装备属性!$I$520:$I$819)*6</f>
        <v>#N/A</v>
      </c>
      <c r="G32" s="73"/>
      <c r="H32" s="74"/>
      <c r="I32" s="74"/>
      <c r="J32" s="74"/>
      <c r="K32" s="56"/>
      <c r="L32" s="56"/>
      <c r="M32" s="56"/>
      <c r="N32" s="74"/>
      <c r="O32" s="74"/>
      <c r="P32" s="74"/>
    </row>
    <row r="33" ht="16.5" spans="1:16">
      <c r="A33" s="70">
        <v>27</v>
      </c>
      <c r="B33" s="45" t="str">
        <f ca="1">OFFSET(装备属性!$D$65,MATCH(A33,装备属性!$G$66:$G$73,1),0)</f>
        <v>粉</v>
      </c>
      <c r="C33" s="71">
        <f ca="1">OFFSET(装备属性!$D$14,MATCH(A33,装备属性!$H$15:$H$61,1),0)</f>
        <v>65</v>
      </c>
      <c r="D33" s="72">
        <f ca="1">IFERROR(MIN(MATCH(COUNTIFS($C$7:C33,C33,$B$7:B33,B33)*_xlfn.XLOOKUP(C33,装备属性!$D$15:$D$61,装备属性!$M$15:$M$61),装备产出!$Z$19:$Z$24,1),6),0)</f>
        <v>0</v>
      </c>
      <c r="E33" s="45" t="e">
        <f>MATCH(A33,装备属性!$AD$520:$AD$819,1)</f>
        <v>#N/A</v>
      </c>
      <c r="F33" s="73" t="e" cm="1">
        <f ca="1" t="array" ref="F33">_xlfn.XLOOKUP(B33&amp;C33,装备属性!$G$90:$G$466&amp;装备属性!$E$90:$E$466,装备属性!$I$90:$I$466)*D33+_xlfn.XLOOKUP(B33&amp;MAX(C33-10,1),装备属性!$G$90:$G$466&amp;装备属性!$E$90:$E$466,装备属性!$I$90:$I$466)*(6-D33)+_xlfn.XLOOKUP(B33&amp;C33,装备属性!$P$919:$P$955&amp;装备属性!$N$919:$N$955,装备属性!$R$919:$R$955)*D33*0.5+_xlfn.XLOOKUP(B33&amp;(MAX(C33-10,1)),装备属性!$P$919:$P$955&amp;装备属性!$N$919:$N$955,装备属性!$R$919:$R$955)*(6-D33)*0.5+_xlfn.XLOOKUP(E33,装备属性!$D$520:$D$819,装备属性!$I$520:$I$819)*6</f>
        <v>#N/A</v>
      </c>
      <c r="G33" s="73"/>
      <c r="H33" s="74"/>
      <c r="I33" s="74"/>
      <c r="J33" s="74"/>
      <c r="K33" s="56"/>
      <c r="L33" s="56"/>
      <c r="M33" s="56"/>
      <c r="N33" s="74"/>
      <c r="O33" s="74"/>
      <c r="P33" s="74"/>
    </row>
    <row r="34" ht="16.5" spans="1:16">
      <c r="A34" s="70">
        <v>28</v>
      </c>
      <c r="B34" s="45" t="str">
        <f ca="1">OFFSET(装备属性!$D$65,MATCH(A34,装备属性!$G$66:$G$73,1),0)</f>
        <v>粉</v>
      </c>
      <c r="C34" s="71">
        <f ca="1">OFFSET(装备属性!$D$14,MATCH(A34,装备属性!$H$15:$H$61,1),0)</f>
        <v>70</v>
      </c>
      <c r="D34" s="72">
        <f ca="1">IFERROR(MIN(MATCH(COUNTIFS($C$7:C34,C34,$B$7:B34,B34)*_xlfn.XLOOKUP(C34,装备属性!$D$15:$D$61,装备属性!$M$15:$M$61),装备产出!$Z$19:$Z$24,1),6),0)</f>
        <v>0</v>
      </c>
      <c r="E34" s="45" t="e">
        <f>MATCH(A34,装备属性!$AD$520:$AD$819,1)</f>
        <v>#N/A</v>
      </c>
      <c r="F34" s="73" t="e" cm="1">
        <f ca="1" t="array" ref="F34">_xlfn.XLOOKUP(B34&amp;C34,装备属性!$G$90:$G$466&amp;装备属性!$E$90:$E$466,装备属性!$I$90:$I$466)*D34+_xlfn.XLOOKUP(B34&amp;MAX(C34-10,1),装备属性!$G$90:$G$466&amp;装备属性!$E$90:$E$466,装备属性!$I$90:$I$466)*(6-D34)+_xlfn.XLOOKUP(B34&amp;C34,装备属性!$P$919:$P$955&amp;装备属性!$N$919:$N$955,装备属性!$R$919:$R$955)*D34*0.5+_xlfn.XLOOKUP(B34&amp;(MAX(C34-10,1)),装备属性!$P$919:$P$955&amp;装备属性!$N$919:$N$955,装备属性!$R$919:$R$955)*(6-D34)*0.5+_xlfn.XLOOKUP(E34,装备属性!$D$520:$D$819,装备属性!$I$520:$I$819)*6</f>
        <v>#N/A</v>
      </c>
      <c r="G34" s="73"/>
      <c r="H34" s="74"/>
      <c r="I34" s="74"/>
      <c r="J34" s="74"/>
      <c r="K34" s="56"/>
      <c r="L34" s="56"/>
      <c r="M34" s="56"/>
      <c r="N34" s="74"/>
      <c r="O34" s="74"/>
      <c r="P34" s="74"/>
    </row>
    <row r="35" ht="16.5" spans="1:16">
      <c r="A35" s="70">
        <v>29</v>
      </c>
      <c r="B35" s="45" t="str">
        <f ca="1">OFFSET(装备属性!$D$65,MATCH(A35,装备属性!$G$66:$G$73,1),0)</f>
        <v>粉</v>
      </c>
      <c r="C35" s="71">
        <f ca="1">OFFSET(装备属性!$D$14,MATCH(A35,装备属性!$H$15:$H$61,1),0)</f>
        <v>70</v>
      </c>
      <c r="D35" s="72">
        <f ca="1">IFERROR(MIN(MATCH(COUNTIFS($C$7:C35,C35,$B$7:B35,B35)*_xlfn.XLOOKUP(C35,装备属性!$D$15:$D$61,装备属性!$M$15:$M$61),装备产出!$Z$19:$Z$24,1),6),0)</f>
        <v>0</v>
      </c>
      <c r="E35" s="45" t="e">
        <f>MATCH(A35,装备属性!$AD$520:$AD$819,1)</f>
        <v>#N/A</v>
      </c>
      <c r="F35" s="73" t="e" cm="1">
        <f ca="1" t="array" ref="F35">_xlfn.XLOOKUP(B35&amp;C35,装备属性!$G$90:$G$466&amp;装备属性!$E$90:$E$466,装备属性!$I$90:$I$466)*D35+_xlfn.XLOOKUP(B35&amp;MAX(C35-10,1),装备属性!$G$90:$G$466&amp;装备属性!$E$90:$E$466,装备属性!$I$90:$I$466)*(6-D35)+_xlfn.XLOOKUP(B35&amp;C35,装备属性!$P$919:$P$955&amp;装备属性!$N$919:$N$955,装备属性!$R$919:$R$955)*D35*0.5+_xlfn.XLOOKUP(B35&amp;(MAX(C35-10,1)),装备属性!$P$919:$P$955&amp;装备属性!$N$919:$N$955,装备属性!$R$919:$R$955)*(6-D35)*0.5+_xlfn.XLOOKUP(E35,装备属性!$D$520:$D$819,装备属性!$I$520:$I$819)*6</f>
        <v>#N/A</v>
      </c>
      <c r="G35" s="73"/>
      <c r="H35" s="74"/>
      <c r="I35" s="74"/>
      <c r="J35" s="74"/>
      <c r="K35" s="56"/>
      <c r="L35" s="56"/>
      <c r="M35" s="56"/>
      <c r="N35" s="74"/>
      <c r="O35" s="74"/>
      <c r="P35" s="74"/>
    </row>
    <row r="36" ht="16.5" spans="1:16">
      <c r="A36" s="70">
        <v>30</v>
      </c>
      <c r="B36" s="45" t="str">
        <f ca="1">OFFSET(装备属性!$D$65,MATCH(A36,装备属性!$G$66:$G$73,1),0)</f>
        <v>粉</v>
      </c>
      <c r="C36" s="71">
        <f ca="1">OFFSET(装备属性!$D$14,MATCH(A36,装备属性!$H$15:$H$61,1),0)</f>
        <v>70</v>
      </c>
      <c r="D36" s="72">
        <f ca="1">IFERROR(MIN(MATCH(COUNTIFS($C$7:C36,C36,$B$7:B36,B36)*_xlfn.XLOOKUP(C36,装备属性!$D$15:$D$61,装备属性!$M$15:$M$61),装备产出!$Z$19:$Z$24,1),6),0)</f>
        <v>0</v>
      </c>
      <c r="E36" s="45" t="e">
        <f>MATCH(A36,装备属性!$AD$520:$AD$819,1)</f>
        <v>#N/A</v>
      </c>
      <c r="F36" s="73" t="e" cm="1">
        <f ca="1" t="array" ref="F36">_xlfn.XLOOKUP(B36&amp;C36,装备属性!$G$90:$G$466&amp;装备属性!$E$90:$E$466,装备属性!$I$90:$I$466)*D36+_xlfn.XLOOKUP(B36&amp;MAX(C36-10,1),装备属性!$G$90:$G$466&amp;装备属性!$E$90:$E$466,装备属性!$I$90:$I$466)*(6-D36)+_xlfn.XLOOKUP(B36&amp;C36,装备属性!$P$919:$P$955&amp;装备属性!$N$919:$N$955,装备属性!$R$919:$R$955)*D36*0.5+_xlfn.XLOOKUP(B36&amp;(MAX(C36-10,1)),装备属性!$P$919:$P$955&amp;装备属性!$N$919:$N$955,装备属性!$R$919:$R$955)*(6-D36)*0.5+_xlfn.XLOOKUP(E36,装备属性!$D$520:$D$819,装备属性!$I$520:$I$819)*6</f>
        <v>#N/A</v>
      </c>
      <c r="G36" s="73"/>
      <c r="H36" s="74"/>
      <c r="I36" s="74"/>
      <c r="J36" s="74"/>
      <c r="K36" s="56"/>
      <c r="L36" s="56"/>
      <c r="M36" s="56"/>
      <c r="N36" s="74"/>
      <c r="O36" s="74"/>
      <c r="P36" s="74"/>
    </row>
    <row r="37" ht="16.5" spans="1:16">
      <c r="A37" s="70">
        <v>31</v>
      </c>
      <c r="B37" s="45" t="str">
        <f ca="1">OFFSET(装备属性!$D$65,MATCH(A37,装备属性!$G$66:$G$73,1),0)</f>
        <v>粉</v>
      </c>
      <c r="C37" s="71">
        <f ca="1">OFFSET(装备属性!$D$14,MATCH(A37,装备属性!$H$15:$H$61,1),0)</f>
        <v>70</v>
      </c>
      <c r="D37" s="72">
        <f ca="1">IFERROR(MIN(MATCH(COUNTIFS($C$7:C37,C37,$B$7:B37,B37)*_xlfn.XLOOKUP(C37,装备属性!$D$15:$D$61,装备属性!$M$15:$M$61),装备产出!$Z$19:$Z$24,1),6),0)</f>
        <v>0</v>
      </c>
      <c r="E37" s="45" t="e">
        <f>MATCH(A37,装备属性!$AD$520:$AD$819,1)</f>
        <v>#N/A</v>
      </c>
      <c r="F37" s="73" t="e" cm="1">
        <f ca="1" t="array" ref="F37">_xlfn.XLOOKUP(B37&amp;C37,装备属性!$G$90:$G$466&amp;装备属性!$E$90:$E$466,装备属性!$I$90:$I$466)*D37+_xlfn.XLOOKUP(B37&amp;MAX(C37-10,1),装备属性!$G$90:$G$466&amp;装备属性!$E$90:$E$466,装备属性!$I$90:$I$466)*(6-D37)+_xlfn.XLOOKUP(B37&amp;C37,装备属性!$P$919:$P$955&amp;装备属性!$N$919:$N$955,装备属性!$R$919:$R$955)*D37*0.5+_xlfn.XLOOKUP(B37&amp;(MAX(C37-10,1)),装备属性!$P$919:$P$955&amp;装备属性!$N$919:$N$955,装备属性!$R$919:$R$955)*(6-D37)*0.5+_xlfn.XLOOKUP(E37,装备属性!$D$520:$D$819,装备属性!$I$520:$I$819)*6</f>
        <v>#N/A</v>
      </c>
      <c r="G37" s="73"/>
      <c r="H37" s="74"/>
      <c r="I37" s="74"/>
      <c r="J37" s="74"/>
      <c r="K37" s="56"/>
      <c r="L37" s="56"/>
      <c r="M37" s="56"/>
      <c r="N37" s="74"/>
      <c r="O37" s="74"/>
      <c r="P37" s="74"/>
    </row>
    <row r="38" ht="16.5" spans="1:16">
      <c r="A38" s="70">
        <v>32</v>
      </c>
      <c r="B38" s="45" t="str">
        <f ca="1">OFFSET(装备属性!$D$65,MATCH(A38,装备属性!$G$66:$G$73,1),0)</f>
        <v>粉</v>
      </c>
      <c r="C38" s="71">
        <f ca="1">OFFSET(装备属性!$D$14,MATCH(A38,装备属性!$H$15:$H$61,1),0)</f>
        <v>70</v>
      </c>
      <c r="D38" s="72">
        <f ca="1">IFERROR(MIN(MATCH(COUNTIFS($C$7:C38,C38,$B$7:B38,B38)*_xlfn.XLOOKUP(C38,装备属性!$D$15:$D$61,装备属性!$M$15:$M$61),装备产出!$Z$19:$Z$24,1),6),0)</f>
        <v>0</v>
      </c>
      <c r="E38" s="45" t="e">
        <f>MATCH(A38,装备属性!$AD$520:$AD$819,1)</f>
        <v>#N/A</v>
      </c>
      <c r="F38" s="73" t="e" cm="1">
        <f ca="1" t="array" ref="F38">_xlfn.XLOOKUP(B38&amp;C38,装备属性!$G$90:$G$466&amp;装备属性!$E$90:$E$466,装备属性!$I$90:$I$466)*D38+_xlfn.XLOOKUP(B38&amp;MAX(C38-10,1),装备属性!$G$90:$G$466&amp;装备属性!$E$90:$E$466,装备属性!$I$90:$I$466)*(6-D38)+_xlfn.XLOOKUP(B38&amp;C38,装备属性!$P$919:$P$955&amp;装备属性!$N$919:$N$955,装备属性!$R$919:$R$955)*D38*0.5+_xlfn.XLOOKUP(B38&amp;(MAX(C38-10,1)),装备属性!$P$919:$P$955&amp;装备属性!$N$919:$N$955,装备属性!$R$919:$R$955)*(6-D38)*0.5+_xlfn.XLOOKUP(E38,装备属性!$D$520:$D$819,装备属性!$I$520:$I$819)*6</f>
        <v>#N/A</v>
      </c>
      <c r="G38" s="73"/>
      <c r="H38" s="74"/>
      <c r="I38" s="74"/>
      <c r="J38" s="74"/>
      <c r="K38" s="56"/>
      <c r="L38" s="56"/>
      <c r="M38" s="56"/>
      <c r="N38" s="74"/>
      <c r="O38" s="74"/>
      <c r="P38" s="74"/>
    </row>
    <row r="39" ht="16.5" spans="1:16">
      <c r="A39" s="70">
        <v>33</v>
      </c>
      <c r="B39" s="45" t="str">
        <f ca="1">OFFSET(装备属性!$D$65,MATCH(A39,装备属性!$G$66:$G$73,1),0)</f>
        <v>粉</v>
      </c>
      <c r="C39" s="71">
        <f ca="1">OFFSET(装备属性!$D$14,MATCH(A39,装备属性!$H$15:$H$61,1),0)</f>
        <v>70</v>
      </c>
      <c r="D39" s="72">
        <f ca="1">IFERROR(MIN(MATCH(COUNTIFS($C$7:C39,C39,$B$7:B39,B39)*_xlfn.XLOOKUP(C39,装备属性!$D$15:$D$61,装备属性!$M$15:$M$61),装备产出!$Z$19:$Z$24,1),6),0)</f>
        <v>1</v>
      </c>
      <c r="E39" s="45" t="e">
        <f>MATCH(A39,装备属性!$AD$520:$AD$819,1)</f>
        <v>#N/A</v>
      </c>
      <c r="F39" s="73" t="e" cm="1">
        <f ca="1" t="array" ref="F39">_xlfn.XLOOKUP(B39&amp;C39,装备属性!$G$90:$G$466&amp;装备属性!$E$90:$E$466,装备属性!$I$90:$I$466)*D39+_xlfn.XLOOKUP(B39&amp;MAX(C39-10,1),装备属性!$G$90:$G$466&amp;装备属性!$E$90:$E$466,装备属性!$I$90:$I$466)*(6-D39)+_xlfn.XLOOKUP(B39&amp;C39,装备属性!$P$919:$P$955&amp;装备属性!$N$919:$N$955,装备属性!$R$919:$R$955)*D39*0.5+_xlfn.XLOOKUP(B39&amp;(MAX(C39-10,1)),装备属性!$P$919:$P$955&amp;装备属性!$N$919:$N$955,装备属性!$R$919:$R$955)*(6-D39)*0.5+_xlfn.XLOOKUP(E39,装备属性!$D$520:$D$819,装备属性!$I$520:$I$819)*6</f>
        <v>#N/A</v>
      </c>
      <c r="G39" s="73"/>
      <c r="H39" s="74"/>
      <c r="I39" s="74"/>
      <c r="J39" s="74"/>
      <c r="K39" s="56"/>
      <c r="L39" s="56"/>
      <c r="M39" s="56"/>
      <c r="N39" s="74"/>
      <c r="O39" s="74"/>
      <c r="P39" s="74"/>
    </row>
    <row r="40" ht="16.5" spans="1:16">
      <c r="A40" s="70">
        <v>34</v>
      </c>
      <c r="B40" s="45" t="str">
        <f ca="1">OFFSET(装备属性!$D$65,MATCH(A40,装备属性!$G$66:$G$73,1),0)</f>
        <v>粉</v>
      </c>
      <c r="C40" s="71">
        <f ca="1">OFFSET(装备属性!$D$14,MATCH(A40,装备属性!$H$15:$H$61,1),0)</f>
        <v>70</v>
      </c>
      <c r="D40" s="72">
        <f ca="1">IFERROR(MIN(MATCH(COUNTIFS($C$7:C40,C40,$B$7:B40,B40)*_xlfn.XLOOKUP(C40,装备属性!$D$15:$D$61,装备属性!$M$15:$M$61),装备产出!$Z$19:$Z$24,1),6),0)</f>
        <v>1</v>
      </c>
      <c r="E40" s="45" t="e">
        <f>MATCH(A40,装备属性!$AD$520:$AD$819,1)</f>
        <v>#N/A</v>
      </c>
      <c r="F40" s="73" t="e" cm="1">
        <f ca="1" t="array" ref="F40">_xlfn.XLOOKUP(B40&amp;C40,装备属性!$G$90:$G$466&amp;装备属性!$E$90:$E$466,装备属性!$I$90:$I$466)*D40+_xlfn.XLOOKUP(B40&amp;MAX(C40-10,1),装备属性!$G$90:$G$466&amp;装备属性!$E$90:$E$466,装备属性!$I$90:$I$466)*(6-D40)+_xlfn.XLOOKUP(B40&amp;C40,装备属性!$P$919:$P$955&amp;装备属性!$N$919:$N$955,装备属性!$R$919:$R$955)*D40*0.5+_xlfn.XLOOKUP(B40&amp;(MAX(C40-10,1)),装备属性!$P$919:$P$955&amp;装备属性!$N$919:$N$955,装备属性!$R$919:$R$955)*(6-D40)*0.5+_xlfn.XLOOKUP(E40,装备属性!$D$520:$D$819,装备属性!$I$520:$I$819)*6</f>
        <v>#N/A</v>
      </c>
      <c r="G40" s="73"/>
      <c r="H40" s="74"/>
      <c r="I40" s="74"/>
      <c r="J40" s="74"/>
      <c r="K40" s="56"/>
      <c r="L40" s="56"/>
      <c r="M40" s="56"/>
      <c r="N40" s="74"/>
      <c r="O40" s="74"/>
      <c r="P40" s="74"/>
    </row>
    <row r="41" ht="16.5" spans="1:16">
      <c r="A41" s="70">
        <v>35</v>
      </c>
      <c r="B41" s="45" t="str">
        <f ca="1">OFFSET(装备属性!$D$65,MATCH(A41,装备属性!$G$66:$G$73,1),0)</f>
        <v>粉</v>
      </c>
      <c r="C41" s="71">
        <f ca="1">OFFSET(装备属性!$D$14,MATCH(A41,装备属性!$H$15:$H$61,1),0)</f>
        <v>75</v>
      </c>
      <c r="D41" s="72">
        <f ca="1">IFERROR(MIN(MATCH(COUNTIFS($C$7:C41,C41,$B$7:B41,B41)*_xlfn.XLOOKUP(C41,装备属性!$D$15:$D$61,装备属性!$M$15:$M$61),装备产出!$Z$19:$Z$24,1),6),0)</f>
        <v>0</v>
      </c>
      <c r="E41" s="45" t="e">
        <f>MATCH(A41,装备属性!$AD$520:$AD$819,1)</f>
        <v>#N/A</v>
      </c>
      <c r="F41" s="73" t="e" cm="1">
        <f ca="1" t="array" ref="F41">_xlfn.XLOOKUP(B41&amp;C41,装备属性!$G$90:$G$466&amp;装备属性!$E$90:$E$466,装备属性!$I$90:$I$466)*D41+_xlfn.XLOOKUP(B41&amp;MAX(C41-10,1),装备属性!$G$90:$G$466&amp;装备属性!$E$90:$E$466,装备属性!$I$90:$I$466)*(6-D41)+_xlfn.XLOOKUP(B41&amp;C41,装备属性!$P$919:$P$955&amp;装备属性!$N$919:$N$955,装备属性!$R$919:$R$955)*D41*0.5+_xlfn.XLOOKUP(B41&amp;(MAX(C41-10,1)),装备属性!$P$919:$P$955&amp;装备属性!$N$919:$N$955,装备属性!$R$919:$R$955)*(6-D41)*0.5+_xlfn.XLOOKUP(E41,装备属性!$D$520:$D$819,装备属性!$I$520:$I$819)*6</f>
        <v>#N/A</v>
      </c>
      <c r="G41" s="73"/>
      <c r="H41" s="74"/>
      <c r="I41" s="74"/>
      <c r="J41" s="74"/>
      <c r="K41" s="56"/>
      <c r="L41" s="56"/>
      <c r="M41" s="56"/>
      <c r="N41" s="74"/>
      <c r="O41" s="74"/>
      <c r="P41" s="74"/>
    </row>
    <row r="42" ht="16.5" spans="1:16">
      <c r="A42" s="70">
        <v>36</v>
      </c>
      <c r="B42" s="45" t="str">
        <f ca="1">OFFSET(装备属性!$D$65,MATCH(A42,装备属性!$G$66:$G$73,1),0)</f>
        <v>粉</v>
      </c>
      <c r="C42" s="71">
        <f ca="1">OFFSET(装备属性!$D$14,MATCH(A42,装备属性!$H$15:$H$61,1),0)</f>
        <v>75</v>
      </c>
      <c r="D42" s="72">
        <f ca="1">IFERROR(MIN(MATCH(COUNTIFS($C$7:C42,C42,$B$7:B42,B42)*_xlfn.XLOOKUP(C42,装备属性!$D$15:$D$61,装备属性!$M$15:$M$61),装备产出!$Z$19:$Z$24,1),6),0)</f>
        <v>0</v>
      </c>
      <c r="E42" s="45" t="e">
        <f>MATCH(A42,装备属性!$AD$520:$AD$819,1)</f>
        <v>#N/A</v>
      </c>
      <c r="F42" s="73" t="e" cm="1">
        <f ca="1" t="array" ref="F42">_xlfn.XLOOKUP(B42&amp;C42,装备属性!$G$90:$G$466&amp;装备属性!$E$90:$E$466,装备属性!$I$90:$I$466)*D42+_xlfn.XLOOKUP(B42&amp;MAX(C42-10,1),装备属性!$G$90:$G$466&amp;装备属性!$E$90:$E$466,装备属性!$I$90:$I$466)*(6-D42)+_xlfn.XLOOKUP(B42&amp;C42,装备属性!$P$919:$P$955&amp;装备属性!$N$919:$N$955,装备属性!$R$919:$R$955)*D42*0.5+_xlfn.XLOOKUP(B42&amp;(MAX(C42-10,1)),装备属性!$P$919:$P$955&amp;装备属性!$N$919:$N$955,装备属性!$R$919:$R$955)*(6-D42)*0.5+_xlfn.XLOOKUP(E42,装备属性!$D$520:$D$819,装备属性!$I$520:$I$819)*6</f>
        <v>#N/A</v>
      </c>
      <c r="G42" s="73"/>
      <c r="H42" s="74"/>
      <c r="I42" s="74"/>
      <c r="J42" s="74"/>
      <c r="K42" s="56"/>
      <c r="L42" s="56"/>
      <c r="M42" s="56"/>
      <c r="N42" s="74"/>
      <c r="O42" s="74"/>
      <c r="P42" s="74"/>
    </row>
    <row r="43" ht="16.5" spans="1:16">
      <c r="A43" s="70">
        <v>37</v>
      </c>
      <c r="B43" s="45" t="str">
        <f ca="1">OFFSET(装备属性!$D$65,MATCH(A43,装备属性!$G$66:$G$73,1),0)</f>
        <v>粉</v>
      </c>
      <c r="C43" s="71">
        <f ca="1">OFFSET(装备属性!$D$14,MATCH(A43,装备属性!$H$15:$H$61,1),0)</f>
        <v>75</v>
      </c>
      <c r="D43" s="72">
        <f ca="1">IFERROR(MIN(MATCH(COUNTIFS($C$7:C43,C43,$B$7:B43,B43)*_xlfn.XLOOKUP(C43,装备属性!$D$15:$D$61,装备属性!$M$15:$M$61),装备产出!$Z$19:$Z$24,1),6),0)</f>
        <v>0</v>
      </c>
      <c r="E43" s="45" t="e">
        <f>MATCH(A43,装备属性!$AD$520:$AD$819,1)</f>
        <v>#N/A</v>
      </c>
      <c r="F43" s="73" t="e" cm="1">
        <f ca="1" t="array" ref="F43">_xlfn.XLOOKUP(B43&amp;C43,装备属性!$G$90:$G$466&amp;装备属性!$E$90:$E$466,装备属性!$I$90:$I$466)*D43+_xlfn.XLOOKUP(B43&amp;MAX(C43-10,1),装备属性!$G$90:$G$466&amp;装备属性!$E$90:$E$466,装备属性!$I$90:$I$466)*(6-D43)+_xlfn.XLOOKUP(B43&amp;C43,装备属性!$P$919:$P$955&amp;装备属性!$N$919:$N$955,装备属性!$R$919:$R$955)*D43*0.5+_xlfn.XLOOKUP(B43&amp;(MAX(C43-10,1)),装备属性!$P$919:$P$955&amp;装备属性!$N$919:$N$955,装备属性!$R$919:$R$955)*(6-D43)*0.5+_xlfn.XLOOKUP(E43,装备属性!$D$520:$D$819,装备属性!$I$520:$I$819)*6</f>
        <v>#N/A</v>
      </c>
      <c r="G43" s="73"/>
      <c r="H43" s="74"/>
      <c r="I43" s="74"/>
      <c r="J43" s="74"/>
      <c r="K43" s="56"/>
      <c r="L43" s="56"/>
      <c r="M43" s="56"/>
      <c r="N43" s="74"/>
      <c r="O43" s="74"/>
      <c r="P43" s="74"/>
    </row>
    <row r="44" ht="16.5" spans="1:16">
      <c r="A44" s="70">
        <v>38</v>
      </c>
      <c r="B44" s="45" t="str">
        <f ca="1">OFFSET(装备属性!$D$65,MATCH(A44,装备属性!$G$66:$G$73,1),0)</f>
        <v>粉</v>
      </c>
      <c r="C44" s="71">
        <f ca="1">OFFSET(装备属性!$D$14,MATCH(A44,装备属性!$H$15:$H$61,1),0)</f>
        <v>75</v>
      </c>
      <c r="D44" s="72">
        <f ca="1">IFERROR(MIN(MATCH(COUNTIFS($C$7:C44,C44,$B$7:B44,B44)*_xlfn.XLOOKUP(C44,装备属性!$D$15:$D$61,装备属性!$M$15:$M$61),装备产出!$Z$19:$Z$24,1),6),0)</f>
        <v>0</v>
      </c>
      <c r="E44" s="45" t="e">
        <f>MATCH(A44,装备属性!$AD$520:$AD$819,1)</f>
        <v>#N/A</v>
      </c>
      <c r="F44" s="73" t="e" cm="1">
        <f ca="1" t="array" ref="F44">_xlfn.XLOOKUP(B44&amp;C44,装备属性!$G$90:$G$466&amp;装备属性!$E$90:$E$466,装备属性!$I$90:$I$466)*D44+_xlfn.XLOOKUP(B44&amp;MAX(C44-10,1),装备属性!$G$90:$G$466&amp;装备属性!$E$90:$E$466,装备属性!$I$90:$I$466)*(6-D44)+_xlfn.XLOOKUP(B44&amp;C44,装备属性!$P$919:$P$955&amp;装备属性!$N$919:$N$955,装备属性!$R$919:$R$955)*D44*0.5+_xlfn.XLOOKUP(B44&amp;(MAX(C44-10,1)),装备属性!$P$919:$P$955&amp;装备属性!$N$919:$N$955,装备属性!$R$919:$R$955)*(6-D44)*0.5+_xlfn.XLOOKUP(E44,装备属性!$D$520:$D$819,装备属性!$I$520:$I$819)*6</f>
        <v>#N/A</v>
      </c>
      <c r="G44" s="73"/>
      <c r="H44" s="74"/>
      <c r="I44" s="74"/>
      <c r="J44" s="74"/>
      <c r="K44" s="56"/>
      <c r="L44" s="56"/>
      <c r="M44" s="56"/>
      <c r="N44" s="74"/>
      <c r="O44" s="74"/>
      <c r="P44" s="74"/>
    </row>
    <row r="45" ht="16.5" spans="1:16">
      <c r="A45" s="70">
        <v>39</v>
      </c>
      <c r="B45" s="45" t="str">
        <f ca="1">OFFSET(装备属性!$D$65,MATCH(A45,装备属性!$G$66:$G$73,1),0)</f>
        <v>粉</v>
      </c>
      <c r="C45" s="71">
        <f ca="1">OFFSET(装备属性!$D$14,MATCH(A45,装备属性!$H$15:$H$61,1),0)</f>
        <v>75</v>
      </c>
      <c r="D45" s="72">
        <f ca="1">IFERROR(MIN(MATCH(COUNTIFS($C$7:C45,C45,$B$7:B45,B45)*_xlfn.XLOOKUP(C45,装备属性!$D$15:$D$61,装备属性!$M$15:$M$61),装备产出!$Z$19:$Z$24,1),6),0)</f>
        <v>0</v>
      </c>
      <c r="E45" s="45" t="e">
        <f>MATCH(A45,装备属性!$AD$520:$AD$819,1)</f>
        <v>#N/A</v>
      </c>
      <c r="F45" s="73" t="e" cm="1">
        <f ca="1" t="array" ref="F45">_xlfn.XLOOKUP(B45&amp;C45,装备属性!$G$90:$G$466&amp;装备属性!$E$90:$E$466,装备属性!$I$90:$I$466)*D45+_xlfn.XLOOKUP(B45&amp;MAX(C45-10,1),装备属性!$G$90:$G$466&amp;装备属性!$E$90:$E$466,装备属性!$I$90:$I$466)*(6-D45)+_xlfn.XLOOKUP(B45&amp;C45,装备属性!$P$919:$P$955&amp;装备属性!$N$919:$N$955,装备属性!$R$919:$R$955)*D45*0.5+_xlfn.XLOOKUP(B45&amp;(MAX(C45-10,1)),装备属性!$P$919:$P$955&amp;装备属性!$N$919:$N$955,装备属性!$R$919:$R$955)*(6-D45)*0.5+_xlfn.XLOOKUP(E45,装备属性!$D$520:$D$819,装备属性!$I$520:$I$819)*6</f>
        <v>#N/A</v>
      </c>
      <c r="G45" s="73"/>
      <c r="H45" s="74"/>
      <c r="I45" s="74"/>
      <c r="J45" s="74"/>
      <c r="K45" s="56"/>
      <c r="L45" s="56"/>
      <c r="M45" s="56"/>
      <c r="N45" s="74"/>
      <c r="O45" s="74"/>
      <c r="P45" s="74"/>
    </row>
    <row r="46" ht="16.5" spans="1:16">
      <c r="A46" s="70">
        <v>40</v>
      </c>
      <c r="B46" s="45" t="str">
        <f ca="1">OFFSET(装备属性!$D$65,MATCH(A46,装备属性!$G$66:$G$73,1),0)</f>
        <v>粉</v>
      </c>
      <c r="C46" s="71">
        <f ca="1">OFFSET(装备属性!$D$14,MATCH(A46,装备属性!$H$15:$H$61,1),0)</f>
        <v>75</v>
      </c>
      <c r="D46" s="72">
        <f ca="1">IFERROR(MIN(MATCH(COUNTIFS($C$7:C46,C46,$B$7:B46,B46)*_xlfn.XLOOKUP(C46,装备属性!$D$15:$D$61,装备属性!$M$15:$M$61),装备产出!$Z$19:$Z$24,1),6),0)</f>
        <v>1</v>
      </c>
      <c r="E46" s="45" t="e">
        <f>MATCH(A46,装备属性!$AD$520:$AD$819,1)</f>
        <v>#N/A</v>
      </c>
      <c r="F46" s="73" t="e" cm="1">
        <f ca="1" t="array" ref="F46">_xlfn.XLOOKUP(B46&amp;C46,装备属性!$G$90:$G$466&amp;装备属性!$E$90:$E$466,装备属性!$I$90:$I$466)*D46+_xlfn.XLOOKUP(B46&amp;MAX(C46-10,1),装备属性!$G$90:$G$466&amp;装备属性!$E$90:$E$466,装备属性!$I$90:$I$466)*(6-D46)+_xlfn.XLOOKUP(B46&amp;C46,装备属性!$P$919:$P$955&amp;装备属性!$N$919:$N$955,装备属性!$R$919:$R$955)*D46*0.5+_xlfn.XLOOKUP(B46&amp;(MAX(C46-10,1)),装备属性!$P$919:$P$955&amp;装备属性!$N$919:$N$955,装备属性!$R$919:$R$955)*(6-D46)*0.5+_xlfn.XLOOKUP(E46,装备属性!$D$520:$D$819,装备属性!$I$520:$I$819)*6</f>
        <v>#N/A</v>
      </c>
      <c r="G46" s="73"/>
      <c r="H46" s="74"/>
      <c r="I46" s="74"/>
      <c r="J46" s="74"/>
      <c r="K46" s="56"/>
      <c r="L46" s="56"/>
      <c r="M46" s="56"/>
      <c r="N46" s="74"/>
      <c r="O46" s="74"/>
      <c r="P46" s="74"/>
    </row>
    <row r="47" ht="16.5" spans="1:16">
      <c r="A47" s="70">
        <v>41</v>
      </c>
      <c r="B47" s="45" t="str">
        <f ca="1">OFFSET(装备属性!$D$65,MATCH(A47,装备属性!$G$66:$G$73,1),0)</f>
        <v>粉</v>
      </c>
      <c r="C47" s="71">
        <f ca="1">OFFSET(装备属性!$D$14,MATCH(A47,装备属性!$H$15:$H$61,1),0)</f>
        <v>75</v>
      </c>
      <c r="D47" s="72">
        <f ca="1">IFERROR(MIN(MATCH(COUNTIFS($C$7:C47,C47,$B$7:B47,B47)*_xlfn.XLOOKUP(C47,装备属性!$D$15:$D$61,装备属性!$M$15:$M$61),装备产出!$Z$19:$Z$24,1),6),0)</f>
        <v>1</v>
      </c>
      <c r="E47" s="45" t="e">
        <f>MATCH(A47,装备属性!$AD$520:$AD$819,1)</f>
        <v>#N/A</v>
      </c>
      <c r="F47" s="73" t="e" cm="1">
        <f ca="1" t="array" ref="F47">_xlfn.XLOOKUP(B47&amp;C47,装备属性!$G$90:$G$466&amp;装备属性!$E$90:$E$466,装备属性!$I$90:$I$466)*D47+_xlfn.XLOOKUP(B47&amp;MAX(C47-10,1),装备属性!$G$90:$G$466&amp;装备属性!$E$90:$E$466,装备属性!$I$90:$I$466)*(6-D47)+_xlfn.XLOOKUP(B47&amp;C47,装备属性!$P$919:$P$955&amp;装备属性!$N$919:$N$955,装备属性!$R$919:$R$955)*D47*0.5+_xlfn.XLOOKUP(B47&amp;(MAX(C47-10,1)),装备属性!$P$919:$P$955&amp;装备属性!$N$919:$N$955,装备属性!$R$919:$R$955)*(6-D47)*0.5+_xlfn.XLOOKUP(E47,装备属性!$D$520:$D$819,装备属性!$I$520:$I$819)*6</f>
        <v>#N/A</v>
      </c>
      <c r="G47" s="73"/>
      <c r="H47" s="74"/>
      <c r="I47" s="74"/>
      <c r="J47" s="74"/>
      <c r="K47" s="56"/>
      <c r="L47" s="56"/>
      <c r="M47" s="56"/>
      <c r="N47" s="74"/>
      <c r="O47" s="74"/>
      <c r="P47" s="74"/>
    </row>
    <row r="48" ht="16.5" spans="1:16">
      <c r="A48" s="70">
        <v>42</v>
      </c>
      <c r="B48" s="45" t="str">
        <f ca="1">OFFSET(装备属性!$D$65,MATCH(A48,装备属性!$G$66:$G$73,1),0)</f>
        <v>粉</v>
      </c>
      <c r="C48" s="71">
        <f ca="1">OFFSET(装备属性!$D$14,MATCH(A48,装备属性!$H$15:$H$61,1),0)</f>
        <v>80</v>
      </c>
      <c r="D48" s="72">
        <f ca="1">IFERROR(MIN(MATCH(COUNTIFS($C$7:C48,C48,$B$7:B48,B48)*_xlfn.XLOOKUP(C48,装备属性!$D$15:$D$61,装备属性!$M$15:$M$61),装备产出!$Z$19:$Z$24,1),6),0)</f>
        <v>0</v>
      </c>
      <c r="E48" s="45" t="e">
        <f>MATCH(A48,装备属性!$AD$520:$AD$819,1)</f>
        <v>#N/A</v>
      </c>
      <c r="F48" s="73" t="e" cm="1">
        <f ca="1" t="array" ref="F48">_xlfn.XLOOKUP(B48&amp;C48,装备属性!$G$90:$G$466&amp;装备属性!$E$90:$E$466,装备属性!$I$90:$I$466)*D48+_xlfn.XLOOKUP(B48&amp;MAX(C48-10,1),装备属性!$G$90:$G$466&amp;装备属性!$E$90:$E$466,装备属性!$I$90:$I$466)*(6-D48)+_xlfn.XLOOKUP(B48&amp;C48,装备属性!$P$919:$P$955&amp;装备属性!$N$919:$N$955,装备属性!$R$919:$R$955)*D48*0.5+_xlfn.XLOOKUP(B48&amp;(MAX(C48-10,1)),装备属性!$P$919:$P$955&amp;装备属性!$N$919:$N$955,装备属性!$R$919:$R$955)*(6-D48)*0.5+_xlfn.XLOOKUP(E48,装备属性!$D$520:$D$819,装备属性!$I$520:$I$819)*6</f>
        <v>#N/A</v>
      </c>
      <c r="G48" s="73"/>
      <c r="H48" s="74"/>
      <c r="I48" s="74"/>
      <c r="J48" s="74"/>
      <c r="K48" s="56"/>
      <c r="L48" s="56"/>
      <c r="M48" s="56"/>
      <c r="N48" s="74"/>
      <c r="O48" s="74"/>
      <c r="P48" s="74"/>
    </row>
    <row r="49" ht="16.5" spans="1:16">
      <c r="A49" s="70">
        <v>43</v>
      </c>
      <c r="B49" s="45" t="str">
        <f ca="1">OFFSET(装备属性!$D$65,MATCH(A49,装备属性!$G$66:$G$73,1),0)</f>
        <v>粉</v>
      </c>
      <c r="C49" s="71">
        <f ca="1">OFFSET(装备属性!$D$14,MATCH(A49,装备属性!$H$15:$H$61,1),0)</f>
        <v>80</v>
      </c>
      <c r="D49" s="72">
        <f ca="1">IFERROR(MIN(MATCH(COUNTIFS($C$7:C49,C49,$B$7:B49,B49)*_xlfn.XLOOKUP(C49,装备属性!$D$15:$D$61,装备属性!$M$15:$M$61),装备产出!$Z$19:$Z$24,1),6),0)</f>
        <v>0</v>
      </c>
      <c r="E49" s="45" t="e">
        <f>MATCH(A49,装备属性!$AD$520:$AD$819,1)</f>
        <v>#N/A</v>
      </c>
      <c r="F49" s="73" t="e" cm="1">
        <f ca="1" t="array" ref="F49">_xlfn.XLOOKUP(B49&amp;C49,装备属性!$G$90:$G$466&amp;装备属性!$E$90:$E$466,装备属性!$I$90:$I$466)*D49+_xlfn.XLOOKUP(B49&amp;MAX(C49-10,1),装备属性!$G$90:$G$466&amp;装备属性!$E$90:$E$466,装备属性!$I$90:$I$466)*(6-D49)+_xlfn.XLOOKUP(B49&amp;C49,装备属性!$P$919:$P$955&amp;装备属性!$N$919:$N$955,装备属性!$R$919:$R$955)*D49*0.5+_xlfn.XLOOKUP(B49&amp;(MAX(C49-10,1)),装备属性!$P$919:$P$955&amp;装备属性!$N$919:$N$955,装备属性!$R$919:$R$955)*(6-D49)*0.5+_xlfn.XLOOKUP(E49,装备属性!$D$520:$D$819,装备属性!$I$520:$I$819)*6</f>
        <v>#N/A</v>
      </c>
      <c r="G49" s="73"/>
      <c r="H49" s="74"/>
      <c r="I49" s="74"/>
      <c r="J49" s="74"/>
      <c r="K49" s="56"/>
      <c r="L49" s="56"/>
      <c r="M49" s="56"/>
      <c r="N49" s="74"/>
      <c r="O49" s="74"/>
      <c r="P49" s="74"/>
    </row>
    <row r="50" ht="16.5" spans="1:16">
      <c r="A50" s="70">
        <v>44</v>
      </c>
      <c r="B50" s="45" t="str">
        <f ca="1">OFFSET(装备属性!$D$65,MATCH(A50,装备属性!$G$66:$G$73,1),0)</f>
        <v>粉</v>
      </c>
      <c r="C50" s="71">
        <f ca="1">OFFSET(装备属性!$D$14,MATCH(A50,装备属性!$H$15:$H$61,1),0)</f>
        <v>80</v>
      </c>
      <c r="D50" s="72">
        <f ca="1">IFERROR(MIN(MATCH(COUNTIFS($C$7:C50,C50,$B$7:B50,B50)*_xlfn.XLOOKUP(C50,装备属性!$D$15:$D$61,装备属性!$M$15:$M$61),装备产出!$Z$19:$Z$24,1),6),0)</f>
        <v>0</v>
      </c>
      <c r="E50" s="45" t="e">
        <f>MATCH(A50,装备属性!$AD$520:$AD$819,1)</f>
        <v>#N/A</v>
      </c>
      <c r="F50" s="73" t="e" cm="1">
        <f ca="1" t="array" ref="F50">_xlfn.XLOOKUP(B50&amp;C50,装备属性!$G$90:$G$466&amp;装备属性!$E$90:$E$466,装备属性!$I$90:$I$466)*D50+_xlfn.XLOOKUP(B50&amp;MAX(C50-10,1),装备属性!$G$90:$G$466&amp;装备属性!$E$90:$E$466,装备属性!$I$90:$I$466)*(6-D50)+_xlfn.XLOOKUP(B50&amp;C50,装备属性!$P$919:$P$955&amp;装备属性!$N$919:$N$955,装备属性!$R$919:$R$955)*D50*0.5+_xlfn.XLOOKUP(B50&amp;(MAX(C50-10,1)),装备属性!$P$919:$P$955&amp;装备属性!$N$919:$N$955,装备属性!$R$919:$R$955)*(6-D50)*0.5+_xlfn.XLOOKUP(E50,装备属性!$D$520:$D$819,装备属性!$I$520:$I$819)*6</f>
        <v>#N/A</v>
      </c>
      <c r="G50" s="73"/>
      <c r="H50" s="74"/>
      <c r="I50" s="74"/>
      <c r="J50" s="74"/>
      <c r="K50" s="56"/>
      <c r="L50" s="56"/>
      <c r="M50" s="56"/>
      <c r="N50" s="74"/>
      <c r="O50" s="74"/>
      <c r="P50" s="74"/>
    </row>
    <row r="51" ht="16.5" spans="1:16">
      <c r="A51" s="70">
        <v>45</v>
      </c>
      <c r="B51" s="45" t="str">
        <f ca="1">OFFSET(装备属性!$D$65,MATCH(A51,装备属性!$G$66:$G$73,1),0)</f>
        <v>粉</v>
      </c>
      <c r="C51" s="71">
        <f ca="1">OFFSET(装备属性!$D$14,MATCH(A51,装备属性!$H$15:$H$61,1),0)</f>
        <v>80</v>
      </c>
      <c r="D51" s="72">
        <f ca="1">IFERROR(MIN(MATCH(COUNTIFS($C$7:C51,C51,$B$7:B51,B51)*_xlfn.XLOOKUP(C51,装备属性!$D$15:$D$61,装备属性!$M$15:$M$61),装备产出!$Z$19:$Z$24,1),6),0)</f>
        <v>0</v>
      </c>
      <c r="E51" s="45" t="e">
        <f>MATCH(A51,装备属性!$AD$520:$AD$819,1)</f>
        <v>#N/A</v>
      </c>
      <c r="F51" s="73" t="e" cm="1">
        <f ca="1" t="array" ref="F51">_xlfn.XLOOKUP(B51&amp;C51,装备属性!$G$90:$G$466&amp;装备属性!$E$90:$E$466,装备属性!$I$90:$I$466)*D51+_xlfn.XLOOKUP(B51&amp;MAX(C51-10,1),装备属性!$G$90:$G$466&amp;装备属性!$E$90:$E$466,装备属性!$I$90:$I$466)*(6-D51)+_xlfn.XLOOKUP(B51&amp;C51,装备属性!$P$919:$P$955&amp;装备属性!$N$919:$N$955,装备属性!$R$919:$R$955)*D51*0.5+_xlfn.XLOOKUP(B51&amp;(MAX(C51-10,1)),装备属性!$P$919:$P$955&amp;装备属性!$N$919:$N$955,装备属性!$R$919:$R$955)*(6-D51)*0.5+_xlfn.XLOOKUP(E51,装备属性!$D$520:$D$819,装备属性!$I$520:$I$819)*6</f>
        <v>#N/A</v>
      </c>
      <c r="G51" s="73"/>
      <c r="H51" s="74"/>
      <c r="I51" s="74"/>
      <c r="J51" s="74"/>
      <c r="K51" s="56"/>
      <c r="L51" s="56"/>
      <c r="M51" s="56"/>
      <c r="N51" s="74"/>
      <c r="O51" s="74"/>
      <c r="P51" s="74"/>
    </row>
    <row r="52" ht="16.5" spans="1:16">
      <c r="A52" s="70">
        <v>46</v>
      </c>
      <c r="B52" s="45" t="str">
        <f ca="1">OFFSET(装备属性!$D$65,MATCH(A52,装备属性!$G$66:$G$73,1),0)</f>
        <v>粉</v>
      </c>
      <c r="C52" s="71">
        <f ca="1">OFFSET(装备属性!$D$14,MATCH(A52,装备属性!$H$15:$H$61,1),0)</f>
        <v>80</v>
      </c>
      <c r="D52" s="72">
        <f ca="1">IFERROR(MIN(MATCH(COUNTIFS($C$7:C52,C52,$B$7:B52,B52)*_xlfn.XLOOKUP(C52,装备属性!$D$15:$D$61,装备属性!$M$15:$M$61),装备产出!$Z$19:$Z$24,1),6),0)</f>
        <v>0</v>
      </c>
      <c r="E52" s="45" t="e">
        <f>MATCH(A52,装备属性!$AD$520:$AD$819,1)</f>
        <v>#N/A</v>
      </c>
      <c r="F52" s="73" t="e" cm="1">
        <f ca="1" t="array" ref="F52">_xlfn.XLOOKUP(B52&amp;C52,装备属性!$G$90:$G$466&amp;装备属性!$E$90:$E$466,装备属性!$I$90:$I$466)*D52+_xlfn.XLOOKUP(B52&amp;MAX(C52-10,1),装备属性!$G$90:$G$466&amp;装备属性!$E$90:$E$466,装备属性!$I$90:$I$466)*(6-D52)+_xlfn.XLOOKUP(B52&amp;C52,装备属性!$P$919:$P$955&amp;装备属性!$N$919:$N$955,装备属性!$R$919:$R$955)*D52*0.5+_xlfn.XLOOKUP(B52&amp;(MAX(C52-10,1)),装备属性!$P$919:$P$955&amp;装备属性!$N$919:$N$955,装备属性!$R$919:$R$955)*(6-D52)*0.5+_xlfn.XLOOKUP(E52,装备属性!$D$520:$D$819,装备属性!$I$520:$I$819)*6</f>
        <v>#N/A</v>
      </c>
      <c r="G52" s="73"/>
      <c r="H52" s="74"/>
      <c r="I52" s="74"/>
      <c r="J52" s="74"/>
      <c r="K52" s="56"/>
      <c r="L52" s="56"/>
      <c r="M52" s="56"/>
      <c r="N52" s="74"/>
      <c r="O52" s="74"/>
      <c r="P52" s="74"/>
    </row>
    <row r="53" ht="16.5" spans="1:16">
      <c r="A53" s="70">
        <v>47</v>
      </c>
      <c r="B53" s="45" t="str">
        <f ca="1">OFFSET(装备属性!$D$65,MATCH(A53,装备属性!$G$66:$G$73,1),0)</f>
        <v>粉</v>
      </c>
      <c r="C53" s="71">
        <f ca="1">OFFSET(装备属性!$D$14,MATCH(A53,装备属性!$H$15:$H$61,1),0)</f>
        <v>80</v>
      </c>
      <c r="D53" s="72">
        <f ca="1">IFERROR(MIN(MATCH(COUNTIFS($C$7:C53,C53,$B$7:B53,B53)*_xlfn.XLOOKUP(C53,装备属性!$D$15:$D$61,装备属性!$M$15:$M$61),装备产出!$Z$19:$Z$24,1),6),0)</f>
        <v>1</v>
      </c>
      <c r="E53" s="45" t="e">
        <f>MATCH(A53,装备属性!$AD$520:$AD$819,1)</f>
        <v>#N/A</v>
      </c>
      <c r="F53" s="73" t="e" cm="1">
        <f ca="1" t="array" ref="F53">_xlfn.XLOOKUP(B53&amp;C53,装备属性!$G$90:$G$466&amp;装备属性!$E$90:$E$466,装备属性!$I$90:$I$466)*D53+_xlfn.XLOOKUP(B53&amp;MAX(C53-10,1),装备属性!$G$90:$G$466&amp;装备属性!$E$90:$E$466,装备属性!$I$90:$I$466)*(6-D53)+_xlfn.XLOOKUP(B53&amp;C53,装备属性!$P$919:$P$955&amp;装备属性!$N$919:$N$955,装备属性!$R$919:$R$955)*D53*0.5+_xlfn.XLOOKUP(B53&amp;(MAX(C53-10,1)),装备属性!$P$919:$P$955&amp;装备属性!$N$919:$N$955,装备属性!$R$919:$R$955)*(6-D53)*0.5+_xlfn.XLOOKUP(E53,装备属性!$D$520:$D$819,装备属性!$I$520:$I$819)*6</f>
        <v>#N/A</v>
      </c>
      <c r="G53" s="73"/>
      <c r="H53" s="74"/>
      <c r="I53" s="74"/>
      <c r="J53" s="74"/>
      <c r="K53" s="56"/>
      <c r="L53" s="56"/>
      <c r="M53" s="56"/>
      <c r="N53" s="74"/>
      <c r="O53" s="74"/>
      <c r="P53" s="74"/>
    </row>
    <row r="54" ht="16.5" spans="1:16">
      <c r="A54" s="70">
        <v>48</v>
      </c>
      <c r="B54" s="45" t="str">
        <f ca="1">OFFSET(装备属性!$D$65,MATCH(A54,装备属性!$G$66:$G$73,1),0)</f>
        <v>粉</v>
      </c>
      <c r="C54" s="71">
        <f ca="1">OFFSET(装备属性!$D$14,MATCH(A54,装备属性!$H$15:$H$61,1),0)</f>
        <v>80</v>
      </c>
      <c r="D54" s="72">
        <f ca="1">IFERROR(MIN(MATCH(COUNTIFS($C$7:C54,C54,$B$7:B54,B54)*_xlfn.XLOOKUP(C54,装备属性!$D$15:$D$61,装备属性!$M$15:$M$61),装备产出!$Z$19:$Z$24,1),6),0)</f>
        <v>1</v>
      </c>
      <c r="E54" s="45" t="e">
        <f>MATCH(A54,装备属性!$AD$520:$AD$819,1)</f>
        <v>#N/A</v>
      </c>
      <c r="F54" s="73" t="e" cm="1">
        <f ca="1" t="array" ref="F54">_xlfn.XLOOKUP(B54&amp;C54,装备属性!$G$90:$G$466&amp;装备属性!$E$90:$E$466,装备属性!$I$90:$I$466)*D54+_xlfn.XLOOKUP(B54&amp;MAX(C54-10,1),装备属性!$G$90:$G$466&amp;装备属性!$E$90:$E$466,装备属性!$I$90:$I$466)*(6-D54)+_xlfn.XLOOKUP(B54&amp;C54,装备属性!$P$919:$P$955&amp;装备属性!$N$919:$N$955,装备属性!$R$919:$R$955)*D54*0.5+_xlfn.XLOOKUP(B54&amp;(MAX(C54-10,1)),装备属性!$P$919:$P$955&amp;装备属性!$N$919:$N$955,装备属性!$R$919:$R$955)*(6-D54)*0.5+_xlfn.XLOOKUP(E54,装备属性!$D$520:$D$819,装备属性!$I$520:$I$819)*6</f>
        <v>#N/A</v>
      </c>
      <c r="G54" s="73"/>
      <c r="H54" s="74"/>
      <c r="I54" s="74"/>
      <c r="J54" s="74"/>
      <c r="K54" s="56"/>
      <c r="L54" s="56"/>
      <c r="M54" s="56"/>
      <c r="N54" s="74"/>
      <c r="O54" s="74"/>
      <c r="P54" s="74"/>
    </row>
    <row r="55" ht="16.5" spans="1:16">
      <c r="A55" s="70">
        <v>49</v>
      </c>
      <c r="B55" s="45" t="str">
        <f ca="1">OFFSET(装备属性!$D$65,MATCH(A55,装备属性!$G$66:$G$73,1),0)</f>
        <v>粉</v>
      </c>
      <c r="C55" s="71">
        <f ca="1">OFFSET(装备属性!$D$14,MATCH(A55,装备属性!$H$15:$H$61,1),0)</f>
        <v>80</v>
      </c>
      <c r="D55" s="72">
        <f ca="1">IFERROR(MIN(MATCH(COUNTIFS($C$7:C55,C55,$B$7:B55,B55)*_xlfn.XLOOKUP(C55,装备属性!$D$15:$D$61,装备属性!$M$15:$M$61),装备产出!$Z$19:$Z$24,1),6),0)</f>
        <v>1</v>
      </c>
      <c r="E55" s="45" t="e">
        <f>MATCH(A55,装备属性!$AD$520:$AD$819,1)</f>
        <v>#N/A</v>
      </c>
      <c r="F55" s="73" t="e" cm="1">
        <f ca="1" t="array" ref="F55">_xlfn.XLOOKUP(B55&amp;C55,装备属性!$G$90:$G$466&amp;装备属性!$E$90:$E$466,装备属性!$I$90:$I$466)*D55+_xlfn.XLOOKUP(B55&amp;MAX(C55-10,1),装备属性!$G$90:$G$466&amp;装备属性!$E$90:$E$466,装备属性!$I$90:$I$466)*(6-D55)+_xlfn.XLOOKUP(B55&amp;C55,装备属性!$P$919:$P$955&amp;装备属性!$N$919:$N$955,装备属性!$R$919:$R$955)*D55*0.5+_xlfn.XLOOKUP(B55&amp;(MAX(C55-10,1)),装备属性!$P$919:$P$955&amp;装备属性!$N$919:$N$955,装备属性!$R$919:$R$955)*(6-D55)*0.5+_xlfn.XLOOKUP(E55,装备属性!$D$520:$D$819,装备属性!$I$520:$I$819)*6</f>
        <v>#N/A</v>
      </c>
      <c r="G55" s="73"/>
      <c r="H55" s="74"/>
      <c r="I55" s="74"/>
      <c r="J55" s="74"/>
      <c r="K55" s="56"/>
      <c r="L55" s="56"/>
      <c r="M55" s="56"/>
      <c r="N55" s="74"/>
      <c r="O55" s="74"/>
      <c r="P55" s="74"/>
    </row>
    <row r="56" ht="16.5" spans="1:16">
      <c r="A56" s="70">
        <v>50</v>
      </c>
      <c r="B56" s="45" t="str">
        <f ca="1">OFFSET(装备属性!$D$65,MATCH(A56,装备属性!$G$66:$G$73,1),0)</f>
        <v>粉</v>
      </c>
      <c r="C56" s="71">
        <f ca="1">OFFSET(装备属性!$D$14,MATCH(A56,装备属性!$H$15:$H$61,1),0)</f>
        <v>85</v>
      </c>
      <c r="D56" s="72">
        <f ca="1">IFERROR(MIN(MATCH(COUNTIFS($C$7:C56,C56,$B$7:B56,B56)*_xlfn.XLOOKUP(C56,装备属性!$D$15:$D$61,装备属性!$M$15:$M$61),装备产出!$Z$19:$Z$24,1),6),0)</f>
        <v>0</v>
      </c>
      <c r="E56" s="45" t="e">
        <f>MATCH(A56,装备属性!$AD$520:$AD$819,1)</f>
        <v>#N/A</v>
      </c>
      <c r="F56" s="73" t="e" cm="1">
        <f ca="1" t="array" ref="F56">_xlfn.XLOOKUP(B56&amp;C56,装备属性!$G$90:$G$466&amp;装备属性!$E$90:$E$466,装备属性!$I$90:$I$466)*D56+_xlfn.XLOOKUP(B56&amp;MAX(C56-10,1),装备属性!$G$90:$G$466&amp;装备属性!$E$90:$E$466,装备属性!$I$90:$I$466)*(6-D56)+_xlfn.XLOOKUP(B56&amp;C56,装备属性!$P$919:$P$955&amp;装备属性!$N$919:$N$955,装备属性!$R$919:$R$955)*D56*0.5+_xlfn.XLOOKUP(B56&amp;(MAX(C56-10,1)),装备属性!$P$919:$P$955&amp;装备属性!$N$919:$N$955,装备属性!$R$919:$R$955)*(6-D56)*0.5+_xlfn.XLOOKUP(E56,装备属性!$D$520:$D$819,装备属性!$I$520:$I$819)*6</f>
        <v>#N/A</v>
      </c>
      <c r="G56" s="73"/>
      <c r="H56" s="74"/>
      <c r="I56" s="74"/>
      <c r="J56" s="74"/>
      <c r="K56" s="56"/>
      <c r="L56" s="56"/>
      <c r="M56" s="56"/>
      <c r="N56" s="74"/>
      <c r="O56" s="74"/>
      <c r="P56" s="74"/>
    </row>
    <row r="57" ht="16.5" spans="1:16">
      <c r="A57" s="70">
        <v>51</v>
      </c>
      <c r="B57" s="45" t="str">
        <f ca="1">OFFSET(装备属性!$D$65,MATCH(A57,装备属性!$G$66:$G$73,1),0)</f>
        <v>粉</v>
      </c>
      <c r="C57" s="71">
        <f ca="1">OFFSET(装备属性!$D$14,MATCH(A57,装备属性!$H$15:$H$61,1),0)</f>
        <v>85</v>
      </c>
      <c r="D57" s="72">
        <f ca="1">IFERROR(MIN(MATCH(COUNTIFS($C$7:C57,C57,$B$7:B57,B57)*_xlfn.XLOOKUP(C57,装备属性!$D$15:$D$61,装备属性!$M$15:$M$61),装备产出!$Z$19:$Z$24,1),6),0)</f>
        <v>0</v>
      </c>
      <c r="E57" s="45" t="e">
        <f>MATCH(A57,装备属性!$AD$520:$AD$819,1)</f>
        <v>#N/A</v>
      </c>
      <c r="F57" s="73" t="e" cm="1">
        <f ca="1" t="array" ref="F57">_xlfn.XLOOKUP(B57&amp;C57,装备属性!$G$90:$G$466&amp;装备属性!$E$90:$E$466,装备属性!$I$90:$I$466)*D57+_xlfn.XLOOKUP(B57&amp;MAX(C57-10,1),装备属性!$G$90:$G$466&amp;装备属性!$E$90:$E$466,装备属性!$I$90:$I$466)*(6-D57)+_xlfn.XLOOKUP(B57&amp;C57,装备属性!$P$919:$P$955&amp;装备属性!$N$919:$N$955,装备属性!$R$919:$R$955)*D57*0.5+_xlfn.XLOOKUP(B57&amp;(MAX(C57-10,1)),装备属性!$P$919:$P$955&amp;装备属性!$N$919:$N$955,装备属性!$R$919:$R$955)*(6-D57)*0.5+_xlfn.XLOOKUP(E57,装备属性!$D$520:$D$819,装备属性!$I$520:$I$819)*6</f>
        <v>#N/A</v>
      </c>
      <c r="G57" s="73"/>
      <c r="H57" s="74"/>
      <c r="I57" s="74"/>
      <c r="J57" s="74"/>
      <c r="K57" s="56"/>
      <c r="L57" s="56"/>
      <c r="M57" s="56"/>
      <c r="N57" s="74"/>
      <c r="O57" s="74"/>
      <c r="P57" s="74"/>
    </row>
    <row r="58" ht="16.5" spans="1:16">
      <c r="A58" s="70">
        <v>52</v>
      </c>
      <c r="B58" s="45" t="str">
        <f ca="1">OFFSET(装备属性!$D$65,MATCH(A58,装备属性!$G$66:$G$73,1),0)</f>
        <v>彩</v>
      </c>
      <c r="C58" s="71">
        <f ca="1">OFFSET(装备属性!$D$14,MATCH(A58,装备属性!$H$15:$H$61,1),0)</f>
        <v>85</v>
      </c>
      <c r="D58" s="72">
        <f ca="1">IFERROR(MIN(MATCH(COUNTIFS($C$7:C58,C58,$B$7:B58,B58)*_xlfn.XLOOKUP(C58,装备属性!$D$15:$D$61,装备属性!$M$15:$M$61),装备产出!$Z$19:$Z$24,1),6),0)</f>
        <v>0</v>
      </c>
      <c r="E58" s="45" t="e">
        <f>MATCH(A58,装备属性!$AD$520:$AD$819,1)</f>
        <v>#N/A</v>
      </c>
      <c r="F58" s="73" t="e" cm="1">
        <f ca="1" t="array" ref="F58">_xlfn.XLOOKUP(B58&amp;C58,装备属性!$G$90:$G$466&amp;装备属性!$E$90:$E$466,装备属性!$I$90:$I$466)*D58+_xlfn.XLOOKUP(B58&amp;MAX(C58-10,1),装备属性!$G$90:$G$466&amp;装备属性!$E$90:$E$466,装备属性!$I$90:$I$466)*(6-D58)+_xlfn.XLOOKUP(B58&amp;C58,装备属性!$P$919:$P$955&amp;装备属性!$N$919:$N$955,装备属性!$R$919:$R$955)*D58*0.5+_xlfn.XLOOKUP(B58&amp;(MAX(C58-10,1)),装备属性!$P$919:$P$955&amp;装备属性!$N$919:$N$955,装备属性!$R$919:$R$955)*(6-D58)*0.5+_xlfn.XLOOKUP(E58,装备属性!$D$520:$D$819,装备属性!$I$520:$I$819)*6</f>
        <v>#N/A</v>
      </c>
      <c r="G58" s="73"/>
      <c r="H58" s="74"/>
      <c r="I58" s="74"/>
      <c r="J58" s="74"/>
      <c r="K58" s="56"/>
      <c r="L58" s="56"/>
      <c r="M58" s="56"/>
      <c r="N58" s="74"/>
      <c r="O58" s="74"/>
      <c r="P58" s="74"/>
    </row>
    <row r="59" ht="16.5" spans="1:16">
      <c r="A59" s="70">
        <v>53</v>
      </c>
      <c r="B59" s="45" t="str">
        <f ca="1">OFFSET(装备属性!$D$65,MATCH(A59,装备属性!$G$66:$G$73,1),0)</f>
        <v>彩</v>
      </c>
      <c r="C59" s="71">
        <f ca="1">OFFSET(装备属性!$D$14,MATCH(A59,装备属性!$H$15:$H$61,1),0)</f>
        <v>85</v>
      </c>
      <c r="D59" s="72">
        <f ca="1">IFERROR(MIN(MATCH(COUNTIFS($C$7:C59,C59,$B$7:B59,B59)*_xlfn.XLOOKUP(C59,装备属性!$D$15:$D$61,装备属性!$M$15:$M$61),装备产出!$Z$19:$Z$24,1),6),0)</f>
        <v>0</v>
      </c>
      <c r="E59" s="45" t="e">
        <f>MATCH(A59,装备属性!$AD$520:$AD$819,1)</f>
        <v>#N/A</v>
      </c>
      <c r="F59" s="73" t="e" cm="1">
        <f ca="1" t="array" ref="F59">_xlfn.XLOOKUP(B59&amp;C59,装备属性!$G$90:$G$466&amp;装备属性!$E$90:$E$466,装备属性!$I$90:$I$466)*D59+_xlfn.XLOOKUP(B59&amp;MAX(C59-10,1),装备属性!$G$90:$G$466&amp;装备属性!$E$90:$E$466,装备属性!$I$90:$I$466)*(6-D59)+_xlfn.XLOOKUP(B59&amp;C59,装备属性!$P$919:$P$955&amp;装备属性!$N$919:$N$955,装备属性!$R$919:$R$955)*D59*0.5+_xlfn.XLOOKUP(B59&amp;(MAX(C59-10,1)),装备属性!$P$919:$P$955&amp;装备属性!$N$919:$N$955,装备属性!$R$919:$R$955)*(6-D59)*0.5+_xlfn.XLOOKUP(E59,装备属性!$D$520:$D$819,装备属性!$I$520:$I$819)*6</f>
        <v>#N/A</v>
      </c>
      <c r="G59" s="73"/>
      <c r="H59" s="74"/>
      <c r="I59" s="74"/>
      <c r="J59" s="74"/>
      <c r="K59" s="56"/>
      <c r="L59" s="56"/>
      <c r="M59" s="56"/>
      <c r="N59" s="74"/>
      <c r="O59" s="74"/>
      <c r="P59" s="74"/>
    </row>
    <row r="60" ht="16.5" spans="1:16">
      <c r="A60" s="70">
        <v>54</v>
      </c>
      <c r="B60" s="45" t="str">
        <f ca="1">OFFSET(装备属性!$D$65,MATCH(A60,装备属性!$G$66:$G$73,1),0)</f>
        <v>彩</v>
      </c>
      <c r="C60" s="71">
        <f ca="1">OFFSET(装备属性!$D$14,MATCH(A60,装备属性!$H$15:$H$61,1),0)</f>
        <v>85</v>
      </c>
      <c r="D60" s="72">
        <f ca="1">IFERROR(MIN(MATCH(COUNTIFS($C$7:C60,C60,$B$7:B60,B60)*_xlfn.XLOOKUP(C60,装备属性!$D$15:$D$61,装备属性!$M$15:$M$61),装备产出!$Z$19:$Z$24,1),6),0)</f>
        <v>0</v>
      </c>
      <c r="E60" s="45" t="e">
        <f>MATCH(A60,装备属性!$AD$520:$AD$819,1)</f>
        <v>#N/A</v>
      </c>
      <c r="F60" s="73" t="e" cm="1">
        <f ca="1" t="array" ref="F60">_xlfn.XLOOKUP(B60&amp;C60,装备属性!$G$90:$G$466&amp;装备属性!$E$90:$E$466,装备属性!$I$90:$I$466)*D60+_xlfn.XLOOKUP(B60&amp;MAX(C60-10,1),装备属性!$G$90:$G$466&amp;装备属性!$E$90:$E$466,装备属性!$I$90:$I$466)*(6-D60)+_xlfn.XLOOKUP(B60&amp;C60,装备属性!$P$919:$P$955&amp;装备属性!$N$919:$N$955,装备属性!$R$919:$R$955)*D60*0.5+_xlfn.XLOOKUP(B60&amp;(MAX(C60-10,1)),装备属性!$P$919:$P$955&amp;装备属性!$N$919:$N$955,装备属性!$R$919:$R$955)*(6-D60)*0.5+_xlfn.XLOOKUP(E60,装备属性!$D$520:$D$819,装备属性!$I$520:$I$819)*6</f>
        <v>#N/A</v>
      </c>
      <c r="G60" s="73"/>
      <c r="H60" s="74"/>
      <c r="I60" s="74"/>
      <c r="J60" s="74"/>
      <c r="K60" s="56"/>
      <c r="L60" s="56"/>
      <c r="M60" s="56"/>
      <c r="N60" s="74"/>
      <c r="O60" s="74"/>
      <c r="P60" s="74"/>
    </row>
    <row r="61" ht="16.5" spans="1:16">
      <c r="A61" s="70">
        <v>55</v>
      </c>
      <c r="B61" s="45" t="str">
        <f ca="1">OFFSET(装备属性!$D$65,MATCH(A61,装备属性!$G$66:$G$73,1),0)</f>
        <v>彩</v>
      </c>
      <c r="C61" s="71">
        <f ca="1">OFFSET(装备属性!$D$14,MATCH(A61,装备属性!$H$15:$H$61,1),0)</f>
        <v>85</v>
      </c>
      <c r="D61" s="72">
        <f ca="1">IFERROR(MIN(MATCH(COUNTIFS($C$7:C61,C61,$B$7:B61,B61)*_xlfn.XLOOKUP(C61,装备属性!$D$15:$D$61,装备属性!$M$15:$M$61),装备产出!$Z$19:$Z$24,1),6),0)</f>
        <v>0</v>
      </c>
      <c r="E61" s="45" t="e">
        <f>MATCH(A61,装备属性!$AD$520:$AD$819,1)</f>
        <v>#N/A</v>
      </c>
      <c r="F61" s="73" t="e" cm="1">
        <f ca="1" t="array" ref="F61">_xlfn.XLOOKUP(B61&amp;C61,装备属性!$G$90:$G$466&amp;装备属性!$E$90:$E$466,装备属性!$I$90:$I$466)*D61+_xlfn.XLOOKUP(B61&amp;MAX(C61-10,1),装备属性!$G$90:$G$466&amp;装备属性!$E$90:$E$466,装备属性!$I$90:$I$466)*(6-D61)+_xlfn.XLOOKUP(B61&amp;C61,装备属性!$P$919:$P$955&amp;装备属性!$N$919:$N$955,装备属性!$R$919:$R$955)*D61*0.5+_xlfn.XLOOKUP(B61&amp;(MAX(C61-10,1)),装备属性!$P$919:$P$955&amp;装备属性!$N$919:$N$955,装备属性!$R$919:$R$955)*(6-D61)*0.5+_xlfn.XLOOKUP(E61,装备属性!$D$520:$D$819,装备属性!$I$520:$I$819)*6</f>
        <v>#N/A</v>
      </c>
      <c r="G61" s="73"/>
      <c r="H61" s="74"/>
      <c r="I61" s="74"/>
      <c r="J61" s="74"/>
      <c r="K61" s="56"/>
      <c r="L61" s="56"/>
      <c r="M61" s="56"/>
      <c r="N61" s="74"/>
      <c r="O61" s="74"/>
      <c r="P61" s="74"/>
    </row>
    <row r="62" ht="16.5" spans="1:16">
      <c r="A62" s="70">
        <v>56</v>
      </c>
      <c r="B62" s="45" t="str">
        <f ca="1">OFFSET(装备属性!$D$65,MATCH(A62,装备属性!$G$66:$G$73,1),0)</f>
        <v>彩</v>
      </c>
      <c r="C62" s="71">
        <f ca="1">OFFSET(装备属性!$D$14,MATCH(A62,装备属性!$H$15:$H$61,1),0)</f>
        <v>85</v>
      </c>
      <c r="D62" s="72">
        <f ca="1">IFERROR(MIN(MATCH(COUNTIFS($C$7:C62,C62,$B$7:B62,B62)*_xlfn.XLOOKUP(C62,装备属性!$D$15:$D$61,装备属性!$M$15:$M$61),装备产出!$Z$19:$Z$24,1),6),0)</f>
        <v>0</v>
      </c>
      <c r="E62" s="45" t="e">
        <f>MATCH(A62,装备属性!$AD$520:$AD$819,1)</f>
        <v>#N/A</v>
      </c>
      <c r="F62" s="73" t="e" cm="1">
        <f ca="1" t="array" ref="F62">_xlfn.XLOOKUP(B62&amp;C62,装备属性!$G$90:$G$466&amp;装备属性!$E$90:$E$466,装备属性!$I$90:$I$466)*D62+_xlfn.XLOOKUP(B62&amp;MAX(C62-10,1),装备属性!$G$90:$G$466&amp;装备属性!$E$90:$E$466,装备属性!$I$90:$I$466)*(6-D62)+_xlfn.XLOOKUP(B62&amp;C62,装备属性!$P$919:$P$955&amp;装备属性!$N$919:$N$955,装备属性!$R$919:$R$955)*D62*0.5+_xlfn.XLOOKUP(B62&amp;(MAX(C62-10,1)),装备属性!$P$919:$P$955&amp;装备属性!$N$919:$N$955,装备属性!$R$919:$R$955)*(6-D62)*0.5+_xlfn.XLOOKUP(E62,装备属性!$D$520:$D$819,装备属性!$I$520:$I$819)*6</f>
        <v>#N/A</v>
      </c>
      <c r="G62" s="73"/>
      <c r="H62" s="74"/>
      <c r="I62" s="74"/>
      <c r="J62" s="74"/>
      <c r="K62" s="56"/>
      <c r="L62" s="56"/>
      <c r="M62" s="56"/>
      <c r="N62" s="74"/>
      <c r="O62" s="74"/>
      <c r="P62" s="74"/>
    </row>
    <row r="63" ht="16.5" spans="1:16">
      <c r="A63" s="70">
        <v>57</v>
      </c>
      <c r="B63" s="45" t="str">
        <f ca="1">OFFSET(装备属性!$D$65,MATCH(A63,装备属性!$G$66:$G$73,1),0)</f>
        <v>彩</v>
      </c>
      <c r="C63" s="71">
        <f ca="1">OFFSET(装备属性!$D$14,MATCH(A63,装备属性!$H$15:$H$61,1),0)</f>
        <v>90</v>
      </c>
      <c r="D63" s="72">
        <f ca="1">IFERROR(MIN(MATCH(COUNTIFS($C$7:C63,C63,$B$7:B63,B63)*_xlfn.XLOOKUP(C63,装备属性!$D$15:$D$61,装备属性!$M$15:$M$61),装备产出!$Z$19:$Z$24,1),6),0)</f>
        <v>0</v>
      </c>
      <c r="E63" s="45" t="e">
        <f>MATCH(A63,装备属性!$AD$520:$AD$819,1)</f>
        <v>#N/A</v>
      </c>
      <c r="F63" s="73" t="e" cm="1">
        <f ca="1" t="array" ref="F63">_xlfn.XLOOKUP(B63&amp;C63,装备属性!$G$90:$G$466&amp;装备属性!$E$90:$E$466,装备属性!$I$90:$I$466)*D63+_xlfn.XLOOKUP(B63&amp;MAX(C63-10,1),装备属性!$G$90:$G$466&amp;装备属性!$E$90:$E$466,装备属性!$I$90:$I$466)*(6-D63)+_xlfn.XLOOKUP(B63&amp;C63,装备属性!$P$919:$P$955&amp;装备属性!$N$919:$N$955,装备属性!$R$919:$R$955)*D63*0.5+_xlfn.XLOOKUP(B63&amp;(MAX(C63-10,1)),装备属性!$P$919:$P$955&amp;装备属性!$N$919:$N$955,装备属性!$R$919:$R$955)*(6-D63)*0.5+_xlfn.XLOOKUP(E63,装备属性!$D$520:$D$819,装备属性!$I$520:$I$819)*6</f>
        <v>#N/A</v>
      </c>
      <c r="G63" s="73"/>
      <c r="H63" s="74"/>
      <c r="I63" s="74"/>
      <c r="J63" s="74"/>
      <c r="K63" s="56"/>
      <c r="L63" s="56"/>
      <c r="M63" s="56"/>
      <c r="N63" s="74"/>
      <c r="O63" s="74"/>
      <c r="P63" s="74"/>
    </row>
    <row r="64" ht="16.5" spans="1:16">
      <c r="A64" s="70">
        <v>58</v>
      </c>
      <c r="B64" s="45" t="str">
        <f ca="1">OFFSET(装备属性!$D$65,MATCH(A64,装备属性!$G$66:$G$73,1),0)</f>
        <v>彩</v>
      </c>
      <c r="C64" s="71">
        <f ca="1">OFFSET(装备属性!$D$14,MATCH(A64,装备属性!$H$15:$H$61,1),0)</f>
        <v>90</v>
      </c>
      <c r="D64" s="72">
        <f ca="1">IFERROR(MIN(MATCH(COUNTIFS($C$7:C64,C64,$B$7:B64,B64)*_xlfn.XLOOKUP(C64,装备属性!$D$15:$D$61,装备属性!$M$15:$M$61),装备产出!$Z$19:$Z$24,1),6),0)</f>
        <v>0</v>
      </c>
      <c r="E64" s="45" t="e">
        <f>MATCH(A64,装备属性!$AD$520:$AD$819,1)</f>
        <v>#N/A</v>
      </c>
      <c r="F64" s="73" t="e" cm="1">
        <f ca="1" t="array" ref="F64">_xlfn.XLOOKUP(B64&amp;C64,装备属性!$G$90:$G$466&amp;装备属性!$E$90:$E$466,装备属性!$I$90:$I$466)*D64+_xlfn.XLOOKUP(B64&amp;MAX(C64-10,1),装备属性!$G$90:$G$466&amp;装备属性!$E$90:$E$466,装备属性!$I$90:$I$466)*(6-D64)+_xlfn.XLOOKUP(B64&amp;C64,装备属性!$P$919:$P$955&amp;装备属性!$N$919:$N$955,装备属性!$R$919:$R$955)*D64*0.5+_xlfn.XLOOKUP(B64&amp;(MAX(C64-10,1)),装备属性!$P$919:$P$955&amp;装备属性!$N$919:$N$955,装备属性!$R$919:$R$955)*(6-D64)*0.5+_xlfn.XLOOKUP(E64,装备属性!$D$520:$D$819,装备属性!$I$520:$I$819)*6</f>
        <v>#N/A</v>
      </c>
      <c r="G64" s="73"/>
      <c r="H64" s="74"/>
      <c r="I64" s="74"/>
      <c r="J64" s="74"/>
      <c r="K64" s="56"/>
      <c r="L64" s="56"/>
      <c r="M64" s="56"/>
      <c r="N64" s="74"/>
      <c r="O64" s="74"/>
      <c r="P64" s="74"/>
    </row>
    <row r="65" ht="16.5" spans="1:16">
      <c r="A65" s="70">
        <v>59</v>
      </c>
      <c r="B65" s="45" t="str">
        <f ca="1">OFFSET(装备属性!$D$65,MATCH(A65,装备属性!$G$66:$G$73,1),0)</f>
        <v>彩</v>
      </c>
      <c r="C65" s="71">
        <f ca="1">OFFSET(装备属性!$D$14,MATCH(A65,装备属性!$H$15:$H$61,1),0)</f>
        <v>90</v>
      </c>
      <c r="D65" s="72">
        <f ca="1">IFERROR(MIN(MATCH(COUNTIFS($C$7:C65,C65,$B$7:B65,B65)*_xlfn.XLOOKUP(C65,装备属性!$D$15:$D$61,装备属性!$M$15:$M$61),装备产出!$Z$19:$Z$24,1),6),0)</f>
        <v>0</v>
      </c>
      <c r="E65" s="45" t="e">
        <f>MATCH(A65,装备属性!$AD$520:$AD$819,1)</f>
        <v>#N/A</v>
      </c>
      <c r="F65" s="73" t="e" cm="1">
        <f ca="1" t="array" ref="F65">_xlfn.XLOOKUP(B65&amp;C65,装备属性!$G$90:$G$466&amp;装备属性!$E$90:$E$466,装备属性!$I$90:$I$466)*D65+_xlfn.XLOOKUP(B65&amp;MAX(C65-10,1),装备属性!$G$90:$G$466&amp;装备属性!$E$90:$E$466,装备属性!$I$90:$I$466)*(6-D65)+_xlfn.XLOOKUP(B65&amp;C65,装备属性!$P$919:$P$955&amp;装备属性!$N$919:$N$955,装备属性!$R$919:$R$955)*D65*0.5+_xlfn.XLOOKUP(B65&amp;(MAX(C65-10,1)),装备属性!$P$919:$P$955&amp;装备属性!$N$919:$N$955,装备属性!$R$919:$R$955)*(6-D65)*0.5+_xlfn.XLOOKUP(E65,装备属性!$D$520:$D$819,装备属性!$I$520:$I$819)*6</f>
        <v>#N/A</v>
      </c>
      <c r="G65" s="73"/>
      <c r="H65" s="74"/>
      <c r="I65" s="74"/>
      <c r="J65" s="74"/>
      <c r="K65" s="56"/>
      <c r="L65" s="56"/>
      <c r="M65" s="56"/>
      <c r="N65" s="74"/>
      <c r="O65" s="74"/>
      <c r="P65" s="74"/>
    </row>
    <row r="66" ht="16.5" spans="1:16">
      <c r="A66" s="70">
        <v>60</v>
      </c>
      <c r="B66" s="45" t="str">
        <f ca="1">OFFSET(装备属性!$D$65,MATCH(A66,装备属性!$G$66:$G$73,1),0)</f>
        <v>彩</v>
      </c>
      <c r="C66" s="71">
        <f ca="1">OFFSET(装备属性!$D$14,MATCH(A66,装备属性!$H$15:$H$61,1),0)</f>
        <v>90</v>
      </c>
      <c r="D66" s="72">
        <f ca="1">IFERROR(MIN(MATCH(COUNTIFS($C$7:C66,C66,$B$7:B66,B66)*_xlfn.XLOOKUP(C66,装备属性!$D$15:$D$61,装备属性!$M$15:$M$61),装备产出!$Z$19:$Z$24,1),6),0)</f>
        <v>0</v>
      </c>
      <c r="E66" s="45" t="e">
        <f>MATCH(A66,装备属性!$AD$520:$AD$819,1)</f>
        <v>#N/A</v>
      </c>
      <c r="F66" s="73" t="e" cm="1">
        <f ca="1" t="array" ref="F66">_xlfn.XLOOKUP(B66&amp;C66,装备属性!$G$90:$G$466&amp;装备属性!$E$90:$E$466,装备属性!$I$90:$I$466)*D66+_xlfn.XLOOKUP(B66&amp;MAX(C66-10,1),装备属性!$G$90:$G$466&amp;装备属性!$E$90:$E$466,装备属性!$I$90:$I$466)*(6-D66)+_xlfn.XLOOKUP(B66&amp;C66,装备属性!$P$919:$P$955&amp;装备属性!$N$919:$N$955,装备属性!$R$919:$R$955)*D66*0.5+_xlfn.XLOOKUP(B66&amp;(MAX(C66-10,1)),装备属性!$P$919:$P$955&amp;装备属性!$N$919:$N$955,装备属性!$R$919:$R$955)*(6-D66)*0.5+_xlfn.XLOOKUP(E66,装备属性!$D$520:$D$819,装备属性!$I$520:$I$819)*6</f>
        <v>#N/A</v>
      </c>
      <c r="G66" s="73"/>
      <c r="H66" s="74"/>
      <c r="I66" s="74"/>
      <c r="J66" s="74"/>
      <c r="K66" s="56"/>
      <c r="L66" s="56"/>
      <c r="M66" s="56"/>
      <c r="N66" s="74"/>
      <c r="O66" s="74"/>
      <c r="P66" s="74"/>
    </row>
    <row r="67" ht="16.5" spans="1:16">
      <c r="A67" s="70">
        <v>61</v>
      </c>
      <c r="B67" s="45" t="str">
        <f ca="1">OFFSET(装备属性!$D$65,MATCH(A67,装备属性!$G$66:$G$73,1),0)</f>
        <v>彩</v>
      </c>
      <c r="C67" s="71">
        <f ca="1">OFFSET(装备属性!$D$14,MATCH(A67,装备属性!$H$15:$H$61,1),0)</f>
        <v>90</v>
      </c>
      <c r="D67" s="72">
        <f ca="1">IFERROR(MIN(MATCH(COUNTIFS($C$7:C67,C67,$B$7:B67,B67)*_xlfn.XLOOKUP(C67,装备属性!$D$15:$D$61,装备属性!$M$15:$M$61),装备产出!$Z$19:$Z$24,1),6),0)</f>
        <v>0</v>
      </c>
      <c r="E67" s="45" t="e">
        <f>MATCH(A67,装备属性!$AD$520:$AD$819,1)</f>
        <v>#N/A</v>
      </c>
      <c r="F67" s="73" t="e" cm="1">
        <f ca="1" t="array" ref="F67">_xlfn.XLOOKUP(B67&amp;C67,装备属性!$G$90:$G$466&amp;装备属性!$E$90:$E$466,装备属性!$I$90:$I$466)*D67+_xlfn.XLOOKUP(B67&amp;MAX(C67-10,1),装备属性!$G$90:$G$466&amp;装备属性!$E$90:$E$466,装备属性!$I$90:$I$466)*(6-D67)+_xlfn.XLOOKUP(B67&amp;C67,装备属性!$P$919:$P$955&amp;装备属性!$N$919:$N$955,装备属性!$R$919:$R$955)*D67*0.5+_xlfn.XLOOKUP(B67&amp;(MAX(C67-10,1)),装备属性!$P$919:$P$955&amp;装备属性!$N$919:$N$955,装备属性!$R$919:$R$955)*(6-D67)*0.5+_xlfn.XLOOKUP(E67,装备属性!$D$520:$D$819,装备属性!$I$520:$I$819)*6</f>
        <v>#N/A</v>
      </c>
      <c r="G67" s="73"/>
      <c r="H67" s="74"/>
      <c r="I67" s="74"/>
      <c r="J67" s="74"/>
      <c r="K67" s="56"/>
      <c r="L67" s="56"/>
      <c r="M67" s="56"/>
      <c r="N67" s="74"/>
      <c r="O67" s="74"/>
      <c r="P67" s="74"/>
    </row>
    <row r="68" ht="16.5" spans="1:16">
      <c r="A68" s="70">
        <v>62</v>
      </c>
      <c r="B68" s="45" t="str">
        <f ca="1">OFFSET(装备属性!$D$65,MATCH(A68,装备属性!$G$66:$G$73,1),0)</f>
        <v>彩</v>
      </c>
      <c r="C68" s="71">
        <f ca="1">OFFSET(装备属性!$D$14,MATCH(A68,装备属性!$H$15:$H$61,1),0)</f>
        <v>90</v>
      </c>
      <c r="D68" s="72">
        <f ca="1">IFERROR(MIN(MATCH(COUNTIFS($C$7:C68,C68,$B$7:B68,B68)*_xlfn.XLOOKUP(C68,装备属性!$D$15:$D$61,装备属性!$M$15:$M$61),装备产出!$Z$19:$Z$24,1),6),0)</f>
        <v>1</v>
      </c>
      <c r="E68" s="45" t="e">
        <f>MATCH(A68,装备属性!$AD$520:$AD$819,1)</f>
        <v>#N/A</v>
      </c>
      <c r="F68" s="73" t="e" cm="1">
        <f ca="1" t="array" ref="F68">_xlfn.XLOOKUP(B68&amp;C68,装备属性!$G$90:$G$466&amp;装备属性!$E$90:$E$466,装备属性!$I$90:$I$466)*D68+_xlfn.XLOOKUP(B68&amp;MAX(C68-10,1),装备属性!$G$90:$G$466&amp;装备属性!$E$90:$E$466,装备属性!$I$90:$I$466)*(6-D68)+_xlfn.XLOOKUP(B68&amp;C68,装备属性!$P$919:$P$955&amp;装备属性!$N$919:$N$955,装备属性!$R$919:$R$955)*D68*0.5+_xlfn.XLOOKUP(B68&amp;(MAX(C68-10,1)),装备属性!$P$919:$P$955&amp;装备属性!$N$919:$N$955,装备属性!$R$919:$R$955)*(6-D68)*0.5+_xlfn.XLOOKUP(E68,装备属性!$D$520:$D$819,装备属性!$I$520:$I$819)*6</f>
        <v>#N/A</v>
      </c>
      <c r="G68" s="73"/>
      <c r="H68" s="74"/>
      <c r="I68" s="74"/>
      <c r="J68" s="74"/>
      <c r="K68" s="56"/>
      <c r="L68" s="56"/>
      <c r="M68" s="56"/>
      <c r="N68" s="74"/>
      <c r="O68" s="74"/>
      <c r="P68" s="74"/>
    </row>
    <row r="69" ht="16.5" spans="1:16">
      <c r="A69" s="70">
        <v>63</v>
      </c>
      <c r="B69" s="45" t="str">
        <f ca="1">OFFSET(装备属性!$D$65,MATCH(A69,装备属性!$G$66:$G$73,1),0)</f>
        <v>彩</v>
      </c>
      <c r="C69" s="71">
        <f ca="1">OFFSET(装备属性!$D$14,MATCH(A69,装备属性!$H$15:$H$61,1),0)</f>
        <v>90</v>
      </c>
      <c r="D69" s="72">
        <f ca="1">IFERROR(MIN(MATCH(COUNTIFS($C$7:C69,C69,$B$7:B69,B69)*_xlfn.XLOOKUP(C69,装备属性!$D$15:$D$61,装备属性!$M$15:$M$61),装备产出!$Z$19:$Z$24,1),6),0)</f>
        <v>1</v>
      </c>
      <c r="E69" s="45" t="e">
        <f>MATCH(A69,装备属性!$AD$520:$AD$819,1)</f>
        <v>#N/A</v>
      </c>
      <c r="F69" s="73" t="e" cm="1">
        <f ca="1" t="array" ref="F69">_xlfn.XLOOKUP(B69&amp;C69,装备属性!$G$90:$G$466&amp;装备属性!$E$90:$E$466,装备属性!$I$90:$I$466)*D69+_xlfn.XLOOKUP(B69&amp;MAX(C69-10,1),装备属性!$G$90:$G$466&amp;装备属性!$E$90:$E$466,装备属性!$I$90:$I$466)*(6-D69)+_xlfn.XLOOKUP(B69&amp;C69,装备属性!$P$919:$P$955&amp;装备属性!$N$919:$N$955,装备属性!$R$919:$R$955)*D69*0.5+_xlfn.XLOOKUP(B69&amp;(MAX(C69-10,1)),装备属性!$P$919:$P$955&amp;装备属性!$N$919:$N$955,装备属性!$R$919:$R$955)*(6-D69)*0.5+_xlfn.XLOOKUP(E69,装备属性!$D$520:$D$819,装备属性!$I$520:$I$819)*6</f>
        <v>#N/A</v>
      </c>
      <c r="G69" s="73"/>
      <c r="H69" s="74"/>
      <c r="I69" s="74"/>
      <c r="J69" s="74"/>
      <c r="K69" s="56"/>
      <c r="L69" s="56"/>
      <c r="M69" s="56"/>
      <c r="N69" s="74"/>
      <c r="O69" s="74"/>
      <c r="P69" s="74"/>
    </row>
    <row r="70" ht="16.5" spans="1:16">
      <c r="A70" s="70">
        <v>64</v>
      </c>
      <c r="B70" s="45" t="str">
        <f ca="1">OFFSET(装备属性!$D$65,MATCH(A70,装备属性!$G$66:$G$73,1),0)</f>
        <v>彩</v>
      </c>
      <c r="C70" s="71">
        <f ca="1">OFFSET(装备属性!$D$14,MATCH(A70,装备属性!$H$15:$H$61,1),0)</f>
        <v>90</v>
      </c>
      <c r="D70" s="72">
        <f ca="1">IFERROR(MIN(MATCH(COUNTIFS($C$7:C70,C70,$B$7:B70,B70)*_xlfn.XLOOKUP(C70,装备属性!$D$15:$D$61,装备属性!$M$15:$M$61),装备产出!$Z$19:$Z$24,1),6),0)</f>
        <v>1</v>
      </c>
      <c r="E70" s="45" t="e">
        <f>MATCH(A70,装备属性!$AD$520:$AD$819,1)</f>
        <v>#N/A</v>
      </c>
      <c r="F70" s="73" t="e" cm="1">
        <f ca="1" t="array" ref="F70">_xlfn.XLOOKUP(B70&amp;C70,装备属性!$G$90:$G$466&amp;装备属性!$E$90:$E$466,装备属性!$I$90:$I$466)*D70+_xlfn.XLOOKUP(B70&amp;MAX(C70-10,1),装备属性!$G$90:$G$466&amp;装备属性!$E$90:$E$466,装备属性!$I$90:$I$466)*(6-D70)+_xlfn.XLOOKUP(B70&amp;C70,装备属性!$P$919:$P$955&amp;装备属性!$N$919:$N$955,装备属性!$R$919:$R$955)*D70*0.5+_xlfn.XLOOKUP(B70&amp;(MAX(C70-10,1)),装备属性!$P$919:$P$955&amp;装备属性!$N$919:$N$955,装备属性!$R$919:$R$955)*(6-D70)*0.5+_xlfn.XLOOKUP(E70,装备属性!$D$520:$D$819,装备属性!$I$520:$I$819)*6</f>
        <v>#N/A</v>
      </c>
      <c r="G70" s="73"/>
      <c r="H70" s="74"/>
      <c r="I70" s="74"/>
      <c r="J70" s="74"/>
      <c r="K70" s="56"/>
      <c r="L70" s="56"/>
      <c r="M70" s="56"/>
      <c r="N70" s="74"/>
      <c r="O70" s="74"/>
      <c r="P70" s="74"/>
    </row>
    <row r="71" ht="16.5" spans="1:16">
      <c r="A71" s="70">
        <v>65</v>
      </c>
      <c r="B71" s="45" t="str">
        <f ca="1">OFFSET(装备属性!$D$65,MATCH(A71,装备属性!$G$66:$G$73,1),0)</f>
        <v>彩</v>
      </c>
      <c r="C71" s="71">
        <f ca="1">OFFSET(装备属性!$D$14,MATCH(A71,装备属性!$H$15:$H$61,1),0)</f>
        <v>95</v>
      </c>
      <c r="D71" s="72">
        <f ca="1">IFERROR(MIN(MATCH(COUNTIFS($C$7:C71,C71,$B$7:B71,B71)*_xlfn.XLOOKUP(C71,装备属性!$D$15:$D$61,装备属性!$M$15:$M$61),装备产出!$Z$19:$Z$24,1),6),0)</f>
        <v>0</v>
      </c>
      <c r="E71" s="45" t="e">
        <f>MATCH(A71,装备属性!$AD$520:$AD$819,1)</f>
        <v>#N/A</v>
      </c>
      <c r="F71" s="73" t="e" cm="1">
        <f ca="1" t="array" ref="F71">_xlfn.XLOOKUP(B71&amp;C71,装备属性!$G$90:$G$466&amp;装备属性!$E$90:$E$466,装备属性!$I$90:$I$466)*D71+_xlfn.XLOOKUP(B71&amp;MAX(C71-10,1),装备属性!$G$90:$G$466&amp;装备属性!$E$90:$E$466,装备属性!$I$90:$I$466)*(6-D71)+_xlfn.XLOOKUP(B71&amp;C71,装备属性!$P$919:$P$955&amp;装备属性!$N$919:$N$955,装备属性!$R$919:$R$955)*D71*0.5+_xlfn.XLOOKUP(B71&amp;(MAX(C71-10,1)),装备属性!$P$919:$P$955&amp;装备属性!$N$919:$N$955,装备属性!$R$919:$R$955)*(6-D71)*0.5+_xlfn.XLOOKUP(E71,装备属性!$D$520:$D$819,装备属性!$I$520:$I$819)*6</f>
        <v>#N/A</v>
      </c>
      <c r="G71" s="73"/>
      <c r="H71" s="74"/>
      <c r="I71" s="74"/>
      <c r="J71" s="74"/>
      <c r="K71" s="56"/>
      <c r="L71" s="56"/>
      <c r="M71" s="56"/>
      <c r="N71" s="74"/>
      <c r="O71" s="74"/>
      <c r="P71" s="74"/>
    </row>
    <row r="72" ht="16.5" spans="1:16">
      <c r="A72" s="70">
        <v>66</v>
      </c>
      <c r="B72" s="45" t="str">
        <f ca="1">OFFSET(装备属性!$D$65,MATCH(A72,装备属性!$G$66:$G$73,1),0)</f>
        <v>彩</v>
      </c>
      <c r="C72" s="71">
        <f ca="1">OFFSET(装备属性!$D$14,MATCH(A72,装备属性!$H$15:$H$61,1),0)</f>
        <v>95</v>
      </c>
      <c r="D72" s="72">
        <f ca="1">IFERROR(MIN(MATCH(COUNTIFS($C$7:C72,C72,$B$7:B72,B72)*_xlfn.XLOOKUP(C72,装备属性!$D$15:$D$61,装备属性!$M$15:$M$61),装备产出!$Z$19:$Z$24,1),6),0)</f>
        <v>0</v>
      </c>
      <c r="E72" s="45" t="e">
        <f>MATCH(A72,装备属性!$AD$520:$AD$819,1)</f>
        <v>#N/A</v>
      </c>
      <c r="F72" s="73" t="e" cm="1">
        <f ca="1" t="array" ref="F72">_xlfn.XLOOKUP(B72&amp;C72,装备属性!$G$90:$G$466&amp;装备属性!$E$90:$E$466,装备属性!$I$90:$I$466)*D72+_xlfn.XLOOKUP(B72&amp;MAX(C72-10,1),装备属性!$G$90:$G$466&amp;装备属性!$E$90:$E$466,装备属性!$I$90:$I$466)*(6-D72)+_xlfn.XLOOKUP(B72&amp;C72,装备属性!$P$919:$P$955&amp;装备属性!$N$919:$N$955,装备属性!$R$919:$R$955)*D72*0.5+_xlfn.XLOOKUP(B72&amp;(MAX(C72-10,1)),装备属性!$P$919:$P$955&amp;装备属性!$N$919:$N$955,装备属性!$R$919:$R$955)*(6-D72)*0.5+_xlfn.XLOOKUP(E72,装备属性!$D$520:$D$819,装备属性!$I$520:$I$819)*6</f>
        <v>#N/A</v>
      </c>
      <c r="G72" s="73"/>
      <c r="H72" s="74"/>
      <c r="I72" s="74"/>
      <c r="J72" s="74"/>
      <c r="K72" s="56"/>
      <c r="L72" s="56"/>
      <c r="M72" s="56"/>
      <c r="N72" s="74"/>
      <c r="O72" s="74"/>
      <c r="P72" s="74"/>
    </row>
    <row r="73" ht="16.5" spans="1:16">
      <c r="A73" s="70">
        <v>67</v>
      </c>
      <c r="B73" s="45" t="str">
        <f ca="1">OFFSET(装备属性!$D$65,MATCH(A73,装备属性!$G$66:$G$73,1),0)</f>
        <v>彩</v>
      </c>
      <c r="C73" s="71">
        <f ca="1">OFFSET(装备属性!$D$14,MATCH(A73,装备属性!$H$15:$H$61,1),0)</f>
        <v>95</v>
      </c>
      <c r="D73" s="72">
        <f ca="1">IFERROR(MIN(MATCH(COUNTIFS($C$7:C73,C73,$B$7:B73,B73)*_xlfn.XLOOKUP(C73,装备属性!$D$15:$D$61,装备属性!$M$15:$M$61),装备产出!$Z$19:$Z$24,1),6),0)</f>
        <v>0</v>
      </c>
      <c r="E73" s="45" t="e">
        <f>MATCH(A73,装备属性!$AD$520:$AD$819,1)</f>
        <v>#N/A</v>
      </c>
      <c r="F73" s="73" t="e" cm="1">
        <f ca="1" t="array" ref="F73">_xlfn.XLOOKUP(B73&amp;C73,装备属性!$G$90:$G$466&amp;装备属性!$E$90:$E$466,装备属性!$I$90:$I$466)*D73+_xlfn.XLOOKUP(B73&amp;MAX(C73-10,1),装备属性!$G$90:$G$466&amp;装备属性!$E$90:$E$466,装备属性!$I$90:$I$466)*(6-D73)+_xlfn.XLOOKUP(B73&amp;C73,装备属性!$P$919:$P$955&amp;装备属性!$N$919:$N$955,装备属性!$R$919:$R$955)*D73*0.5+_xlfn.XLOOKUP(B73&amp;(MAX(C73-10,1)),装备属性!$P$919:$P$955&amp;装备属性!$N$919:$N$955,装备属性!$R$919:$R$955)*(6-D73)*0.5+_xlfn.XLOOKUP(E73,装备属性!$D$520:$D$819,装备属性!$I$520:$I$819)*6</f>
        <v>#N/A</v>
      </c>
      <c r="G73" s="73"/>
      <c r="H73" s="74"/>
      <c r="I73" s="74"/>
      <c r="J73" s="74"/>
      <c r="K73" s="56"/>
      <c r="L73" s="56"/>
      <c r="M73" s="56"/>
      <c r="N73" s="74"/>
      <c r="O73" s="74"/>
      <c r="P73" s="74"/>
    </row>
    <row r="74" ht="16.5" spans="1:16">
      <c r="A74" s="70">
        <v>68</v>
      </c>
      <c r="B74" s="45" t="str">
        <f ca="1">OFFSET(装备属性!$D$65,MATCH(A74,装备属性!$G$66:$G$73,1),0)</f>
        <v>彩</v>
      </c>
      <c r="C74" s="71">
        <f ca="1">OFFSET(装备属性!$D$14,MATCH(A74,装备属性!$H$15:$H$61,1),0)</f>
        <v>95</v>
      </c>
      <c r="D74" s="72">
        <f ca="1">IFERROR(MIN(MATCH(COUNTIFS($C$7:C74,C74,$B$7:B74,B74)*_xlfn.XLOOKUP(C74,装备属性!$D$15:$D$61,装备属性!$M$15:$M$61),装备产出!$Z$19:$Z$24,1),6),0)</f>
        <v>0</v>
      </c>
      <c r="E74" s="45" t="e">
        <f>MATCH(A74,装备属性!$AD$520:$AD$819,1)</f>
        <v>#N/A</v>
      </c>
      <c r="F74" s="73" t="e" cm="1">
        <f ca="1" t="array" ref="F74">_xlfn.XLOOKUP(B74&amp;C74,装备属性!$G$90:$G$466&amp;装备属性!$E$90:$E$466,装备属性!$I$90:$I$466)*D74+_xlfn.XLOOKUP(B74&amp;MAX(C74-10,1),装备属性!$G$90:$G$466&amp;装备属性!$E$90:$E$466,装备属性!$I$90:$I$466)*(6-D74)+_xlfn.XLOOKUP(B74&amp;C74,装备属性!$P$919:$P$955&amp;装备属性!$N$919:$N$955,装备属性!$R$919:$R$955)*D74*0.5+_xlfn.XLOOKUP(B74&amp;(MAX(C74-10,1)),装备属性!$P$919:$P$955&amp;装备属性!$N$919:$N$955,装备属性!$R$919:$R$955)*(6-D74)*0.5+_xlfn.XLOOKUP(E74,装备属性!$D$520:$D$819,装备属性!$I$520:$I$819)*6</f>
        <v>#N/A</v>
      </c>
      <c r="G74" s="73"/>
      <c r="H74" s="74"/>
      <c r="I74" s="74"/>
      <c r="J74" s="74"/>
      <c r="K74" s="56"/>
      <c r="L74" s="56"/>
      <c r="M74" s="56"/>
      <c r="N74" s="74"/>
      <c r="O74" s="74"/>
      <c r="P74" s="74"/>
    </row>
    <row r="75" ht="16.5" spans="1:16">
      <c r="A75" s="70">
        <v>69</v>
      </c>
      <c r="B75" s="45" t="str">
        <f ca="1">OFFSET(装备属性!$D$65,MATCH(A75,装备属性!$G$66:$G$73,1),0)</f>
        <v>彩</v>
      </c>
      <c r="C75" s="71">
        <f ca="1">OFFSET(装备属性!$D$14,MATCH(A75,装备属性!$H$15:$H$61,1),0)</f>
        <v>95</v>
      </c>
      <c r="D75" s="72">
        <f ca="1">IFERROR(MIN(MATCH(COUNTIFS($C$7:C75,C75,$B$7:B75,B75)*_xlfn.XLOOKUP(C75,装备属性!$D$15:$D$61,装备属性!$M$15:$M$61),装备产出!$Z$19:$Z$24,1),6),0)</f>
        <v>0</v>
      </c>
      <c r="E75" s="45" t="e">
        <f>MATCH(A75,装备属性!$AD$520:$AD$819,1)</f>
        <v>#N/A</v>
      </c>
      <c r="F75" s="73" t="e" cm="1">
        <f ca="1" t="array" ref="F75">_xlfn.XLOOKUP(B75&amp;C75,装备属性!$G$90:$G$466&amp;装备属性!$E$90:$E$466,装备属性!$I$90:$I$466)*D75+_xlfn.XLOOKUP(B75&amp;MAX(C75-10,1),装备属性!$G$90:$G$466&amp;装备属性!$E$90:$E$466,装备属性!$I$90:$I$466)*(6-D75)+_xlfn.XLOOKUP(B75&amp;C75,装备属性!$P$919:$P$955&amp;装备属性!$N$919:$N$955,装备属性!$R$919:$R$955)*D75*0.5+_xlfn.XLOOKUP(B75&amp;(MAX(C75-10,1)),装备属性!$P$919:$P$955&amp;装备属性!$N$919:$N$955,装备属性!$R$919:$R$955)*(6-D75)*0.5+_xlfn.XLOOKUP(E75,装备属性!$D$520:$D$819,装备属性!$I$520:$I$819)*6</f>
        <v>#N/A</v>
      </c>
      <c r="G75" s="73"/>
      <c r="H75" s="74"/>
      <c r="I75" s="74"/>
      <c r="J75" s="74"/>
      <c r="K75" s="56"/>
      <c r="L75" s="56"/>
      <c r="M75" s="56"/>
      <c r="N75" s="74"/>
      <c r="O75" s="74"/>
      <c r="P75" s="74"/>
    </row>
    <row r="76" ht="16.5" spans="1:16">
      <c r="A76" s="70">
        <v>70</v>
      </c>
      <c r="B76" s="45" t="str">
        <f ca="1">OFFSET(装备属性!$D$65,MATCH(A76,装备属性!$G$66:$G$73,1),0)</f>
        <v>彩</v>
      </c>
      <c r="C76" s="71">
        <f ca="1">OFFSET(装备属性!$D$14,MATCH(A76,装备属性!$H$15:$H$61,1),0)</f>
        <v>95</v>
      </c>
      <c r="D76" s="72">
        <f ca="1">IFERROR(MIN(MATCH(COUNTIFS($C$7:C76,C76,$B$7:B76,B76)*_xlfn.XLOOKUP(C76,装备属性!$D$15:$D$61,装备属性!$M$15:$M$61),装备产出!$Z$19:$Z$24,1),6),0)</f>
        <v>1</v>
      </c>
      <c r="E76" s="45" t="e">
        <f>MATCH(A76,装备属性!$AD$520:$AD$819,1)</f>
        <v>#N/A</v>
      </c>
      <c r="F76" s="73" t="e" cm="1">
        <f ca="1" t="array" ref="F76">_xlfn.XLOOKUP(B76&amp;C76,装备属性!$G$90:$G$466&amp;装备属性!$E$90:$E$466,装备属性!$I$90:$I$466)*D76+_xlfn.XLOOKUP(B76&amp;MAX(C76-10,1),装备属性!$G$90:$G$466&amp;装备属性!$E$90:$E$466,装备属性!$I$90:$I$466)*(6-D76)+_xlfn.XLOOKUP(B76&amp;C76,装备属性!$P$919:$P$955&amp;装备属性!$N$919:$N$955,装备属性!$R$919:$R$955)*D76*0.5+_xlfn.XLOOKUP(B76&amp;(MAX(C76-10,1)),装备属性!$P$919:$P$955&amp;装备属性!$N$919:$N$955,装备属性!$R$919:$R$955)*(6-D76)*0.5+_xlfn.XLOOKUP(E76,装备属性!$D$520:$D$819,装备属性!$I$520:$I$819)*6</f>
        <v>#N/A</v>
      </c>
      <c r="G76" s="73"/>
      <c r="H76" s="74"/>
      <c r="I76" s="74"/>
      <c r="J76" s="74"/>
      <c r="K76" s="56"/>
      <c r="L76" s="56"/>
      <c r="M76" s="56"/>
      <c r="N76" s="74"/>
      <c r="O76" s="74"/>
      <c r="P76" s="74"/>
    </row>
    <row r="77" ht="16.5" spans="1:16">
      <c r="A77" s="70">
        <v>71</v>
      </c>
      <c r="B77" s="45" t="str">
        <f ca="1">OFFSET(装备属性!$D$65,MATCH(A77,装备属性!$G$66:$G$73,1),0)</f>
        <v>彩</v>
      </c>
      <c r="C77" s="71">
        <f ca="1">OFFSET(装备属性!$D$14,MATCH(A77,装备属性!$H$15:$H$61,1),0)</f>
        <v>95</v>
      </c>
      <c r="D77" s="72">
        <f ca="1">IFERROR(MIN(MATCH(COUNTIFS($C$7:C77,C77,$B$7:B77,B77)*_xlfn.XLOOKUP(C77,装备属性!$D$15:$D$61,装备属性!$M$15:$M$61),装备产出!$Z$19:$Z$24,1),6),0)</f>
        <v>1</v>
      </c>
      <c r="E77" s="45" t="e">
        <f>MATCH(A77,装备属性!$AD$520:$AD$819,1)</f>
        <v>#N/A</v>
      </c>
      <c r="F77" s="73" t="e" cm="1">
        <f ca="1" t="array" ref="F77">_xlfn.XLOOKUP(B77&amp;C77,装备属性!$G$90:$G$466&amp;装备属性!$E$90:$E$466,装备属性!$I$90:$I$466)*D77+_xlfn.XLOOKUP(B77&amp;MAX(C77-10,1),装备属性!$G$90:$G$466&amp;装备属性!$E$90:$E$466,装备属性!$I$90:$I$466)*(6-D77)+_xlfn.XLOOKUP(B77&amp;C77,装备属性!$P$919:$P$955&amp;装备属性!$N$919:$N$955,装备属性!$R$919:$R$955)*D77*0.5+_xlfn.XLOOKUP(B77&amp;(MAX(C77-10,1)),装备属性!$P$919:$P$955&amp;装备属性!$N$919:$N$955,装备属性!$R$919:$R$955)*(6-D77)*0.5+_xlfn.XLOOKUP(E77,装备属性!$D$520:$D$819,装备属性!$I$520:$I$819)*6</f>
        <v>#N/A</v>
      </c>
      <c r="G77" s="73"/>
      <c r="H77" s="74"/>
      <c r="I77" s="74"/>
      <c r="J77" s="74"/>
      <c r="K77" s="56"/>
      <c r="L77" s="56"/>
      <c r="M77" s="56"/>
      <c r="N77" s="74"/>
      <c r="O77" s="74"/>
      <c r="P77" s="74"/>
    </row>
    <row r="78" ht="16.5" spans="1:16">
      <c r="A78" s="70">
        <v>72</v>
      </c>
      <c r="B78" s="45" t="str">
        <f ca="1">OFFSET(装备属性!$D$65,MATCH(A78,装备属性!$G$66:$G$73,1),0)</f>
        <v>彩</v>
      </c>
      <c r="C78" s="71">
        <f ca="1">OFFSET(装备属性!$D$14,MATCH(A78,装备属性!$H$15:$H$61,1),0)</f>
        <v>100</v>
      </c>
      <c r="D78" s="72">
        <f ca="1">IFERROR(MIN(MATCH(COUNTIFS($C$7:C78,C78,$B$7:B78,B78)*_xlfn.XLOOKUP(C78,装备属性!$D$15:$D$61,装备属性!$M$15:$M$61),装备产出!$Z$19:$Z$24,1),6),0)</f>
        <v>0</v>
      </c>
      <c r="E78" s="45" t="e">
        <f>MATCH(A78,装备属性!$AD$520:$AD$819,1)</f>
        <v>#N/A</v>
      </c>
      <c r="F78" s="73" t="e" cm="1">
        <f ca="1" t="array" ref="F78">_xlfn.XLOOKUP(B78&amp;C78,装备属性!$G$90:$G$466&amp;装备属性!$E$90:$E$466,装备属性!$I$90:$I$466)*D78+_xlfn.XLOOKUP(B78&amp;MAX(C78-10,1),装备属性!$G$90:$G$466&amp;装备属性!$E$90:$E$466,装备属性!$I$90:$I$466)*(6-D78)+_xlfn.XLOOKUP(B78&amp;C78,装备属性!$P$919:$P$955&amp;装备属性!$N$919:$N$955,装备属性!$R$919:$R$955)*D78*0.5+_xlfn.XLOOKUP(B78&amp;(MAX(C78-10,1)),装备属性!$P$919:$P$955&amp;装备属性!$N$919:$N$955,装备属性!$R$919:$R$955)*(6-D78)*0.5+_xlfn.XLOOKUP(E78,装备属性!$D$520:$D$819,装备属性!$I$520:$I$819)*6</f>
        <v>#N/A</v>
      </c>
      <c r="G78" s="73"/>
      <c r="H78" s="74"/>
      <c r="I78" s="74"/>
      <c r="J78" s="74"/>
      <c r="K78" s="56"/>
      <c r="L78" s="56"/>
      <c r="M78" s="56"/>
      <c r="N78" s="74"/>
      <c r="O78" s="74"/>
      <c r="P78" s="74"/>
    </row>
    <row r="79" ht="16.5" spans="1:16">
      <c r="A79" s="70">
        <v>73</v>
      </c>
      <c r="B79" s="45" t="str">
        <f ca="1">OFFSET(装备属性!$D$65,MATCH(A79,装备属性!$G$66:$G$73,1),0)</f>
        <v>彩</v>
      </c>
      <c r="C79" s="71">
        <f ca="1">OFFSET(装备属性!$D$14,MATCH(A79,装备属性!$H$15:$H$61,1),0)</f>
        <v>100</v>
      </c>
      <c r="D79" s="72">
        <f ca="1">IFERROR(MIN(MATCH(COUNTIFS($C$7:C79,C79,$B$7:B79,B79)*_xlfn.XLOOKUP(C79,装备属性!$D$15:$D$61,装备属性!$M$15:$M$61),装备产出!$Z$19:$Z$24,1),6),0)</f>
        <v>0</v>
      </c>
      <c r="E79" s="45" t="e">
        <f>MATCH(A79,装备属性!$AD$520:$AD$819,1)</f>
        <v>#N/A</v>
      </c>
      <c r="F79" s="73" t="e" cm="1">
        <f ca="1" t="array" ref="F79">_xlfn.XLOOKUP(B79&amp;C79,装备属性!$G$90:$G$466&amp;装备属性!$E$90:$E$466,装备属性!$I$90:$I$466)*D79+_xlfn.XLOOKUP(B79&amp;MAX(C79-10,1),装备属性!$G$90:$G$466&amp;装备属性!$E$90:$E$466,装备属性!$I$90:$I$466)*(6-D79)+_xlfn.XLOOKUP(B79&amp;C79,装备属性!$P$919:$P$955&amp;装备属性!$N$919:$N$955,装备属性!$R$919:$R$955)*D79*0.5+_xlfn.XLOOKUP(B79&amp;(MAX(C79-10,1)),装备属性!$P$919:$P$955&amp;装备属性!$N$919:$N$955,装备属性!$R$919:$R$955)*(6-D79)*0.5+_xlfn.XLOOKUP(E79,装备属性!$D$520:$D$819,装备属性!$I$520:$I$819)*6</f>
        <v>#N/A</v>
      </c>
      <c r="G79" s="73"/>
      <c r="H79" s="74"/>
      <c r="I79" s="74"/>
      <c r="J79" s="74"/>
      <c r="K79" s="56"/>
      <c r="L79" s="56"/>
      <c r="M79" s="56"/>
      <c r="N79" s="74"/>
      <c r="O79" s="74"/>
      <c r="P79" s="74"/>
    </row>
    <row r="80" ht="16.5" spans="1:16">
      <c r="A80" s="70">
        <v>74</v>
      </c>
      <c r="B80" s="45" t="str">
        <f ca="1">OFFSET(装备属性!$D$65,MATCH(A80,装备属性!$G$66:$G$73,1),0)</f>
        <v>彩</v>
      </c>
      <c r="C80" s="71">
        <f ca="1">OFFSET(装备属性!$D$14,MATCH(A80,装备属性!$H$15:$H$61,1),0)</f>
        <v>100</v>
      </c>
      <c r="D80" s="72">
        <f ca="1">IFERROR(MIN(MATCH(COUNTIFS($C$7:C80,C80,$B$7:B80,B80)*_xlfn.XLOOKUP(C80,装备属性!$D$15:$D$61,装备属性!$M$15:$M$61),装备产出!$Z$19:$Z$24,1),6),0)</f>
        <v>0</v>
      </c>
      <c r="E80" s="45" t="e">
        <f>MATCH(A80,装备属性!$AD$520:$AD$819,1)</f>
        <v>#N/A</v>
      </c>
      <c r="F80" s="73" t="e" cm="1">
        <f ca="1" t="array" ref="F80">_xlfn.XLOOKUP(B80&amp;C80,装备属性!$G$90:$G$466&amp;装备属性!$E$90:$E$466,装备属性!$I$90:$I$466)*D80+_xlfn.XLOOKUP(B80&amp;MAX(C80-10,1),装备属性!$G$90:$G$466&amp;装备属性!$E$90:$E$466,装备属性!$I$90:$I$466)*(6-D80)+_xlfn.XLOOKUP(B80&amp;C80,装备属性!$P$919:$P$955&amp;装备属性!$N$919:$N$955,装备属性!$R$919:$R$955)*D80*0.5+_xlfn.XLOOKUP(B80&amp;(MAX(C80-10,1)),装备属性!$P$919:$P$955&amp;装备属性!$N$919:$N$955,装备属性!$R$919:$R$955)*(6-D80)*0.5+_xlfn.XLOOKUP(E80,装备属性!$D$520:$D$819,装备属性!$I$520:$I$819)*6</f>
        <v>#N/A</v>
      </c>
      <c r="G80" s="73"/>
      <c r="H80" s="74"/>
      <c r="I80" s="74"/>
      <c r="J80" s="74"/>
      <c r="K80" s="56"/>
      <c r="L80" s="56"/>
      <c r="M80" s="56"/>
      <c r="N80" s="74"/>
      <c r="O80" s="74"/>
      <c r="P80" s="74"/>
    </row>
    <row r="81" ht="16.5" spans="1:16">
      <c r="A81" s="70">
        <v>75</v>
      </c>
      <c r="B81" s="45" t="str">
        <f ca="1">OFFSET(装备属性!$D$65,MATCH(A81,装备属性!$G$66:$G$73,1),0)</f>
        <v>彩</v>
      </c>
      <c r="C81" s="71">
        <f ca="1">OFFSET(装备属性!$D$14,MATCH(A81,装备属性!$H$15:$H$61,1),0)</f>
        <v>100</v>
      </c>
      <c r="D81" s="72">
        <f ca="1">IFERROR(MIN(MATCH(COUNTIFS($C$7:C81,C81,$B$7:B81,B81)*_xlfn.XLOOKUP(C81,装备属性!$D$15:$D$61,装备属性!$M$15:$M$61),装备产出!$Z$19:$Z$24,1),6),0)</f>
        <v>0</v>
      </c>
      <c r="E81" s="45" t="e">
        <f>MATCH(A81,装备属性!$AD$520:$AD$819,1)</f>
        <v>#N/A</v>
      </c>
      <c r="F81" s="73" t="e" cm="1">
        <f ca="1" t="array" ref="F81">_xlfn.XLOOKUP(B81&amp;C81,装备属性!$G$90:$G$466&amp;装备属性!$E$90:$E$466,装备属性!$I$90:$I$466)*D81+_xlfn.XLOOKUP(B81&amp;MAX(C81-10,1),装备属性!$G$90:$G$466&amp;装备属性!$E$90:$E$466,装备属性!$I$90:$I$466)*(6-D81)+_xlfn.XLOOKUP(B81&amp;C81,装备属性!$P$919:$P$955&amp;装备属性!$N$919:$N$955,装备属性!$R$919:$R$955)*D81*0.5+_xlfn.XLOOKUP(B81&amp;(MAX(C81-10,1)),装备属性!$P$919:$P$955&amp;装备属性!$N$919:$N$955,装备属性!$R$919:$R$955)*(6-D81)*0.5+_xlfn.XLOOKUP(E81,装备属性!$D$520:$D$819,装备属性!$I$520:$I$819)*6</f>
        <v>#N/A</v>
      </c>
      <c r="G81" s="73"/>
      <c r="H81" s="74"/>
      <c r="I81" s="74"/>
      <c r="J81" s="74"/>
      <c r="K81" s="56"/>
      <c r="L81" s="56"/>
      <c r="M81" s="56"/>
      <c r="N81" s="74"/>
      <c r="O81" s="74"/>
      <c r="P81" s="74"/>
    </row>
    <row r="82" ht="16.5" spans="1:16">
      <c r="A82" s="70">
        <v>76</v>
      </c>
      <c r="B82" s="45" t="str">
        <f ca="1">OFFSET(装备属性!$D$65,MATCH(A82,装备属性!$G$66:$G$73,1),0)</f>
        <v>彩</v>
      </c>
      <c r="C82" s="71">
        <f ca="1">OFFSET(装备属性!$D$14,MATCH(A82,装备属性!$H$15:$H$61,1),0)</f>
        <v>100</v>
      </c>
      <c r="D82" s="72">
        <f ca="1">IFERROR(MIN(MATCH(COUNTIFS($C$7:C82,C82,$B$7:B82,B82)*_xlfn.XLOOKUP(C82,装备属性!$D$15:$D$61,装备属性!$M$15:$M$61),装备产出!$Z$19:$Z$24,1),6),0)</f>
        <v>0</v>
      </c>
      <c r="E82" s="45" t="e">
        <f>MATCH(A82,装备属性!$AD$520:$AD$819,1)</f>
        <v>#N/A</v>
      </c>
      <c r="F82" s="73" t="e" cm="1">
        <f ca="1" t="array" ref="F82">_xlfn.XLOOKUP(B82&amp;C82,装备属性!$G$90:$G$466&amp;装备属性!$E$90:$E$466,装备属性!$I$90:$I$466)*D82+_xlfn.XLOOKUP(B82&amp;MAX(C82-10,1),装备属性!$G$90:$G$466&amp;装备属性!$E$90:$E$466,装备属性!$I$90:$I$466)*(6-D82)+_xlfn.XLOOKUP(B82&amp;C82,装备属性!$P$919:$P$955&amp;装备属性!$N$919:$N$955,装备属性!$R$919:$R$955)*D82*0.5+_xlfn.XLOOKUP(B82&amp;(MAX(C82-10,1)),装备属性!$P$919:$P$955&amp;装备属性!$N$919:$N$955,装备属性!$R$919:$R$955)*(6-D82)*0.5+_xlfn.XLOOKUP(E82,装备属性!$D$520:$D$819,装备属性!$I$520:$I$819)*6</f>
        <v>#N/A</v>
      </c>
      <c r="G82" s="73"/>
      <c r="H82" s="74"/>
      <c r="I82" s="74"/>
      <c r="J82" s="74"/>
      <c r="K82" s="56"/>
      <c r="L82" s="56"/>
      <c r="M82" s="56"/>
      <c r="N82" s="74"/>
      <c r="O82" s="74"/>
      <c r="P82" s="74"/>
    </row>
    <row r="83" ht="16.5" spans="1:16">
      <c r="A83" s="70">
        <v>77</v>
      </c>
      <c r="B83" s="45" t="str">
        <f ca="1">OFFSET(装备属性!$D$65,MATCH(A83,装备属性!$G$66:$G$73,1),0)</f>
        <v>彩</v>
      </c>
      <c r="C83" s="71">
        <f ca="1">OFFSET(装备属性!$D$14,MATCH(A83,装备属性!$H$15:$H$61,1),0)</f>
        <v>100</v>
      </c>
      <c r="D83" s="72">
        <f ca="1">IFERROR(MIN(MATCH(COUNTIFS($C$7:C83,C83,$B$7:B83,B83)*_xlfn.XLOOKUP(C83,装备属性!$D$15:$D$61,装备属性!$M$15:$M$61),装备产出!$Z$19:$Z$24,1),6),0)</f>
        <v>1</v>
      </c>
      <c r="E83" s="45" t="e">
        <f>MATCH(A83,装备属性!$AD$520:$AD$819,1)</f>
        <v>#N/A</v>
      </c>
      <c r="F83" s="73" t="e" cm="1">
        <f ca="1" t="array" ref="F83">_xlfn.XLOOKUP(B83&amp;C83,装备属性!$G$90:$G$466&amp;装备属性!$E$90:$E$466,装备属性!$I$90:$I$466)*D83+_xlfn.XLOOKUP(B83&amp;MAX(C83-10,1),装备属性!$G$90:$G$466&amp;装备属性!$E$90:$E$466,装备属性!$I$90:$I$466)*(6-D83)+_xlfn.XLOOKUP(B83&amp;C83,装备属性!$P$919:$P$955&amp;装备属性!$N$919:$N$955,装备属性!$R$919:$R$955)*D83*0.5+_xlfn.XLOOKUP(B83&amp;(MAX(C83-10,1)),装备属性!$P$919:$P$955&amp;装备属性!$N$919:$N$955,装备属性!$R$919:$R$955)*(6-D83)*0.5+_xlfn.XLOOKUP(E83,装备属性!$D$520:$D$819,装备属性!$I$520:$I$819)*6</f>
        <v>#N/A</v>
      </c>
      <c r="G83" s="73"/>
      <c r="H83" s="74"/>
      <c r="I83" s="74"/>
      <c r="J83" s="74"/>
      <c r="K83" s="56"/>
      <c r="L83" s="56"/>
      <c r="M83" s="56"/>
      <c r="N83" s="74"/>
      <c r="O83" s="74"/>
      <c r="P83" s="74"/>
    </row>
    <row r="84" ht="16.5" spans="1:16">
      <c r="A84" s="70">
        <v>78</v>
      </c>
      <c r="B84" s="45" t="str">
        <f ca="1">OFFSET(装备属性!$D$65,MATCH(A84,装备属性!$G$66:$G$73,1),0)</f>
        <v>彩</v>
      </c>
      <c r="C84" s="71">
        <f ca="1">OFFSET(装备属性!$D$14,MATCH(A84,装备属性!$H$15:$H$61,1),0)</f>
        <v>100</v>
      </c>
      <c r="D84" s="72">
        <f ca="1">IFERROR(MIN(MATCH(COUNTIFS($C$7:C84,C84,$B$7:B84,B84)*_xlfn.XLOOKUP(C84,装备属性!$D$15:$D$61,装备属性!$M$15:$M$61),装备产出!$Z$19:$Z$24,1),6),0)</f>
        <v>1</v>
      </c>
      <c r="E84" s="45" t="e">
        <f>MATCH(A84,装备属性!$AD$520:$AD$819,1)</f>
        <v>#N/A</v>
      </c>
      <c r="F84" s="73" t="e" cm="1">
        <f ca="1" t="array" ref="F84">_xlfn.XLOOKUP(B84&amp;C84,装备属性!$G$90:$G$466&amp;装备属性!$E$90:$E$466,装备属性!$I$90:$I$466)*D84+_xlfn.XLOOKUP(B84&amp;MAX(C84-10,1),装备属性!$G$90:$G$466&amp;装备属性!$E$90:$E$466,装备属性!$I$90:$I$466)*(6-D84)+_xlfn.XLOOKUP(B84&amp;C84,装备属性!$P$919:$P$955&amp;装备属性!$N$919:$N$955,装备属性!$R$919:$R$955)*D84*0.5+_xlfn.XLOOKUP(B84&amp;(MAX(C84-10,1)),装备属性!$P$919:$P$955&amp;装备属性!$N$919:$N$955,装备属性!$R$919:$R$955)*(6-D84)*0.5+_xlfn.XLOOKUP(E84,装备属性!$D$520:$D$819,装备属性!$I$520:$I$819)*6</f>
        <v>#N/A</v>
      </c>
      <c r="G84" s="73"/>
      <c r="H84" s="74"/>
      <c r="I84" s="74"/>
      <c r="J84" s="74"/>
      <c r="K84" s="56"/>
      <c r="L84" s="56"/>
      <c r="M84" s="56"/>
      <c r="N84" s="74"/>
      <c r="O84" s="74"/>
      <c r="P84" s="74"/>
    </row>
    <row r="85" ht="16.5" spans="1:16">
      <c r="A85" s="70">
        <v>79</v>
      </c>
      <c r="B85" s="45" t="str">
        <f ca="1">OFFSET(装备属性!$D$65,MATCH(A85,装备属性!$G$66:$G$73,1),0)</f>
        <v>彩</v>
      </c>
      <c r="C85" s="71">
        <f ca="1">OFFSET(装备属性!$D$14,MATCH(A85,装备属性!$H$15:$H$61,1),0)</f>
        <v>100</v>
      </c>
      <c r="D85" s="72">
        <f ca="1">IFERROR(MIN(MATCH(COUNTIFS($C$7:C85,C85,$B$7:B85,B85)*_xlfn.XLOOKUP(C85,装备属性!$D$15:$D$61,装备属性!$M$15:$M$61),装备产出!$Z$19:$Z$24,1),6),0)</f>
        <v>1</v>
      </c>
      <c r="E85" s="45" t="e">
        <f>MATCH(A85,装备属性!$AD$520:$AD$819,1)</f>
        <v>#N/A</v>
      </c>
      <c r="F85" s="73" t="e" cm="1">
        <f ca="1" t="array" ref="F85">_xlfn.XLOOKUP(B85&amp;C85,装备属性!$G$90:$G$466&amp;装备属性!$E$90:$E$466,装备属性!$I$90:$I$466)*D85+_xlfn.XLOOKUP(B85&amp;MAX(C85-10,1),装备属性!$G$90:$G$466&amp;装备属性!$E$90:$E$466,装备属性!$I$90:$I$466)*(6-D85)+_xlfn.XLOOKUP(B85&amp;C85,装备属性!$P$919:$P$955&amp;装备属性!$N$919:$N$955,装备属性!$R$919:$R$955)*D85*0.5+_xlfn.XLOOKUP(B85&amp;(MAX(C85-10,1)),装备属性!$P$919:$P$955&amp;装备属性!$N$919:$N$955,装备属性!$R$919:$R$955)*(6-D85)*0.5+_xlfn.XLOOKUP(E85,装备属性!$D$520:$D$819,装备属性!$I$520:$I$819)*6</f>
        <v>#N/A</v>
      </c>
      <c r="G85" s="73"/>
      <c r="H85" s="74"/>
      <c r="I85" s="74"/>
      <c r="J85" s="74"/>
      <c r="K85" s="56"/>
      <c r="L85" s="56"/>
      <c r="M85" s="56"/>
      <c r="N85" s="74"/>
      <c r="O85" s="74"/>
      <c r="P85" s="74"/>
    </row>
    <row r="86" ht="16.5" spans="1:16">
      <c r="A86" s="70">
        <v>80</v>
      </c>
      <c r="B86" s="45" t="str">
        <f ca="1">OFFSET(装备属性!$D$65,MATCH(A86,装备属性!$G$66:$G$73,1),0)</f>
        <v>彩</v>
      </c>
      <c r="C86" s="71">
        <f ca="1">OFFSET(装备属性!$D$14,MATCH(A86,装备属性!$H$15:$H$61,1),0)</f>
        <v>100</v>
      </c>
      <c r="D86" s="72">
        <f ca="1">IFERROR(MIN(MATCH(COUNTIFS($C$7:C86,C86,$B$7:B86,B86)*_xlfn.XLOOKUP(C86,装备属性!$D$15:$D$61,装备属性!$M$15:$M$61),装备产出!$Z$19:$Z$24,1),6),0)</f>
        <v>1</v>
      </c>
      <c r="E86" s="45" t="e">
        <f>MATCH(A86,装备属性!$AD$520:$AD$819,1)</f>
        <v>#N/A</v>
      </c>
      <c r="F86" s="73" t="e" cm="1">
        <f ca="1" t="array" ref="F86">_xlfn.XLOOKUP(B86&amp;C86,装备属性!$G$90:$G$466&amp;装备属性!$E$90:$E$466,装备属性!$I$90:$I$466)*D86+_xlfn.XLOOKUP(B86&amp;MAX(C86-10,1),装备属性!$G$90:$G$466&amp;装备属性!$E$90:$E$466,装备属性!$I$90:$I$466)*(6-D86)+_xlfn.XLOOKUP(B86&amp;C86,装备属性!$P$919:$P$955&amp;装备属性!$N$919:$N$955,装备属性!$R$919:$R$955)*D86*0.5+_xlfn.XLOOKUP(B86&amp;(MAX(C86-10,1)),装备属性!$P$919:$P$955&amp;装备属性!$N$919:$N$955,装备属性!$R$919:$R$955)*(6-D86)*0.5+_xlfn.XLOOKUP(E86,装备属性!$D$520:$D$819,装备属性!$I$520:$I$819)*6</f>
        <v>#N/A</v>
      </c>
      <c r="G86" s="73"/>
      <c r="H86" s="74"/>
      <c r="I86" s="74"/>
      <c r="J86" s="74"/>
      <c r="K86" s="56"/>
      <c r="L86" s="56"/>
      <c r="M86" s="56"/>
      <c r="N86" s="74"/>
      <c r="O86" s="74"/>
      <c r="P86" s="74"/>
    </row>
    <row r="87" ht="16.5" spans="1:16">
      <c r="A87" s="70">
        <v>81</v>
      </c>
      <c r="B87" s="45" t="str">
        <f ca="1">OFFSET(装备属性!$D$65,MATCH(A87,装备属性!$G$66:$G$73,1),0)</f>
        <v>彩</v>
      </c>
      <c r="C87" s="71">
        <f ca="1">OFFSET(装备属性!$D$14,MATCH(A87,装备属性!$H$15:$H$61,1),0)</f>
        <v>100</v>
      </c>
      <c r="D87" s="72">
        <f ca="1">IFERROR(MIN(MATCH(COUNTIFS($C$7:C87,C87,$B$7:B87,B87)*_xlfn.XLOOKUP(C87,装备属性!$D$15:$D$61,装备属性!$M$15:$M$61),装备产出!$Z$19:$Z$24,1),6),0)</f>
        <v>1</v>
      </c>
      <c r="E87" s="45" t="e">
        <f>MATCH(A87,装备属性!$AD$520:$AD$819,1)</f>
        <v>#N/A</v>
      </c>
      <c r="F87" s="73" t="e" cm="1">
        <f ca="1" t="array" ref="F87">_xlfn.XLOOKUP(B87&amp;C87,装备属性!$G$90:$G$466&amp;装备属性!$E$90:$E$466,装备属性!$I$90:$I$466)*D87+_xlfn.XLOOKUP(B87&amp;MAX(C87-10,1),装备属性!$G$90:$G$466&amp;装备属性!$E$90:$E$466,装备属性!$I$90:$I$466)*(6-D87)+_xlfn.XLOOKUP(B87&amp;C87,装备属性!$P$919:$P$955&amp;装备属性!$N$919:$N$955,装备属性!$R$919:$R$955)*D87*0.5+_xlfn.XLOOKUP(B87&amp;(MAX(C87-10,1)),装备属性!$P$919:$P$955&amp;装备属性!$N$919:$N$955,装备属性!$R$919:$R$955)*(6-D87)*0.5+_xlfn.XLOOKUP(E87,装备属性!$D$520:$D$819,装备属性!$I$520:$I$819)*6</f>
        <v>#N/A</v>
      </c>
      <c r="G87" s="73"/>
      <c r="H87" s="74"/>
      <c r="I87" s="74"/>
      <c r="J87" s="74"/>
      <c r="K87" s="56"/>
      <c r="L87" s="56"/>
      <c r="M87" s="56"/>
      <c r="N87" s="74"/>
      <c r="O87" s="74"/>
      <c r="P87" s="74"/>
    </row>
    <row r="88" ht="16.5" spans="1:16">
      <c r="A88" s="70">
        <v>82</v>
      </c>
      <c r="B88" s="45" t="str">
        <f ca="1">OFFSET(装备属性!$D$65,MATCH(A88,装备属性!$G$66:$G$73,1),0)</f>
        <v>彩</v>
      </c>
      <c r="C88" s="71">
        <f ca="1">OFFSET(装备属性!$D$14,MATCH(A88,装备属性!$H$15:$H$61,1),0)</f>
        <v>105</v>
      </c>
      <c r="D88" s="72">
        <f ca="1">IFERROR(MIN(MATCH(COUNTIFS($C$7:C88,C88,$B$7:B88,B88)*_xlfn.XLOOKUP(C88,装备属性!$D$15:$D$61,装备属性!$M$15:$M$61),装备产出!$Z$19:$Z$24,1),6),0)</f>
        <v>0</v>
      </c>
      <c r="E88" s="45" t="e">
        <f>MATCH(A88,装备属性!$AD$520:$AD$819,1)</f>
        <v>#N/A</v>
      </c>
      <c r="F88" s="73" t="e" cm="1">
        <f ca="1" t="array" ref="F88">_xlfn.XLOOKUP(B88&amp;C88,装备属性!$G$90:$G$466&amp;装备属性!$E$90:$E$466,装备属性!$I$90:$I$466)*D88+_xlfn.XLOOKUP(B88&amp;MAX(C88-10,1),装备属性!$G$90:$G$466&amp;装备属性!$E$90:$E$466,装备属性!$I$90:$I$466)*(6-D88)+_xlfn.XLOOKUP(B88&amp;C88,装备属性!$P$919:$P$955&amp;装备属性!$N$919:$N$955,装备属性!$R$919:$R$955)*D88*0.5+_xlfn.XLOOKUP(B88&amp;(MAX(C88-10,1)),装备属性!$P$919:$P$955&amp;装备属性!$N$919:$N$955,装备属性!$R$919:$R$955)*(6-D88)*0.5+_xlfn.XLOOKUP(E88,装备属性!$D$520:$D$819,装备属性!$I$520:$I$819)*6</f>
        <v>#N/A</v>
      </c>
      <c r="G88" s="73"/>
      <c r="H88" s="74"/>
      <c r="I88" s="74"/>
      <c r="J88" s="74"/>
      <c r="K88" s="56"/>
      <c r="L88" s="56"/>
      <c r="M88" s="56"/>
      <c r="N88" s="74"/>
      <c r="O88" s="74"/>
      <c r="P88" s="74"/>
    </row>
    <row r="89" ht="16.5" spans="1:16">
      <c r="A89" s="70">
        <v>83</v>
      </c>
      <c r="B89" s="45" t="str">
        <f ca="1">OFFSET(装备属性!$D$65,MATCH(A89,装备属性!$G$66:$G$73,1),0)</f>
        <v>彩</v>
      </c>
      <c r="C89" s="71">
        <f ca="1">OFFSET(装备属性!$D$14,MATCH(A89,装备属性!$H$15:$H$61,1),0)</f>
        <v>105</v>
      </c>
      <c r="D89" s="72">
        <f ca="1">IFERROR(MIN(MATCH(COUNTIFS($C$7:C89,C89,$B$7:B89,B89)*_xlfn.XLOOKUP(C89,装备属性!$D$15:$D$61,装备属性!$M$15:$M$61),装备产出!$Z$19:$Z$24,1),6),0)</f>
        <v>0</v>
      </c>
      <c r="E89" s="45" t="e">
        <f>MATCH(A89,装备属性!$AD$520:$AD$819,1)</f>
        <v>#N/A</v>
      </c>
      <c r="F89" s="73" t="e" cm="1">
        <f ca="1" t="array" ref="F89">_xlfn.XLOOKUP(B89&amp;C89,装备属性!$G$90:$G$466&amp;装备属性!$E$90:$E$466,装备属性!$I$90:$I$466)*D89+_xlfn.XLOOKUP(B89&amp;MAX(C89-10,1),装备属性!$G$90:$G$466&amp;装备属性!$E$90:$E$466,装备属性!$I$90:$I$466)*(6-D89)+_xlfn.XLOOKUP(B89&amp;C89,装备属性!$P$919:$P$955&amp;装备属性!$N$919:$N$955,装备属性!$R$919:$R$955)*D89*0.5+_xlfn.XLOOKUP(B89&amp;(MAX(C89-10,1)),装备属性!$P$919:$P$955&amp;装备属性!$N$919:$N$955,装备属性!$R$919:$R$955)*(6-D89)*0.5+_xlfn.XLOOKUP(E89,装备属性!$D$520:$D$819,装备属性!$I$520:$I$819)*6</f>
        <v>#N/A</v>
      </c>
      <c r="G89" s="73"/>
      <c r="H89" s="74"/>
      <c r="I89" s="74"/>
      <c r="J89" s="74"/>
      <c r="K89" s="56"/>
      <c r="L89" s="56"/>
      <c r="M89" s="56"/>
      <c r="N89" s="74"/>
      <c r="O89" s="74"/>
      <c r="P89" s="74"/>
    </row>
    <row r="90" ht="16.5" spans="1:16">
      <c r="A90" s="70">
        <v>84</v>
      </c>
      <c r="B90" s="45" t="str">
        <f ca="1">OFFSET(装备属性!$D$65,MATCH(A90,装备属性!$G$66:$G$73,1),0)</f>
        <v>彩</v>
      </c>
      <c r="C90" s="71">
        <f ca="1">OFFSET(装备属性!$D$14,MATCH(A90,装备属性!$H$15:$H$61,1),0)</f>
        <v>105</v>
      </c>
      <c r="D90" s="72">
        <f ca="1">IFERROR(MIN(MATCH(COUNTIFS($C$7:C90,C90,$B$7:B90,B90)*_xlfn.XLOOKUP(C90,装备属性!$D$15:$D$61,装备属性!$M$15:$M$61),装备产出!$Z$19:$Z$24,1),6),0)</f>
        <v>0</v>
      </c>
      <c r="E90" s="45" t="e">
        <f>MATCH(A90,装备属性!$AD$520:$AD$819,1)</f>
        <v>#N/A</v>
      </c>
      <c r="F90" s="73" t="e" cm="1">
        <f ca="1" t="array" ref="F90">_xlfn.XLOOKUP(B90&amp;C90,装备属性!$G$90:$G$466&amp;装备属性!$E$90:$E$466,装备属性!$I$90:$I$466)*D90+_xlfn.XLOOKUP(B90&amp;MAX(C90-10,1),装备属性!$G$90:$G$466&amp;装备属性!$E$90:$E$466,装备属性!$I$90:$I$466)*(6-D90)+_xlfn.XLOOKUP(B90&amp;C90,装备属性!$P$919:$P$955&amp;装备属性!$N$919:$N$955,装备属性!$R$919:$R$955)*D90*0.5+_xlfn.XLOOKUP(B90&amp;(MAX(C90-10,1)),装备属性!$P$919:$P$955&amp;装备属性!$N$919:$N$955,装备属性!$R$919:$R$955)*(6-D90)*0.5+_xlfn.XLOOKUP(E90,装备属性!$D$520:$D$819,装备属性!$I$520:$I$819)*6</f>
        <v>#N/A</v>
      </c>
      <c r="G90" s="73"/>
      <c r="H90" s="74"/>
      <c r="I90" s="74"/>
      <c r="J90" s="74"/>
      <c r="K90" s="56"/>
      <c r="L90" s="56"/>
      <c r="M90" s="56"/>
      <c r="N90" s="74"/>
      <c r="O90" s="74"/>
      <c r="P90" s="74"/>
    </row>
    <row r="91" ht="16.5" spans="1:16">
      <c r="A91" s="70">
        <v>85</v>
      </c>
      <c r="B91" s="45" t="str">
        <f ca="1">OFFSET(装备属性!$D$65,MATCH(A91,装备属性!$G$66:$G$73,1),0)</f>
        <v>彩</v>
      </c>
      <c r="C91" s="71">
        <f ca="1">OFFSET(装备属性!$D$14,MATCH(A91,装备属性!$H$15:$H$61,1),0)</f>
        <v>105</v>
      </c>
      <c r="D91" s="72">
        <f ca="1">IFERROR(MIN(MATCH(COUNTIFS($C$7:C91,C91,$B$7:B91,B91)*_xlfn.XLOOKUP(C91,装备属性!$D$15:$D$61,装备属性!$M$15:$M$61),装备产出!$Z$19:$Z$24,1),6),0)</f>
        <v>0</v>
      </c>
      <c r="E91" s="45" t="e">
        <f>MATCH(A91,装备属性!$AD$520:$AD$819,1)</f>
        <v>#N/A</v>
      </c>
      <c r="F91" s="73" t="e" cm="1">
        <f ca="1" t="array" ref="F91">_xlfn.XLOOKUP(B91&amp;C91,装备属性!$G$90:$G$466&amp;装备属性!$E$90:$E$466,装备属性!$I$90:$I$466)*D91+_xlfn.XLOOKUP(B91&amp;MAX(C91-10,1),装备属性!$G$90:$G$466&amp;装备属性!$E$90:$E$466,装备属性!$I$90:$I$466)*(6-D91)+_xlfn.XLOOKUP(B91&amp;C91,装备属性!$P$919:$P$955&amp;装备属性!$N$919:$N$955,装备属性!$R$919:$R$955)*D91*0.5+_xlfn.XLOOKUP(B91&amp;(MAX(C91-10,1)),装备属性!$P$919:$P$955&amp;装备属性!$N$919:$N$955,装备属性!$R$919:$R$955)*(6-D91)*0.5+_xlfn.XLOOKUP(E91,装备属性!$D$520:$D$819,装备属性!$I$520:$I$819)*6</f>
        <v>#N/A</v>
      </c>
      <c r="G91" s="73"/>
      <c r="H91" s="74"/>
      <c r="I91" s="74"/>
      <c r="J91" s="74"/>
      <c r="K91" s="56"/>
      <c r="L91" s="56"/>
      <c r="M91" s="56"/>
      <c r="N91" s="74"/>
      <c r="O91" s="74"/>
      <c r="P91" s="74"/>
    </row>
    <row r="92" ht="16.5" spans="1:16">
      <c r="A92" s="70">
        <v>86</v>
      </c>
      <c r="B92" s="45" t="str">
        <f ca="1">OFFSET(装备属性!$D$65,MATCH(A92,装备属性!$G$66:$G$73,1),0)</f>
        <v>彩</v>
      </c>
      <c r="C92" s="71">
        <f ca="1">OFFSET(装备属性!$D$14,MATCH(A92,装备属性!$H$15:$H$61,1),0)</f>
        <v>105</v>
      </c>
      <c r="D92" s="72">
        <f ca="1">IFERROR(MIN(MATCH(COUNTIFS($C$7:C92,C92,$B$7:B92,B92)*_xlfn.XLOOKUP(C92,装备属性!$D$15:$D$61,装备属性!$M$15:$M$61),装备产出!$Z$19:$Z$24,1),6),0)</f>
        <v>0</v>
      </c>
      <c r="E92" s="45" t="e">
        <f>MATCH(A92,装备属性!$AD$520:$AD$819,1)</f>
        <v>#N/A</v>
      </c>
      <c r="F92" s="73" t="e" cm="1">
        <f ca="1" t="array" ref="F92">_xlfn.XLOOKUP(B92&amp;C92,装备属性!$G$90:$G$466&amp;装备属性!$E$90:$E$466,装备属性!$I$90:$I$466)*D92+_xlfn.XLOOKUP(B92&amp;MAX(C92-10,1),装备属性!$G$90:$G$466&amp;装备属性!$E$90:$E$466,装备属性!$I$90:$I$466)*(6-D92)+_xlfn.XLOOKUP(B92&amp;C92,装备属性!$P$919:$P$955&amp;装备属性!$N$919:$N$955,装备属性!$R$919:$R$955)*D92*0.5+_xlfn.XLOOKUP(B92&amp;(MAX(C92-10,1)),装备属性!$P$919:$P$955&amp;装备属性!$N$919:$N$955,装备属性!$R$919:$R$955)*(6-D92)*0.5+_xlfn.XLOOKUP(E92,装备属性!$D$520:$D$819,装备属性!$I$520:$I$819)*6</f>
        <v>#N/A</v>
      </c>
      <c r="G92" s="73"/>
      <c r="H92" s="74"/>
      <c r="I92" s="74"/>
      <c r="J92" s="74"/>
      <c r="K92" s="56"/>
      <c r="L92" s="56"/>
      <c r="M92" s="56"/>
      <c r="N92" s="74"/>
      <c r="O92" s="74"/>
      <c r="P92" s="74"/>
    </row>
    <row r="93" ht="16.5" spans="1:16">
      <c r="A93" s="70">
        <v>87</v>
      </c>
      <c r="B93" s="45" t="str">
        <f ca="1">OFFSET(装备属性!$D$65,MATCH(A93,装备属性!$G$66:$G$73,1),0)</f>
        <v>彩</v>
      </c>
      <c r="C93" s="71">
        <f ca="1">OFFSET(装备属性!$D$14,MATCH(A93,装备属性!$H$15:$H$61,1),0)</f>
        <v>105</v>
      </c>
      <c r="D93" s="72">
        <f ca="1">IFERROR(MIN(MATCH(COUNTIFS($C$7:C93,C93,$B$7:B93,B93)*_xlfn.XLOOKUP(C93,装备属性!$D$15:$D$61,装备属性!$M$15:$M$61),装备产出!$Z$19:$Z$24,1),6),0)</f>
        <v>1</v>
      </c>
      <c r="E93" s="45" t="e">
        <f>MATCH(A93,装备属性!$AD$520:$AD$819,1)</f>
        <v>#N/A</v>
      </c>
      <c r="F93" s="73" t="e" cm="1">
        <f ca="1" t="array" ref="F93">_xlfn.XLOOKUP(B93&amp;C93,装备属性!$G$90:$G$466&amp;装备属性!$E$90:$E$466,装备属性!$I$90:$I$466)*D93+_xlfn.XLOOKUP(B93&amp;MAX(C93-10,1),装备属性!$G$90:$G$466&amp;装备属性!$E$90:$E$466,装备属性!$I$90:$I$466)*(6-D93)+_xlfn.XLOOKUP(B93&amp;C93,装备属性!$P$919:$P$955&amp;装备属性!$N$919:$N$955,装备属性!$R$919:$R$955)*D93*0.5+_xlfn.XLOOKUP(B93&amp;(MAX(C93-10,1)),装备属性!$P$919:$P$955&amp;装备属性!$N$919:$N$955,装备属性!$R$919:$R$955)*(6-D93)*0.5+_xlfn.XLOOKUP(E93,装备属性!$D$520:$D$819,装备属性!$I$520:$I$819)*6</f>
        <v>#N/A</v>
      </c>
      <c r="G93" s="73"/>
      <c r="H93" s="74"/>
      <c r="I93" s="74"/>
      <c r="J93" s="74"/>
      <c r="K93" s="56"/>
      <c r="L93" s="56"/>
      <c r="M93" s="56"/>
      <c r="N93" s="74"/>
      <c r="O93" s="74"/>
      <c r="P93" s="74"/>
    </row>
    <row r="94" ht="16.5" spans="1:16">
      <c r="A94" s="70">
        <v>88</v>
      </c>
      <c r="B94" s="45" t="str">
        <f ca="1">OFFSET(装备属性!$D$65,MATCH(A94,装备属性!$G$66:$G$73,1),0)</f>
        <v>彩</v>
      </c>
      <c r="C94" s="71">
        <f ca="1">OFFSET(装备属性!$D$14,MATCH(A94,装备属性!$H$15:$H$61,1),0)</f>
        <v>105</v>
      </c>
      <c r="D94" s="72">
        <f ca="1">IFERROR(MIN(MATCH(COUNTIFS($C$7:C94,C94,$B$7:B94,B94)*_xlfn.XLOOKUP(C94,装备属性!$D$15:$D$61,装备属性!$M$15:$M$61),装备产出!$Z$19:$Z$24,1),6),0)</f>
        <v>1</v>
      </c>
      <c r="E94" s="45" t="e">
        <f>MATCH(A94,装备属性!$AD$520:$AD$819,1)</f>
        <v>#N/A</v>
      </c>
      <c r="F94" s="73" t="e" cm="1">
        <f ca="1" t="array" ref="F94">_xlfn.XLOOKUP(B94&amp;C94,装备属性!$G$90:$G$466&amp;装备属性!$E$90:$E$466,装备属性!$I$90:$I$466)*D94+_xlfn.XLOOKUP(B94&amp;MAX(C94-10,1),装备属性!$G$90:$G$466&amp;装备属性!$E$90:$E$466,装备属性!$I$90:$I$466)*(6-D94)+_xlfn.XLOOKUP(B94&amp;C94,装备属性!$P$919:$P$955&amp;装备属性!$N$919:$N$955,装备属性!$R$919:$R$955)*D94*0.5+_xlfn.XLOOKUP(B94&amp;(MAX(C94-10,1)),装备属性!$P$919:$P$955&amp;装备属性!$N$919:$N$955,装备属性!$R$919:$R$955)*(6-D94)*0.5+_xlfn.XLOOKUP(E94,装备属性!$D$520:$D$819,装备属性!$I$520:$I$819)*6</f>
        <v>#N/A</v>
      </c>
      <c r="G94" s="73"/>
      <c r="H94" s="74"/>
      <c r="I94" s="74"/>
      <c r="J94" s="74"/>
      <c r="K94" s="56"/>
      <c r="L94" s="56"/>
      <c r="M94" s="56"/>
      <c r="N94" s="74"/>
      <c r="O94" s="74"/>
      <c r="P94" s="74"/>
    </row>
    <row r="95" ht="16.5" spans="1:16">
      <c r="A95" s="70">
        <v>89</v>
      </c>
      <c r="B95" s="45" t="str">
        <f ca="1">OFFSET(装备属性!$D$65,MATCH(A95,装备属性!$G$66:$G$73,1),0)</f>
        <v>彩</v>
      </c>
      <c r="C95" s="71">
        <f ca="1">OFFSET(装备属性!$D$14,MATCH(A95,装备属性!$H$15:$H$61,1),0)</f>
        <v>105</v>
      </c>
      <c r="D95" s="72">
        <f ca="1">IFERROR(MIN(MATCH(COUNTIFS($C$7:C95,C95,$B$7:B95,B95)*_xlfn.XLOOKUP(C95,装备属性!$D$15:$D$61,装备属性!$M$15:$M$61),装备产出!$Z$19:$Z$24,1),6),0)</f>
        <v>1</v>
      </c>
      <c r="E95" s="45" t="e">
        <f>MATCH(A95,装备属性!$AD$520:$AD$819,1)</f>
        <v>#N/A</v>
      </c>
      <c r="F95" s="73" t="e" cm="1">
        <f ca="1" t="array" ref="F95">_xlfn.XLOOKUP(B95&amp;C95,装备属性!$G$90:$G$466&amp;装备属性!$E$90:$E$466,装备属性!$I$90:$I$466)*D95+_xlfn.XLOOKUP(B95&amp;MAX(C95-10,1),装备属性!$G$90:$G$466&amp;装备属性!$E$90:$E$466,装备属性!$I$90:$I$466)*(6-D95)+_xlfn.XLOOKUP(B95&amp;C95,装备属性!$P$919:$P$955&amp;装备属性!$N$919:$N$955,装备属性!$R$919:$R$955)*D95*0.5+_xlfn.XLOOKUP(B95&amp;(MAX(C95-10,1)),装备属性!$P$919:$P$955&amp;装备属性!$N$919:$N$955,装备属性!$R$919:$R$955)*(6-D95)*0.5+_xlfn.XLOOKUP(E95,装备属性!$D$520:$D$819,装备属性!$I$520:$I$819)*6</f>
        <v>#N/A</v>
      </c>
      <c r="G95" s="73"/>
      <c r="H95" s="74"/>
      <c r="I95" s="74"/>
      <c r="J95" s="74"/>
      <c r="K95" s="56"/>
      <c r="L95" s="56"/>
      <c r="M95" s="56"/>
      <c r="N95" s="74"/>
      <c r="O95" s="74"/>
      <c r="P95" s="74"/>
    </row>
    <row r="96" ht="16.5" spans="1:16">
      <c r="A96" s="70">
        <v>90</v>
      </c>
      <c r="B96" s="45" t="str">
        <f ca="1">OFFSET(装备属性!$D$65,MATCH(A96,装备属性!$G$66:$G$73,1),0)</f>
        <v>彩</v>
      </c>
      <c r="C96" s="71">
        <f ca="1">OFFSET(装备属性!$D$14,MATCH(A96,装备属性!$H$15:$H$61,1),0)</f>
        <v>105</v>
      </c>
      <c r="D96" s="72">
        <f ca="1">IFERROR(MIN(MATCH(COUNTIFS($C$7:C96,C96,$B$7:B96,B96)*_xlfn.XLOOKUP(C96,装备属性!$D$15:$D$61,装备属性!$M$15:$M$61),装备产出!$Z$19:$Z$24,1),6),0)</f>
        <v>1</v>
      </c>
      <c r="E96" s="45" t="e">
        <f>MATCH(A96,装备属性!$AD$520:$AD$819,1)</f>
        <v>#N/A</v>
      </c>
      <c r="F96" s="73" t="e" cm="1">
        <f ca="1" t="array" ref="F96">_xlfn.XLOOKUP(B96&amp;C96,装备属性!$G$90:$G$466&amp;装备属性!$E$90:$E$466,装备属性!$I$90:$I$466)*D96+_xlfn.XLOOKUP(B96&amp;MAX(C96-10,1),装备属性!$G$90:$G$466&amp;装备属性!$E$90:$E$466,装备属性!$I$90:$I$466)*(6-D96)+_xlfn.XLOOKUP(B96&amp;C96,装备属性!$P$919:$P$955&amp;装备属性!$N$919:$N$955,装备属性!$R$919:$R$955)*D96*0.5+_xlfn.XLOOKUP(B96&amp;(MAX(C96-10,1)),装备属性!$P$919:$P$955&amp;装备属性!$N$919:$N$955,装备属性!$R$919:$R$955)*(6-D96)*0.5+_xlfn.XLOOKUP(E96,装备属性!$D$520:$D$819,装备属性!$I$520:$I$819)*6</f>
        <v>#N/A</v>
      </c>
      <c r="G96" s="73"/>
      <c r="H96" s="74"/>
      <c r="I96" s="74"/>
      <c r="J96" s="74"/>
      <c r="K96" s="56"/>
      <c r="L96" s="56"/>
      <c r="M96" s="56"/>
      <c r="N96" s="74"/>
      <c r="O96" s="74"/>
      <c r="P96" s="74"/>
    </row>
    <row r="97" ht="16.5" spans="1:16">
      <c r="A97" s="70">
        <v>91</v>
      </c>
      <c r="B97" s="45" t="str">
        <f ca="1">OFFSET(装备属性!$D$65,MATCH(A97,装备属性!$G$66:$G$73,1),0)</f>
        <v>彩</v>
      </c>
      <c r="C97" s="71">
        <f ca="1">OFFSET(装备属性!$D$14,MATCH(A97,装备属性!$H$15:$H$61,1),0)</f>
        <v>105</v>
      </c>
      <c r="D97" s="72">
        <f ca="1">IFERROR(MIN(MATCH(COUNTIFS($C$7:C97,C97,$B$7:B97,B97)*_xlfn.XLOOKUP(C97,装备属性!$D$15:$D$61,装备属性!$M$15:$M$61),装备产出!$Z$19:$Z$24,1),6),0)</f>
        <v>1</v>
      </c>
      <c r="E97" s="45" t="e">
        <f>MATCH(A97,装备属性!$AD$520:$AD$819,1)</f>
        <v>#N/A</v>
      </c>
      <c r="F97" s="73" t="e" cm="1">
        <f ca="1" t="array" ref="F97">_xlfn.XLOOKUP(B97&amp;C97,装备属性!$G$90:$G$466&amp;装备属性!$E$90:$E$466,装备属性!$I$90:$I$466)*D97+_xlfn.XLOOKUP(B97&amp;MAX(C97-10,1),装备属性!$G$90:$G$466&amp;装备属性!$E$90:$E$466,装备属性!$I$90:$I$466)*(6-D97)+_xlfn.XLOOKUP(B97&amp;C97,装备属性!$P$919:$P$955&amp;装备属性!$N$919:$N$955,装备属性!$R$919:$R$955)*D97*0.5+_xlfn.XLOOKUP(B97&amp;(MAX(C97-10,1)),装备属性!$P$919:$P$955&amp;装备属性!$N$919:$N$955,装备属性!$R$919:$R$955)*(6-D97)*0.5+_xlfn.XLOOKUP(E97,装备属性!$D$520:$D$819,装备属性!$I$520:$I$819)*6</f>
        <v>#N/A</v>
      </c>
      <c r="G97" s="73"/>
      <c r="H97" s="74"/>
      <c r="I97" s="74"/>
      <c r="J97" s="74"/>
      <c r="K97" s="56"/>
      <c r="L97" s="56"/>
      <c r="M97" s="56"/>
      <c r="N97" s="74"/>
      <c r="O97" s="74"/>
      <c r="P97" s="74"/>
    </row>
    <row r="98" ht="16.5" spans="1:16">
      <c r="A98" s="70">
        <v>92</v>
      </c>
      <c r="B98" s="45" t="str">
        <f ca="1">OFFSET(装备属性!$D$65,MATCH(A98,装备属性!$G$66:$G$73,1),0)</f>
        <v>彩</v>
      </c>
      <c r="C98" s="71">
        <f ca="1">OFFSET(装备属性!$D$14,MATCH(A98,装备属性!$H$15:$H$61,1),0)</f>
        <v>110</v>
      </c>
      <c r="D98" s="72">
        <f ca="1">IFERROR(MIN(MATCH(COUNTIFS($C$7:C98,C98,$B$7:B98,B98)*_xlfn.XLOOKUP(C98,装备属性!$D$15:$D$61,装备属性!$M$15:$M$61),装备产出!$Z$19:$Z$24,1),6),0)</f>
        <v>0</v>
      </c>
      <c r="E98" s="45" t="e">
        <f>MATCH(A98,装备属性!$AD$520:$AD$819,1)</f>
        <v>#N/A</v>
      </c>
      <c r="F98" s="73" t="e" cm="1">
        <f ca="1" t="array" ref="F98">_xlfn.XLOOKUP(B98&amp;C98,装备属性!$G$90:$G$466&amp;装备属性!$E$90:$E$466,装备属性!$I$90:$I$466)*D98+_xlfn.XLOOKUP(B98&amp;MAX(C98-10,1),装备属性!$G$90:$G$466&amp;装备属性!$E$90:$E$466,装备属性!$I$90:$I$466)*(6-D98)+_xlfn.XLOOKUP(B98&amp;C98,装备属性!$P$919:$P$955&amp;装备属性!$N$919:$N$955,装备属性!$R$919:$R$955)*D98*0.5+_xlfn.XLOOKUP(B98&amp;(MAX(C98-10,1)),装备属性!$P$919:$P$955&amp;装备属性!$N$919:$N$955,装备属性!$R$919:$R$955)*(6-D98)*0.5+_xlfn.XLOOKUP(E98,装备属性!$D$520:$D$819,装备属性!$I$520:$I$819)*6</f>
        <v>#N/A</v>
      </c>
      <c r="G98" s="73"/>
      <c r="H98" s="74"/>
      <c r="I98" s="74"/>
      <c r="J98" s="74"/>
      <c r="K98" s="56"/>
      <c r="L98" s="56"/>
      <c r="M98" s="56"/>
      <c r="N98" s="74"/>
      <c r="O98" s="74"/>
      <c r="P98" s="74"/>
    </row>
    <row r="99" ht="16.5" spans="1:16">
      <c r="A99" s="70">
        <v>93</v>
      </c>
      <c r="B99" s="45" t="str">
        <f ca="1">OFFSET(装备属性!$D$65,MATCH(A99,装备属性!$G$66:$G$73,1),0)</f>
        <v>彩</v>
      </c>
      <c r="C99" s="71">
        <f ca="1">OFFSET(装备属性!$D$14,MATCH(A99,装备属性!$H$15:$H$61,1),0)</f>
        <v>110</v>
      </c>
      <c r="D99" s="72">
        <f ca="1">IFERROR(MIN(MATCH(COUNTIFS($C$7:C99,C99,$B$7:B99,B99)*_xlfn.XLOOKUP(C99,装备属性!$D$15:$D$61,装备属性!$M$15:$M$61),装备产出!$Z$19:$Z$24,1),6),0)</f>
        <v>0</v>
      </c>
      <c r="E99" s="45" t="e">
        <f>MATCH(A99,装备属性!$AD$520:$AD$819,1)</f>
        <v>#N/A</v>
      </c>
      <c r="F99" s="73" t="e" cm="1">
        <f ca="1" t="array" ref="F99">_xlfn.XLOOKUP(B99&amp;C99,装备属性!$G$90:$G$466&amp;装备属性!$E$90:$E$466,装备属性!$I$90:$I$466)*D99+_xlfn.XLOOKUP(B99&amp;MAX(C99-10,1),装备属性!$G$90:$G$466&amp;装备属性!$E$90:$E$466,装备属性!$I$90:$I$466)*(6-D99)+_xlfn.XLOOKUP(B99&amp;C99,装备属性!$P$919:$P$955&amp;装备属性!$N$919:$N$955,装备属性!$R$919:$R$955)*D99*0.5+_xlfn.XLOOKUP(B99&amp;(MAX(C99-10,1)),装备属性!$P$919:$P$955&amp;装备属性!$N$919:$N$955,装备属性!$R$919:$R$955)*(6-D99)*0.5+_xlfn.XLOOKUP(E99,装备属性!$D$520:$D$819,装备属性!$I$520:$I$819)*6</f>
        <v>#N/A</v>
      </c>
      <c r="G99" s="73"/>
      <c r="H99" s="74"/>
      <c r="I99" s="74"/>
      <c r="J99" s="74"/>
      <c r="K99" s="56"/>
      <c r="L99" s="56"/>
      <c r="M99" s="56"/>
      <c r="N99" s="74"/>
      <c r="O99" s="74"/>
      <c r="P99" s="74"/>
    </row>
    <row r="100" ht="16.5" spans="1:16">
      <c r="A100" s="70">
        <v>94</v>
      </c>
      <c r="B100" s="45" t="str">
        <f ca="1">OFFSET(装备属性!$D$65,MATCH(A100,装备属性!$G$66:$G$73,1),0)</f>
        <v>彩</v>
      </c>
      <c r="C100" s="71">
        <f ca="1">OFFSET(装备属性!$D$14,MATCH(A100,装备属性!$H$15:$H$61,1),0)</f>
        <v>110</v>
      </c>
      <c r="D100" s="72">
        <f ca="1">IFERROR(MIN(MATCH(COUNTIFS($C$7:C100,C100,$B$7:B100,B100)*_xlfn.XLOOKUP(C100,装备属性!$D$15:$D$61,装备属性!$M$15:$M$61),装备产出!$Z$19:$Z$24,1),6),0)</f>
        <v>0</v>
      </c>
      <c r="E100" s="45" t="e">
        <f>MATCH(A100,装备属性!$AD$520:$AD$819,1)</f>
        <v>#N/A</v>
      </c>
      <c r="F100" s="73" t="e" cm="1">
        <f ca="1" t="array" ref="F100">_xlfn.XLOOKUP(B100&amp;C100,装备属性!$G$90:$G$466&amp;装备属性!$E$90:$E$466,装备属性!$I$90:$I$466)*D100+_xlfn.XLOOKUP(B100&amp;MAX(C100-10,1),装备属性!$G$90:$G$466&amp;装备属性!$E$90:$E$466,装备属性!$I$90:$I$466)*(6-D100)+_xlfn.XLOOKUP(B100&amp;C100,装备属性!$P$919:$P$955&amp;装备属性!$N$919:$N$955,装备属性!$R$919:$R$955)*D100*0.5+_xlfn.XLOOKUP(B100&amp;(MAX(C100-10,1)),装备属性!$P$919:$P$955&amp;装备属性!$N$919:$N$955,装备属性!$R$919:$R$955)*(6-D100)*0.5+_xlfn.XLOOKUP(E100,装备属性!$D$520:$D$819,装备属性!$I$520:$I$819)*6</f>
        <v>#N/A</v>
      </c>
      <c r="G100" s="73"/>
      <c r="H100" s="74"/>
      <c r="I100" s="74"/>
      <c r="J100" s="74"/>
      <c r="K100" s="56"/>
      <c r="L100" s="56"/>
      <c r="M100" s="56"/>
      <c r="N100" s="74"/>
      <c r="O100" s="74"/>
      <c r="P100" s="74"/>
    </row>
    <row r="101" ht="16.5" spans="1:16">
      <c r="A101" s="70">
        <v>95</v>
      </c>
      <c r="B101" s="45" t="str">
        <f ca="1">OFFSET(装备属性!$D$65,MATCH(A101,装备属性!$G$66:$G$73,1),0)</f>
        <v>彩</v>
      </c>
      <c r="C101" s="71">
        <f ca="1">OFFSET(装备属性!$D$14,MATCH(A101,装备属性!$H$15:$H$61,1),0)</f>
        <v>110</v>
      </c>
      <c r="D101" s="72">
        <f ca="1">IFERROR(MIN(MATCH(COUNTIFS($C$7:C101,C101,$B$7:B101,B101)*_xlfn.XLOOKUP(C101,装备属性!$D$15:$D$61,装备属性!$M$15:$M$61),装备产出!$Z$19:$Z$24,1),6),0)</f>
        <v>0</v>
      </c>
      <c r="E101" s="45" t="e">
        <f>MATCH(A101,装备属性!$AD$520:$AD$819,1)</f>
        <v>#N/A</v>
      </c>
      <c r="F101" s="73" t="e" cm="1">
        <f ca="1" t="array" ref="F101">_xlfn.XLOOKUP(B101&amp;C101,装备属性!$G$90:$G$466&amp;装备属性!$E$90:$E$466,装备属性!$I$90:$I$466)*D101+_xlfn.XLOOKUP(B101&amp;MAX(C101-10,1),装备属性!$G$90:$G$466&amp;装备属性!$E$90:$E$466,装备属性!$I$90:$I$466)*(6-D101)+_xlfn.XLOOKUP(B101&amp;C101,装备属性!$P$919:$P$955&amp;装备属性!$N$919:$N$955,装备属性!$R$919:$R$955)*D101*0.5+_xlfn.XLOOKUP(B101&amp;(MAX(C101-10,1)),装备属性!$P$919:$P$955&amp;装备属性!$N$919:$N$955,装备属性!$R$919:$R$955)*(6-D101)*0.5+_xlfn.XLOOKUP(E101,装备属性!$D$520:$D$819,装备属性!$I$520:$I$819)*6</f>
        <v>#N/A</v>
      </c>
      <c r="G101" s="73"/>
      <c r="H101" s="74"/>
      <c r="I101" s="74"/>
      <c r="J101" s="74"/>
      <c r="K101" s="56"/>
      <c r="L101" s="56"/>
      <c r="M101" s="56"/>
      <c r="N101" s="74"/>
      <c r="O101" s="74"/>
      <c r="P101" s="74"/>
    </row>
    <row r="102" ht="16.5" spans="1:16">
      <c r="A102" s="70">
        <v>96</v>
      </c>
      <c r="B102" s="45" t="str">
        <f ca="1">OFFSET(装备属性!$D$65,MATCH(A102,装备属性!$G$66:$G$73,1),0)</f>
        <v>彩</v>
      </c>
      <c r="C102" s="71">
        <f ca="1">OFFSET(装备属性!$D$14,MATCH(A102,装备属性!$H$15:$H$61,1),0)</f>
        <v>110</v>
      </c>
      <c r="D102" s="72">
        <f ca="1">IFERROR(MIN(MATCH(COUNTIFS($C$7:C102,C102,$B$7:B102,B102)*_xlfn.XLOOKUP(C102,装备属性!$D$15:$D$61,装备属性!$M$15:$M$61),装备产出!$Z$19:$Z$24,1),6),0)</f>
        <v>0</v>
      </c>
      <c r="E102" s="45" t="e">
        <f>MATCH(A102,装备属性!$AD$520:$AD$819,1)</f>
        <v>#N/A</v>
      </c>
      <c r="F102" s="73" t="e" cm="1">
        <f ca="1" t="array" ref="F102">_xlfn.XLOOKUP(B102&amp;C102,装备属性!$G$90:$G$466&amp;装备属性!$E$90:$E$466,装备属性!$I$90:$I$466)*D102+_xlfn.XLOOKUP(B102&amp;MAX(C102-10,1),装备属性!$G$90:$G$466&amp;装备属性!$E$90:$E$466,装备属性!$I$90:$I$466)*(6-D102)+_xlfn.XLOOKUP(B102&amp;C102,装备属性!$P$919:$P$955&amp;装备属性!$N$919:$N$955,装备属性!$R$919:$R$955)*D102*0.5+_xlfn.XLOOKUP(B102&amp;(MAX(C102-10,1)),装备属性!$P$919:$P$955&amp;装备属性!$N$919:$N$955,装备属性!$R$919:$R$955)*(6-D102)*0.5+_xlfn.XLOOKUP(E102,装备属性!$D$520:$D$819,装备属性!$I$520:$I$819)*6</f>
        <v>#N/A</v>
      </c>
      <c r="G102" s="73"/>
      <c r="H102" s="74"/>
      <c r="I102" s="74"/>
      <c r="J102" s="74"/>
      <c r="K102" s="56"/>
      <c r="L102" s="56"/>
      <c r="M102" s="56"/>
      <c r="N102" s="74"/>
      <c r="O102" s="74"/>
      <c r="P102" s="74"/>
    </row>
    <row r="103" ht="16.5" spans="1:16">
      <c r="A103" s="70">
        <v>97</v>
      </c>
      <c r="B103" s="45" t="str">
        <f ca="1">OFFSET(装备属性!$D$65,MATCH(A103,装备属性!$G$66:$G$73,1),0)</f>
        <v>彩</v>
      </c>
      <c r="C103" s="71">
        <f ca="1">OFFSET(装备属性!$D$14,MATCH(A103,装备属性!$H$15:$H$61,1),0)</f>
        <v>110</v>
      </c>
      <c r="D103" s="72">
        <f ca="1">IFERROR(MIN(MATCH(COUNTIFS($C$7:C103,C103,$B$7:B103,B103)*_xlfn.XLOOKUP(C103,装备属性!$D$15:$D$61,装备属性!$M$15:$M$61),装备产出!$Z$19:$Z$24,1),6),0)</f>
        <v>1</v>
      </c>
      <c r="E103" s="45" t="e">
        <f>MATCH(A103,装备属性!$AD$520:$AD$819,1)</f>
        <v>#N/A</v>
      </c>
      <c r="F103" s="73" t="e" cm="1">
        <f ca="1" t="array" ref="F103">_xlfn.XLOOKUP(B103&amp;C103,装备属性!$G$90:$G$466&amp;装备属性!$E$90:$E$466,装备属性!$I$90:$I$466)*D103+_xlfn.XLOOKUP(B103&amp;MAX(C103-10,1),装备属性!$G$90:$G$466&amp;装备属性!$E$90:$E$466,装备属性!$I$90:$I$466)*(6-D103)+_xlfn.XLOOKUP(B103&amp;C103,装备属性!$P$919:$P$955&amp;装备属性!$N$919:$N$955,装备属性!$R$919:$R$955)*D103*0.5+_xlfn.XLOOKUP(B103&amp;(MAX(C103-10,1)),装备属性!$P$919:$P$955&amp;装备属性!$N$919:$N$955,装备属性!$R$919:$R$955)*(6-D103)*0.5+_xlfn.XLOOKUP(E103,装备属性!$D$520:$D$819,装备属性!$I$520:$I$819)*6</f>
        <v>#N/A</v>
      </c>
      <c r="G103" s="73"/>
      <c r="H103" s="74"/>
      <c r="I103" s="74"/>
      <c r="J103" s="74"/>
      <c r="K103" s="56"/>
      <c r="L103" s="56"/>
      <c r="M103" s="56"/>
      <c r="N103" s="74"/>
      <c r="O103" s="74"/>
      <c r="P103" s="74"/>
    </row>
    <row r="104" ht="16.5" spans="1:16">
      <c r="A104" s="70">
        <v>98</v>
      </c>
      <c r="B104" s="45" t="str">
        <f ca="1">OFFSET(装备属性!$D$65,MATCH(A104,装备属性!$G$66:$G$73,1),0)</f>
        <v>彩</v>
      </c>
      <c r="C104" s="71">
        <f ca="1">OFFSET(装备属性!$D$14,MATCH(A104,装备属性!$H$15:$H$61,1),0)</f>
        <v>110</v>
      </c>
      <c r="D104" s="72">
        <f ca="1">IFERROR(MIN(MATCH(COUNTIFS($C$7:C104,C104,$B$7:B104,B104)*_xlfn.XLOOKUP(C104,装备属性!$D$15:$D$61,装备属性!$M$15:$M$61),装备产出!$Z$19:$Z$24,1),6),0)</f>
        <v>1</v>
      </c>
      <c r="E104" s="45" t="e">
        <f>MATCH(A104,装备属性!$AD$520:$AD$819,1)</f>
        <v>#N/A</v>
      </c>
      <c r="F104" s="73" t="e" cm="1">
        <f ca="1" t="array" ref="F104">_xlfn.XLOOKUP(B104&amp;C104,装备属性!$G$90:$G$466&amp;装备属性!$E$90:$E$466,装备属性!$I$90:$I$466)*D104+_xlfn.XLOOKUP(B104&amp;MAX(C104-10,1),装备属性!$G$90:$G$466&amp;装备属性!$E$90:$E$466,装备属性!$I$90:$I$466)*(6-D104)+_xlfn.XLOOKUP(B104&amp;C104,装备属性!$P$919:$P$955&amp;装备属性!$N$919:$N$955,装备属性!$R$919:$R$955)*D104*0.5+_xlfn.XLOOKUP(B104&amp;(MAX(C104-10,1)),装备属性!$P$919:$P$955&amp;装备属性!$N$919:$N$955,装备属性!$R$919:$R$955)*(6-D104)*0.5+_xlfn.XLOOKUP(E104,装备属性!$D$520:$D$819,装备属性!$I$520:$I$819)*6</f>
        <v>#N/A</v>
      </c>
      <c r="G104" s="73"/>
      <c r="H104" s="74"/>
      <c r="I104" s="74"/>
      <c r="J104" s="74"/>
      <c r="K104" s="56"/>
      <c r="L104" s="56"/>
      <c r="M104" s="56"/>
      <c r="N104" s="74"/>
      <c r="O104" s="74"/>
      <c r="P104" s="74"/>
    </row>
    <row r="105" ht="16.5" spans="1:16">
      <c r="A105" s="70">
        <v>99</v>
      </c>
      <c r="B105" s="45" t="str">
        <f ca="1">OFFSET(装备属性!$D$65,MATCH(A105,装备属性!$G$66:$G$73,1),0)</f>
        <v>彩</v>
      </c>
      <c r="C105" s="71">
        <f ca="1">OFFSET(装备属性!$D$14,MATCH(A105,装备属性!$H$15:$H$61,1),0)</f>
        <v>110</v>
      </c>
      <c r="D105" s="72">
        <f ca="1">IFERROR(MIN(MATCH(COUNTIFS($C$7:C105,C105,$B$7:B105,B105)*_xlfn.XLOOKUP(C105,装备属性!$D$15:$D$61,装备属性!$M$15:$M$61),装备产出!$Z$19:$Z$24,1),6),0)</f>
        <v>1</v>
      </c>
      <c r="E105" s="45" t="e">
        <f>MATCH(A105,装备属性!$AD$520:$AD$819,1)</f>
        <v>#N/A</v>
      </c>
      <c r="F105" s="73" t="e" cm="1">
        <f ca="1" t="array" ref="F105">_xlfn.XLOOKUP(B105&amp;C105,装备属性!$G$90:$G$466&amp;装备属性!$E$90:$E$466,装备属性!$I$90:$I$466)*D105+_xlfn.XLOOKUP(B105&amp;MAX(C105-10,1),装备属性!$G$90:$G$466&amp;装备属性!$E$90:$E$466,装备属性!$I$90:$I$466)*(6-D105)+_xlfn.XLOOKUP(B105&amp;C105,装备属性!$P$919:$P$955&amp;装备属性!$N$919:$N$955,装备属性!$R$919:$R$955)*D105*0.5+_xlfn.XLOOKUP(B105&amp;(MAX(C105-10,1)),装备属性!$P$919:$P$955&amp;装备属性!$N$919:$N$955,装备属性!$R$919:$R$955)*(6-D105)*0.5+_xlfn.XLOOKUP(E105,装备属性!$D$520:$D$819,装备属性!$I$520:$I$819)*6</f>
        <v>#N/A</v>
      </c>
      <c r="G105" s="73"/>
      <c r="H105" s="74"/>
      <c r="I105" s="74"/>
      <c r="J105" s="74"/>
      <c r="K105" s="56"/>
      <c r="L105" s="56"/>
      <c r="M105" s="56"/>
      <c r="N105" s="74"/>
      <c r="O105" s="74"/>
      <c r="P105" s="74"/>
    </row>
    <row r="106" ht="16.5" spans="1:16">
      <c r="A106" s="70">
        <v>100</v>
      </c>
      <c r="B106" s="45" t="str">
        <f ca="1">OFFSET(装备属性!$D$65,MATCH(A106,装备属性!$G$66:$G$73,1),0)</f>
        <v>彩</v>
      </c>
      <c r="C106" s="71">
        <f ca="1">OFFSET(装备属性!$D$14,MATCH(A106,装备属性!$H$15:$H$61,1),0)</f>
        <v>110</v>
      </c>
      <c r="D106" s="72">
        <f ca="1">IFERROR(MIN(MATCH(COUNTIFS($C$7:C106,C106,$B$7:B106,B106)*_xlfn.XLOOKUP(C106,装备属性!$D$15:$D$61,装备属性!$M$15:$M$61),装备产出!$Z$19:$Z$24,1),6),0)</f>
        <v>1</v>
      </c>
      <c r="E106" s="45" t="e">
        <f>MATCH(A106,装备属性!$AD$520:$AD$819,1)</f>
        <v>#N/A</v>
      </c>
      <c r="F106" s="73" t="e" cm="1">
        <f ca="1" t="array" ref="F106">_xlfn.XLOOKUP(B106&amp;C106,装备属性!$G$90:$G$466&amp;装备属性!$E$90:$E$466,装备属性!$I$90:$I$466)*D106+_xlfn.XLOOKUP(B106&amp;MAX(C106-10,1),装备属性!$G$90:$G$466&amp;装备属性!$E$90:$E$466,装备属性!$I$90:$I$466)*(6-D106)+_xlfn.XLOOKUP(B106&amp;C106,装备属性!$P$919:$P$955&amp;装备属性!$N$919:$N$955,装备属性!$R$919:$R$955)*D106*0.5+_xlfn.XLOOKUP(B106&amp;(MAX(C106-10,1)),装备属性!$P$919:$P$955&amp;装备属性!$N$919:$N$955,装备属性!$R$919:$R$955)*(6-D106)*0.5+_xlfn.XLOOKUP(E106,装备属性!$D$520:$D$819,装备属性!$I$520:$I$819)*6</f>
        <v>#N/A</v>
      </c>
      <c r="G106" s="73"/>
      <c r="H106" s="74"/>
      <c r="I106" s="74"/>
      <c r="J106" s="74"/>
      <c r="K106" s="56"/>
      <c r="L106" s="56"/>
      <c r="M106" s="56"/>
      <c r="N106" s="74"/>
      <c r="O106" s="74"/>
      <c r="P106" s="74"/>
    </row>
    <row r="107" ht="16.5" spans="1:16">
      <c r="A107" s="70">
        <v>101</v>
      </c>
      <c r="B107" s="45" t="str">
        <f ca="1">OFFSET(装备属性!$D$65,MATCH(A107,装备属性!$G$66:$G$73,1),0)</f>
        <v>彩</v>
      </c>
      <c r="C107" s="71">
        <f ca="1">OFFSET(装备属性!$D$14,MATCH(A107,装备属性!$H$15:$H$61,1),0)</f>
        <v>110</v>
      </c>
      <c r="D107" s="72">
        <f ca="1">IFERROR(MIN(MATCH(COUNTIFS($C$7:C107,C107,$B$7:B107,B107)*_xlfn.XLOOKUP(C107,装备属性!$D$15:$D$61,装备属性!$M$15:$M$61),装备产出!$Z$19:$Z$24,1),6),0)</f>
        <v>1</v>
      </c>
      <c r="E107" s="45" t="e">
        <f>MATCH(A107,装备属性!$AD$520:$AD$819,1)</f>
        <v>#N/A</v>
      </c>
      <c r="F107" s="73" t="e" cm="1">
        <f ca="1" t="array" ref="F107">_xlfn.XLOOKUP(B107&amp;C107,装备属性!$G$90:$G$466&amp;装备属性!$E$90:$E$466,装备属性!$I$90:$I$466)*D107+_xlfn.XLOOKUP(B107&amp;MAX(C107-10,1),装备属性!$G$90:$G$466&amp;装备属性!$E$90:$E$466,装备属性!$I$90:$I$466)*(6-D107)+_xlfn.XLOOKUP(B107&amp;C107,装备属性!$P$919:$P$955&amp;装备属性!$N$919:$N$955,装备属性!$R$919:$R$955)*D107*0.5+_xlfn.XLOOKUP(B107&amp;(MAX(C107-10,1)),装备属性!$P$919:$P$955&amp;装备属性!$N$919:$N$955,装备属性!$R$919:$R$955)*(6-D107)*0.5+_xlfn.XLOOKUP(E107,装备属性!$D$520:$D$819,装备属性!$I$520:$I$819)*6</f>
        <v>#N/A</v>
      </c>
      <c r="G107" s="73"/>
      <c r="H107" s="74"/>
      <c r="I107" s="74"/>
      <c r="J107" s="74"/>
      <c r="K107" s="56"/>
      <c r="L107" s="56"/>
      <c r="M107" s="56"/>
      <c r="N107" s="74"/>
      <c r="O107" s="74"/>
      <c r="P107" s="74"/>
    </row>
    <row r="108" ht="16.5" spans="1:16">
      <c r="A108" s="70">
        <v>102</v>
      </c>
      <c r="B108" s="45" t="str">
        <f ca="1">OFFSET(装备属性!$D$65,MATCH(A108,装备属性!$G$66:$G$73,1),0)</f>
        <v>彩</v>
      </c>
      <c r="C108" s="71">
        <f ca="1">OFFSET(装备属性!$D$14,MATCH(A108,装备属性!$H$15:$H$61,1),0)</f>
        <v>115</v>
      </c>
      <c r="D108" s="72">
        <f ca="1">IFERROR(MIN(MATCH(COUNTIFS($C$7:C108,C108,$B$7:B108,B108)*_xlfn.XLOOKUP(C108,装备属性!$D$15:$D$61,装备属性!$M$15:$M$61),装备产出!$Z$19:$Z$24,1),6),0)</f>
        <v>0</v>
      </c>
      <c r="E108" s="45" t="e">
        <f>MATCH(A108,装备属性!$AD$520:$AD$819,1)</f>
        <v>#N/A</v>
      </c>
      <c r="F108" s="73" t="e" cm="1">
        <f ca="1" t="array" ref="F108">_xlfn.XLOOKUP(B108&amp;C108,装备属性!$G$90:$G$466&amp;装备属性!$E$90:$E$466,装备属性!$I$90:$I$466)*D108+_xlfn.XLOOKUP(B108&amp;MAX(C108-10,1),装备属性!$G$90:$G$466&amp;装备属性!$E$90:$E$466,装备属性!$I$90:$I$466)*(6-D108)+_xlfn.XLOOKUP(B108&amp;C108,装备属性!$P$919:$P$955&amp;装备属性!$N$919:$N$955,装备属性!$R$919:$R$955)*D108*0.5+_xlfn.XLOOKUP(B108&amp;(MAX(C108-10,1)),装备属性!$P$919:$P$955&amp;装备属性!$N$919:$N$955,装备属性!$R$919:$R$955)*(6-D108)*0.5+_xlfn.XLOOKUP(E108,装备属性!$D$520:$D$819,装备属性!$I$520:$I$819)*6</f>
        <v>#N/A</v>
      </c>
      <c r="G108" s="73"/>
      <c r="H108" s="74"/>
      <c r="I108" s="74"/>
      <c r="J108" s="74"/>
      <c r="K108" s="56"/>
      <c r="L108" s="56"/>
      <c r="M108" s="56"/>
      <c r="N108" s="74"/>
      <c r="O108" s="74"/>
      <c r="P108" s="74"/>
    </row>
    <row r="109" ht="16.5" spans="1:16">
      <c r="A109" s="70">
        <v>103</v>
      </c>
      <c r="B109" s="45" t="str">
        <f ca="1">OFFSET(装备属性!$D$65,MATCH(A109,装备属性!$G$66:$G$73,1),0)</f>
        <v>彩</v>
      </c>
      <c r="C109" s="71">
        <f ca="1">OFFSET(装备属性!$D$14,MATCH(A109,装备属性!$H$15:$H$61,1),0)</f>
        <v>115</v>
      </c>
      <c r="D109" s="72">
        <f ca="1">IFERROR(MIN(MATCH(COUNTIFS($C$7:C109,C109,$B$7:B109,B109)*_xlfn.XLOOKUP(C109,装备属性!$D$15:$D$61,装备属性!$M$15:$M$61),装备产出!$Z$19:$Z$24,1),6),0)</f>
        <v>0</v>
      </c>
      <c r="E109" s="45" t="e">
        <f>MATCH(A109,装备属性!$AD$520:$AD$819,1)</f>
        <v>#N/A</v>
      </c>
      <c r="F109" s="73" t="e" cm="1">
        <f ca="1" t="array" ref="F109">_xlfn.XLOOKUP(B109&amp;C109,装备属性!$G$90:$G$466&amp;装备属性!$E$90:$E$466,装备属性!$I$90:$I$466)*D109+_xlfn.XLOOKUP(B109&amp;MAX(C109-10,1),装备属性!$G$90:$G$466&amp;装备属性!$E$90:$E$466,装备属性!$I$90:$I$466)*(6-D109)+_xlfn.XLOOKUP(B109&amp;C109,装备属性!$P$919:$P$955&amp;装备属性!$N$919:$N$955,装备属性!$R$919:$R$955)*D109*0.5+_xlfn.XLOOKUP(B109&amp;(MAX(C109-10,1)),装备属性!$P$919:$P$955&amp;装备属性!$N$919:$N$955,装备属性!$R$919:$R$955)*(6-D109)*0.5+_xlfn.XLOOKUP(E109,装备属性!$D$520:$D$819,装备属性!$I$520:$I$819)*6</f>
        <v>#N/A</v>
      </c>
      <c r="G109" s="73"/>
      <c r="H109" s="74"/>
      <c r="I109" s="74"/>
      <c r="J109" s="74"/>
      <c r="K109" s="56"/>
      <c r="L109" s="56"/>
      <c r="M109" s="56"/>
      <c r="N109" s="74"/>
      <c r="O109" s="74"/>
      <c r="P109" s="74"/>
    </row>
    <row r="110" ht="16.5" spans="1:16">
      <c r="A110" s="70">
        <v>104</v>
      </c>
      <c r="B110" s="45" t="str">
        <f ca="1">OFFSET(装备属性!$D$65,MATCH(A110,装备属性!$G$66:$G$73,1),0)</f>
        <v>彩</v>
      </c>
      <c r="C110" s="71">
        <f ca="1">OFFSET(装备属性!$D$14,MATCH(A110,装备属性!$H$15:$H$61,1),0)</f>
        <v>115</v>
      </c>
      <c r="D110" s="72">
        <f ca="1">IFERROR(MIN(MATCH(COUNTIFS($C$7:C110,C110,$B$7:B110,B110)*_xlfn.XLOOKUP(C110,装备属性!$D$15:$D$61,装备属性!$M$15:$M$61),装备产出!$Z$19:$Z$24,1),6),0)</f>
        <v>0</v>
      </c>
      <c r="E110" s="45" t="e">
        <f>MATCH(A110,装备属性!$AD$520:$AD$819,1)</f>
        <v>#N/A</v>
      </c>
      <c r="F110" s="73" t="e" cm="1">
        <f ca="1" t="array" ref="F110">_xlfn.XLOOKUP(B110&amp;C110,装备属性!$G$90:$G$466&amp;装备属性!$E$90:$E$466,装备属性!$I$90:$I$466)*D110+_xlfn.XLOOKUP(B110&amp;MAX(C110-10,1),装备属性!$G$90:$G$466&amp;装备属性!$E$90:$E$466,装备属性!$I$90:$I$466)*(6-D110)+_xlfn.XLOOKUP(B110&amp;C110,装备属性!$P$919:$P$955&amp;装备属性!$N$919:$N$955,装备属性!$R$919:$R$955)*D110*0.5+_xlfn.XLOOKUP(B110&amp;(MAX(C110-10,1)),装备属性!$P$919:$P$955&amp;装备属性!$N$919:$N$955,装备属性!$R$919:$R$955)*(6-D110)*0.5+_xlfn.XLOOKUP(E110,装备属性!$D$520:$D$819,装备属性!$I$520:$I$819)*6</f>
        <v>#N/A</v>
      </c>
      <c r="G110" s="73"/>
      <c r="H110" s="74"/>
      <c r="I110" s="74"/>
      <c r="J110" s="74"/>
      <c r="K110" s="56"/>
      <c r="L110" s="56"/>
      <c r="M110" s="56"/>
      <c r="N110" s="74"/>
      <c r="O110" s="74"/>
      <c r="P110" s="74"/>
    </row>
    <row r="111" ht="16.5" spans="1:16">
      <c r="A111" s="70">
        <v>105</v>
      </c>
      <c r="B111" s="45" t="str">
        <f ca="1">OFFSET(装备属性!$D$65,MATCH(A111,装备属性!$G$66:$G$73,1),0)</f>
        <v>彩</v>
      </c>
      <c r="C111" s="71">
        <f ca="1">OFFSET(装备属性!$D$14,MATCH(A111,装备属性!$H$15:$H$61,1),0)</f>
        <v>115</v>
      </c>
      <c r="D111" s="72">
        <f ca="1">IFERROR(MIN(MATCH(COUNTIFS($C$7:C111,C111,$B$7:B111,B111)*_xlfn.XLOOKUP(C111,装备属性!$D$15:$D$61,装备属性!$M$15:$M$61),装备产出!$Z$19:$Z$24,1),6),0)</f>
        <v>0</v>
      </c>
      <c r="E111" s="45" t="e">
        <f>MATCH(A111,装备属性!$AD$520:$AD$819,1)</f>
        <v>#N/A</v>
      </c>
      <c r="F111" s="73" t="e" cm="1">
        <f ca="1" t="array" ref="F111">_xlfn.XLOOKUP(B111&amp;C111,装备属性!$G$90:$G$466&amp;装备属性!$E$90:$E$466,装备属性!$I$90:$I$466)*D111+_xlfn.XLOOKUP(B111&amp;MAX(C111-10,1),装备属性!$G$90:$G$466&amp;装备属性!$E$90:$E$466,装备属性!$I$90:$I$466)*(6-D111)+_xlfn.XLOOKUP(B111&amp;C111,装备属性!$P$919:$P$955&amp;装备属性!$N$919:$N$955,装备属性!$R$919:$R$955)*D111*0.5+_xlfn.XLOOKUP(B111&amp;(MAX(C111-10,1)),装备属性!$P$919:$P$955&amp;装备属性!$N$919:$N$955,装备属性!$R$919:$R$955)*(6-D111)*0.5+_xlfn.XLOOKUP(E111,装备属性!$D$520:$D$819,装备属性!$I$520:$I$819)*6</f>
        <v>#N/A</v>
      </c>
      <c r="G111" s="73"/>
      <c r="H111" s="74"/>
      <c r="I111" s="74"/>
      <c r="J111" s="74"/>
      <c r="K111" s="56"/>
      <c r="L111" s="56"/>
      <c r="M111" s="56"/>
      <c r="N111" s="74"/>
      <c r="O111" s="74"/>
      <c r="P111" s="74"/>
    </row>
    <row r="112" ht="16.5" spans="1:16">
      <c r="A112" s="70">
        <v>106</v>
      </c>
      <c r="B112" s="45" t="str">
        <f ca="1">OFFSET(装备属性!$D$65,MATCH(A112,装备属性!$G$66:$G$73,1),0)</f>
        <v>彩</v>
      </c>
      <c r="C112" s="71">
        <f ca="1">OFFSET(装备属性!$D$14,MATCH(A112,装备属性!$H$15:$H$61,1),0)</f>
        <v>115</v>
      </c>
      <c r="D112" s="72">
        <f ca="1">IFERROR(MIN(MATCH(COUNTIFS($C$7:C112,C112,$B$7:B112,B112)*_xlfn.XLOOKUP(C112,装备属性!$D$15:$D$61,装备属性!$M$15:$M$61),装备产出!$Z$19:$Z$24,1),6),0)</f>
        <v>0</v>
      </c>
      <c r="E112" s="45" t="e">
        <f>MATCH(A112,装备属性!$AD$520:$AD$819,1)</f>
        <v>#N/A</v>
      </c>
      <c r="F112" s="73" t="e" cm="1">
        <f ca="1" t="array" ref="F112">_xlfn.XLOOKUP(B112&amp;C112,装备属性!$G$90:$G$466&amp;装备属性!$E$90:$E$466,装备属性!$I$90:$I$466)*D112+_xlfn.XLOOKUP(B112&amp;MAX(C112-10,1),装备属性!$G$90:$G$466&amp;装备属性!$E$90:$E$466,装备属性!$I$90:$I$466)*(6-D112)+_xlfn.XLOOKUP(B112&amp;C112,装备属性!$P$919:$P$955&amp;装备属性!$N$919:$N$955,装备属性!$R$919:$R$955)*D112*0.5+_xlfn.XLOOKUP(B112&amp;(MAX(C112-10,1)),装备属性!$P$919:$P$955&amp;装备属性!$N$919:$N$955,装备属性!$R$919:$R$955)*(6-D112)*0.5+_xlfn.XLOOKUP(E112,装备属性!$D$520:$D$819,装备属性!$I$520:$I$819)*6</f>
        <v>#N/A</v>
      </c>
      <c r="G112" s="73"/>
      <c r="H112" s="74"/>
      <c r="I112" s="74"/>
      <c r="J112" s="74"/>
      <c r="K112" s="56"/>
      <c r="L112" s="56"/>
      <c r="M112" s="56"/>
      <c r="N112" s="74"/>
      <c r="O112" s="74"/>
      <c r="P112" s="74"/>
    </row>
    <row r="113" ht="16.5" spans="1:16">
      <c r="A113" s="70">
        <v>107</v>
      </c>
      <c r="B113" s="45" t="str">
        <f ca="1">OFFSET(装备属性!$D$65,MATCH(A113,装备属性!$G$66:$G$73,1),0)</f>
        <v>彩</v>
      </c>
      <c r="C113" s="71">
        <f ca="1">OFFSET(装备属性!$D$14,MATCH(A113,装备属性!$H$15:$H$61,1),0)</f>
        <v>115</v>
      </c>
      <c r="D113" s="72">
        <f ca="1">IFERROR(MIN(MATCH(COUNTIFS($C$7:C113,C113,$B$7:B113,B113)*_xlfn.XLOOKUP(C113,装备属性!$D$15:$D$61,装备属性!$M$15:$M$61),装备产出!$Z$19:$Z$24,1),6),0)</f>
        <v>1</v>
      </c>
      <c r="E113" s="45" t="e">
        <f>MATCH(A113,装备属性!$AD$520:$AD$819,1)</f>
        <v>#N/A</v>
      </c>
      <c r="F113" s="73" t="e" cm="1">
        <f ca="1" t="array" ref="F113">_xlfn.XLOOKUP(B113&amp;C113,装备属性!$G$90:$G$466&amp;装备属性!$E$90:$E$466,装备属性!$I$90:$I$466)*D113+_xlfn.XLOOKUP(B113&amp;MAX(C113-10,1),装备属性!$G$90:$G$466&amp;装备属性!$E$90:$E$466,装备属性!$I$90:$I$466)*(6-D113)+_xlfn.XLOOKUP(B113&amp;C113,装备属性!$P$919:$P$955&amp;装备属性!$N$919:$N$955,装备属性!$R$919:$R$955)*D113*0.5+_xlfn.XLOOKUP(B113&amp;(MAX(C113-10,1)),装备属性!$P$919:$P$955&amp;装备属性!$N$919:$N$955,装备属性!$R$919:$R$955)*(6-D113)*0.5+_xlfn.XLOOKUP(E113,装备属性!$D$520:$D$819,装备属性!$I$520:$I$819)*6</f>
        <v>#N/A</v>
      </c>
      <c r="G113" s="73"/>
      <c r="H113" s="74"/>
      <c r="I113" s="74"/>
      <c r="J113" s="74"/>
      <c r="K113" s="56"/>
      <c r="L113" s="56"/>
      <c r="M113" s="56"/>
      <c r="N113" s="74"/>
      <c r="O113" s="74"/>
      <c r="P113" s="74"/>
    </row>
    <row r="114" ht="16.5" spans="1:16">
      <c r="A114" s="70">
        <v>108</v>
      </c>
      <c r="B114" s="45" t="str">
        <f ca="1">OFFSET(装备属性!$D$65,MATCH(A114,装备属性!$G$66:$G$73,1),0)</f>
        <v>彩</v>
      </c>
      <c r="C114" s="71">
        <f ca="1">OFFSET(装备属性!$D$14,MATCH(A114,装备属性!$H$15:$H$61,1),0)</f>
        <v>115</v>
      </c>
      <c r="D114" s="72">
        <f ca="1">IFERROR(MIN(MATCH(COUNTIFS($C$7:C114,C114,$B$7:B114,B114)*_xlfn.XLOOKUP(C114,装备属性!$D$15:$D$61,装备属性!$M$15:$M$61),装备产出!$Z$19:$Z$24,1),6),0)</f>
        <v>1</v>
      </c>
      <c r="E114" s="45" t="e">
        <f>MATCH(A114,装备属性!$AD$520:$AD$819,1)</f>
        <v>#N/A</v>
      </c>
      <c r="F114" s="73" t="e" cm="1">
        <f ca="1" t="array" ref="F114">_xlfn.XLOOKUP(B114&amp;C114,装备属性!$G$90:$G$466&amp;装备属性!$E$90:$E$466,装备属性!$I$90:$I$466)*D114+_xlfn.XLOOKUP(B114&amp;MAX(C114-10,1),装备属性!$G$90:$G$466&amp;装备属性!$E$90:$E$466,装备属性!$I$90:$I$466)*(6-D114)+_xlfn.XLOOKUP(B114&amp;C114,装备属性!$P$919:$P$955&amp;装备属性!$N$919:$N$955,装备属性!$R$919:$R$955)*D114*0.5+_xlfn.XLOOKUP(B114&amp;(MAX(C114-10,1)),装备属性!$P$919:$P$955&amp;装备属性!$N$919:$N$955,装备属性!$R$919:$R$955)*(6-D114)*0.5+_xlfn.XLOOKUP(E114,装备属性!$D$520:$D$819,装备属性!$I$520:$I$819)*6</f>
        <v>#N/A</v>
      </c>
      <c r="G114" s="73"/>
      <c r="H114" s="74"/>
      <c r="I114" s="74"/>
      <c r="J114" s="74"/>
      <c r="K114" s="56"/>
      <c r="L114" s="56"/>
      <c r="M114" s="56"/>
      <c r="N114" s="74"/>
      <c r="O114" s="74"/>
      <c r="P114" s="74"/>
    </row>
    <row r="115" ht="16.5" spans="1:16">
      <c r="A115" s="70">
        <v>109</v>
      </c>
      <c r="B115" s="45" t="str">
        <f ca="1">OFFSET(装备属性!$D$65,MATCH(A115,装备属性!$G$66:$G$73,1),0)</f>
        <v>彩</v>
      </c>
      <c r="C115" s="71">
        <f ca="1">OFFSET(装备属性!$D$14,MATCH(A115,装备属性!$H$15:$H$61,1),0)</f>
        <v>115</v>
      </c>
      <c r="D115" s="72">
        <f ca="1">IFERROR(MIN(MATCH(COUNTIFS($C$7:C115,C115,$B$7:B115,B115)*_xlfn.XLOOKUP(C115,装备属性!$D$15:$D$61,装备属性!$M$15:$M$61),装备产出!$Z$19:$Z$24,1),6),0)</f>
        <v>1</v>
      </c>
      <c r="E115" s="45" t="e">
        <f>MATCH(A115,装备属性!$AD$520:$AD$819,1)</f>
        <v>#N/A</v>
      </c>
      <c r="F115" s="73" t="e" cm="1">
        <f ca="1" t="array" ref="F115">_xlfn.XLOOKUP(B115&amp;C115,装备属性!$G$90:$G$466&amp;装备属性!$E$90:$E$466,装备属性!$I$90:$I$466)*D115+_xlfn.XLOOKUP(B115&amp;MAX(C115-10,1),装备属性!$G$90:$G$466&amp;装备属性!$E$90:$E$466,装备属性!$I$90:$I$466)*(6-D115)+_xlfn.XLOOKUP(B115&amp;C115,装备属性!$P$919:$P$955&amp;装备属性!$N$919:$N$955,装备属性!$R$919:$R$955)*D115*0.5+_xlfn.XLOOKUP(B115&amp;(MAX(C115-10,1)),装备属性!$P$919:$P$955&amp;装备属性!$N$919:$N$955,装备属性!$R$919:$R$955)*(6-D115)*0.5+_xlfn.XLOOKUP(E115,装备属性!$D$520:$D$819,装备属性!$I$520:$I$819)*6</f>
        <v>#N/A</v>
      </c>
      <c r="G115" s="73"/>
      <c r="H115" s="74"/>
      <c r="I115" s="74"/>
      <c r="J115" s="74"/>
      <c r="K115" s="56"/>
      <c r="L115" s="56"/>
      <c r="M115" s="56"/>
      <c r="N115" s="74"/>
      <c r="O115" s="74"/>
      <c r="P115" s="74"/>
    </row>
    <row r="116" ht="16.5" spans="1:16">
      <c r="A116" s="70">
        <v>110</v>
      </c>
      <c r="B116" s="45" t="str">
        <f ca="1">OFFSET(装备属性!$D$65,MATCH(A116,装备属性!$G$66:$G$73,1),0)</f>
        <v>彩</v>
      </c>
      <c r="C116" s="71">
        <f ca="1">OFFSET(装备属性!$D$14,MATCH(A116,装备属性!$H$15:$H$61,1),0)</f>
        <v>115</v>
      </c>
      <c r="D116" s="72">
        <f ca="1">IFERROR(MIN(MATCH(COUNTIFS($C$7:C116,C116,$B$7:B116,B116)*_xlfn.XLOOKUP(C116,装备属性!$D$15:$D$61,装备属性!$M$15:$M$61),装备产出!$Z$19:$Z$24,1),6),0)</f>
        <v>1</v>
      </c>
      <c r="E116" s="45" t="e">
        <f>MATCH(A116,装备属性!$AD$520:$AD$819,1)</f>
        <v>#N/A</v>
      </c>
      <c r="F116" s="73" t="e" cm="1">
        <f ca="1" t="array" ref="F116">_xlfn.XLOOKUP(B116&amp;C116,装备属性!$G$90:$G$466&amp;装备属性!$E$90:$E$466,装备属性!$I$90:$I$466)*D116+_xlfn.XLOOKUP(B116&amp;MAX(C116-10,1),装备属性!$G$90:$G$466&amp;装备属性!$E$90:$E$466,装备属性!$I$90:$I$466)*(6-D116)+_xlfn.XLOOKUP(B116&amp;C116,装备属性!$P$919:$P$955&amp;装备属性!$N$919:$N$955,装备属性!$R$919:$R$955)*D116*0.5+_xlfn.XLOOKUP(B116&amp;(MAX(C116-10,1)),装备属性!$P$919:$P$955&amp;装备属性!$N$919:$N$955,装备属性!$R$919:$R$955)*(6-D116)*0.5+_xlfn.XLOOKUP(E116,装备属性!$D$520:$D$819,装备属性!$I$520:$I$819)*6</f>
        <v>#N/A</v>
      </c>
      <c r="G116" s="73"/>
      <c r="H116" s="74"/>
      <c r="I116" s="74"/>
      <c r="J116" s="74"/>
      <c r="K116" s="56"/>
      <c r="L116" s="56"/>
      <c r="M116" s="56"/>
      <c r="N116" s="74"/>
      <c r="O116" s="74"/>
      <c r="P116" s="74"/>
    </row>
    <row r="117" ht="16.5" spans="1:16">
      <c r="A117" s="70">
        <v>111</v>
      </c>
      <c r="B117" s="45" t="str">
        <f ca="1">OFFSET(装备属性!$D$65,MATCH(A117,装备属性!$G$66:$G$73,1),0)</f>
        <v>彩</v>
      </c>
      <c r="C117" s="71">
        <f ca="1">OFFSET(装备属性!$D$14,MATCH(A117,装备属性!$H$15:$H$61,1),0)</f>
        <v>115</v>
      </c>
      <c r="D117" s="72">
        <f ca="1">IFERROR(MIN(MATCH(COUNTIFS($C$7:C117,C117,$B$7:B117,B117)*_xlfn.XLOOKUP(C117,装备属性!$D$15:$D$61,装备属性!$M$15:$M$61),装备产出!$Z$19:$Z$24,1),6),0)</f>
        <v>1</v>
      </c>
      <c r="E117" s="45" t="e">
        <f>MATCH(A117,装备属性!$AD$520:$AD$819,1)</f>
        <v>#N/A</v>
      </c>
      <c r="F117" s="73" t="e" cm="1">
        <f ca="1" t="array" ref="F117">_xlfn.XLOOKUP(B117&amp;C117,装备属性!$G$90:$G$466&amp;装备属性!$E$90:$E$466,装备属性!$I$90:$I$466)*D117+_xlfn.XLOOKUP(B117&amp;MAX(C117-10,1),装备属性!$G$90:$G$466&amp;装备属性!$E$90:$E$466,装备属性!$I$90:$I$466)*(6-D117)+_xlfn.XLOOKUP(B117&amp;C117,装备属性!$P$919:$P$955&amp;装备属性!$N$919:$N$955,装备属性!$R$919:$R$955)*D117*0.5+_xlfn.XLOOKUP(B117&amp;(MAX(C117-10,1)),装备属性!$P$919:$P$955&amp;装备属性!$N$919:$N$955,装备属性!$R$919:$R$955)*(6-D117)*0.5+_xlfn.XLOOKUP(E117,装备属性!$D$520:$D$819,装备属性!$I$520:$I$819)*6</f>
        <v>#N/A</v>
      </c>
      <c r="G117" s="73"/>
      <c r="H117" s="74"/>
      <c r="I117" s="74"/>
      <c r="J117" s="74"/>
      <c r="K117" s="56"/>
      <c r="L117" s="56"/>
      <c r="M117" s="56"/>
      <c r="N117" s="74"/>
      <c r="O117" s="74"/>
      <c r="P117" s="74"/>
    </row>
    <row r="118" ht="16.5" spans="1:16">
      <c r="A118" s="70">
        <v>112</v>
      </c>
      <c r="B118" s="45" t="str">
        <f ca="1">OFFSET(装备属性!$D$65,MATCH(A118,装备属性!$G$66:$G$73,1),0)</f>
        <v>彩</v>
      </c>
      <c r="C118" s="71">
        <f ca="1">OFFSET(装备属性!$D$14,MATCH(A118,装备属性!$H$15:$H$61,1),0)</f>
        <v>120</v>
      </c>
      <c r="D118" s="72">
        <f ca="1">IFERROR(MIN(MATCH(COUNTIFS($C$7:C118,C118,$B$7:B118,B118)*_xlfn.XLOOKUP(C118,装备属性!$D$15:$D$61,装备属性!$M$15:$M$61),装备产出!$Z$19:$Z$24,1),6),0)</f>
        <v>0</v>
      </c>
      <c r="E118" s="45" t="e">
        <f>MATCH(A118,装备属性!$AD$520:$AD$819,1)</f>
        <v>#N/A</v>
      </c>
      <c r="F118" s="73" t="e" cm="1">
        <f ca="1" t="array" ref="F118">_xlfn.XLOOKUP(B118&amp;C118,装备属性!$G$90:$G$466&amp;装备属性!$E$90:$E$466,装备属性!$I$90:$I$466)*D118+_xlfn.XLOOKUP(B118&amp;MAX(C118-10,1),装备属性!$G$90:$G$466&amp;装备属性!$E$90:$E$466,装备属性!$I$90:$I$466)*(6-D118)+_xlfn.XLOOKUP(B118&amp;C118,装备属性!$P$919:$P$955&amp;装备属性!$N$919:$N$955,装备属性!$R$919:$R$955)*D118*0.5+_xlfn.XLOOKUP(B118&amp;(MAX(C118-10,1)),装备属性!$P$919:$P$955&amp;装备属性!$N$919:$N$955,装备属性!$R$919:$R$955)*(6-D118)*0.5+_xlfn.XLOOKUP(E118,装备属性!$D$520:$D$819,装备属性!$I$520:$I$819)*6</f>
        <v>#N/A</v>
      </c>
      <c r="G118" s="73"/>
      <c r="H118" s="74"/>
      <c r="I118" s="74"/>
      <c r="J118" s="74"/>
      <c r="K118" s="56"/>
      <c r="L118" s="56"/>
      <c r="M118" s="56"/>
      <c r="N118" s="74"/>
      <c r="O118" s="74"/>
      <c r="P118" s="74"/>
    </row>
    <row r="119" ht="16.5" spans="1:16">
      <c r="A119" s="70">
        <v>113</v>
      </c>
      <c r="B119" s="45" t="str">
        <f ca="1">OFFSET(装备属性!$D$65,MATCH(A119,装备属性!$G$66:$G$73,1),0)</f>
        <v>彩</v>
      </c>
      <c r="C119" s="71">
        <f ca="1">OFFSET(装备属性!$D$14,MATCH(A119,装备属性!$H$15:$H$61,1),0)</f>
        <v>120</v>
      </c>
      <c r="D119" s="72">
        <f ca="1">IFERROR(MIN(MATCH(COUNTIFS($C$7:C119,C119,$B$7:B119,B119)*_xlfn.XLOOKUP(C119,装备属性!$D$15:$D$61,装备属性!$M$15:$M$61),装备产出!$Z$19:$Z$24,1),6),0)</f>
        <v>0</v>
      </c>
      <c r="E119" s="45" t="e">
        <f>MATCH(A119,装备属性!$AD$520:$AD$819,1)</f>
        <v>#N/A</v>
      </c>
      <c r="F119" s="73" t="e" cm="1">
        <f ca="1" t="array" ref="F119">_xlfn.XLOOKUP(B119&amp;C119,装备属性!$G$90:$G$466&amp;装备属性!$E$90:$E$466,装备属性!$I$90:$I$466)*D119+_xlfn.XLOOKUP(B119&amp;MAX(C119-10,1),装备属性!$G$90:$G$466&amp;装备属性!$E$90:$E$466,装备属性!$I$90:$I$466)*(6-D119)+_xlfn.XLOOKUP(B119&amp;C119,装备属性!$P$919:$P$955&amp;装备属性!$N$919:$N$955,装备属性!$R$919:$R$955)*D119*0.5+_xlfn.XLOOKUP(B119&amp;(MAX(C119-10,1)),装备属性!$P$919:$P$955&amp;装备属性!$N$919:$N$955,装备属性!$R$919:$R$955)*(6-D119)*0.5+_xlfn.XLOOKUP(E119,装备属性!$D$520:$D$819,装备属性!$I$520:$I$819)*6</f>
        <v>#N/A</v>
      </c>
      <c r="G119" s="73"/>
      <c r="H119" s="74"/>
      <c r="I119" s="74"/>
      <c r="J119" s="74"/>
      <c r="K119" s="56"/>
      <c r="L119" s="56"/>
      <c r="M119" s="56"/>
      <c r="N119" s="74"/>
      <c r="O119" s="74"/>
      <c r="P119" s="74"/>
    </row>
    <row r="120" ht="16.5" spans="1:16">
      <c r="A120" s="70">
        <v>114</v>
      </c>
      <c r="B120" s="45" t="str">
        <f ca="1">OFFSET(装备属性!$D$65,MATCH(A120,装备属性!$G$66:$G$73,1),0)</f>
        <v>彩</v>
      </c>
      <c r="C120" s="71">
        <f ca="1">OFFSET(装备属性!$D$14,MATCH(A120,装备属性!$H$15:$H$61,1),0)</f>
        <v>120</v>
      </c>
      <c r="D120" s="72">
        <f ca="1">IFERROR(MIN(MATCH(COUNTIFS($C$7:C120,C120,$B$7:B120,B120)*_xlfn.XLOOKUP(C120,装备属性!$D$15:$D$61,装备属性!$M$15:$M$61),装备产出!$Z$19:$Z$24,1),6),0)</f>
        <v>0</v>
      </c>
      <c r="E120" s="45" t="e">
        <f>MATCH(A120,装备属性!$AD$520:$AD$819,1)</f>
        <v>#N/A</v>
      </c>
      <c r="F120" s="73" t="e" cm="1">
        <f ca="1" t="array" ref="F120">_xlfn.XLOOKUP(B120&amp;C120,装备属性!$G$90:$G$466&amp;装备属性!$E$90:$E$466,装备属性!$I$90:$I$466)*D120+_xlfn.XLOOKUP(B120&amp;MAX(C120-10,1),装备属性!$G$90:$G$466&amp;装备属性!$E$90:$E$466,装备属性!$I$90:$I$466)*(6-D120)+_xlfn.XLOOKUP(B120&amp;C120,装备属性!$P$919:$P$955&amp;装备属性!$N$919:$N$955,装备属性!$R$919:$R$955)*D120*0.5+_xlfn.XLOOKUP(B120&amp;(MAX(C120-10,1)),装备属性!$P$919:$P$955&amp;装备属性!$N$919:$N$955,装备属性!$R$919:$R$955)*(6-D120)*0.5+_xlfn.XLOOKUP(E120,装备属性!$D$520:$D$819,装备属性!$I$520:$I$819)*6</f>
        <v>#N/A</v>
      </c>
      <c r="G120" s="73"/>
      <c r="H120" s="74"/>
      <c r="I120" s="74"/>
      <c r="J120" s="74"/>
      <c r="K120" s="56"/>
      <c r="L120" s="56"/>
      <c r="M120" s="56"/>
      <c r="N120" s="74"/>
      <c r="O120" s="74"/>
      <c r="P120" s="74"/>
    </row>
    <row r="121" ht="16.5" spans="1:16">
      <c r="A121" s="70">
        <v>115</v>
      </c>
      <c r="B121" s="45" t="str">
        <f ca="1">OFFSET(装备属性!$D$65,MATCH(A121,装备属性!$G$66:$G$73,1),0)</f>
        <v>彩</v>
      </c>
      <c r="C121" s="71">
        <f ca="1">OFFSET(装备属性!$D$14,MATCH(A121,装备属性!$H$15:$H$61,1),0)</f>
        <v>120</v>
      </c>
      <c r="D121" s="72">
        <f ca="1">IFERROR(MIN(MATCH(COUNTIFS($C$7:C121,C121,$B$7:B121,B121)*_xlfn.XLOOKUP(C121,装备属性!$D$15:$D$61,装备属性!$M$15:$M$61),装备产出!$Z$19:$Z$24,1),6),0)</f>
        <v>0</v>
      </c>
      <c r="E121" s="45" t="e">
        <f>MATCH(A121,装备属性!$AD$520:$AD$819,1)</f>
        <v>#N/A</v>
      </c>
      <c r="F121" s="73" t="e" cm="1">
        <f ca="1" t="array" ref="F121">_xlfn.XLOOKUP(B121&amp;C121,装备属性!$G$90:$G$466&amp;装备属性!$E$90:$E$466,装备属性!$I$90:$I$466)*D121+_xlfn.XLOOKUP(B121&amp;MAX(C121-10,1),装备属性!$G$90:$G$466&amp;装备属性!$E$90:$E$466,装备属性!$I$90:$I$466)*(6-D121)+_xlfn.XLOOKUP(B121&amp;C121,装备属性!$P$919:$P$955&amp;装备属性!$N$919:$N$955,装备属性!$R$919:$R$955)*D121*0.5+_xlfn.XLOOKUP(B121&amp;(MAX(C121-10,1)),装备属性!$P$919:$P$955&amp;装备属性!$N$919:$N$955,装备属性!$R$919:$R$955)*(6-D121)*0.5+_xlfn.XLOOKUP(E121,装备属性!$D$520:$D$819,装备属性!$I$520:$I$819)*6</f>
        <v>#N/A</v>
      </c>
      <c r="G121" s="73"/>
      <c r="H121" s="74"/>
      <c r="I121" s="74"/>
      <c r="J121" s="74"/>
      <c r="K121" s="56"/>
      <c r="L121" s="56"/>
      <c r="M121" s="56"/>
      <c r="N121" s="74"/>
      <c r="O121" s="74"/>
      <c r="P121" s="74"/>
    </row>
    <row r="122" ht="16.5" spans="1:16">
      <c r="A122" s="70">
        <v>116</v>
      </c>
      <c r="B122" s="45" t="str">
        <f ca="1">OFFSET(装备属性!$D$65,MATCH(A122,装备属性!$G$66:$G$73,1),0)</f>
        <v>彩</v>
      </c>
      <c r="C122" s="71">
        <f ca="1">OFFSET(装备属性!$D$14,MATCH(A122,装备属性!$H$15:$H$61,1),0)</f>
        <v>120</v>
      </c>
      <c r="D122" s="72">
        <f ca="1">IFERROR(MIN(MATCH(COUNTIFS($C$7:C122,C122,$B$7:B122,B122)*_xlfn.XLOOKUP(C122,装备属性!$D$15:$D$61,装备属性!$M$15:$M$61),装备产出!$Z$19:$Z$24,1),6),0)</f>
        <v>0</v>
      </c>
      <c r="E122" s="45" t="e">
        <f>MATCH(A122,装备属性!$AD$520:$AD$819,1)</f>
        <v>#N/A</v>
      </c>
      <c r="F122" s="73" t="e" cm="1">
        <f ca="1" t="array" ref="F122">_xlfn.XLOOKUP(B122&amp;C122,装备属性!$G$90:$G$466&amp;装备属性!$E$90:$E$466,装备属性!$I$90:$I$466)*D122+_xlfn.XLOOKUP(B122&amp;MAX(C122-10,1),装备属性!$G$90:$G$466&amp;装备属性!$E$90:$E$466,装备属性!$I$90:$I$466)*(6-D122)+_xlfn.XLOOKUP(B122&amp;C122,装备属性!$P$919:$P$955&amp;装备属性!$N$919:$N$955,装备属性!$R$919:$R$955)*D122*0.5+_xlfn.XLOOKUP(B122&amp;(MAX(C122-10,1)),装备属性!$P$919:$P$955&amp;装备属性!$N$919:$N$955,装备属性!$R$919:$R$955)*(6-D122)*0.5+_xlfn.XLOOKUP(E122,装备属性!$D$520:$D$819,装备属性!$I$520:$I$819)*6</f>
        <v>#N/A</v>
      </c>
      <c r="G122" s="73"/>
      <c r="H122" s="74"/>
      <c r="I122" s="74"/>
      <c r="J122" s="74"/>
      <c r="K122" s="56"/>
      <c r="L122" s="56"/>
      <c r="M122" s="56"/>
      <c r="N122" s="74"/>
      <c r="O122" s="74"/>
      <c r="P122" s="74"/>
    </row>
    <row r="123" ht="16.5" spans="1:16">
      <c r="A123" s="70">
        <v>117</v>
      </c>
      <c r="B123" s="45" t="str">
        <f ca="1">OFFSET(装备属性!$D$65,MATCH(A123,装备属性!$G$66:$G$73,1),0)</f>
        <v>彩</v>
      </c>
      <c r="C123" s="71">
        <f ca="1">OFFSET(装备属性!$D$14,MATCH(A123,装备属性!$H$15:$H$61,1),0)</f>
        <v>120</v>
      </c>
      <c r="D123" s="72">
        <f ca="1">IFERROR(MIN(MATCH(COUNTIFS($C$7:C123,C123,$B$7:B123,B123)*_xlfn.XLOOKUP(C123,装备属性!$D$15:$D$61,装备属性!$M$15:$M$61),装备产出!$Z$19:$Z$24,1),6),0)</f>
        <v>1</v>
      </c>
      <c r="E123" s="45" t="e">
        <f>MATCH(A123,装备属性!$AD$520:$AD$819,1)</f>
        <v>#N/A</v>
      </c>
      <c r="F123" s="73" t="e" cm="1">
        <f ca="1" t="array" ref="F123">_xlfn.XLOOKUP(B123&amp;C123,装备属性!$G$90:$G$466&amp;装备属性!$E$90:$E$466,装备属性!$I$90:$I$466)*D123+_xlfn.XLOOKUP(B123&amp;MAX(C123-10,1),装备属性!$G$90:$G$466&amp;装备属性!$E$90:$E$466,装备属性!$I$90:$I$466)*(6-D123)+_xlfn.XLOOKUP(B123&amp;C123,装备属性!$P$919:$P$955&amp;装备属性!$N$919:$N$955,装备属性!$R$919:$R$955)*D123*0.5+_xlfn.XLOOKUP(B123&amp;(MAX(C123-10,1)),装备属性!$P$919:$P$955&amp;装备属性!$N$919:$N$955,装备属性!$R$919:$R$955)*(6-D123)*0.5+_xlfn.XLOOKUP(E123,装备属性!$D$520:$D$819,装备属性!$I$520:$I$819)*6</f>
        <v>#N/A</v>
      </c>
      <c r="G123" s="73"/>
      <c r="H123" s="74"/>
      <c r="I123" s="74"/>
      <c r="J123" s="74"/>
      <c r="K123" s="56"/>
      <c r="L123" s="56"/>
      <c r="M123" s="56"/>
      <c r="N123" s="74"/>
      <c r="O123" s="74"/>
      <c r="P123" s="74"/>
    </row>
    <row r="124" ht="16.5" spans="1:16">
      <c r="A124" s="70">
        <v>118</v>
      </c>
      <c r="B124" s="45" t="str">
        <f ca="1">OFFSET(装备属性!$D$65,MATCH(A124,装备属性!$G$66:$G$73,1),0)</f>
        <v>彩</v>
      </c>
      <c r="C124" s="71">
        <f ca="1">OFFSET(装备属性!$D$14,MATCH(A124,装备属性!$H$15:$H$61,1),0)</f>
        <v>120</v>
      </c>
      <c r="D124" s="72">
        <f ca="1">IFERROR(MIN(MATCH(COUNTIFS($C$7:C124,C124,$B$7:B124,B124)*_xlfn.XLOOKUP(C124,装备属性!$D$15:$D$61,装备属性!$M$15:$M$61),装备产出!$Z$19:$Z$24,1),6),0)</f>
        <v>1</v>
      </c>
      <c r="E124" s="45" t="e">
        <f>MATCH(A124,装备属性!$AD$520:$AD$819,1)</f>
        <v>#N/A</v>
      </c>
      <c r="F124" s="73" t="e" cm="1">
        <f ca="1" t="array" ref="F124">_xlfn.XLOOKUP(B124&amp;C124,装备属性!$G$90:$G$466&amp;装备属性!$E$90:$E$466,装备属性!$I$90:$I$466)*D124+_xlfn.XLOOKUP(B124&amp;MAX(C124-10,1),装备属性!$G$90:$G$466&amp;装备属性!$E$90:$E$466,装备属性!$I$90:$I$466)*(6-D124)+_xlfn.XLOOKUP(B124&amp;C124,装备属性!$P$919:$P$955&amp;装备属性!$N$919:$N$955,装备属性!$R$919:$R$955)*D124*0.5+_xlfn.XLOOKUP(B124&amp;(MAX(C124-10,1)),装备属性!$P$919:$P$955&amp;装备属性!$N$919:$N$955,装备属性!$R$919:$R$955)*(6-D124)*0.5+_xlfn.XLOOKUP(E124,装备属性!$D$520:$D$819,装备属性!$I$520:$I$819)*6</f>
        <v>#N/A</v>
      </c>
      <c r="G124" s="73"/>
      <c r="H124" s="74"/>
      <c r="I124" s="74"/>
      <c r="J124" s="74"/>
      <c r="K124" s="56"/>
      <c r="L124" s="56"/>
      <c r="M124" s="56"/>
      <c r="N124" s="74"/>
      <c r="O124" s="74"/>
      <c r="P124" s="74"/>
    </row>
    <row r="125" ht="16.5" spans="1:16">
      <c r="A125" s="70">
        <v>119</v>
      </c>
      <c r="B125" s="45" t="str">
        <f ca="1">OFFSET(装备属性!$D$65,MATCH(A125,装备属性!$G$66:$G$73,1),0)</f>
        <v>彩</v>
      </c>
      <c r="C125" s="71">
        <f ca="1">OFFSET(装备属性!$D$14,MATCH(A125,装备属性!$H$15:$H$61,1),0)</f>
        <v>120</v>
      </c>
      <c r="D125" s="72">
        <f ca="1">IFERROR(MIN(MATCH(COUNTIFS($C$7:C125,C125,$B$7:B125,B125)*_xlfn.XLOOKUP(C125,装备属性!$D$15:$D$61,装备属性!$M$15:$M$61),装备产出!$Z$19:$Z$24,1),6),0)</f>
        <v>1</v>
      </c>
      <c r="E125" s="45" t="e">
        <f>MATCH(A125,装备属性!$AD$520:$AD$819,1)</f>
        <v>#N/A</v>
      </c>
      <c r="F125" s="73" t="e" cm="1">
        <f ca="1" t="array" ref="F125">_xlfn.XLOOKUP(B125&amp;C125,装备属性!$G$90:$G$466&amp;装备属性!$E$90:$E$466,装备属性!$I$90:$I$466)*D125+_xlfn.XLOOKUP(B125&amp;MAX(C125-10,1),装备属性!$G$90:$G$466&amp;装备属性!$E$90:$E$466,装备属性!$I$90:$I$466)*(6-D125)+_xlfn.XLOOKUP(B125&amp;C125,装备属性!$P$919:$P$955&amp;装备属性!$N$919:$N$955,装备属性!$R$919:$R$955)*D125*0.5+_xlfn.XLOOKUP(B125&amp;(MAX(C125-10,1)),装备属性!$P$919:$P$955&amp;装备属性!$N$919:$N$955,装备属性!$R$919:$R$955)*(6-D125)*0.5+_xlfn.XLOOKUP(E125,装备属性!$D$520:$D$819,装备属性!$I$520:$I$819)*6</f>
        <v>#N/A</v>
      </c>
      <c r="G125" s="73"/>
      <c r="H125" s="74"/>
      <c r="I125" s="74"/>
      <c r="J125" s="74"/>
      <c r="K125" s="56"/>
      <c r="L125" s="56"/>
      <c r="M125" s="56"/>
      <c r="N125" s="74"/>
      <c r="O125" s="74"/>
      <c r="P125" s="74"/>
    </row>
    <row r="126" ht="16.5" spans="1:16">
      <c r="A126" s="70">
        <v>120</v>
      </c>
      <c r="B126" s="45" t="str">
        <f ca="1">OFFSET(装备属性!$D$65,MATCH(A126,装备属性!$G$66:$G$73,1),0)</f>
        <v>彩</v>
      </c>
      <c r="C126" s="71">
        <f ca="1">OFFSET(装备属性!$D$14,MATCH(A126,装备属性!$H$15:$H$61,1),0)</f>
        <v>120</v>
      </c>
      <c r="D126" s="72">
        <f ca="1">IFERROR(MIN(MATCH(COUNTIFS($C$7:C126,C126,$B$7:B126,B126)*_xlfn.XLOOKUP(C126,装备属性!$D$15:$D$61,装备属性!$M$15:$M$61),装备产出!$Z$19:$Z$24,1),6),0)</f>
        <v>1</v>
      </c>
      <c r="E126" s="45" t="e">
        <f>MATCH(A126,装备属性!$AD$520:$AD$819,1)</f>
        <v>#N/A</v>
      </c>
      <c r="F126" s="73" t="e" cm="1">
        <f ca="1" t="array" ref="F126">_xlfn.XLOOKUP(B126&amp;C126,装备属性!$G$90:$G$466&amp;装备属性!$E$90:$E$466,装备属性!$I$90:$I$466)*D126+_xlfn.XLOOKUP(B126&amp;MAX(C126-10,1),装备属性!$G$90:$G$466&amp;装备属性!$E$90:$E$466,装备属性!$I$90:$I$466)*(6-D126)+_xlfn.XLOOKUP(B126&amp;C126,装备属性!$P$919:$P$955&amp;装备属性!$N$919:$N$955,装备属性!$R$919:$R$955)*D126*0.5+_xlfn.XLOOKUP(B126&amp;(MAX(C126-10,1)),装备属性!$P$919:$P$955&amp;装备属性!$N$919:$N$955,装备属性!$R$919:$R$955)*(6-D126)*0.5+_xlfn.XLOOKUP(E126,装备属性!$D$520:$D$819,装备属性!$I$520:$I$819)*6</f>
        <v>#N/A</v>
      </c>
      <c r="G126" s="73"/>
      <c r="H126" s="74"/>
      <c r="I126" s="74"/>
      <c r="J126" s="74"/>
      <c r="K126" s="56"/>
      <c r="L126" s="56"/>
      <c r="M126" s="56"/>
      <c r="N126" s="74"/>
      <c r="O126" s="74"/>
      <c r="P126" s="74"/>
    </row>
    <row r="127" ht="16.5" spans="1:16">
      <c r="A127" s="70">
        <v>121</v>
      </c>
      <c r="B127" s="45" t="str">
        <f ca="1">OFFSET(装备属性!$D$65,MATCH(A127,装备属性!$G$66:$G$73,1),0)</f>
        <v>彩</v>
      </c>
      <c r="C127" s="71">
        <f ca="1">OFFSET(装备属性!$D$14,MATCH(A127,装备属性!$H$15:$H$61,1),0)</f>
        <v>120</v>
      </c>
      <c r="D127" s="72">
        <f ca="1">IFERROR(MIN(MATCH(COUNTIFS($C$7:C127,C127,$B$7:B127,B127)*_xlfn.XLOOKUP(C127,装备属性!$D$15:$D$61,装备属性!$M$15:$M$61),装备产出!$Z$19:$Z$24,1),6),0)</f>
        <v>1</v>
      </c>
      <c r="E127" s="45" t="e">
        <f>MATCH(A127,装备属性!$AD$520:$AD$819,1)</f>
        <v>#N/A</v>
      </c>
      <c r="F127" s="73" t="e" cm="1">
        <f ca="1" t="array" ref="F127">_xlfn.XLOOKUP(B127&amp;C127,装备属性!$G$90:$G$466&amp;装备属性!$E$90:$E$466,装备属性!$I$90:$I$466)*D127+_xlfn.XLOOKUP(B127&amp;MAX(C127-10,1),装备属性!$G$90:$G$466&amp;装备属性!$E$90:$E$466,装备属性!$I$90:$I$466)*(6-D127)+_xlfn.XLOOKUP(B127&amp;C127,装备属性!$P$919:$P$955&amp;装备属性!$N$919:$N$955,装备属性!$R$919:$R$955)*D127*0.5+_xlfn.XLOOKUP(B127&amp;(MAX(C127-10,1)),装备属性!$P$919:$P$955&amp;装备属性!$N$919:$N$955,装备属性!$R$919:$R$955)*(6-D127)*0.5+_xlfn.XLOOKUP(E127,装备属性!$D$520:$D$819,装备属性!$I$520:$I$819)*6</f>
        <v>#N/A</v>
      </c>
      <c r="G127" s="73"/>
      <c r="H127" s="74"/>
      <c r="I127" s="74"/>
      <c r="J127" s="74"/>
      <c r="K127" s="56"/>
      <c r="L127" s="56"/>
      <c r="M127" s="56"/>
      <c r="N127" s="74"/>
      <c r="O127" s="74"/>
      <c r="P127" s="74"/>
    </row>
    <row r="128" ht="16.5" spans="1:16">
      <c r="A128" s="70">
        <v>122</v>
      </c>
      <c r="B128" s="45" t="str">
        <f ca="1">OFFSET(装备属性!$D$65,MATCH(A128,装备属性!$G$66:$G$73,1),0)</f>
        <v>彩</v>
      </c>
      <c r="C128" s="71">
        <f ca="1">OFFSET(装备属性!$D$14,MATCH(A128,装备属性!$H$15:$H$61,1),0)</f>
        <v>125</v>
      </c>
      <c r="D128" s="72">
        <f ca="1">IFERROR(MIN(MATCH(COUNTIFS($C$7:C128,C128,$B$7:B128,B128)*_xlfn.XLOOKUP(C128,装备属性!$D$15:$D$61,装备属性!$M$15:$M$61),装备产出!$Z$19:$Z$24,1),6),0)</f>
        <v>0</v>
      </c>
      <c r="E128" s="45" t="e">
        <f>MATCH(A128,装备属性!$AD$520:$AD$819,1)</f>
        <v>#N/A</v>
      </c>
      <c r="F128" s="73" t="e" cm="1">
        <f ca="1" t="array" ref="F128">_xlfn.XLOOKUP(B128&amp;C128,装备属性!$G$90:$G$466&amp;装备属性!$E$90:$E$466,装备属性!$I$90:$I$466)*D128+_xlfn.XLOOKUP(B128&amp;MAX(C128-10,1),装备属性!$G$90:$G$466&amp;装备属性!$E$90:$E$466,装备属性!$I$90:$I$466)*(6-D128)+_xlfn.XLOOKUP(B128&amp;C128,装备属性!$P$919:$P$955&amp;装备属性!$N$919:$N$955,装备属性!$R$919:$R$955)*D128*0.5+_xlfn.XLOOKUP(B128&amp;(MAX(C128-10,1)),装备属性!$P$919:$P$955&amp;装备属性!$N$919:$N$955,装备属性!$R$919:$R$955)*(6-D128)*0.5+_xlfn.XLOOKUP(E128,装备属性!$D$520:$D$819,装备属性!$I$520:$I$819)*6</f>
        <v>#N/A</v>
      </c>
      <c r="G128" s="73"/>
      <c r="H128" s="74"/>
      <c r="I128" s="74"/>
      <c r="J128" s="74"/>
      <c r="K128" s="56"/>
      <c r="L128" s="56"/>
      <c r="M128" s="56"/>
      <c r="N128" s="74"/>
      <c r="O128" s="74"/>
      <c r="P128" s="74"/>
    </row>
    <row r="129" ht="16.5" spans="1:16">
      <c r="A129" s="70">
        <v>123</v>
      </c>
      <c r="B129" s="45" t="str">
        <f ca="1">OFFSET(装备属性!$D$65,MATCH(A129,装备属性!$G$66:$G$73,1),0)</f>
        <v>彩</v>
      </c>
      <c r="C129" s="71">
        <f ca="1">OFFSET(装备属性!$D$14,MATCH(A129,装备属性!$H$15:$H$61,1),0)</f>
        <v>125</v>
      </c>
      <c r="D129" s="72">
        <f ca="1">IFERROR(MIN(MATCH(COUNTIFS($C$7:C129,C129,$B$7:B129,B129)*_xlfn.XLOOKUP(C129,装备属性!$D$15:$D$61,装备属性!$M$15:$M$61),装备产出!$Z$19:$Z$24,1),6),0)</f>
        <v>0</v>
      </c>
      <c r="E129" s="45" t="e">
        <f>MATCH(A129,装备属性!$AD$520:$AD$819,1)</f>
        <v>#N/A</v>
      </c>
      <c r="F129" s="73" t="e" cm="1">
        <f ca="1" t="array" ref="F129">_xlfn.XLOOKUP(B129&amp;C129,装备属性!$G$90:$G$466&amp;装备属性!$E$90:$E$466,装备属性!$I$90:$I$466)*D129+_xlfn.XLOOKUP(B129&amp;MAX(C129-10,1),装备属性!$G$90:$G$466&amp;装备属性!$E$90:$E$466,装备属性!$I$90:$I$466)*(6-D129)+_xlfn.XLOOKUP(B129&amp;C129,装备属性!$P$919:$P$955&amp;装备属性!$N$919:$N$955,装备属性!$R$919:$R$955)*D129*0.5+_xlfn.XLOOKUP(B129&amp;(MAX(C129-10,1)),装备属性!$P$919:$P$955&amp;装备属性!$N$919:$N$955,装备属性!$R$919:$R$955)*(6-D129)*0.5+_xlfn.XLOOKUP(E129,装备属性!$D$520:$D$819,装备属性!$I$520:$I$819)*6</f>
        <v>#N/A</v>
      </c>
      <c r="G129" s="73"/>
      <c r="H129" s="74"/>
      <c r="I129" s="74"/>
      <c r="J129" s="74"/>
      <c r="K129" s="56"/>
      <c r="L129" s="56"/>
      <c r="M129" s="56"/>
      <c r="N129" s="74"/>
      <c r="O129" s="74"/>
      <c r="P129" s="74"/>
    </row>
    <row r="130" ht="16.5" spans="1:16">
      <c r="A130" s="70">
        <v>124</v>
      </c>
      <c r="B130" s="45" t="str">
        <f ca="1">OFFSET(装备属性!$D$65,MATCH(A130,装备属性!$G$66:$G$73,1),0)</f>
        <v>彩</v>
      </c>
      <c r="C130" s="71">
        <f ca="1">OFFSET(装备属性!$D$14,MATCH(A130,装备属性!$H$15:$H$61,1),0)</f>
        <v>125</v>
      </c>
      <c r="D130" s="72">
        <f ca="1">IFERROR(MIN(MATCH(COUNTIFS($C$7:C130,C130,$B$7:B130,B130)*_xlfn.XLOOKUP(C130,装备属性!$D$15:$D$61,装备属性!$M$15:$M$61),装备产出!$Z$19:$Z$24,1),6),0)</f>
        <v>0</v>
      </c>
      <c r="E130" s="45" t="e">
        <f>MATCH(A130,装备属性!$AD$520:$AD$819,1)</f>
        <v>#N/A</v>
      </c>
      <c r="F130" s="73" t="e" cm="1">
        <f ca="1" t="array" ref="F130">_xlfn.XLOOKUP(B130&amp;C130,装备属性!$G$90:$G$466&amp;装备属性!$E$90:$E$466,装备属性!$I$90:$I$466)*D130+_xlfn.XLOOKUP(B130&amp;MAX(C130-10,1),装备属性!$G$90:$G$466&amp;装备属性!$E$90:$E$466,装备属性!$I$90:$I$466)*(6-D130)+_xlfn.XLOOKUP(B130&amp;C130,装备属性!$P$919:$P$955&amp;装备属性!$N$919:$N$955,装备属性!$R$919:$R$955)*D130*0.5+_xlfn.XLOOKUP(B130&amp;(MAX(C130-10,1)),装备属性!$P$919:$P$955&amp;装备属性!$N$919:$N$955,装备属性!$R$919:$R$955)*(6-D130)*0.5+_xlfn.XLOOKUP(E130,装备属性!$D$520:$D$819,装备属性!$I$520:$I$819)*6</f>
        <v>#N/A</v>
      </c>
      <c r="G130" s="73"/>
      <c r="H130" s="74"/>
      <c r="I130" s="74"/>
      <c r="J130" s="74"/>
      <c r="K130" s="56"/>
      <c r="L130" s="56"/>
      <c r="M130" s="56"/>
      <c r="N130" s="74"/>
      <c r="O130" s="74"/>
      <c r="P130" s="74"/>
    </row>
    <row r="131" ht="16.5" spans="1:16">
      <c r="A131" s="70">
        <v>125</v>
      </c>
      <c r="B131" s="45" t="str">
        <f ca="1">OFFSET(装备属性!$D$65,MATCH(A131,装备属性!$G$66:$G$73,1),0)</f>
        <v>彩</v>
      </c>
      <c r="C131" s="71">
        <f ca="1">OFFSET(装备属性!$D$14,MATCH(A131,装备属性!$H$15:$H$61,1),0)</f>
        <v>125</v>
      </c>
      <c r="D131" s="72">
        <f ca="1">IFERROR(MIN(MATCH(COUNTIFS($C$7:C131,C131,$B$7:B131,B131)*_xlfn.XLOOKUP(C131,装备属性!$D$15:$D$61,装备属性!$M$15:$M$61),装备产出!$Z$19:$Z$24,1),6),0)</f>
        <v>0</v>
      </c>
      <c r="E131" s="45" t="e">
        <f>MATCH(A131,装备属性!$AD$520:$AD$819,1)</f>
        <v>#N/A</v>
      </c>
      <c r="F131" s="73" t="e" cm="1">
        <f ca="1" t="array" ref="F131">_xlfn.XLOOKUP(B131&amp;C131,装备属性!$G$90:$G$466&amp;装备属性!$E$90:$E$466,装备属性!$I$90:$I$466)*D131+_xlfn.XLOOKUP(B131&amp;MAX(C131-10,1),装备属性!$G$90:$G$466&amp;装备属性!$E$90:$E$466,装备属性!$I$90:$I$466)*(6-D131)+_xlfn.XLOOKUP(B131&amp;C131,装备属性!$P$919:$P$955&amp;装备属性!$N$919:$N$955,装备属性!$R$919:$R$955)*D131*0.5+_xlfn.XLOOKUP(B131&amp;(MAX(C131-10,1)),装备属性!$P$919:$P$955&amp;装备属性!$N$919:$N$955,装备属性!$R$919:$R$955)*(6-D131)*0.5+_xlfn.XLOOKUP(E131,装备属性!$D$520:$D$819,装备属性!$I$520:$I$819)*6</f>
        <v>#N/A</v>
      </c>
      <c r="G131" s="73"/>
      <c r="H131" s="74"/>
      <c r="I131" s="74"/>
      <c r="J131" s="74"/>
      <c r="K131" s="56"/>
      <c r="L131" s="56"/>
      <c r="M131" s="56"/>
      <c r="N131" s="74"/>
      <c r="O131" s="74"/>
      <c r="P131" s="74"/>
    </row>
    <row r="132" ht="16.5" spans="1:16">
      <c r="A132" s="70">
        <v>126</v>
      </c>
      <c r="B132" s="45" t="str">
        <f ca="1">OFFSET(装备属性!$D$65,MATCH(A132,装备属性!$G$66:$G$73,1),0)</f>
        <v>彩</v>
      </c>
      <c r="C132" s="71">
        <f ca="1">OFFSET(装备属性!$D$14,MATCH(A132,装备属性!$H$15:$H$61,1),0)</f>
        <v>125</v>
      </c>
      <c r="D132" s="72">
        <f ca="1">IFERROR(MIN(MATCH(COUNTIFS($C$7:C132,C132,$B$7:B132,B132)*_xlfn.XLOOKUP(C132,装备属性!$D$15:$D$61,装备属性!$M$15:$M$61),装备产出!$Z$19:$Z$24,1),6),0)</f>
        <v>0</v>
      </c>
      <c r="E132" s="45" t="e">
        <f>MATCH(A132,装备属性!$AD$520:$AD$819,1)</f>
        <v>#N/A</v>
      </c>
      <c r="F132" s="73" t="e" cm="1">
        <f ca="1" t="array" ref="F132">_xlfn.XLOOKUP(B132&amp;C132,装备属性!$G$90:$G$466&amp;装备属性!$E$90:$E$466,装备属性!$I$90:$I$466)*D132+_xlfn.XLOOKUP(B132&amp;MAX(C132-10,1),装备属性!$G$90:$G$466&amp;装备属性!$E$90:$E$466,装备属性!$I$90:$I$466)*(6-D132)+_xlfn.XLOOKUP(B132&amp;C132,装备属性!$P$919:$P$955&amp;装备属性!$N$919:$N$955,装备属性!$R$919:$R$955)*D132*0.5+_xlfn.XLOOKUP(B132&amp;(MAX(C132-10,1)),装备属性!$P$919:$P$955&amp;装备属性!$N$919:$N$955,装备属性!$R$919:$R$955)*(6-D132)*0.5+_xlfn.XLOOKUP(E132,装备属性!$D$520:$D$819,装备属性!$I$520:$I$819)*6</f>
        <v>#N/A</v>
      </c>
      <c r="G132" s="73"/>
      <c r="H132" s="74"/>
      <c r="I132" s="74"/>
      <c r="J132" s="74"/>
      <c r="K132" s="56"/>
      <c r="L132" s="56"/>
      <c r="M132" s="56"/>
      <c r="N132" s="74"/>
      <c r="O132" s="74"/>
      <c r="P132" s="74"/>
    </row>
    <row r="133" ht="16.5" spans="1:16">
      <c r="A133" s="70">
        <v>127</v>
      </c>
      <c r="B133" s="45" t="str">
        <f ca="1">OFFSET(装备属性!$D$65,MATCH(A133,装备属性!$G$66:$G$73,1),0)</f>
        <v>彩</v>
      </c>
      <c r="C133" s="71">
        <f ca="1">OFFSET(装备属性!$D$14,MATCH(A133,装备属性!$H$15:$H$61,1),0)</f>
        <v>125</v>
      </c>
      <c r="D133" s="72">
        <f ca="1">IFERROR(MIN(MATCH(COUNTIFS($C$7:C133,C133,$B$7:B133,B133)*_xlfn.XLOOKUP(C133,装备属性!$D$15:$D$61,装备属性!$M$15:$M$61),装备产出!$Z$19:$Z$24,1),6),0)</f>
        <v>1</v>
      </c>
      <c r="E133" s="45" t="e">
        <f>MATCH(A133,装备属性!$AD$520:$AD$819,1)</f>
        <v>#N/A</v>
      </c>
      <c r="F133" s="73" t="e" cm="1">
        <f ca="1" t="array" ref="F133">_xlfn.XLOOKUP(B133&amp;C133,装备属性!$G$90:$G$466&amp;装备属性!$E$90:$E$466,装备属性!$I$90:$I$466)*D133+_xlfn.XLOOKUP(B133&amp;MAX(C133-10,1),装备属性!$G$90:$G$466&amp;装备属性!$E$90:$E$466,装备属性!$I$90:$I$466)*(6-D133)+_xlfn.XLOOKUP(B133&amp;C133,装备属性!$P$919:$P$955&amp;装备属性!$N$919:$N$955,装备属性!$R$919:$R$955)*D133*0.5+_xlfn.XLOOKUP(B133&amp;(MAX(C133-10,1)),装备属性!$P$919:$P$955&amp;装备属性!$N$919:$N$955,装备属性!$R$919:$R$955)*(6-D133)*0.5+_xlfn.XLOOKUP(E133,装备属性!$D$520:$D$819,装备属性!$I$520:$I$819)*6</f>
        <v>#N/A</v>
      </c>
      <c r="G133" s="73"/>
      <c r="H133" s="74"/>
      <c r="I133" s="74"/>
      <c r="J133" s="74"/>
      <c r="K133" s="56"/>
      <c r="L133" s="56"/>
      <c r="M133" s="56"/>
      <c r="N133" s="74"/>
      <c r="O133" s="74"/>
      <c r="P133" s="74"/>
    </row>
    <row r="134" ht="16.5" spans="1:16">
      <c r="A134" s="70">
        <v>128</v>
      </c>
      <c r="B134" s="45" t="str">
        <f ca="1">OFFSET(装备属性!$D$65,MATCH(A134,装备属性!$G$66:$G$73,1),0)</f>
        <v>彩</v>
      </c>
      <c r="C134" s="71">
        <f ca="1">OFFSET(装备属性!$D$14,MATCH(A134,装备属性!$H$15:$H$61,1),0)</f>
        <v>125</v>
      </c>
      <c r="D134" s="72">
        <f ca="1">IFERROR(MIN(MATCH(COUNTIFS($C$7:C134,C134,$B$7:B134,B134)*_xlfn.XLOOKUP(C134,装备属性!$D$15:$D$61,装备属性!$M$15:$M$61),装备产出!$Z$19:$Z$24,1),6),0)</f>
        <v>1</v>
      </c>
      <c r="E134" s="45" t="e">
        <f>MATCH(A134,装备属性!$AD$520:$AD$819,1)</f>
        <v>#N/A</v>
      </c>
      <c r="F134" s="73" t="e" cm="1">
        <f ca="1" t="array" ref="F134">_xlfn.XLOOKUP(B134&amp;C134,装备属性!$G$90:$G$466&amp;装备属性!$E$90:$E$466,装备属性!$I$90:$I$466)*D134+_xlfn.XLOOKUP(B134&amp;MAX(C134-10,1),装备属性!$G$90:$G$466&amp;装备属性!$E$90:$E$466,装备属性!$I$90:$I$466)*(6-D134)+_xlfn.XLOOKUP(B134&amp;C134,装备属性!$P$919:$P$955&amp;装备属性!$N$919:$N$955,装备属性!$R$919:$R$955)*D134*0.5+_xlfn.XLOOKUP(B134&amp;(MAX(C134-10,1)),装备属性!$P$919:$P$955&amp;装备属性!$N$919:$N$955,装备属性!$R$919:$R$955)*(6-D134)*0.5+_xlfn.XLOOKUP(E134,装备属性!$D$520:$D$819,装备属性!$I$520:$I$819)*6</f>
        <v>#N/A</v>
      </c>
      <c r="G134" s="73"/>
      <c r="H134" s="74"/>
      <c r="I134" s="74"/>
      <c r="J134" s="74"/>
      <c r="K134" s="56"/>
      <c r="L134" s="56"/>
      <c r="M134" s="56"/>
      <c r="N134" s="74"/>
      <c r="O134" s="74"/>
      <c r="P134" s="74"/>
    </row>
    <row r="135" ht="16.5" spans="1:16">
      <c r="A135" s="70">
        <v>129</v>
      </c>
      <c r="B135" s="45" t="str">
        <f ca="1">OFFSET(装备属性!$D$65,MATCH(A135,装备属性!$G$66:$G$73,1),0)</f>
        <v>彩</v>
      </c>
      <c r="C135" s="71">
        <f ca="1">OFFSET(装备属性!$D$14,MATCH(A135,装备属性!$H$15:$H$61,1),0)</f>
        <v>125</v>
      </c>
      <c r="D135" s="72">
        <f ca="1">IFERROR(MIN(MATCH(COUNTIFS($C$7:C135,C135,$B$7:B135,B135)*_xlfn.XLOOKUP(C135,装备属性!$D$15:$D$61,装备属性!$M$15:$M$61),装备产出!$Z$19:$Z$24,1),6),0)</f>
        <v>1</v>
      </c>
      <c r="E135" s="45" t="e">
        <f>MATCH(A135,装备属性!$AD$520:$AD$819,1)</f>
        <v>#N/A</v>
      </c>
      <c r="F135" s="73" t="e" cm="1">
        <f ca="1" t="array" ref="F135">_xlfn.XLOOKUP(B135&amp;C135,装备属性!$G$90:$G$466&amp;装备属性!$E$90:$E$466,装备属性!$I$90:$I$466)*D135+_xlfn.XLOOKUP(B135&amp;MAX(C135-10,1),装备属性!$G$90:$G$466&amp;装备属性!$E$90:$E$466,装备属性!$I$90:$I$466)*(6-D135)+_xlfn.XLOOKUP(B135&amp;C135,装备属性!$P$919:$P$955&amp;装备属性!$N$919:$N$955,装备属性!$R$919:$R$955)*D135*0.5+_xlfn.XLOOKUP(B135&amp;(MAX(C135-10,1)),装备属性!$P$919:$P$955&amp;装备属性!$N$919:$N$955,装备属性!$R$919:$R$955)*(6-D135)*0.5+_xlfn.XLOOKUP(E135,装备属性!$D$520:$D$819,装备属性!$I$520:$I$819)*6</f>
        <v>#N/A</v>
      </c>
      <c r="G135" s="73"/>
      <c r="H135" s="74"/>
      <c r="I135" s="74"/>
      <c r="J135" s="74"/>
      <c r="K135" s="56"/>
      <c r="L135" s="56"/>
      <c r="M135" s="56"/>
      <c r="N135" s="74"/>
      <c r="O135" s="74"/>
      <c r="P135" s="74"/>
    </row>
    <row r="136" ht="16.5" spans="1:16">
      <c r="A136" s="70">
        <v>130</v>
      </c>
      <c r="B136" s="45" t="str">
        <f ca="1">OFFSET(装备属性!$D$65,MATCH(A136,装备属性!$G$66:$G$73,1),0)</f>
        <v>彩</v>
      </c>
      <c r="C136" s="71">
        <f ca="1">OFFSET(装备属性!$D$14,MATCH(A136,装备属性!$H$15:$H$61,1),0)</f>
        <v>125</v>
      </c>
      <c r="D136" s="72">
        <f ca="1">IFERROR(MIN(MATCH(COUNTIFS($C$7:C136,C136,$B$7:B136,B136)*_xlfn.XLOOKUP(C136,装备属性!$D$15:$D$61,装备属性!$M$15:$M$61),装备产出!$Z$19:$Z$24,1),6),0)</f>
        <v>1</v>
      </c>
      <c r="E136" s="45" t="e">
        <f>MATCH(A136,装备属性!$AD$520:$AD$819,1)</f>
        <v>#N/A</v>
      </c>
      <c r="F136" s="73" t="e" cm="1">
        <f ca="1" t="array" ref="F136">_xlfn.XLOOKUP(B136&amp;C136,装备属性!$G$90:$G$466&amp;装备属性!$E$90:$E$466,装备属性!$I$90:$I$466)*D136+_xlfn.XLOOKUP(B136&amp;MAX(C136-10,1),装备属性!$G$90:$G$466&amp;装备属性!$E$90:$E$466,装备属性!$I$90:$I$466)*(6-D136)+_xlfn.XLOOKUP(B136&amp;C136,装备属性!$P$919:$P$955&amp;装备属性!$N$919:$N$955,装备属性!$R$919:$R$955)*D136*0.5+_xlfn.XLOOKUP(B136&amp;(MAX(C136-10,1)),装备属性!$P$919:$P$955&amp;装备属性!$N$919:$N$955,装备属性!$R$919:$R$955)*(6-D136)*0.5+_xlfn.XLOOKUP(E136,装备属性!$D$520:$D$819,装备属性!$I$520:$I$819)*6</f>
        <v>#N/A</v>
      </c>
      <c r="G136" s="73"/>
      <c r="H136" s="74"/>
      <c r="I136" s="74"/>
      <c r="J136" s="74"/>
      <c r="K136" s="56"/>
      <c r="L136" s="56"/>
      <c r="M136" s="56"/>
      <c r="N136" s="74"/>
      <c r="O136" s="74"/>
      <c r="P136" s="74"/>
    </row>
    <row r="137" ht="16.5" spans="1:16">
      <c r="A137" s="70">
        <v>131</v>
      </c>
      <c r="B137" s="45" t="str">
        <f ca="1">OFFSET(装备属性!$D$65,MATCH(A137,装备属性!$G$66:$G$73,1),0)</f>
        <v>彩</v>
      </c>
      <c r="C137" s="71">
        <f ca="1">OFFSET(装备属性!$D$14,MATCH(A137,装备属性!$H$15:$H$61,1),0)</f>
        <v>125</v>
      </c>
      <c r="D137" s="72">
        <f ca="1">IFERROR(MIN(MATCH(COUNTIFS($C$7:C137,C137,$B$7:B137,B137)*_xlfn.XLOOKUP(C137,装备属性!$D$15:$D$61,装备属性!$M$15:$M$61),装备产出!$Z$19:$Z$24,1),6),0)</f>
        <v>1</v>
      </c>
      <c r="E137" s="45" t="e">
        <f>MATCH(A137,装备属性!$AD$520:$AD$819,1)</f>
        <v>#N/A</v>
      </c>
      <c r="F137" s="73" t="e" cm="1">
        <f ca="1" t="array" ref="F137">_xlfn.XLOOKUP(B137&amp;C137,装备属性!$G$90:$G$466&amp;装备属性!$E$90:$E$466,装备属性!$I$90:$I$466)*D137+_xlfn.XLOOKUP(B137&amp;MAX(C137-10,1),装备属性!$G$90:$G$466&amp;装备属性!$E$90:$E$466,装备属性!$I$90:$I$466)*(6-D137)+_xlfn.XLOOKUP(B137&amp;C137,装备属性!$P$919:$P$955&amp;装备属性!$N$919:$N$955,装备属性!$R$919:$R$955)*D137*0.5+_xlfn.XLOOKUP(B137&amp;(MAX(C137-10,1)),装备属性!$P$919:$P$955&amp;装备属性!$N$919:$N$955,装备属性!$R$919:$R$955)*(6-D137)*0.5+_xlfn.XLOOKUP(E137,装备属性!$D$520:$D$819,装备属性!$I$520:$I$819)*6</f>
        <v>#N/A</v>
      </c>
      <c r="G137" s="73"/>
      <c r="H137" s="74"/>
      <c r="I137" s="74"/>
      <c r="J137" s="74"/>
      <c r="K137" s="56"/>
      <c r="L137" s="56"/>
      <c r="M137" s="56"/>
      <c r="N137" s="74"/>
      <c r="O137" s="74"/>
      <c r="P137" s="74"/>
    </row>
    <row r="138" ht="16.5" spans="1:16">
      <c r="A138" s="70">
        <v>132</v>
      </c>
      <c r="B138" s="45" t="str">
        <f ca="1">OFFSET(装备属性!$D$65,MATCH(A138,装备属性!$G$66:$G$73,1),0)</f>
        <v>彩</v>
      </c>
      <c r="C138" s="71">
        <f ca="1">OFFSET(装备属性!$D$14,MATCH(A138,装备属性!$H$15:$H$61,1),0)</f>
        <v>130</v>
      </c>
      <c r="D138" s="72">
        <f ca="1">IFERROR(MIN(MATCH(COUNTIFS($C$7:C138,C138,$B$7:B138,B138)*_xlfn.XLOOKUP(C138,装备属性!$D$15:$D$61,装备属性!$M$15:$M$61),装备产出!$Z$19:$Z$24,1),6),0)</f>
        <v>0</v>
      </c>
      <c r="E138" s="45" t="e">
        <f>MATCH(A138,装备属性!$AD$520:$AD$819,1)</f>
        <v>#N/A</v>
      </c>
      <c r="F138" s="73" t="e" cm="1">
        <f ca="1" t="array" ref="F138">_xlfn.XLOOKUP(B138&amp;C138,装备属性!$G$90:$G$466&amp;装备属性!$E$90:$E$466,装备属性!$I$90:$I$466)*D138+_xlfn.XLOOKUP(B138&amp;MAX(C138-10,1),装备属性!$G$90:$G$466&amp;装备属性!$E$90:$E$466,装备属性!$I$90:$I$466)*(6-D138)+_xlfn.XLOOKUP(B138&amp;C138,装备属性!$P$919:$P$955&amp;装备属性!$N$919:$N$955,装备属性!$R$919:$R$955)*D138*0.5+_xlfn.XLOOKUP(B138&amp;(MAX(C138-10,1)),装备属性!$P$919:$P$955&amp;装备属性!$N$919:$N$955,装备属性!$R$919:$R$955)*(6-D138)*0.5+_xlfn.XLOOKUP(E138,装备属性!$D$520:$D$819,装备属性!$I$520:$I$819)*6</f>
        <v>#N/A</v>
      </c>
      <c r="G138" s="73"/>
      <c r="H138" s="74"/>
      <c r="I138" s="74"/>
      <c r="J138" s="74"/>
      <c r="K138" s="56"/>
      <c r="L138" s="56"/>
      <c r="M138" s="56"/>
      <c r="N138" s="74"/>
      <c r="O138" s="74"/>
      <c r="P138" s="74"/>
    </row>
    <row r="139" ht="16.5" spans="1:16">
      <c r="A139" s="70">
        <v>133</v>
      </c>
      <c r="B139" s="45" t="str">
        <f ca="1">OFFSET(装备属性!$D$65,MATCH(A139,装备属性!$G$66:$G$73,1),0)</f>
        <v>彩</v>
      </c>
      <c r="C139" s="71">
        <f ca="1">OFFSET(装备属性!$D$14,MATCH(A139,装备属性!$H$15:$H$61,1),0)</f>
        <v>130</v>
      </c>
      <c r="D139" s="72">
        <f ca="1">IFERROR(MIN(MATCH(COUNTIFS($C$7:C139,C139,$B$7:B139,B139)*_xlfn.XLOOKUP(C139,装备属性!$D$15:$D$61,装备属性!$M$15:$M$61),装备产出!$Z$19:$Z$24,1),6),0)</f>
        <v>0</v>
      </c>
      <c r="E139" s="45" t="e">
        <f>MATCH(A139,装备属性!$AD$520:$AD$819,1)</f>
        <v>#N/A</v>
      </c>
      <c r="F139" s="73" t="e" cm="1">
        <f ca="1" t="array" ref="F139">_xlfn.XLOOKUP(B139&amp;C139,装备属性!$G$90:$G$466&amp;装备属性!$E$90:$E$466,装备属性!$I$90:$I$466)*D139+_xlfn.XLOOKUP(B139&amp;MAX(C139-10,1),装备属性!$G$90:$G$466&amp;装备属性!$E$90:$E$466,装备属性!$I$90:$I$466)*(6-D139)+_xlfn.XLOOKUP(B139&amp;C139,装备属性!$P$919:$P$955&amp;装备属性!$N$919:$N$955,装备属性!$R$919:$R$955)*D139*0.5+_xlfn.XLOOKUP(B139&amp;(MAX(C139-10,1)),装备属性!$P$919:$P$955&amp;装备属性!$N$919:$N$955,装备属性!$R$919:$R$955)*(6-D139)*0.5+_xlfn.XLOOKUP(E139,装备属性!$D$520:$D$819,装备属性!$I$520:$I$819)*6</f>
        <v>#N/A</v>
      </c>
      <c r="G139" s="73"/>
      <c r="H139" s="74"/>
      <c r="I139" s="74"/>
      <c r="J139" s="74"/>
      <c r="K139" s="56"/>
      <c r="L139" s="56"/>
      <c r="M139" s="56"/>
      <c r="N139" s="74"/>
      <c r="O139" s="74"/>
      <c r="P139" s="74"/>
    </row>
    <row r="140" ht="16.5" spans="1:16">
      <c r="A140" s="70">
        <v>134</v>
      </c>
      <c r="B140" s="45" t="str">
        <f ca="1">OFFSET(装备属性!$D$65,MATCH(A140,装备属性!$G$66:$G$73,1),0)</f>
        <v>彩</v>
      </c>
      <c r="C140" s="71">
        <f ca="1">OFFSET(装备属性!$D$14,MATCH(A140,装备属性!$H$15:$H$61,1),0)</f>
        <v>130</v>
      </c>
      <c r="D140" s="72">
        <f ca="1">IFERROR(MIN(MATCH(COUNTIFS($C$7:C140,C140,$B$7:B140,B140)*_xlfn.XLOOKUP(C140,装备属性!$D$15:$D$61,装备属性!$M$15:$M$61),装备产出!$Z$19:$Z$24,1),6),0)</f>
        <v>0</v>
      </c>
      <c r="E140" s="45" t="e">
        <f>MATCH(A140,装备属性!$AD$520:$AD$819,1)</f>
        <v>#N/A</v>
      </c>
      <c r="F140" s="73" t="e" cm="1">
        <f ca="1" t="array" ref="F140">_xlfn.XLOOKUP(B140&amp;C140,装备属性!$G$90:$G$466&amp;装备属性!$E$90:$E$466,装备属性!$I$90:$I$466)*D140+_xlfn.XLOOKUP(B140&amp;MAX(C140-10,1),装备属性!$G$90:$G$466&amp;装备属性!$E$90:$E$466,装备属性!$I$90:$I$466)*(6-D140)+_xlfn.XLOOKUP(B140&amp;C140,装备属性!$P$919:$P$955&amp;装备属性!$N$919:$N$955,装备属性!$R$919:$R$955)*D140*0.5+_xlfn.XLOOKUP(B140&amp;(MAX(C140-10,1)),装备属性!$P$919:$P$955&amp;装备属性!$N$919:$N$955,装备属性!$R$919:$R$955)*(6-D140)*0.5+_xlfn.XLOOKUP(E140,装备属性!$D$520:$D$819,装备属性!$I$520:$I$819)*6</f>
        <v>#N/A</v>
      </c>
      <c r="G140" s="73"/>
      <c r="H140" s="74"/>
      <c r="I140" s="74"/>
      <c r="J140" s="74"/>
      <c r="K140" s="56"/>
      <c r="L140" s="56"/>
      <c r="M140" s="56"/>
      <c r="N140" s="74"/>
      <c r="O140" s="74"/>
      <c r="P140" s="74"/>
    </row>
    <row r="141" ht="16.5" spans="1:16">
      <c r="A141" s="70">
        <v>135</v>
      </c>
      <c r="B141" s="45" t="str">
        <f ca="1">OFFSET(装备属性!$D$65,MATCH(A141,装备属性!$G$66:$G$73,1),0)</f>
        <v>彩</v>
      </c>
      <c r="C141" s="71">
        <f ca="1">OFFSET(装备属性!$D$14,MATCH(A141,装备属性!$H$15:$H$61,1),0)</f>
        <v>130</v>
      </c>
      <c r="D141" s="72">
        <f ca="1">IFERROR(MIN(MATCH(COUNTIFS($C$7:C141,C141,$B$7:B141,B141)*_xlfn.XLOOKUP(C141,装备属性!$D$15:$D$61,装备属性!$M$15:$M$61),装备产出!$Z$19:$Z$24,1),6),0)</f>
        <v>0</v>
      </c>
      <c r="E141" s="45" t="e">
        <f>MATCH(A141,装备属性!$AD$520:$AD$819,1)</f>
        <v>#N/A</v>
      </c>
      <c r="F141" s="73" t="e" cm="1">
        <f ca="1" t="array" ref="F141">_xlfn.XLOOKUP(B141&amp;C141,装备属性!$G$90:$G$466&amp;装备属性!$E$90:$E$466,装备属性!$I$90:$I$466)*D141+_xlfn.XLOOKUP(B141&amp;MAX(C141-10,1),装备属性!$G$90:$G$466&amp;装备属性!$E$90:$E$466,装备属性!$I$90:$I$466)*(6-D141)+_xlfn.XLOOKUP(B141&amp;C141,装备属性!$P$919:$P$955&amp;装备属性!$N$919:$N$955,装备属性!$R$919:$R$955)*D141*0.5+_xlfn.XLOOKUP(B141&amp;(MAX(C141-10,1)),装备属性!$P$919:$P$955&amp;装备属性!$N$919:$N$955,装备属性!$R$919:$R$955)*(6-D141)*0.5+_xlfn.XLOOKUP(E141,装备属性!$D$520:$D$819,装备属性!$I$520:$I$819)*6</f>
        <v>#N/A</v>
      </c>
      <c r="G141" s="73"/>
      <c r="H141" s="74"/>
      <c r="I141" s="74"/>
      <c r="J141" s="74"/>
      <c r="K141" s="56"/>
      <c r="L141" s="56"/>
      <c r="M141" s="56"/>
      <c r="N141" s="74"/>
      <c r="O141" s="74"/>
      <c r="P141" s="74"/>
    </row>
    <row r="142" ht="16.5" spans="1:16">
      <c r="A142" s="70">
        <v>136</v>
      </c>
      <c r="B142" s="45" t="str">
        <f ca="1">OFFSET(装备属性!$D$65,MATCH(A142,装备属性!$G$66:$G$73,1),0)</f>
        <v>彩</v>
      </c>
      <c r="C142" s="71">
        <f ca="1">OFFSET(装备属性!$D$14,MATCH(A142,装备属性!$H$15:$H$61,1),0)</f>
        <v>130</v>
      </c>
      <c r="D142" s="72">
        <f ca="1">IFERROR(MIN(MATCH(COUNTIFS($C$7:C142,C142,$B$7:B142,B142)*_xlfn.XLOOKUP(C142,装备属性!$D$15:$D$61,装备属性!$M$15:$M$61),装备产出!$Z$19:$Z$24,1),6),0)</f>
        <v>0</v>
      </c>
      <c r="E142" s="45" t="e">
        <f>MATCH(A142,装备属性!$AD$520:$AD$819,1)</f>
        <v>#N/A</v>
      </c>
      <c r="F142" s="73" t="e" cm="1">
        <f ca="1" t="array" ref="F142">_xlfn.XLOOKUP(B142&amp;C142,装备属性!$G$90:$G$466&amp;装备属性!$E$90:$E$466,装备属性!$I$90:$I$466)*D142+_xlfn.XLOOKUP(B142&amp;MAX(C142-10,1),装备属性!$G$90:$G$466&amp;装备属性!$E$90:$E$466,装备属性!$I$90:$I$466)*(6-D142)+_xlfn.XLOOKUP(B142&amp;C142,装备属性!$P$919:$P$955&amp;装备属性!$N$919:$N$955,装备属性!$R$919:$R$955)*D142*0.5+_xlfn.XLOOKUP(B142&amp;(MAX(C142-10,1)),装备属性!$P$919:$P$955&amp;装备属性!$N$919:$N$955,装备属性!$R$919:$R$955)*(6-D142)*0.5+_xlfn.XLOOKUP(E142,装备属性!$D$520:$D$819,装备属性!$I$520:$I$819)*6</f>
        <v>#N/A</v>
      </c>
      <c r="G142" s="73"/>
      <c r="H142" s="74"/>
      <c r="I142" s="74"/>
      <c r="J142" s="74"/>
      <c r="K142" s="56"/>
      <c r="L142" s="56"/>
      <c r="M142" s="56"/>
      <c r="N142" s="74"/>
      <c r="O142" s="74"/>
      <c r="P142" s="74"/>
    </row>
    <row r="143" ht="16.5" spans="1:16">
      <c r="A143" s="70">
        <v>137</v>
      </c>
      <c r="B143" s="45" t="str">
        <f ca="1">OFFSET(装备属性!$D$65,MATCH(A143,装备属性!$G$66:$G$73,1),0)</f>
        <v>彩</v>
      </c>
      <c r="C143" s="71">
        <f ca="1">OFFSET(装备属性!$D$14,MATCH(A143,装备属性!$H$15:$H$61,1),0)</f>
        <v>130</v>
      </c>
      <c r="D143" s="72">
        <f ca="1">IFERROR(MIN(MATCH(COUNTIFS($C$7:C143,C143,$B$7:B143,B143)*_xlfn.XLOOKUP(C143,装备属性!$D$15:$D$61,装备属性!$M$15:$M$61),装备产出!$Z$19:$Z$24,1),6),0)</f>
        <v>1</v>
      </c>
      <c r="E143" s="45" t="e">
        <f>MATCH(A143,装备属性!$AD$520:$AD$819,1)</f>
        <v>#N/A</v>
      </c>
      <c r="F143" s="73" t="e" cm="1">
        <f ca="1" t="array" ref="F143">_xlfn.XLOOKUP(B143&amp;C143,装备属性!$G$90:$G$466&amp;装备属性!$E$90:$E$466,装备属性!$I$90:$I$466)*D143+_xlfn.XLOOKUP(B143&amp;MAX(C143-10,1),装备属性!$G$90:$G$466&amp;装备属性!$E$90:$E$466,装备属性!$I$90:$I$466)*(6-D143)+_xlfn.XLOOKUP(B143&amp;C143,装备属性!$P$919:$P$955&amp;装备属性!$N$919:$N$955,装备属性!$R$919:$R$955)*D143*0.5+_xlfn.XLOOKUP(B143&amp;(MAX(C143-10,1)),装备属性!$P$919:$P$955&amp;装备属性!$N$919:$N$955,装备属性!$R$919:$R$955)*(6-D143)*0.5+_xlfn.XLOOKUP(E143,装备属性!$D$520:$D$819,装备属性!$I$520:$I$819)*6</f>
        <v>#N/A</v>
      </c>
      <c r="G143" s="73"/>
      <c r="H143" s="74"/>
      <c r="I143" s="74"/>
      <c r="J143" s="74"/>
      <c r="K143" s="56"/>
      <c r="L143" s="56"/>
      <c r="M143" s="56"/>
      <c r="N143" s="74"/>
      <c r="O143" s="74"/>
      <c r="P143" s="74"/>
    </row>
    <row r="144" ht="16.5" spans="1:16">
      <c r="A144" s="70">
        <v>138</v>
      </c>
      <c r="B144" s="45" t="str">
        <f ca="1">OFFSET(装备属性!$D$65,MATCH(A144,装备属性!$G$66:$G$73,1),0)</f>
        <v>彩</v>
      </c>
      <c r="C144" s="71">
        <f ca="1">OFFSET(装备属性!$D$14,MATCH(A144,装备属性!$H$15:$H$61,1),0)</f>
        <v>130</v>
      </c>
      <c r="D144" s="72">
        <f ca="1">IFERROR(MIN(MATCH(COUNTIFS($C$7:C144,C144,$B$7:B144,B144)*_xlfn.XLOOKUP(C144,装备属性!$D$15:$D$61,装备属性!$M$15:$M$61),装备产出!$Z$19:$Z$24,1),6),0)</f>
        <v>1</v>
      </c>
      <c r="E144" s="45" t="e">
        <f>MATCH(A144,装备属性!$AD$520:$AD$819,1)</f>
        <v>#N/A</v>
      </c>
      <c r="F144" s="73" t="e" cm="1">
        <f ca="1" t="array" ref="F144">_xlfn.XLOOKUP(B144&amp;C144,装备属性!$G$90:$G$466&amp;装备属性!$E$90:$E$466,装备属性!$I$90:$I$466)*D144+_xlfn.XLOOKUP(B144&amp;MAX(C144-10,1),装备属性!$G$90:$G$466&amp;装备属性!$E$90:$E$466,装备属性!$I$90:$I$466)*(6-D144)+_xlfn.XLOOKUP(B144&amp;C144,装备属性!$P$919:$P$955&amp;装备属性!$N$919:$N$955,装备属性!$R$919:$R$955)*D144*0.5+_xlfn.XLOOKUP(B144&amp;(MAX(C144-10,1)),装备属性!$P$919:$P$955&amp;装备属性!$N$919:$N$955,装备属性!$R$919:$R$955)*(6-D144)*0.5+_xlfn.XLOOKUP(E144,装备属性!$D$520:$D$819,装备属性!$I$520:$I$819)*6</f>
        <v>#N/A</v>
      </c>
      <c r="G144" s="73"/>
      <c r="H144" s="74"/>
      <c r="I144" s="74"/>
      <c r="J144" s="74"/>
      <c r="K144" s="56"/>
      <c r="L144" s="56"/>
      <c r="M144" s="56"/>
      <c r="N144" s="74"/>
      <c r="O144" s="74"/>
      <c r="P144" s="74"/>
    </row>
    <row r="145" ht="16.5" spans="1:16">
      <c r="A145" s="70">
        <v>139</v>
      </c>
      <c r="B145" s="45" t="str">
        <f ca="1">OFFSET(装备属性!$D$65,MATCH(A145,装备属性!$G$66:$G$73,1),0)</f>
        <v>彩</v>
      </c>
      <c r="C145" s="71">
        <f ca="1">OFFSET(装备属性!$D$14,MATCH(A145,装备属性!$H$15:$H$61,1),0)</f>
        <v>130</v>
      </c>
      <c r="D145" s="72">
        <f ca="1">IFERROR(MIN(MATCH(COUNTIFS($C$7:C145,C145,$B$7:B145,B145)*_xlfn.XLOOKUP(C145,装备属性!$D$15:$D$61,装备属性!$M$15:$M$61),装备产出!$Z$19:$Z$24,1),6),0)</f>
        <v>1</v>
      </c>
      <c r="E145" s="45" t="e">
        <f>MATCH(A145,装备属性!$AD$520:$AD$819,1)</f>
        <v>#N/A</v>
      </c>
      <c r="F145" s="73" t="e" cm="1">
        <f ca="1" t="array" ref="F145">_xlfn.XLOOKUP(B145&amp;C145,装备属性!$G$90:$G$466&amp;装备属性!$E$90:$E$466,装备属性!$I$90:$I$466)*D145+_xlfn.XLOOKUP(B145&amp;MAX(C145-10,1),装备属性!$G$90:$G$466&amp;装备属性!$E$90:$E$466,装备属性!$I$90:$I$466)*(6-D145)+_xlfn.XLOOKUP(B145&amp;C145,装备属性!$P$919:$P$955&amp;装备属性!$N$919:$N$955,装备属性!$R$919:$R$955)*D145*0.5+_xlfn.XLOOKUP(B145&amp;(MAX(C145-10,1)),装备属性!$P$919:$P$955&amp;装备属性!$N$919:$N$955,装备属性!$R$919:$R$955)*(6-D145)*0.5+_xlfn.XLOOKUP(E145,装备属性!$D$520:$D$819,装备属性!$I$520:$I$819)*6</f>
        <v>#N/A</v>
      </c>
      <c r="G145" s="73"/>
      <c r="H145" s="74"/>
      <c r="I145" s="74"/>
      <c r="J145" s="74"/>
      <c r="K145" s="56"/>
      <c r="L145" s="56"/>
      <c r="M145" s="56"/>
      <c r="N145" s="74"/>
      <c r="O145" s="74"/>
      <c r="P145" s="74"/>
    </row>
    <row r="146" ht="16.5" spans="1:16">
      <c r="A146" s="70">
        <v>140</v>
      </c>
      <c r="B146" s="45" t="str">
        <f ca="1">OFFSET(装备属性!$D$65,MATCH(A146,装备属性!$G$66:$G$73,1),0)</f>
        <v>彩</v>
      </c>
      <c r="C146" s="71">
        <f ca="1">OFFSET(装备属性!$D$14,MATCH(A146,装备属性!$H$15:$H$61,1),0)</f>
        <v>130</v>
      </c>
      <c r="D146" s="72">
        <f ca="1">IFERROR(MIN(MATCH(COUNTIFS($C$7:C146,C146,$B$7:B146,B146)*_xlfn.XLOOKUP(C146,装备属性!$D$15:$D$61,装备属性!$M$15:$M$61),装备产出!$Z$19:$Z$24,1),6),0)</f>
        <v>1</v>
      </c>
      <c r="E146" s="45" t="e">
        <f>MATCH(A146,装备属性!$AD$520:$AD$819,1)</f>
        <v>#N/A</v>
      </c>
      <c r="F146" s="73" t="e" cm="1">
        <f ca="1" t="array" ref="F146">_xlfn.XLOOKUP(B146&amp;C146,装备属性!$G$90:$G$466&amp;装备属性!$E$90:$E$466,装备属性!$I$90:$I$466)*D146+_xlfn.XLOOKUP(B146&amp;MAX(C146-10,1),装备属性!$G$90:$G$466&amp;装备属性!$E$90:$E$466,装备属性!$I$90:$I$466)*(6-D146)+_xlfn.XLOOKUP(B146&amp;C146,装备属性!$P$919:$P$955&amp;装备属性!$N$919:$N$955,装备属性!$R$919:$R$955)*D146*0.5+_xlfn.XLOOKUP(B146&amp;(MAX(C146-10,1)),装备属性!$P$919:$P$955&amp;装备属性!$N$919:$N$955,装备属性!$R$919:$R$955)*(6-D146)*0.5+_xlfn.XLOOKUP(E146,装备属性!$D$520:$D$819,装备属性!$I$520:$I$819)*6</f>
        <v>#N/A</v>
      </c>
      <c r="G146" s="73"/>
      <c r="H146" s="74"/>
      <c r="I146" s="74"/>
      <c r="J146" s="74"/>
      <c r="K146" s="56"/>
      <c r="L146" s="56"/>
      <c r="M146" s="56"/>
      <c r="N146" s="74"/>
      <c r="O146" s="74"/>
      <c r="P146" s="74"/>
    </row>
    <row r="147" ht="16.5" spans="1:16">
      <c r="A147" s="70">
        <v>141</v>
      </c>
      <c r="B147" s="45" t="str">
        <f ca="1">OFFSET(装备属性!$D$65,MATCH(A147,装备属性!$G$66:$G$73,1),0)</f>
        <v>彩</v>
      </c>
      <c r="C147" s="71">
        <f ca="1">OFFSET(装备属性!$D$14,MATCH(A147,装备属性!$H$15:$H$61,1),0)</f>
        <v>130</v>
      </c>
      <c r="D147" s="72">
        <f ca="1">IFERROR(MIN(MATCH(COUNTIFS($C$7:C147,C147,$B$7:B147,B147)*_xlfn.XLOOKUP(C147,装备属性!$D$15:$D$61,装备属性!$M$15:$M$61),装备产出!$Z$19:$Z$24,1),6),0)</f>
        <v>1</v>
      </c>
      <c r="E147" s="45" t="e">
        <f>MATCH(A147,装备属性!$AD$520:$AD$819,1)</f>
        <v>#N/A</v>
      </c>
      <c r="F147" s="73" t="e" cm="1">
        <f ca="1" t="array" ref="F147">_xlfn.XLOOKUP(B147&amp;C147,装备属性!$G$90:$G$466&amp;装备属性!$E$90:$E$466,装备属性!$I$90:$I$466)*D147+_xlfn.XLOOKUP(B147&amp;MAX(C147-10,1),装备属性!$G$90:$G$466&amp;装备属性!$E$90:$E$466,装备属性!$I$90:$I$466)*(6-D147)+_xlfn.XLOOKUP(B147&amp;C147,装备属性!$P$919:$P$955&amp;装备属性!$N$919:$N$955,装备属性!$R$919:$R$955)*D147*0.5+_xlfn.XLOOKUP(B147&amp;(MAX(C147-10,1)),装备属性!$P$919:$P$955&amp;装备属性!$N$919:$N$955,装备属性!$R$919:$R$955)*(6-D147)*0.5+_xlfn.XLOOKUP(E147,装备属性!$D$520:$D$819,装备属性!$I$520:$I$819)*6</f>
        <v>#N/A</v>
      </c>
      <c r="G147" s="73"/>
      <c r="H147" s="74"/>
      <c r="I147" s="74"/>
      <c r="J147" s="74"/>
      <c r="K147" s="56"/>
      <c r="L147" s="56"/>
      <c r="M147" s="56"/>
      <c r="N147" s="74"/>
      <c r="O147" s="74"/>
      <c r="P147" s="74"/>
    </row>
    <row r="148" ht="16.5" spans="1:16">
      <c r="A148" s="70">
        <v>142</v>
      </c>
      <c r="B148" s="45" t="str">
        <f ca="1">OFFSET(装备属性!$D$65,MATCH(A148,装备属性!$G$66:$G$73,1),0)</f>
        <v>彩</v>
      </c>
      <c r="C148" s="71">
        <f ca="1">OFFSET(装备属性!$D$14,MATCH(A148,装备属性!$H$15:$H$61,1),0)</f>
        <v>135</v>
      </c>
      <c r="D148" s="72">
        <f ca="1">IFERROR(MIN(MATCH(COUNTIFS($C$7:C148,C148,$B$7:B148,B148)*_xlfn.XLOOKUP(C148,装备属性!$D$15:$D$61,装备属性!$M$15:$M$61),装备产出!$Z$19:$Z$24,1),6),0)</f>
        <v>0</v>
      </c>
      <c r="E148" s="45" t="e">
        <f>MATCH(A148,装备属性!$AD$520:$AD$819,1)</f>
        <v>#N/A</v>
      </c>
      <c r="F148" s="73" t="e" cm="1">
        <f ca="1" t="array" ref="F148">_xlfn.XLOOKUP(B148&amp;C148,装备属性!$G$90:$G$466&amp;装备属性!$E$90:$E$466,装备属性!$I$90:$I$466)*D148+_xlfn.XLOOKUP(B148&amp;MAX(C148-10,1),装备属性!$G$90:$G$466&amp;装备属性!$E$90:$E$466,装备属性!$I$90:$I$466)*(6-D148)+_xlfn.XLOOKUP(B148&amp;C148,装备属性!$P$919:$P$955&amp;装备属性!$N$919:$N$955,装备属性!$R$919:$R$955)*D148*0.5+_xlfn.XLOOKUP(B148&amp;(MAX(C148-10,1)),装备属性!$P$919:$P$955&amp;装备属性!$N$919:$N$955,装备属性!$R$919:$R$955)*(6-D148)*0.5+_xlfn.XLOOKUP(E148,装备属性!$D$520:$D$819,装备属性!$I$520:$I$819)*6</f>
        <v>#N/A</v>
      </c>
      <c r="G148" s="73"/>
      <c r="H148" s="74"/>
      <c r="I148" s="74"/>
      <c r="J148" s="74"/>
      <c r="K148" s="56"/>
      <c r="L148" s="56"/>
      <c r="M148" s="56"/>
      <c r="N148" s="74"/>
      <c r="O148" s="74"/>
      <c r="P148" s="74"/>
    </row>
    <row r="149" ht="16.5" spans="1:16">
      <c r="A149" s="70">
        <v>143</v>
      </c>
      <c r="B149" s="45" t="str">
        <f ca="1">OFFSET(装备属性!$D$65,MATCH(A149,装备属性!$G$66:$G$73,1),0)</f>
        <v>彩</v>
      </c>
      <c r="C149" s="71">
        <f ca="1">OFFSET(装备属性!$D$14,MATCH(A149,装备属性!$H$15:$H$61,1),0)</f>
        <v>135</v>
      </c>
      <c r="D149" s="72">
        <f ca="1">IFERROR(MIN(MATCH(COUNTIFS($C$7:C149,C149,$B$7:B149,B149)*_xlfn.XLOOKUP(C149,装备属性!$D$15:$D$61,装备属性!$M$15:$M$61),装备产出!$Z$19:$Z$24,1),6),0)</f>
        <v>0</v>
      </c>
      <c r="E149" s="45" t="e">
        <f>MATCH(A149,装备属性!$AD$520:$AD$819,1)</f>
        <v>#N/A</v>
      </c>
      <c r="F149" s="73" t="e" cm="1">
        <f ca="1" t="array" ref="F149">_xlfn.XLOOKUP(B149&amp;C149,装备属性!$G$90:$G$466&amp;装备属性!$E$90:$E$466,装备属性!$I$90:$I$466)*D149+_xlfn.XLOOKUP(B149&amp;MAX(C149-10,1),装备属性!$G$90:$G$466&amp;装备属性!$E$90:$E$466,装备属性!$I$90:$I$466)*(6-D149)+_xlfn.XLOOKUP(B149&amp;C149,装备属性!$P$919:$P$955&amp;装备属性!$N$919:$N$955,装备属性!$R$919:$R$955)*D149*0.5+_xlfn.XLOOKUP(B149&amp;(MAX(C149-10,1)),装备属性!$P$919:$P$955&amp;装备属性!$N$919:$N$955,装备属性!$R$919:$R$955)*(6-D149)*0.5+_xlfn.XLOOKUP(E149,装备属性!$D$520:$D$819,装备属性!$I$520:$I$819)*6</f>
        <v>#N/A</v>
      </c>
      <c r="G149" s="73"/>
      <c r="H149" s="74"/>
      <c r="I149" s="74"/>
      <c r="J149" s="74"/>
      <c r="K149" s="56"/>
      <c r="L149" s="56"/>
      <c r="M149" s="56"/>
      <c r="N149" s="74"/>
      <c r="O149" s="74"/>
      <c r="P149" s="74"/>
    </row>
    <row r="150" ht="16.5" spans="1:16">
      <c r="A150" s="70">
        <v>144</v>
      </c>
      <c r="B150" s="45" t="str">
        <f ca="1">OFFSET(装备属性!$D$65,MATCH(A150,装备属性!$G$66:$G$73,1),0)</f>
        <v>彩</v>
      </c>
      <c r="C150" s="71">
        <f ca="1">OFFSET(装备属性!$D$14,MATCH(A150,装备属性!$H$15:$H$61,1),0)</f>
        <v>135</v>
      </c>
      <c r="D150" s="72">
        <f ca="1">IFERROR(MIN(MATCH(COUNTIFS($C$7:C150,C150,$B$7:B150,B150)*_xlfn.XLOOKUP(C150,装备属性!$D$15:$D$61,装备属性!$M$15:$M$61),装备产出!$Z$19:$Z$24,1),6),0)</f>
        <v>0</v>
      </c>
      <c r="E150" s="45" t="e">
        <f>MATCH(A150,装备属性!$AD$520:$AD$819,1)</f>
        <v>#N/A</v>
      </c>
      <c r="F150" s="73" t="e" cm="1">
        <f ca="1" t="array" ref="F150">_xlfn.XLOOKUP(B150&amp;C150,装备属性!$G$90:$G$466&amp;装备属性!$E$90:$E$466,装备属性!$I$90:$I$466)*D150+_xlfn.XLOOKUP(B150&amp;MAX(C150-10,1),装备属性!$G$90:$G$466&amp;装备属性!$E$90:$E$466,装备属性!$I$90:$I$466)*(6-D150)+_xlfn.XLOOKUP(B150&amp;C150,装备属性!$P$919:$P$955&amp;装备属性!$N$919:$N$955,装备属性!$R$919:$R$955)*D150*0.5+_xlfn.XLOOKUP(B150&amp;(MAX(C150-10,1)),装备属性!$P$919:$P$955&amp;装备属性!$N$919:$N$955,装备属性!$R$919:$R$955)*(6-D150)*0.5+_xlfn.XLOOKUP(E150,装备属性!$D$520:$D$819,装备属性!$I$520:$I$819)*6</f>
        <v>#N/A</v>
      </c>
      <c r="G150" s="73"/>
      <c r="H150" s="74"/>
      <c r="I150" s="74"/>
      <c r="J150" s="74"/>
      <c r="K150" s="56"/>
      <c r="L150" s="56"/>
      <c r="M150" s="56"/>
      <c r="N150" s="74"/>
      <c r="O150" s="74"/>
      <c r="P150" s="74"/>
    </row>
    <row r="151" ht="16.5" spans="1:16">
      <c r="A151" s="70">
        <v>145</v>
      </c>
      <c r="B151" s="45" t="str">
        <f ca="1">OFFSET(装备属性!$D$65,MATCH(A151,装备属性!$G$66:$G$73,1),0)</f>
        <v>彩</v>
      </c>
      <c r="C151" s="71">
        <f ca="1">OFFSET(装备属性!$D$14,MATCH(A151,装备属性!$H$15:$H$61,1),0)</f>
        <v>135</v>
      </c>
      <c r="D151" s="72">
        <f ca="1">IFERROR(MIN(MATCH(COUNTIFS($C$7:C151,C151,$B$7:B151,B151)*_xlfn.XLOOKUP(C151,装备属性!$D$15:$D$61,装备属性!$M$15:$M$61),装备产出!$Z$19:$Z$24,1),6),0)</f>
        <v>0</v>
      </c>
      <c r="E151" s="45" t="e">
        <f>MATCH(A151,装备属性!$AD$520:$AD$819,1)</f>
        <v>#N/A</v>
      </c>
      <c r="F151" s="73" t="e" cm="1">
        <f ca="1" t="array" ref="F151">_xlfn.XLOOKUP(B151&amp;C151,装备属性!$G$90:$G$466&amp;装备属性!$E$90:$E$466,装备属性!$I$90:$I$466)*D151+_xlfn.XLOOKUP(B151&amp;MAX(C151-10,1),装备属性!$G$90:$G$466&amp;装备属性!$E$90:$E$466,装备属性!$I$90:$I$466)*(6-D151)+_xlfn.XLOOKUP(B151&amp;C151,装备属性!$P$919:$P$955&amp;装备属性!$N$919:$N$955,装备属性!$R$919:$R$955)*D151*0.5+_xlfn.XLOOKUP(B151&amp;(MAX(C151-10,1)),装备属性!$P$919:$P$955&amp;装备属性!$N$919:$N$955,装备属性!$R$919:$R$955)*(6-D151)*0.5+_xlfn.XLOOKUP(E151,装备属性!$D$520:$D$819,装备属性!$I$520:$I$819)*6</f>
        <v>#N/A</v>
      </c>
      <c r="G151" s="73"/>
      <c r="H151" s="74"/>
      <c r="I151" s="74"/>
      <c r="J151" s="74"/>
      <c r="K151" s="56"/>
      <c r="L151" s="56"/>
      <c r="M151" s="56"/>
      <c r="N151" s="74"/>
      <c r="O151" s="74"/>
      <c r="P151" s="74"/>
    </row>
    <row r="152" ht="16.5" spans="1:16">
      <c r="A152" s="70">
        <v>146</v>
      </c>
      <c r="B152" s="45" t="str">
        <f ca="1">OFFSET(装备属性!$D$65,MATCH(A152,装备属性!$G$66:$G$73,1),0)</f>
        <v>彩</v>
      </c>
      <c r="C152" s="71">
        <f ca="1">OFFSET(装备属性!$D$14,MATCH(A152,装备属性!$H$15:$H$61,1),0)</f>
        <v>135</v>
      </c>
      <c r="D152" s="72">
        <f ca="1">IFERROR(MIN(MATCH(COUNTIFS($C$7:C152,C152,$B$7:B152,B152)*_xlfn.XLOOKUP(C152,装备属性!$D$15:$D$61,装备属性!$M$15:$M$61),装备产出!$Z$19:$Z$24,1),6),0)</f>
        <v>0</v>
      </c>
      <c r="E152" s="45" t="e">
        <f>MATCH(A152,装备属性!$AD$520:$AD$819,1)</f>
        <v>#N/A</v>
      </c>
      <c r="F152" s="73" t="e" cm="1">
        <f ca="1" t="array" ref="F152">_xlfn.XLOOKUP(B152&amp;C152,装备属性!$G$90:$G$466&amp;装备属性!$E$90:$E$466,装备属性!$I$90:$I$466)*D152+_xlfn.XLOOKUP(B152&amp;MAX(C152-10,1),装备属性!$G$90:$G$466&amp;装备属性!$E$90:$E$466,装备属性!$I$90:$I$466)*(6-D152)+_xlfn.XLOOKUP(B152&amp;C152,装备属性!$P$919:$P$955&amp;装备属性!$N$919:$N$955,装备属性!$R$919:$R$955)*D152*0.5+_xlfn.XLOOKUP(B152&amp;(MAX(C152-10,1)),装备属性!$P$919:$P$955&amp;装备属性!$N$919:$N$955,装备属性!$R$919:$R$955)*(6-D152)*0.5+_xlfn.XLOOKUP(E152,装备属性!$D$520:$D$819,装备属性!$I$520:$I$819)*6</f>
        <v>#N/A</v>
      </c>
      <c r="G152" s="73"/>
      <c r="H152" s="74"/>
      <c r="I152" s="74"/>
      <c r="J152" s="74"/>
      <c r="K152" s="56"/>
      <c r="L152" s="56"/>
      <c r="M152" s="56"/>
      <c r="N152" s="74"/>
      <c r="O152" s="74"/>
      <c r="P152" s="74"/>
    </row>
    <row r="153" ht="16.5" spans="1:16">
      <c r="A153" s="70">
        <v>147</v>
      </c>
      <c r="B153" s="45" t="str">
        <f ca="1">OFFSET(装备属性!$D$65,MATCH(A153,装备属性!$G$66:$G$73,1),0)</f>
        <v>彩</v>
      </c>
      <c r="C153" s="71">
        <f ca="1">OFFSET(装备属性!$D$14,MATCH(A153,装备属性!$H$15:$H$61,1),0)</f>
        <v>135</v>
      </c>
      <c r="D153" s="72">
        <f ca="1">IFERROR(MIN(MATCH(COUNTIFS($C$7:C153,C153,$B$7:B153,B153)*_xlfn.XLOOKUP(C153,装备属性!$D$15:$D$61,装备属性!$M$15:$M$61),装备产出!$Z$19:$Z$24,1),6),0)</f>
        <v>1</v>
      </c>
      <c r="E153" s="45" t="e">
        <f>MATCH(A153,装备属性!$AD$520:$AD$819,1)</f>
        <v>#N/A</v>
      </c>
      <c r="F153" s="73" t="e" cm="1">
        <f ca="1" t="array" ref="F153">_xlfn.XLOOKUP(B153&amp;C153,装备属性!$G$90:$G$466&amp;装备属性!$E$90:$E$466,装备属性!$I$90:$I$466)*D153+_xlfn.XLOOKUP(B153&amp;MAX(C153-10,1),装备属性!$G$90:$G$466&amp;装备属性!$E$90:$E$466,装备属性!$I$90:$I$466)*(6-D153)+_xlfn.XLOOKUP(B153&amp;C153,装备属性!$P$919:$P$955&amp;装备属性!$N$919:$N$955,装备属性!$R$919:$R$955)*D153*0.5+_xlfn.XLOOKUP(B153&amp;(MAX(C153-10,1)),装备属性!$P$919:$P$955&amp;装备属性!$N$919:$N$955,装备属性!$R$919:$R$955)*(6-D153)*0.5+_xlfn.XLOOKUP(E153,装备属性!$D$520:$D$819,装备属性!$I$520:$I$819)*6</f>
        <v>#N/A</v>
      </c>
      <c r="G153" s="73"/>
      <c r="H153" s="74"/>
      <c r="I153" s="74"/>
      <c r="J153" s="74"/>
      <c r="K153" s="56"/>
      <c r="L153" s="56"/>
      <c r="M153" s="56"/>
      <c r="N153" s="74"/>
      <c r="O153" s="74"/>
      <c r="P153" s="74"/>
    </row>
    <row r="154" ht="16.5" spans="1:16">
      <c r="A154" s="70">
        <v>148</v>
      </c>
      <c r="B154" s="45" t="str">
        <f ca="1">OFFSET(装备属性!$D$65,MATCH(A154,装备属性!$G$66:$G$73,1),0)</f>
        <v>彩</v>
      </c>
      <c r="C154" s="71">
        <f ca="1">OFFSET(装备属性!$D$14,MATCH(A154,装备属性!$H$15:$H$61,1),0)</f>
        <v>135</v>
      </c>
      <c r="D154" s="72">
        <f ca="1">IFERROR(MIN(MATCH(COUNTIFS($C$7:C154,C154,$B$7:B154,B154)*_xlfn.XLOOKUP(C154,装备属性!$D$15:$D$61,装备属性!$M$15:$M$61),装备产出!$Z$19:$Z$24,1),6),0)</f>
        <v>1</v>
      </c>
      <c r="E154" s="45" t="e">
        <f>MATCH(A154,装备属性!$AD$520:$AD$819,1)</f>
        <v>#N/A</v>
      </c>
      <c r="F154" s="73" t="e" cm="1">
        <f ca="1" t="array" ref="F154">_xlfn.XLOOKUP(B154&amp;C154,装备属性!$G$90:$G$466&amp;装备属性!$E$90:$E$466,装备属性!$I$90:$I$466)*D154+_xlfn.XLOOKUP(B154&amp;MAX(C154-10,1),装备属性!$G$90:$G$466&amp;装备属性!$E$90:$E$466,装备属性!$I$90:$I$466)*(6-D154)+_xlfn.XLOOKUP(B154&amp;C154,装备属性!$P$919:$P$955&amp;装备属性!$N$919:$N$955,装备属性!$R$919:$R$955)*D154*0.5+_xlfn.XLOOKUP(B154&amp;(MAX(C154-10,1)),装备属性!$P$919:$P$955&amp;装备属性!$N$919:$N$955,装备属性!$R$919:$R$955)*(6-D154)*0.5+_xlfn.XLOOKUP(E154,装备属性!$D$520:$D$819,装备属性!$I$520:$I$819)*6</f>
        <v>#N/A</v>
      </c>
      <c r="G154" s="73"/>
      <c r="H154" s="74"/>
      <c r="I154" s="74"/>
      <c r="J154" s="74"/>
      <c r="K154" s="56"/>
      <c r="L154" s="56"/>
      <c r="M154" s="56"/>
      <c r="N154" s="74"/>
      <c r="O154" s="74"/>
      <c r="P154" s="74"/>
    </row>
    <row r="155" ht="16.5" spans="1:16">
      <c r="A155" s="70">
        <v>149</v>
      </c>
      <c r="B155" s="45" t="str">
        <f ca="1">OFFSET(装备属性!$D$65,MATCH(A155,装备属性!$G$66:$G$73,1),0)</f>
        <v>彩</v>
      </c>
      <c r="C155" s="71">
        <f ca="1">OFFSET(装备属性!$D$14,MATCH(A155,装备属性!$H$15:$H$61,1),0)</f>
        <v>135</v>
      </c>
      <c r="D155" s="72">
        <f ca="1">IFERROR(MIN(MATCH(COUNTIFS($C$7:C155,C155,$B$7:B155,B155)*_xlfn.XLOOKUP(C155,装备属性!$D$15:$D$61,装备属性!$M$15:$M$61),装备产出!$Z$19:$Z$24,1),6),0)</f>
        <v>1</v>
      </c>
      <c r="E155" s="45" t="e">
        <f>MATCH(A155,装备属性!$AD$520:$AD$819,1)</f>
        <v>#N/A</v>
      </c>
      <c r="F155" s="73" t="e" cm="1">
        <f ca="1" t="array" ref="F155">_xlfn.XLOOKUP(B155&amp;C155,装备属性!$G$90:$G$466&amp;装备属性!$E$90:$E$466,装备属性!$I$90:$I$466)*D155+_xlfn.XLOOKUP(B155&amp;MAX(C155-10,1),装备属性!$G$90:$G$466&amp;装备属性!$E$90:$E$466,装备属性!$I$90:$I$466)*(6-D155)+_xlfn.XLOOKUP(B155&amp;C155,装备属性!$P$919:$P$955&amp;装备属性!$N$919:$N$955,装备属性!$R$919:$R$955)*D155*0.5+_xlfn.XLOOKUP(B155&amp;(MAX(C155-10,1)),装备属性!$P$919:$P$955&amp;装备属性!$N$919:$N$955,装备属性!$R$919:$R$955)*(6-D155)*0.5+_xlfn.XLOOKUP(E155,装备属性!$D$520:$D$819,装备属性!$I$520:$I$819)*6</f>
        <v>#N/A</v>
      </c>
      <c r="G155" s="73"/>
      <c r="H155" s="74"/>
      <c r="I155" s="74"/>
      <c r="J155" s="74"/>
      <c r="K155" s="56"/>
      <c r="L155" s="56"/>
      <c r="M155" s="56"/>
      <c r="N155" s="74"/>
      <c r="O155" s="74"/>
      <c r="P155" s="74"/>
    </row>
    <row r="156" ht="16.5" spans="1:16">
      <c r="A156" s="70">
        <v>150</v>
      </c>
      <c r="B156" s="45" t="str">
        <f ca="1">OFFSET(装备属性!$D$65,MATCH(A156,装备属性!$G$66:$G$73,1),0)</f>
        <v>彩</v>
      </c>
      <c r="C156" s="71">
        <f ca="1">OFFSET(装备属性!$D$14,MATCH(A156,装备属性!$H$15:$H$61,1),0)</f>
        <v>135</v>
      </c>
      <c r="D156" s="72">
        <f ca="1">IFERROR(MIN(MATCH(COUNTIFS($C$7:C156,C156,$B$7:B156,B156)*_xlfn.XLOOKUP(C156,装备属性!$D$15:$D$61,装备属性!$M$15:$M$61),装备产出!$Z$19:$Z$24,1),6),0)</f>
        <v>1</v>
      </c>
      <c r="E156" s="45" t="e">
        <f>MATCH(A156,装备属性!$AD$520:$AD$819,1)</f>
        <v>#N/A</v>
      </c>
      <c r="F156" s="73" t="e" cm="1">
        <f ca="1" t="array" ref="F156">_xlfn.XLOOKUP(B156&amp;C156,装备属性!$G$90:$G$466&amp;装备属性!$E$90:$E$466,装备属性!$I$90:$I$466)*D156+_xlfn.XLOOKUP(B156&amp;MAX(C156-10,1),装备属性!$G$90:$G$466&amp;装备属性!$E$90:$E$466,装备属性!$I$90:$I$466)*(6-D156)+_xlfn.XLOOKUP(B156&amp;C156,装备属性!$P$919:$P$955&amp;装备属性!$N$919:$N$955,装备属性!$R$919:$R$955)*D156*0.5+_xlfn.XLOOKUP(B156&amp;(MAX(C156-10,1)),装备属性!$P$919:$P$955&amp;装备属性!$N$919:$N$955,装备属性!$R$919:$R$955)*(6-D156)*0.5+_xlfn.XLOOKUP(E156,装备属性!$D$520:$D$819,装备属性!$I$520:$I$819)*6</f>
        <v>#N/A</v>
      </c>
      <c r="G156" s="73"/>
      <c r="H156" s="74"/>
      <c r="I156" s="74"/>
      <c r="J156" s="74"/>
      <c r="K156" s="56"/>
      <c r="L156" s="56"/>
      <c r="M156" s="56"/>
      <c r="N156" s="74"/>
      <c r="O156" s="74"/>
      <c r="P156" s="74"/>
    </row>
    <row r="157" ht="16.5" spans="1:16">
      <c r="A157" s="70">
        <v>151</v>
      </c>
      <c r="B157" s="45" t="str">
        <f ca="1">OFFSET(装备属性!$D$65,MATCH(A157,装备属性!$G$66:$G$73,1),0)</f>
        <v>彩</v>
      </c>
      <c r="C157" s="71">
        <f ca="1">OFFSET(装备属性!$D$14,MATCH(A157,装备属性!$H$15:$H$61,1),0)</f>
        <v>135</v>
      </c>
      <c r="D157" s="72">
        <f ca="1">IFERROR(MIN(MATCH(COUNTIFS($C$7:C157,C157,$B$7:B157,B157)*_xlfn.XLOOKUP(C157,装备属性!$D$15:$D$61,装备属性!$M$15:$M$61),装备产出!$Z$19:$Z$24,1),6),0)</f>
        <v>1</v>
      </c>
      <c r="E157" s="45" t="e">
        <f>MATCH(A157,装备属性!$AD$520:$AD$819,1)</f>
        <v>#N/A</v>
      </c>
      <c r="F157" s="73" t="e" cm="1">
        <f ca="1" t="array" ref="F157">_xlfn.XLOOKUP(B157&amp;C157,装备属性!$G$90:$G$466&amp;装备属性!$E$90:$E$466,装备属性!$I$90:$I$466)*D157+_xlfn.XLOOKUP(B157&amp;MAX(C157-10,1),装备属性!$G$90:$G$466&amp;装备属性!$E$90:$E$466,装备属性!$I$90:$I$466)*(6-D157)+_xlfn.XLOOKUP(B157&amp;C157,装备属性!$P$919:$P$955&amp;装备属性!$N$919:$N$955,装备属性!$R$919:$R$955)*D157*0.5+_xlfn.XLOOKUP(B157&amp;(MAX(C157-10,1)),装备属性!$P$919:$P$955&amp;装备属性!$N$919:$N$955,装备属性!$R$919:$R$955)*(6-D157)*0.5+_xlfn.XLOOKUP(E157,装备属性!$D$520:$D$819,装备属性!$I$520:$I$819)*6</f>
        <v>#N/A</v>
      </c>
      <c r="G157" s="73"/>
      <c r="H157" s="74"/>
      <c r="I157" s="74"/>
      <c r="J157" s="74"/>
      <c r="K157" s="56"/>
      <c r="L157" s="56"/>
      <c r="M157" s="56"/>
      <c r="N157" s="74"/>
      <c r="O157" s="74"/>
      <c r="P157" s="74"/>
    </row>
    <row r="158" ht="16.5" spans="1:16">
      <c r="A158" s="70">
        <v>152</v>
      </c>
      <c r="B158" s="45" t="str">
        <f ca="1">OFFSET(装备属性!$D$65,MATCH(A158,装备属性!$G$66:$G$73,1),0)</f>
        <v>彩</v>
      </c>
      <c r="C158" s="71">
        <f ca="1">OFFSET(装备属性!$D$14,MATCH(A158,装备属性!$H$15:$H$61,1),0)</f>
        <v>140</v>
      </c>
      <c r="D158" s="72">
        <f ca="1">IFERROR(MIN(MATCH(COUNTIFS($C$7:C158,C158,$B$7:B158,B158)*_xlfn.XLOOKUP(C158,装备属性!$D$15:$D$61,装备属性!$M$15:$M$61),装备产出!$Z$19:$Z$24,1),6),0)</f>
        <v>0</v>
      </c>
      <c r="E158" s="45" t="e">
        <f>MATCH(A158,装备属性!$AD$520:$AD$819,1)</f>
        <v>#N/A</v>
      </c>
      <c r="F158" s="73" t="e" cm="1">
        <f ca="1" t="array" ref="F158">_xlfn.XLOOKUP(B158&amp;C158,装备属性!$G$90:$G$466&amp;装备属性!$E$90:$E$466,装备属性!$I$90:$I$466)*D158+_xlfn.XLOOKUP(B158&amp;MAX(C158-10,1),装备属性!$G$90:$G$466&amp;装备属性!$E$90:$E$466,装备属性!$I$90:$I$466)*(6-D158)+_xlfn.XLOOKUP(B158&amp;C158,装备属性!$P$919:$P$955&amp;装备属性!$N$919:$N$955,装备属性!$R$919:$R$955)*D158*0.5+_xlfn.XLOOKUP(B158&amp;(MAX(C158-10,1)),装备属性!$P$919:$P$955&amp;装备属性!$N$919:$N$955,装备属性!$R$919:$R$955)*(6-D158)*0.5+_xlfn.XLOOKUP(E158,装备属性!$D$520:$D$819,装备属性!$I$520:$I$819)*6</f>
        <v>#N/A</v>
      </c>
      <c r="G158" s="73"/>
      <c r="H158" s="74"/>
      <c r="I158" s="74"/>
      <c r="J158" s="74"/>
      <c r="K158" s="56"/>
      <c r="L158" s="56"/>
      <c r="M158" s="56"/>
      <c r="N158" s="74"/>
      <c r="O158" s="74"/>
      <c r="P158" s="74"/>
    </row>
    <row r="159" ht="16.5" spans="1:16">
      <c r="A159" s="70">
        <v>153</v>
      </c>
      <c r="B159" s="45" t="str">
        <f ca="1">OFFSET(装备属性!$D$65,MATCH(A159,装备属性!$G$66:$G$73,1),0)</f>
        <v>彩</v>
      </c>
      <c r="C159" s="71">
        <f ca="1">OFFSET(装备属性!$D$14,MATCH(A159,装备属性!$H$15:$H$61,1),0)</f>
        <v>140</v>
      </c>
      <c r="D159" s="72">
        <f ca="1">IFERROR(MIN(MATCH(COUNTIFS($C$7:C159,C159,$B$7:B159,B159)*_xlfn.XLOOKUP(C159,装备属性!$D$15:$D$61,装备属性!$M$15:$M$61),装备产出!$Z$19:$Z$24,1),6),0)</f>
        <v>0</v>
      </c>
      <c r="E159" s="45" t="e">
        <f>MATCH(A159,装备属性!$AD$520:$AD$819,1)</f>
        <v>#N/A</v>
      </c>
      <c r="F159" s="73" t="e" cm="1">
        <f ca="1" t="array" ref="F159">_xlfn.XLOOKUP(B159&amp;C159,装备属性!$G$90:$G$466&amp;装备属性!$E$90:$E$466,装备属性!$I$90:$I$466)*D159+_xlfn.XLOOKUP(B159&amp;MAX(C159-10,1),装备属性!$G$90:$G$466&amp;装备属性!$E$90:$E$466,装备属性!$I$90:$I$466)*(6-D159)+_xlfn.XLOOKUP(B159&amp;C159,装备属性!$P$919:$P$955&amp;装备属性!$N$919:$N$955,装备属性!$R$919:$R$955)*D159*0.5+_xlfn.XLOOKUP(B159&amp;(MAX(C159-10,1)),装备属性!$P$919:$P$955&amp;装备属性!$N$919:$N$955,装备属性!$R$919:$R$955)*(6-D159)*0.5+_xlfn.XLOOKUP(E159,装备属性!$D$520:$D$819,装备属性!$I$520:$I$819)*6</f>
        <v>#N/A</v>
      </c>
      <c r="G159" s="73"/>
      <c r="H159" s="74"/>
      <c r="I159" s="74"/>
      <c r="J159" s="74"/>
      <c r="K159" s="56"/>
      <c r="L159" s="56"/>
      <c r="M159" s="56"/>
      <c r="N159" s="74"/>
      <c r="O159" s="74"/>
      <c r="P159" s="74"/>
    </row>
    <row r="160" ht="16.5" spans="1:16">
      <c r="A160" s="70">
        <v>154</v>
      </c>
      <c r="B160" s="45" t="str">
        <f ca="1">OFFSET(装备属性!$D$65,MATCH(A160,装备属性!$G$66:$G$73,1),0)</f>
        <v>彩</v>
      </c>
      <c r="C160" s="71">
        <f ca="1">OFFSET(装备属性!$D$14,MATCH(A160,装备属性!$H$15:$H$61,1),0)</f>
        <v>140</v>
      </c>
      <c r="D160" s="72">
        <f ca="1">IFERROR(MIN(MATCH(COUNTIFS($C$7:C160,C160,$B$7:B160,B160)*_xlfn.XLOOKUP(C160,装备属性!$D$15:$D$61,装备属性!$M$15:$M$61),装备产出!$Z$19:$Z$24,1),6),0)</f>
        <v>0</v>
      </c>
      <c r="E160" s="45" t="e">
        <f>MATCH(A160,装备属性!$AD$520:$AD$819,1)</f>
        <v>#N/A</v>
      </c>
      <c r="F160" s="73" t="e" cm="1">
        <f ca="1" t="array" ref="F160">_xlfn.XLOOKUP(B160&amp;C160,装备属性!$G$90:$G$466&amp;装备属性!$E$90:$E$466,装备属性!$I$90:$I$466)*D160+_xlfn.XLOOKUP(B160&amp;MAX(C160-10,1),装备属性!$G$90:$G$466&amp;装备属性!$E$90:$E$466,装备属性!$I$90:$I$466)*(6-D160)+_xlfn.XLOOKUP(B160&amp;C160,装备属性!$P$919:$P$955&amp;装备属性!$N$919:$N$955,装备属性!$R$919:$R$955)*D160*0.5+_xlfn.XLOOKUP(B160&amp;(MAX(C160-10,1)),装备属性!$P$919:$P$955&amp;装备属性!$N$919:$N$955,装备属性!$R$919:$R$955)*(6-D160)*0.5+_xlfn.XLOOKUP(E160,装备属性!$D$520:$D$819,装备属性!$I$520:$I$819)*6</f>
        <v>#N/A</v>
      </c>
      <c r="G160" s="73"/>
      <c r="H160" s="74"/>
      <c r="I160" s="74"/>
      <c r="J160" s="74"/>
      <c r="K160" s="56"/>
      <c r="L160" s="56"/>
      <c r="M160" s="56"/>
      <c r="N160" s="74"/>
      <c r="O160" s="74"/>
      <c r="P160" s="74"/>
    </row>
    <row r="161" ht="16.5" spans="1:16">
      <c r="A161" s="70">
        <v>155</v>
      </c>
      <c r="B161" s="45" t="str">
        <f ca="1">OFFSET(装备属性!$D$65,MATCH(A161,装备属性!$G$66:$G$73,1),0)</f>
        <v>彩</v>
      </c>
      <c r="C161" s="71">
        <f ca="1">OFFSET(装备属性!$D$14,MATCH(A161,装备属性!$H$15:$H$61,1),0)</f>
        <v>140</v>
      </c>
      <c r="D161" s="72">
        <f ca="1">IFERROR(MIN(MATCH(COUNTIFS($C$7:C161,C161,$B$7:B161,B161)*_xlfn.XLOOKUP(C161,装备属性!$D$15:$D$61,装备属性!$M$15:$M$61),装备产出!$Z$19:$Z$24,1),6),0)</f>
        <v>0</v>
      </c>
      <c r="E161" s="45" t="e">
        <f>MATCH(A161,装备属性!$AD$520:$AD$819,1)</f>
        <v>#N/A</v>
      </c>
      <c r="F161" s="73" t="e" cm="1">
        <f ca="1" t="array" ref="F161">_xlfn.XLOOKUP(B161&amp;C161,装备属性!$G$90:$G$466&amp;装备属性!$E$90:$E$466,装备属性!$I$90:$I$466)*D161+_xlfn.XLOOKUP(B161&amp;MAX(C161-10,1),装备属性!$G$90:$G$466&amp;装备属性!$E$90:$E$466,装备属性!$I$90:$I$466)*(6-D161)+_xlfn.XLOOKUP(B161&amp;C161,装备属性!$P$919:$P$955&amp;装备属性!$N$919:$N$955,装备属性!$R$919:$R$955)*D161*0.5+_xlfn.XLOOKUP(B161&amp;(MAX(C161-10,1)),装备属性!$P$919:$P$955&amp;装备属性!$N$919:$N$955,装备属性!$R$919:$R$955)*(6-D161)*0.5+_xlfn.XLOOKUP(E161,装备属性!$D$520:$D$819,装备属性!$I$520:$I$819)*6</f>
        <v>#N/A</v>
      </c>
      <c r="G161" s="73"/>
      <c r="H161" s="74"/>
      <c r="I161" s="74"/>
      <c r="J161" s="74"/>
      <c r="K161" s="56"/>
      <c r="L161" s="56"/>
      <c r="M161" s="56"/>
      <c r="N161" s="74"/>
      <c r="O161" s="74"/>
      <c r="P161" s="74"/>
    </row>
    <row r="162" ht="16.5" spans="1:16">
      <c r="A162" s="70">
        <v>156</v>
      </c>
      <c r="B162" s="45" t="str">
        <f ca="1">OFFSET(装备属性!$D$65,MATCH(A162,装备属性!$G$66:$G$73,1),0)</f>
        <v>彩</v>
      </c>
      <c r="C162" s="71">
        <f ca="1">OFFSET(装备属性!$D$14,MATCH(A162,装备属性!$H$15:$H$61,1),0)</f>
        <v>140</v>
      </c>
      <c r="D162" s="72">
        <f ca="1">IFERROR(MIN(MATCH(COUNTIFS($C$7:C162,C162,$B$7:B162,B162)*_xlfn.XLOOKUP(C162,装备属性!$D$15:$D$61,装备属性!$M$15:$M$61),装备产出!$Z$19:$Z$24,1),6),0)</f>
        <v>0</v>
      </c>
      <c r="E162" s="45" t="e">
        <f>MATCH(A162,装备属性!$AD$520:$AD$819,1)</f>
        <v>#N/A</v>
      </c>
      <c r="F162" s="73" t="e" cm="1">
        <f ca="1" t="array" ref="F162">_xlfn.XLOOKUP(B162&amp;C162,装备属性!$G$90:$G$466&amp;装备属性!$E$90:$E$466,装备属性!$I$90:$I$466)*D162+_xlfn.XLOOKUP(B162&amp;MAX(C162-10,1),装备属性!$G$90:$G$466&amp;装备属性!$E$90:$E$466,装备属性!$I$90:$I$466)*(6-D162)+_xlfn.XLOOKUP(B162&amp;C162,装备属性!$P$919:$P$955&amp;装备属性!$N$919:$N$955,装备属性!$R$919:$R$955)*D162*0.5+_xlfn.XLOOKUP(B162&amp;(MAX(C162-10,1)),装备属性!$P$919:$P$955&amp;装备属性!$N$919:$N$955,装备属性!$R$919:$R$955)*(6-D162)*0.5+_xlfn.XLOOKUP(E162,装备属性!$D$520:$D$819,装备属性!$I$520:$I$819)*6</f>
        <v>#N/A</v>
      </c>
      <c r="G162" s="73"/>
      <c r="H162" s="74"/>
      <c r="I162" s="74"/>
      <c r="J162" s="74"/>
      <c r="K162" s="56"/>
      <c r="L162" s="56"/>
      <c r="M162" s="56"/>
      <c r="N162" s="74"/>
      <c r="O162" s="74"/>
      <c r="P162" s="74"/>
    </row>
    <row r="163" ht="16.5" spans="1:16">
      <c r="A163" s="70">
        <v>157</v>
      </c>
      <c r="B163" s="45" t="str">
        <f ca="1">OFFSET(装备属性!$D$65,MATCH(A163,装备属性!$G$66:$G$73,1),0)</f>
        <v>彩</v>
      </c>
      <c r="C163" s="71">
        <f ca="1">OFFSET(装备属性!$D$14,MATCH(A163,装备属性!$H$15:$H$61,1),0)</f>
        <v>140</v>
      </c>
      <c r="D163" s="72">
        <f ca="1">IFERROR(MIN(MATCH(COUNTIFS($C$7:C163,C163,$B$7:B163,B163)*_xlfn.XLOOKUP(C163,装备属性!$D$15:$D$61,装备属性!$M$15:$M$61),装备产出!$Z$19:$Z$24,1),6),0)</f>
        <v>1</v>
      </c>
      <c r="E163" s="45" t="e">
        <f>MATCH(A163,装备属性!$AD$520:$AD$819,1)</f>
        <v>#N/A</v>
      </c>
      <c r="F163" s="73" t="e" cm="1">
        <f ca="1" t="array" ref="F163">_xlfn.XLOOKUP(B163&amp;C163,装备属性!$G$90:$G$466&amp;装备属性!$E$90:$E$466,装备属性!$I$90:$I$466)*D163+_xlfn.XLOOKUP(B163&amp;MAX(C163-10,1),装备属性!$G$90:$G$466&amp;装备属性!$E$90:$E$466,装备属性!$I$90:$I$466)*(6-D163)+_xlfn.XLOOKUP(B163&amp;C163,装备属性!$P$919:$P$955&amp;装备属性!$N$919:$N$955,装备属性!$R$919:$R$955)*D163*0.5+_xlfn.XLOOKUP(B163&amp;(MAX(C163-10,1)),装备属性!$P$919:$P$955&amp;装备属性!$N$919:$N$955,装备属性!$R$919:$R$955)*(6-D163)*0.5+_xlfn.XLOOKUP(E163,装备属性!$D$520:$D$819,装备属性!$I$520:$I$819)*6</f>
        <v>#N/A</v>
      </c>
      <c r="G163" s="73"/>
      <c r="H163" s="74"/>
      <c r="I163" s="74"/>
      <c r="J163" s="74"/>
      <c r="K163" s="56"/>
      <c r="L163" s="56"/>
      <c r="M163" s="56"/>
      <c r="N163" s="74"/>
      <c r="O163" s="74"/>
      <c r="P163" s="74"/>
    </row>
    <row r="164" ht="16.5" spans="1:16">
      <c r="A164" s="70">
        <v>158</v>
      </c>
      <c r="B164" s="45" t="str">
        <f ca="1">OFFSET(装备属性!$D$65,MATCH(A164,装备属性!$G$66:$G$73,1),0)</f>
        <v>彩</v>
      </c>
      <c r="C164" s="71">
        <f ca="1">OFFSET(装备属性!$D$14,MATCH(A164,装备属性!$H$15:$H$61,1),0)</f>
        <v>140</v>
      </c>
      <c r="D164" s="72">
        <f ca="1">IFERROR(MIN(MATCH(COUNTIFS($C$7:C164,C164,$B$7:B164,B164)*_xlfn.XLOOKUP(C164,装备属性!$D$15:$D$61,装备属性!$M$15:$M$61),装备产出!$Z$19:$Z$24,1),6),0)</f>
        <v>1</v>
      </c>
      <c r="E164" s="45" t="e">
        <f>MATCH(A164,装备属性!$AD$520:$AD$819,1)</f>
        <v>#N/A</v>
      </c>
      <c r="F164" s="73" t="e" cm="1">
        <f ca="1" t="array" ref="F164">_xlfn.XLOOKUP(B164&amp;C164,装备属性!$G$90:$G$466&amp;装备属性!$E$90:$E$466,装备属性!$I$90:$I$466)*D164+_xlfn.XLOOKUP(B164&amp;MAX(C164-10,1),装备属性!$G$90:$G$466&amp;装备属性!$E$90:$E$466,装备属性!$I$90:$I$466)*(6-D164)+_xlfn.XLOOKUP(B164&amp;C164,装备属性!$P$919:$P$955&amp;装备属性!$N$919:$N$955,装备属性!$R$919:$R$955)*D164*0.5+_xlfn.XLOOKUP(B164&amp;(MAX(C164-10,1)),装备属性!$P$919:$P$955&amp;装备属性!$N$919:$N$955,装备属性!$R$919:$R$955)*(6-D164)*0.5+_xlfn.XLOOKUP(E164,装备属性!$D$520:$D$819,装备属性!$I$520:$I$819)*6</f>
        <v>#N/A</v>
      </c>
      <c r="G164" s="73"/>
      <c r="H164" s="74"/>
      <c r="I164" s="74"/>
      <c r="J164" s="74"/>
      <c r="K164" s="56"/>
      <c r="L164" s="56"/>
      <c r="M164" s="56"/>
      <c r="N164" s="74"/>
      <c r="O164" s="74"/>
      <c r="P164" s="74"/>
    </row>
    <row r="165" ht="16.5" spans="1:16">
      <c r="A165" s="70">
        <v>159</v>
      </c>
      <c r="B165" s="45" t="str">
        <f ca="1">OFFSET(装备属性!$D$65,MATCH(A165,装备属性!$G$66:$G$73,1),0)</f>
        <v>彩</v>
      </c>
      <c r="C165" s="71">
        <f ca="1">OFFSET(装备属性!$D$14,MATCH(A165,装备属性!$H$15:$H$61,1),0)</f>
        <v>140</v>
      </c>
      <c r="D165" s="72">
        <f ca="1">IFERROR(MIN(MATCH(COUNTIFS($C$7:C165,C165,$B$7:B165,B165)*_xlfn.XLOOKUP(C165,装备属性!$D$15:$D$61,装备属性!$M$15:$M$61),装备产出!$Z$19:$Z$24,1),6),0)</f>
        <v>1</v>
      </c>
      <c r="E165" s="45" t="e">
        <f>MATCH(A165,装备属性!$AD$520:$AD$819,1)</f>
        <v>#N/A</v>
      </c>
      <c r="F165" s="73" t="e" cm="1">
        <f ca="1" t="array" ref="F165">_xlfn.XLOOKUP(B165&amp;C165,装备属性!$G$90:$G$466&amp;装备属性!$E$90:$E$466,装备属性!$I$90:$I$466)*D165+_xlfn.XLOOKUP(B165&amp;MAX(C165-10,1),装备属性!$G$90:$G$466&amp;装备属性!$E$90:$E$466,装备属性!$I$90:$I$466)*(6-D165)+_xlfn.XLOOKUP(B165&amp;C165,装备属性!$P$919:$P$955&amp;装备属性!$N$919:$N$955,装备属性!$R$919:$R$955)*D165*0.5+_xlfn.XLOOKUP(B165&amp;(MAX(C165-10,1)),装备属性!$P$919:$P$955&amp;装备属性!$N$919:$N$955,装备属性!$R$919:$R$955)*(6-D165)*0.5+_xlfn.XLOOKUP(E165,装备属性!$D$520:$D$819,装备属性!$I$520:$I$819)*6</f>
        <v>#N/A</v>
      </c>
      <c r="G165" s="73"/>
      <c r="H165" s="74"/>
      <c r="I165" s="74"/>
      <c r="J165" s="74"/>
      <c r="K165" s="56"/>
      <c r="L165" s="56"/>
      <c r="M165" s="56"/>
      <c r="N165" s="74"/>
      <c r="O165" s="74"/>
      <c r="P165" s="74"/>
    </row>
    <row r="166" ht="16.5" spans="1:16">
      <c r="A166" s="70">
        <v>160</v>
      </c>
      <c r="B166" s="45" t="str">
        <f ca="1">OFFSET(装备属性!$D$65,MATCH(A166,装备属性!$G$66:$G$73,1),0)</f>
        <v>彩</v>
      </c>
      <c r="C166" s="71">
        <f ca="1">OFFSET(装备属性!$D$14,MATCH(A166,装备属性!$H$15:$H$61,1),0)</f>
        <v>140</v>
      </c>
      <c r="D166" s="72">
        <f ca="1">IFERROR(MIN(MATCH(COUNTIFS($C$7:C166,C166,$B$7:B166,B166)*_xlfn.XLOOKUP(C166,装备属性!$D$15:$D$61,装备属性!$M$15:$M$61),装备产出!$Z$19:$Z$24,1),6),0)</f>
        <v>1</v>
      </c>
      <c r="E166" s="45" t="e">
        <f>MATCH(A166,装备属性!$AD$520:$AD$819,1)</f>
        <v>#N/A</v>
      </c>
      <c r="F166" s="73" t="e" cm="1">
        <f ca="1" t="array" ref="F166">_xlfn.XLOOKUP(B166&amp;C166,装备属性!$G$90:$G$466&amp;装备属性!$E$90:$E$466,装备属性!$I$90:$I$466)*D166+_xlfn.XLOOKUP(B166&amp;MAX(C166-10,1),装备属性!$G$90:$G$466&amp;装备属性!$E$90:$E$466,装备属性!$I$90:$I$466)*(6-D166)+_xlfn.XLOOKUP(B166&amp;C166,装备属性!$P$919:$P$955&amp;装备属性!$N$919:$N$955,装备属性!$R$919:$R$955)*D166*0.5+_xlfn.XLOOKUP(B166&amp;(MAX(C166-10,1)),装备属性!$P$919:$P$955&amp;装备属性!$N$919:$N$955,装备属性!$R$919:$R$955)*(6-D166)*0.5+_xlfn.XLOOKUP(E166,装备属性!$D$520:$D$819,装备属性!$I$520:$I$819)*6</f>
        <v>#N/A</v>
      </c>
      <c r="G166" s="73"/>
      <c r="H166" s="74"/>
      <c r="I166" s="74"/>
      <c r="J166" s="74"/>
      <c r="K166" s="56"/>
      <c r="L166" s="56"/>
      <c r="M166" s="56"/>
      <c r="N166" s="74"/>
      <c r="O166" s="74"/>
      <c r="P166" s="74"/>
    </row>
    <row r="167" ht="16.5" spans="1:16">
      <c r="A167" s="70">
        <v>161</v>
      </c>
      <c r="B167" s="45" t="str">
        <f ca="1">OFFSET(装备属性!$D$65,MATCH(A167,装备属性!$G$66:$G$73,1),0)</f>
        <v>彩</v>
      </c>
      <c r="C167" s="71">
        <f ca="1">OFFSET(装备属性!$D$14,MATCH(A167,装备属性!$H$15:$H$61,1),0)</f>
        <v>140</v>
      </c>
      <c r="D167" s="72">
        <f ca="1">IFERROR(MIN(MATCH(COUNTIFS($C$7:C167,C167,$B$7:B167,B167)*_xlfn.XLOOKUP(C167,装备属性!$D$15:$D$61,装备属性!$M$15:$M$61),装备产出!$Z$19:$Z$24,1),6),0)</f>
        <v>1</v>
      </c>
      <c r="E167" s="45" t="e">
        <f>MATCH(A167,装备属性!$AD$520:$AD$819,1)</f>
        <v>#N/A</v>
      </c>
      <c r="F167" s="73" t="e" cm="1">
        <f ca="1" t="array" ref="F167">_xlfn.XLOOKUP(B167&amp;C167,装备属性!$G$90:$G$466&amp;装备属性!$E$90:$E$466,装备属性!$I$90:$I$466)*D167+_xlfn.XLOOKUP(B167&amp;MAX(C167-10,1),装备属性!$G$90:$G$466&amp;装备属性!$E$90:$E$466,装备属性!$I$90:$I$466)*(6-D167)+_xlfn.XLOOKUP(B167&amp;C167,装备属性!$P$919:$P$955&amp;装备属性!$N$919:$N$955,装备属性!$R$919:$R$955)*D167*0.5+_xlfn.XLOOKUP(B167&amp;(MAX(C167-10,1)),装备属性!$P$919:$P$955&amp;装备属性!$N$919:$N$955,装备属性!$R$919:$R$955)*(6-D167)*0.5+_xlfn.XLOOKUP(E167,装备属性!$D$520:$D$819,装备属性!$I$520:$I$819)*6</f>
        <v>#N/A</v>
      </c>
      <c r="G167" s="73"/>
      <c r="H167" s="74"/>
      <c r="I167" s="74"/>
      <c r="J167" s="74"/>
      <c r="K167" s="56"/>
      <c r="L167" s="56"/>
      <c r="M167" s="56"/>
      <c r="N167" s="74"/>
      <c r="O167" s="74"/>
      <c r="P167" s="74"/>
    </row>
    <row r="168" ht="16.5" spans="1:16">
      <c r="A168" s="70">
        <v>162</v>
      </c>
      <c r="B168" s="45" t="str">
        <f ca="1">OFFSET(装备属性!$D$65,MATCH(A168,装备属性!$G$66:$G$73,1),0)</f>
        <v>彩</v>
      </c>
      <c r="C168" s="71">
        <f ca="1">OFFSET(装备属性!$D$14,MATCH(A168,装备属性!$H$15:$H$61,1),0)</f>
        <v>145</v>
      </c>
      <c r="D168" s="72">
        <f ca="1">IFERROR(MIN(MATCH(COUNTIFS($C$7:C168,C168,$B$7:B168,B168)*_xlfn.XLOOKUP(C168,装备属性!$D$15:$D$61,装备属性!$M$15:$M$61),装备产出!$Z$19:$Z$24,1),6),0)</f>
        <v>0</v>
      </c>
      <c r="E168" s="45" t="e">
        <f>MATCH(A168,装备属性!$AD$520:$AD$819,1)</f>
        <v>#N/A</v>
      </c>
      <c r="F168" s="73" t="e" cm="1">
        <f ca="1" t="array" ref="F168">_xlfn.XLOOKUP(B168&amp;C168,装备属性!$G$90:$G$466&amp;装备属性!$E$90:$E$466,装备属性!$I$90:$I$466)*D168+_xlfn.XLOOKUP(B168&amp;MAX(C168-10,1),装备属性!$G$90:$G$466&amp;装备属性!$E$90:$E$466,装备属性!$I$90:$I$466)*(6-D168)+_xlfn.XLOOKUP(B168&amp;C168,装备属性!$P$919:$P$955&amp;装备属性!$N$919:$N$955,装备属性!$R$919:$R$955)*D168*0.5+_xlfn.XLOOKUP(B168&amp;(MAX(C168-10,1)),装备属性!$P$919:$P$955&amp;装备属性!$N$919:$N$955,装备属性!$R$919:$R$955)*(6-D168)*0.5+_xlfn.XLOOKUP(E168,装备属性!$D$520:$D$819,装备属性!$I$520:$I$819)*6</f>
        <v>#N/A</v>
      </c>
      <c r="G168" s="73"/>
      <c r="H168" s="74"/>
      <c r="I168" s="74"/>
      <c r="J168" s="74"/>
      <c r="K168" s="56"/>
      <c r="L168" s="56"/>
      <c r="M168" s="56"/>
      <c r="N168" s="74"/>
      <c r="O168" s="74"/>
      <c r="P168" s="74"/>
    </row>
    <row r="169" ht="16.5" spans="1:16">
      <c r="A169" s="70">
        <v>163</v>
      </c>
      <c r="B169" s="45" t="str">
        <f ca="1">OFFSET(装备属性!$D$65,MATCH(A169,装备属性!$G$66:$G$73,1),0)</f>
        <v>彩</v>
      </c>
      <c r="C169" s="71">
        <f ca="1">OFFSET(装备属性!$D$14,MATCH(A169,装备属性!$H$15:$H$61,1),0)</f>
        <v>145</v>
      </c>
      <c r="D169" s="72">
        <f ca="1">IFERROR(MIN(MATCH(COUNTIFS($C$7:C169,C169,$B$7:B169,B169)*_xlfn.XLOOKUP(C169,装备属性!$D$15:$D$61,装备属性!$M$15:$M$61),装备产出!$Z$19:$Z$24,1),6),0)</f>
        <v>0</v>
      </c>
      <c r="E169" s="45" t="e">
        <f>MATCH(A169,装备属性!$AD$520:$AD$819,1)</f>
        <v>#N/A</v>
      </c>
      <c r="F169" s="73" t="e" cm="1">
        <f ca="1" t="array" ref="F169">_xlfn.XLOOKUP(B169&amp;C169,装备属性!$G$90:$G$466&amp;装备属性!$E$90:$E$466,装备属性!$I$90:$I$466)*D169+_xlfn.XLOOKUP(B169&amp;MAX(C169-10,1),装备属性!$G$90:$G$466&amp;装备属性!$E$90:$E$466,装备属性!$I$90:$I$466)*(6-D169)+_xlfn.XLOOKUP(B169&amp;C169,装备属性!$P$919:$P$955&amp;装备属性!$N$919:$N$955,装备属性!$R$919:$R$955)*D169*0.5+_xlfn.XLOOKUP(B169&amp;(MAX(C169-10,1)),装备属性!$P$919:$P$955&amp;装备属性!$N$919:$N$955,装备属性!$R$919:$R$955)*(6-D169)*0.5+_xlfn.XLOOKUP(E169,装备属性!$D$520:$D$819,装备属性!$I$520:$I$819)*6</f>
        <v>#N/A</v>
      </c>
      <c r="G169" s="73"/>
      <c r="H169" s="74"/>
      <c r="I169" s="74"/>
      <c r="J169" s="74"/>
      <c r="K169" s="56"/>
      <c r="L169" s="56"/>
      <c r="M169" s="56"/>
      <c r="N169" s="74"/>
      <c r="O169" s="74"/>
      <c r="P169" s="74"/>
    </row>
    <row r="170" ht="16.5" spans="1:16">
      <c r="A170" s="70">
        <v>164</v>
      </c>
      <c r="B170" s="45" t="str">
        <f ca="1">OFFSET(装备属性!$D$65,MATCH(A170,装备属性!$G$66:$G$73,1),0)</f>
        <v>彩</v>
      </c>
      <c r="C170" s="71">
        <f ca="1">OFFSET(装备属性!$D$14,MATCH(A170,装备属性!$H$15:$H$61,1),0)</f>
        <v>145</v>
      </c>
      <c r="D170" s="72">
        <f ca="1">IFERROR(MIN(MATCH(COUNTIFS($C$7:C170,C170,$B$7:B170,B170)*_xlfn.XLOOKUP(C170,装备属性!$D$15:$D$61,装备属性!$M$15:$M$61),装备产出!$Z$19:$Z$24,1),6),0)</f>
        <v>0</v>
      </c>
      <c r="E170" s="45" t="e">
        <f>MATCH(A170,装备属性!$AD$520:$AD$819,1)</f>
        <v>#N/A</v>
      </c>
      <c r="F170" s="73" t="e" cm="1">
        <f ca="1" t="array" ref="F170">_xlfn.XLOOKUP(B170&amp;C170,装备属性!$G$90:$G$466&amp;装备属性!$E$90:$E$466,装备属性!$I$90:$I$466)*D170+_xlfn.XLOOKUP(B170&amp;MAX(C170-10,1),装备属性!$G$90:$G$466&amp;装备属性!$E$90:$E$466,装备属性!$I$90:$I$466)*(6-D170)+_xlfn.XLOOKUP(B170&amp;C170,装备属性!$P$919:$P$955&amp;装备属性!$N$919:$N$955,装备属性!$R$919:$R$955)*D170*0.5+_xlfn.XLOOKUP(B170&amp;(MAX(C170-10,1)),装备属性!$P$919:$P$955&amp;装备属性!$N$919:$N$955,装备属性!$R$919:$R$955)*(6-D170)*0.5+_xlfn.XLOOKUP(E170,装备属性!$D$520:$D$819,装备属性!$I$520:$I$819)*6</f>
        <v>#N/A</v>
      </c>
      <c r="G170" s="73"/>
      <c r="H170" s="74"/>
      <c r="I170" s="74"/>
      <c r="J170" s="74"/>
      <c r="K170" s="56"/>
      <c r="L170" s="56"/>
      <c r="M170" s="56"/>
      <c r="N170" s="74"/>
      <c r="O170" s="74"/>
      <c r="P170" s="74"/>
    </row>
    <row r="171" ht="16.5" spans="1:16">
      <c r="A171" s="70">
        <v>165</v>
      </c>
      <c r="B171" s="45" t="str">
        <f ca="1">OFFSET(装备属性!$D$65,MATCH(A171,装备属性!$G$66:$G$73,1),0)</f>
        <v>彩</v>
      </c>
      <c r="C171" s="71">
        <f ca="1">OFFSET(装备属性!$D$14,MATCH(A171,装备属性!$H$15:$H$61,1),0)</f>
        <v>145</v>
      </c>
      <c r="D171" s="72">
        <f ca="1">IFERROR(MIN(MATCH(COUNTIFS($C$7:C171,C171,$B$7:B171,B171)*_xlfn.XLOOKUP(C171,装备属性!$D$15:$D$61,装备属性!$M$15:$M$61),装备产出!$Z$19:$Z$24,1),6),0)</f>
        <v>0</v>
      </c>
      <c r="E171" s="45" t="e">
        <f>MATCH(A171,装备属性!$AD$520:$AD$819,1)</f>
        <v>#N/A</v>
      </c>
      <c r="F171" s="73" t="e" cm="1">
        <f ca="1" t="array" ref="F171">_xlfn.XLOOKUP(B171&amp;C171,装备属性!$G$90:$G$466&amp;装备属性!$E$90:$E$466,装备属性!$I$90:$I$466)*D171+_xlfn.XLOOKUP(B171&amp;MAX(C171-10,1),装备属性!$G$90:$G$466&amp;装备属性!$E$90:$E$466,装备属性!$I$90:$I$466)*(6-D171)+_xlfn.XLOOKUP(B171&amp;C171,装备属性!$P$919:$P$955&amp;装备属性!$N$919:$N$955,装备属性!$R$919:$R$955)*D171*0.5+_xlfn.XLOOKUP(B171&amp;(MAX(C171-10,1)),装备属性!$P$919:$P$955&amp;装备属性!$N$919:$N$955,装备属性!$R$919:$R$955)*(6-D171)*0.5+_xlfn.XLOOKUP(E171,装备属性!$D$520:$D$819,装备属性!$I$520:$I$819)*6</f>
        <v>#N/A</v>
      </c>
      <c r="G171" s="73"/>
      <c r="H171" s="74"/>
      <c r="I171" s="74"/>
      <c r="J171" s="74"/>
      <c r="K171" s="56"/>
      <c r="L171" s="56"/>
      <c r="M171" s="56"/>
      <c r="N171" s="74"/>
      <c r="O171" s="74"/>
      <c r="P171" s="74"/>
    </row>
    <row r="172" ht="16.5" spans="1:16">
      <c r="A172" s="70">
        <v>166</v>
      </c>
      <c r="B172" s="45" t="str">
        <f ca="1">OFFSET(装备属性!$D$65,MATCH(A172,装备属性!$G$66:$G$73,1),0)</f>
        <v>彩</v>
      </c>
      <c r="C172" s="71">
        <f ca="1">OFFSET(装备属性!$D$14,MATCH(A172,装备属性!$H$15:$H$61,1),0)</f>
        <v>145</v>
      </c>
      <c r="D172" s="72">
        <f ca="1">IFERROR(MIN(MATCH(COUNTIFS($C$7:C172,C172,$B$7:B172,B172)*_xlfn.XLOOKUP(C172,装备属性!$D$15:$D$61,装备属性!$M$15:$M$61),装备产出!$Z$19:$Z$24,1),6),0)</f>
        <v>0</v>
      </c>
      <c r="E172" s="45" t="e">
        <f>MATCH(A172,装备属性!$AD$520:$AD$819,1)</f>
        <v>#N/A</v>
      </c>
      <c r="F172" s="73" t="e" cm="1">
        <f ca="1" t="array" ref="F172">_xlfn.XLOOKUP(B172&amp;C172,装备属性!$G$90:$G$466&amp;装备属性!$E$90:$E$466,装备属性!$I$90:$I$466)*D172+_xlfn.XLOOKUP(B172&amp;MAX(C172-10,1),装备属性!$G$90:$G$466&amp;装备属性!$E$90:$E$466,装备属性!$I$90:$I$466)*(6-D172)+_xlfn.XLOOKUP(B172&amp;C172,装备属性!$P$919:$P$955&amp;装备属性!$N$919:$N$955,装备属性!$R$919:$R$955)*D172*0.5+_xlfn.XLOOKUP(B172&amp;(MAX(C172-10,1)),装备属性!$P$919:$P$955&amp;装备属性!$N$919:$N$955,装备属性!$R$919:$R$955)*(6-D172)*0.5+_xlfn.XLOOKUP(E172,装备属性!$D$520:$D$819,装备属性!$I$520:$I$819)*6</f>
        <v>#N/A</v>
      </c>
      <c r="G172" s="73"/>
      <c r="H172" s="74"/>
      <c r="I172" s="74"/>
      <c r="J172" s="74"/>
      <c r="K172" s="56"/>
      <c r="L172" s="56"/>
      <c r="M172" s="56"/>
      <c r="N172" s="74"/>
      <c r="O172" s="74"/>
      <c r="P172" s="74"/>
    </row>
    <row r="173" ht="16.5" spans="1:16">
      <c r="A173" s="70">
        <v>167</v>
      </c>
      <c r="B173" s="45" t="str">
        <f ca="1">OFFSET(装备属性!$D$65,MATCH(A173,装备属性!$G$66:$G$73,1),0)</f>
        <v>彩</v>
      </c>
      <c r="C173" s="71">
        <f ca="1">OFFSET(装备属性!$D$14,MATCH(A173,装备属性!$H$15:$H$61,1),0)</f>
        <v>145</v>
      </c>
      <c r="D173" s="72">
        <f ca="1">IFERROR(MIN(MATCH(COUNTIFS($C$7:C173,C173,$B$7:B173,B173)*_xlfn.XLOOKUP(C173,装备属性!$D$15:$D$61,装备属性!$M$15:$M$61),装备产出!$Z$19:$Z$24,1),6),0)</f>
        <v>1</v>
      </c>
      <c r="E173" s="45" t="e">
        <f>MATCH(A173,装备属性!$AD$520:$AD$819,1)</f>
        <v>#N/A</v>
      </c>
      <c r="F173" s="73" t="e" cm="1">
        <f ca="1" t="array" ref="F173">_xlfn.XLOOKUP(B173&amp;C173,装备属性!$G$90:$G$466&amp;装备属性!$E$90:$E$466,装备属性!$I$90:$I$466)*D173+_xlfn.XLOOKUP(B173&amp;MAX(C173-10,1),装备属性!$G$90:$G$466&amp;装备属性!$E$90:$E$466,装备属性!$I$90:$I$466)*(6-D173)+_xlfn.XLOOKUP(B173&amp;C173,装备属性!$P$919:$P$955&amp;装备属性!$N$919:$N$955,装备属性!$R$919:$R$955)*D173*0.5+_xlfn.XLOOKUP(B173&amp;(MAX(C173-10,1)),装备属性!$P$919:$P$955&amp;装备属性!$N$919:$N$955,装备属性!$R$919:$R$955)*(6-D173)*0.5+_xlfn.XLOOKUP(E173,装备属性!$D$520:$D$819,装备属性!$I$520:$I$819)*6</f>
        <v>#N/A</v>
      </c>
      <c r="G173" s="73"/>
      <c r="H173" s="74"/>
      <c r="I173" s="74"/>
      <c r="J173" s="74"/>
      <c r="K173" s="56"/>
      <c r="L173" s="56"/>
      <c r="M173" s="56"/>
      <c r="N173" s="74"/>
      <c r="O173" s="74"/>
      <c r="P173" s="74"/>
    </row>
    <row r="174" ht="16.5" spans="1:16">
      <c r="A174" s="70">
        <v>168</v>
      </c>
      <c r="B174" s="45" t="str">
        <f ca="1">OFFSET(装备属性!$D$65,MATCH(A174,装备属性!$G$66:$G$73,1),0)</f>
        <v>彩</v>
      </c>
      <c r="C174" s="71">
        <f ca="1">OFFSET(装备属性!$D$14,MATCH(A174,装备属性!$H$15:$H$61,1),0)</f>
        <v>145</v>
      </c>
      <c r="D174" s="72">
        <f ca="1">IFERROR(MIN(MATCH(COUNTIFS($C$7:C174,C174,$B$7:B174,B174)*_xlfn.XLOOKUP(C174,装备属性!$D$15:$D$61,装备属性!$M$15:$M$61),装备产出!$Z$19:$Z$24,1),6),0)</f>
        <v>1</v>
      </c>
      <c r="E174" s="45" t="e">
        <f>MATCH(A174,装备属性!$AD$520:$AD$819,1)</f>
        <v>#N/A</v>
      </c>
      <c r="F174" s="73" t="e" cm="1">
        <f ca="1" t="array" ref="F174">_xlfn.XLOOKUP(B174&amp;C174,装备属性!$G$90:$G$466&amp;装备属性!$E$90:$E$466,装备属性!$I$90:$I$466)*D174+_xlfn.XLOOKUP(B174&amp;MAX(C174-10,1),装备属性!$G$90:$G$466&amp;装备属性!$E$90:$E$466,装备属性!$I$90:$I$466)*(6-D174)+_xlfn.XLOOKUP(B174&amp;C174,装备属性!$P$919:$P$955&amp;装备属性!$N$919:$N$955,装备属性!$R$919:$R$955)*D174*0.5+_xlfn.XLOOKUP(B174&amp;(MAX(C174-10,1)),装备属性!$P$919:$P$955&amp;装备属性!$N$919:$N$955,装备属性!$R$919:$R$955)*(6-D174)*0.5+_xlfn.XLOOKUP(E174,装备属性!$D$520:$D$819,装备属性!$I$520:$I$819)*6</f>
        <v>#N/A</v>
      </c>
      <c r="G174" s="73"/>
      <c r="H174" s="74"/>
      <c r="I174" s="74"/>
      <c r="J174" s="74"/>
      <c r="K174" s="56"/>
      <c r="L174" s="56"/>
      <c r="M174" s="56"/>
      <c r="N174" s="74"/>
      <c r="O174" s="74"/>
      <c r="P174" s="74"/>
    </row>
    <row r="175" ht="16.5" spans="1:16">
      <c r="A175" s="70">
        <v>169</v>
      </c>
      <c r="B175" s="45" t="str">
        <f ca="1">OFFSET(装备属性!$D$65,MATCH(A175,装备属性!$G$66:$G$73,1),0)</f>
        <v>彩</v>
      </c>
      <c r="C175" s="71">
        <f ca="1">OFFSET(装备属性!$D$14,MATCH(A175,装备属性!$H$15:$H$61,1),0)</f>
        <v>145</v>
      </c>
      <c r="D175" s="72">
        <f ca="1">IFERROR(MIN(MATCH(COUNTIFS($C$7:C175,C175,$B$7:B175,B175)*_xlfn.XLOOKUP(C175,装备属性!$D$15:$D$61,装备属性!$M$15:$M$61),装备产出!$Z$19:$Z$24,1),6),0)</f>
        <v>1</v>
      </c>
      <c r="E175" s="45" t="e">
        <f>MATCH(A175,装备属性!$AD$520:$AD$819,1)</f>
        <v>#N/A</v>
      </c>
      <c r="F175" s="73" t="e" cm="1">
        <f ca="1" t="array" ref="F175">_xlfn.XLOOKUP(B175&amp;C175,装备属性!$G$90:$G$466&amp;装备属性!$E$90:$E$466,装备属性!$I$90:$I$466)*D175+_xlfn.XLOOKUP(B175&amp;MAX(C175-10,1),装备属性!$G$90:$G$466&amp;装备属性!$E$90:$E$466,装备属性!$I$90:$I$466)*(6-D175)+_xlfn.XLOOKUP(B175&amp;C175,装备属性!$P$919:$P$955&amp;装备属性!$N$919:$N$955,装备属性!$R$919:$R$955)*D175*0.5+_xlfn.XLOOKUP(B175&amp;(MAX(C175-10,1)),装备属性!$P$919:$P$955&amp;装备属性!$N$919:$N$955,装备属性!$R$919:$R$955)*(6-D175)*0.5+_xlfn.XLOOKUP(E175,装备属性!$D$520:$D$819,装备属性!$I$520:$I$819)*6</f>
        <v>#N/A</v>
      </c>
      <c r="G175" s="73"/>
      <c r="H175" s="74"/>
      <c r="I175" s="74"/>
      <c r="J175" s="74"/>
      <c r="K175" s="56"/>
      <c r="L175" s="56"/>
      <c r="M175" s="56"/>
      <c r="N175" s="74"/>
      <c r="O175" s="74"/>
      <c r="P175" s="74"/>
    </row>
    <row r="176" ht="16.5" spans="1:16">
      <c r="A176" s="70">
        <v>170</v>
      </c>
      <c r="B176" s="45" t="str">
        <f ca="1">OFFSET(装备属性!$D$65,MATCH(A176,装备属性!$G$66:$G$73,1),0)</f>
        <v>彩</v>
      </c>
      <c r="C176" s="71">
        <f ca="1">OFFSET(装备属性!$D$14,MATCH(A176,装备属性!$H$15:$H$61,1),0)</f>
        <v>145</v>
      </c>
      <c r="D176" s="72">
        <f ca="1">IFERROR(MIN(MATCH(COUNTIFS($C$7:C176,C176,$B$7:B176,B176)*_xlfn.XLOOKUP(C176,装备属性!$D$15:$D$61,装备属性!$M$15:$M$61),装备产出!$Z$19:$Z$24,1),6),0)</f>
        <v>1</v>
      </c>
      <c r="E176" s="45" t="e">
        <f>MATCH(A176,装备属性!$AD$520:$AD$819,1)</f>
        <v>#N/A</v>
      </c>
      <c r="F176" s="73" t="e" cm="1">
        <f ca="1" t="array" ref="F176">_xlfn.XLOOKUP(B176&amp;C176,装备属性!$G$90:$G$466&amp;装备属性!$E$90:$E$466,装备属性!$I$90:$I$466)*D176+_xlfn.XLOOKUP(B176&amp;MAX(C176-10,1),装备属性!$G$90:$G$466&amp;装备属性!$E$90:$E$466,装备属性!$I$90:$I$466)*(6-D176)+_xlfn.XLOOKUP(B176&amp;C176,装备属性!$P$919:$P$955&amp;装备属性!$N$919:$N$955,装备属性!$R$919:$R$955)*D176*0.5+_xlfn.XLOOKUP(B176&amp;(MAX(C176-10,1)),装备属性!$P$919:$P$955&amp;装备属性!$N$919:$N$955,装备属性!$R$919:$R$955)*(6-D176)*0.5+_xlfn.XLOOKUP(E176,装备属性!$D$520:$D$819,装备属性!$I$520:$I$819)*6</f>
        <v>#N/A</v>
      </c>
      <c r="G176" s="73"/>
      <c r="H176" s="74"/>
      <c r="I176" s="74"/>
      <c r="J176" s="74"/>
      <c r="K176" s="56"/>
      <c r="L176" s="56"/>
      <c r="M176" s="56"/>
      <c r="N176" s="74"/>
      <c r="O176" s="74"/>
      <c r="P176" s="74"/>
    </row>
    <row r="177" ht="16.5" spans="1:16">
      <c r="A177" s="70">
        <v>171</v>
      </c>
      <c r="B177" s="45" t="str">
        <f ca="1">OFFSET(装备属性!$D$65,MATCH(A177,装备属性!$G$66:$G$73,1),0)</f>
        <v>彩</v>
      </c>
      <c r="C177" s="71">
        <f ca="1">OFFSET(装备属性!$D$14,MATCH(A177,装备属性!$H$15:$H$61,1),0)</f>
        <v>145</v>
      </c>
      <c r="D177" s="72">
        <f ca="1">IFERROR(MIN(MATCH(COUNTIFS($C$7:C177,C177,$B$7:B177,B177)*_xlfn.XLOOKUP(C177,装备属性!$D$15:$D$61,装备属性!$M$15:$M$61),装备产出!$Z$19:$Z$24,1),6),0)</f>
        <v>1</v>
      </c>
      <c r="E177" s="45" t="e">
        <f>MATCH(A177,装备属性!$AD$520:$AD$819,1)</f>
        <v>#N/A</v>
      </c>
      <c r="F177" s="73" t="e" cm="1">
        <f ca="1" t="array" ref="F177">_xlfn.XLOOKUP(B177&amp;C177,装备属性!$G$90:$G$466&amp;装备属性!$E$90:$E$466,装备属性!$I$90:$I$466)*D177+_xlfn.XLOOKUP(B177&amp;MAX(C177-10,1),装备属性!$G$90:$G$466&amp;装备属性!$E$90:$E$466,装备属性!$I$90:$I$466)*(6-D177)+_xlfn.XLOOKUP(B177&amp;C177,装备属性!$P$919:$P$955&amp;装备属性!$N$919:$N$955,装备属性!$R$919:$R$955)*D177*0.5+_xlfn.XLOOKUP(B177&amp;(MAX(C177-10,1)),装备属性!$P$919:$P$955&amp;装备属性!$N$919:$N$955,装备属性!$R$919:$R$955)*(6-D177)*0.5+_xlfn.XLOOKUP(E177,装备属性!$D$520:$D$819,装备属性!$I$520:$I$819)*6</f>
        <v>#N/A</v>
      </c>
      <c r="G177" s="73"/>
      <c r="H177" s="74"/>
      <c r="I177" s="74"/>
      <c r="J177" s="74"/>
      <c r="K177" s="56"/>
      <c r="L177" s="56"/>
      <c r="M177" s="56"/>
      <c r="N177" s="74"/>
      <c r="O177" s="74"/>
      <c r="P177" s="74"/>
    </row>
    <row r="178" ht="16.5" spans="1:16">
      <c r="A178" s="70">
        <v>172</v>
      </c>
      <c r="B178" s="45" t="str">
        <f ca="1">OFFSET(装备属性!$D$65,MATCH(A178,装备属性!$G$66:$G$73,1),0)</f>
        <v>彩</v>
      </c>
      <c r="C178" s="71">
        <f ca="1">OFFSET(装备属性!$D$14,MATCH(A178,装备属性!$H$15:$H$61,1),0)</f>
        <v>150</v>
      </c>
      <c r="D178" s="72">
        <f ca="1">IFERROR(MIN(MATCH(COUNTIFS($C$7:C178,C178,$B$7:B178,B178)*_xlfn.XLOOKUP(C178,装备属性!$D$15:$D$61,装备属性!$M$15:$M$61),装备产出!$Z$19:$Z$24,1),6),0)</f>
        <v>0</v>
      </c>
      <c r="E178" s="45" t="e">
        <f>MATCH(A178,装备属性!$AD$520:$AD$819,1)</f>
        <v>#N/A</v>
      </c>
      <c r="F178" s="73" t="e" cm="1">
        <f ca="1" t="array" ref="F178">_xlfn.XLOOKUP(B178&amp;C178,装备属性!$G$90:$G$466&amp;装备属性!$E$90:$E$466,装备属性!$I$90:$I$466)*D178+_xlfn.XLOOKUP(B178&amp;MAX(C178-10,1),装备属性!$G$90:$G$466&amp;装备属性!$E$90:$E$466,装备属性!$I$90:$I$466)*(6-D178)+_xlfn.XLOOKUP(B178&amp;C178,装备属性!$P$919:$P$955&amp;装备属性!$N$919:$N$955,装备属性!$R$919:$R$955)*D178*0.5+_xlfn.XLOOKUP(B178&amp;(MAX(C178-10,1)),装备属性!$P$919:$P$955&amp;装备属性!$N$919:$N$955,装备属性!$R$919:$R$955)*(6-D178)*0.5+_xlfn.XLOOKUP(E178,装备属性!$D$520:$D$819,装备属性!$I$520:$I$819)*6</f>
        <v>#N/A</v>
      </c>
      <c r="G178" s="73"/>
      <c r="H178" s="74"/>
      <c r="I178" s="74"/>
      <c r="J178" s="74"/>
      <c r="K178" s="56"/>
      <c r="L178" s="56"/>
      <c r="M178" s="56"/>
      <c r="N178" s="74"/>
      <c r="O178" s="74"/>
      <c r="P178" s="74"/>
    </row>
    <row r="179" ht="16.5" spans="1:16">
      <c r="A179" s="70">
        <v>173</v>
      </c>
      <c r="B179" s="45" t="str">
        <f ca="1">OFFSET(装备属性!$D$65,MATCH(A179,装备属性!$G$66:$G$73,1),0)</f>
        <v>彩</v>
      </c>
      <c r="C179" s="71">
        <f ca="1">OFFSET(装备属性!$D$14,MATCH(A179,装备属性!$H$15:$H$61,1),0)</f>
        <v>150</v>
      </c>
      <c r="D179" s="72">
        <f ca="1">IFERROR(MIN(MATCH(COUNTIFS($C$7:C179,C179,$B$7:B179,B179)*_xlfn.XLOOKUP(C179,装备属性!$D$15:$D$61,装备属性!$M$15:$M$61),装备产出!$Z$19:$Z$24,1),6),0)</f>
        <v>0</v>
      </c>
      <c r="E179" s="45" t="e">
        <f>MATCH(A179,装备属性!$AD$520:$AD$819,1)</f>
        <v>#N/A</v>
      </c>
      <c r="F179" s="73" t="e" cm="1">
        <f ca="1" t="array" ref="F179">_xlfn.XLOOKUP(B179&amp;C179,装备属性!$G$90:$G$466&amp;装备属性!$E$90:$E$466,装备属性!$I$90:$I$466)*D179+_xlfn.XLOOKUP(B179&amp;MAX(C179-10,1),装备属性!$G$90:$G$466&amp;装备属性!$E$90:$E$466,装备属性!$I$90:$I$466)*(6-D179)+_xlfn.XLOOKUP(B179&amp;C179,装备属性!$P$919:$P$955&amp;装备属性!$N$919:$N$955,装备属性!$R$919:$R$955)*D179*0.5+_xlfn.XLOOKUP(B179&amp;(MAX(C179-10,1)),装备属性!$P$919:$P$955&amp;装备属性!$N$919:$N$955,装备属性!$R$919:$R$955)*(6-D179)*0.5+_xlfn.XLOOKUP(E179,装备属性!$D$520:$D$819,装备属性!$I$520:$I$819)*6</f>
        <v>#N/A</v>
      </c>
      <c r="G179" s="73"/>
      <c r="H179" s="74"/>
      <c r="I179" s="74"/>
      <c r="J179" s="74"/>
      <c r="K179" s="56"/>
      <c r="L179" s="56"/>
      <c r="M179" s="56"/>
      <c r="N179" s="74"/>
      <c r="O179" s="74"/>
      <c r="P179" s="74"/>
    </row>
    <row r="180" ht="16.5" spans="1:16">
      <c r="A180" s="70">
        <v>174</v>
      </c>
      <c r="B180" s="45" t="str">
        <f ca="1">OFFSET(装备属性!$D$65,MATCH(A180,装备属性!$G$66:$G$73,1),0)</f>
        <v>彩</v>
      </c>
      <c r="C180" s="71">
        <f ca="1">OFFSET(装备属性!$D$14,MATCH(A180,装备属性!$H$15:$H$61,1),0)</f>
        <v>150</v>
      </c>
      <c r="D180" s="72">
        <f ca="1">IFERROR(MIN(MATCH(COUNTIFS($C$7:C180,C180,$B$7:B180,B180)*_xlfn.XLOOKUP(C180,装备属性!$D$15:$D$61,装备属性!$M$15:$M$61),装备产出!$Z$19:$Z$24,1),6),0)</f>
        <v>0</v>
      </c>
      <c r="E180" s="45" t="e">
        <f>MATCH(A180,装备属性!$AD$520:$AD$819,1)</f>
        <v>#N/A</v>
      </c>
      <c r="F180" s="73" t="e" cm="1">
        <f ca="1" t="array" ref="F180">_xlfn.XLOOKUP(B180&amp;C180,装备属性!$G$90:$G$466&amp;装备属性!$E$90:$E$466,装备属性!$I$90:$I$466)*D180+_xlfn.XLOOKUP(B180&amp;MAX(C180-10,1),装备属性!$G$90:$G$466&amp;装备属性!$E$90:$E$466,装备属性!$I$90:$I$466)*(6-D180)+_xlfn.XLOOKUP(B180&amp;C180,装备属性!$P$919:$P$955&amp;装备属性!$N$919:$N$955,装备属性!$R$919:$R$955)*D180*0.5+_xlfn.XLOOKUP(B180&amp;(MAX(C180-10,1)),装备属性!$P$919:$P$955&amp;装备属性!$N$919:$N$955,装备属性!$R$919:$R$955)*(6-D180)*0.5+_xlfn.XLOOKUP(E180,装备属性!$D$520:$D$819,装备属性!$I$520:$I$819)*6</f>
        <v>#N/A</v>
      </c>
      <c r="G180" s="73"/>
      <c r="H180" s="74"/>
      <c r="I180" s="74"/>
      <c r="J180" s="74"/>
      <c r="K180" s="56"/>
      <c r="L180" s="56"/>
      <c r="M180" s="56"/>
      <c r="N180" s="74"/>
      <c r="O180" s="74"/>
      <c r="P180" s="74"/>
    </row>
    <row r="181" ht="16.5" spans="1:16">
      <c r="A181" s="70">
        <v>175</v>
      </c>
      <c r="B181" s="45" t="str">
        <f ca="1">OFFSET(装备属性!$D$65,MATCH(A181,装备属性!$G$66:$G$73,1),0)</f>
        <v>彩</v>
      </c>
      <c r="C181" s="71">
        <f ca="1">OFFSET(装备属性!$D$14,MATCH(A181,装备属性!$H$15:$H$61,1),0)</f>
        <v>150</v>
      </c>
      <c r="D181" s="72">
        <f ca="1">IFERROR(MIN(MATCH(COUNTIFS($C$7:C181,C181,$B$7:B181,B181)*_xlfn.XLOOKUP(C181,装备属性!$D$15:$D$61,装备属性!$M$15:$M$61),装备产出!$Z$19:$Z$24,1),6),0)</f>
        <v>0</v>
      </c>
      <c r="E181" s="45" t="e">
        <f>MATCH(A181,装备属性!$AD$520:$AD$819,1)</f>
        <v>#N/A</v>
      </c>
      <c r="F181" s="73" t="e" cm="1">
        <f ca="1" t="array" ref="F181">_xlfn.XLOOKUP(B181&amp;C181,装备属性!$G$90:$G$466&amp;装备属性!$E$90:$E$466,装备属性!$I$90:$I$466)*D181+_xlfn.XLOOKUP(B181&amp;MAX(C181-10,1),装备属性!$G$90:$G$466&amp;装备属性!$E$90:$E$466,装备属性!$I$90:$I$466)*(6-D181)+_xlfn.XLOOKUP(B181&amp;C181,装备属性!$P$919:$P$955&amp;装备属性!$N$919:$N$955,装备属性!$R$919:$R$955)*D181*0.5+_xlfn.XLOOKUP(B181&amp;(MAX(C181-10,1)),装备属性!$P$919:$P$955&amp;装备属性!$N$919:$N$955,装备属性!$R$919:$R$955)*(6-D181)*0.5+_xlfn.XLOOKUP(E181,装备属性!$D$520:$D$819,装备属性!$I$520:$I$819)*6</f>
        <v>#N/A</v>
      </c>
      <c r="G181" s="73"/>
      <c r="H181" s="74"/>
      <c r="I181" s="74"/>
      <c r="J181" s="74"/>
      <c r="K181" s="56"/>
      <c r="L181" s="56"/>
      <c r="M181" s="56"/>
      <c r="N181" s="74"/>
      <c r="O181" s="74"/>
      <c r="P181" s="74"/>
    </row>
    <row r="182" ht="16.5" spans="1:16">
      <c r="A182" s="70">
        <v>176</v>
      </c>
      <c r="B182" s="45" t="str">
        <f ca="1">OFFSET(装备属性!$D$65,MATCH(A182,装备属性!$G$66:$G$73,1),0)</f>
        <v>彩</v>
      </c>
      <c r="C182" s="71">
        <f ca="1">OFFSET(装备属性!$D$14,MATCH(A182,装备属性!$H$15:$H$61,1),0)</f>
        <v>150</v>
      </c>
      <c r="D182" s="72">
        <f ca="1">IFERROR(MIN(MATCH(COUNTIFS($C$7:C182,C182,$B$7:B182,B182)*_xlfn.XLOOKUP(C182,装备属性!$D$15:$D$61,装备属性!$M$15:$M$61),装备产出!$Z$19:$Z$24,1),6),0)</f>
        <v>0</v>
      </c>
      <c r="E182" s="45" t="e">
        <f>MATCH(A182,装备属性!$AD$520:$AD$819,1)</f>
        <v>#N/A</v>
      </c>
      <c r="F182" s="73" t="e" cm="1">
        <f ca="1" t="array" ref="F182">_xlfn.XLOOKUP(B182&amp;C182,装备属性!$G$90:$G$466&amp;装备属性!$E$90:$E$466,装备属性!$I$90:$I$466)*D182+_xlfn.XLOOKUP(B182&amp;MAX(C182-10,1),装备属性!$G$90:$G$466&amp;装备属性!$E$90:$E$466,装备属性!$I$90:$I$466)*(6-D182)+_xlfn.XLOOKUP(B182&amp;C182,装备属性!$P$919:$P$955&amp;装备属性!$N$919:$N$955,装备属性!$R$919:$R$955)*D182*0.5+_xlfn.XLOOKUP(B182&amp;(MAX(C182-10,1)),装备属性!$P$919:$P$955&amp;装备属性!$N$919:$N$955,装备属性!$R$919:$R$955)*(6-D182)*0.5+_xlfn.XLOOKUP(E182,装备属性!$D$520:$D$819,装备属性!$I$520:$I$819)*6</f>
        <v>#N/A</v>
      </c>
      <c r="G182" s="73"/>
      <c r="H182" s="74"/>
      <c r="I182" s="74"/>
      <c r="J182" s="74"/>
      <c r="K182" s="56"/>
      <c r="L182" s="56"/>
      <c r="M182" s="56"/>
      <c r="N182" s="74"/>
      <c r="O182" s="74"/>
      <c r="P182" s="74"/>
    </row>
    <row r="183" ht="16.5" spans="1:16">
      <c r="A183" s="70">
        <v>177</v>
      </c>
      <c r="B183" s="45" t="str">
        <f ca="1">OFFSET(装备属性!$D$65,MATCH(A183,装备属性!$G$66:$G$73,1),0)</f>
        <v>彩</v>
      </c>
      <c r="C183" s="71">
        <f ca="1">OFFSET(装备属性!$D$14,MATCH(A183,装备属性!$H$15:$H$61,1),0)</f>
        <v>150</v>
      </c>
      <c r="D183" s="72">
        <f ca="1">IFERROR(MIN(MATCH(COUNTIFS($C$7:C183,C183,$B$7:B183,B183)*_xlfn.XLOOKUP(C183,装备属性!$D$15:$D$61,装备属性!$M$15:$M$61),装备产出!$Z$19:$Z$24,1),6),0)</f>
        <v>1</v>
      </c>
      <c r="E183" s="45" t="e">
        <f>MATCH(A183,装备属性!$AD$520:$AD$819,1)</f>
        <v>#N/A</v>
      </c>
      <c r="F183" s="73" t="e" cm="1">
        <f ca="1" t="array" ref="F183">_xlfn.XLOOKUP(B183&amp;C183,装备属性!$G$90:$G$466&amp;装备属性!$E$90:$E$466,装备属性!$I$90:$I$466)*D183+_xlfn.XLOOKUP(B183&amp;MAX(C183-10,1),装备属性!$G$90:$G$466&amp;装备属性!$E$90:$E$466,装备属性!$I$90:$I$466)*(6-D183)+_xlfn.XLOOKUP(B183&amp;C183,装备属性!$P$919:$P$955&amp;装备属性!$N$919:$N$955,装备属性!$R$919:$R$955)*D183*0.5+_xlfn.XLOOKUP(B183&amp;(MAX(C183-10,1)),装备属性!$P$919:$P$955&amp;装备属性!$N$919:$N$955,装备属性!$R$919:$R$955)*(6-D183)*0.5+_xlfn.XLOOKUP(E183,装备属性!$D$520:$D$819,装备属性!$I$520:$I$819)*6</f>
        <v>#N/A</v>
      </c>
      <c r="G183" s="73"/>
      <c r="H183" s="74"/>
      <c r="I183" s="74"/>
      <c r="J183" s="74"/>
      <c r="K183" s="56"/>
      <c r="L183" s="56"/>
      <c r="M183" s="56"/>
      <c r="N183" s="74"/>
      <c r="O183" s="74"/>
      <c r="P183" s="74"/>
    </row>
    <row r="184" ht="16.5" spans="1:16">
      <c r="A184" s="70">
        <v>178</v>
      </c>
      <c r="B184" s="45" t="str">
        <f ca="1">OFFSET(装备属性!$D$65,MATCH(A184,装备属性!$G$66:$G$73,1),0)</f>
        <v>彩</v>
      </c>
      <c r="C184" s="71">
        <f ca="1">OFFSET(装备属性!$D$14,MATCH(A184,装备属性!$H$15:$H$61,1),0)</f>
        <v>150</v>
      </c>
      <c r="D184" s="72">
        <f ca="1">IFERROR(MIN(MATCH(COUNTIFS($C$7:C184,C184,$B$7:B184,B184)*_xlfn.XLOOKUP(C184,装备属性!$D$15:$D$61,装备属性!$M$15:$M$61),装备产出!$Z$19:$Z$24,1),6),0)</f>
        <v>1</v>
      </c>
      <c r="E184" s="45" t="e">
        <f>MATCH(A184,装备属性!$AD$520:$AD$819,1)</f>
        <v>#N/A</v>
      </c>
      <c r="F184" s="73" t="e" cm="1">
        <f ca="1" t="array" ref="F184">_xlfn.XLOOKUP(B184&amp;C184,装备属性!$G$90:$G$466&amp;装备属性!$E$90:$E$466,装备属性!$I$90:$I$466)*D184+_xlfn.XLOOKUP(B184&amp;MAX(C184-10,1),装备属性!$G$90:$G$466&amp;装备属性!$E$90:$E$466,装备属性!$I$90:$I$466)*(6-D184)+_xlfn.XLOOKUP(B184&amp;C184,装备属性!$P$919:$P$955&amp;装备属性!$N$919:$N$955,装备属性!$R$919:$R$955)*D184*0.5+_xlfn.XLOOKUP(B184&amp;(MAX(C184-10,1)),装备属性!$P$919:$P$955&amp;装备属性!$N$919:$N$955,装备属性!$R$919:$R$955)*(6-D184)*0.5+_xlfn.XLOOKUP(E184,装备属性!$D$520:$D$819,装备属性!$I$520:$I$819)*6</f>
        <v>#N/A</v>
      </c>
      <c r="G184" s="73"/>
      <c r="H184" s="74"/>
      <c r="I184" s="74"/>
      <c r="J184" s="74"/>
      <c r="K184" s="56"/>
      <c r="L184" s="56"/>
      <c r="M184" s="56"/>
      <c r="N184" s="74"/>
      <c r="O184" s="74"/>
      <c r="P184" s="74"/>
    </row>
    <row r="185" ht="16.5" spans="1:16">
      <c r="A185" s="70">
        <v>179</v>
      </c>
      <c r="B185" s="45" t="str">
        <f ca="1">OFFSET(装备属性!$D$65,MATCH(A185,装备属性!$G$66:$G$73,1),0)</f>
        <v>彩</v>
      </c>
      <c r="C185" s="71">
        <f ca="1">OFFSET(装备属性!$D$14,MATCH(A185,装备属性!$H$15:$H$61,1),0)</f>
        <v>150</v>
      </c>
      <c r="D185" s="72">
        <f ca="1">IFERROR(MIN(MATCH(COUNTIFS($C$7:C185,C185,$B$7:B185,B185)*_xlfn.XLOOKUP(C185,装备属性!$D$15:$D$61,装备属性!$M$15:$M$61),装备产出!$Z$19:$Z$24,1),6),0)</f>
        <v>1</v>
      </c>
      <c r="E185" s="45" t="e">
        <f>MATCH(A185,装备属性!$AD$520:$AD$819,1)</f>
        <v>#N/A</v>
      </c>
      <c r="F185" s="73" t="e" cm="1">
        <f ca="1" t="array" ref="F185">_xlfn.XLOOKUP(B185&amp;C185,装备属性!$G$90:$G$466&amp;装备属性!$E$90:$E$466,装备属性!$I$90:$I$466)*D185+_xlfn.XLOOKUP(B185&amp;MAX(C185-10,1),装备属性!$G$90:$G$466&amp;装备属性!$E$90:$E$466,装备属性!$I$90:$I$466)*(6-D185)+_xlfn.XLOOKUP(B185&amp;C185,装备属性!$P$919:$P$955&amp;装备属性!$N$919:$N$955,装备属性!$R$919:$R$955)*D185*0.5+_xlfn.XLOOKUP(B185&amp;(MAX(C185-10,1)),装备属性!$P$919:$P$955&amp;装备属性!$N$919:$N$955,装备属性!$R$919:$R$955)*(6-D185)*0.5+_xlfn.XLOOKUP(E185,装备属性!$D$520:$D$819,装备属性!$I$520:$I$819)*6</f>
        <v>#N/A</v>
      </c>
      <c r="G185" s="73"/>
      <c r="H185" s="74"/>
      <c r="I185" s="74"/>
      <c r="J185" s="74"/>
      <c r="K185" s="56"/>
      <c r="L185" s="56"/>
      <c r="M185" s="56"/>
      <c r="N185" s="74"/>
      <c r="O185" s="74"/>
      <c r="P185" s="74"/>
    </row>
    <row r="186" ht="16.5" spans="1:16">
      <c r="A186" s="70">
        <v>180</v>
      </c>
      <c r="B186" s="45" t="str">
        <f ca="1">OFFSET(装备属性!$D$65,MATCH(A186,装备属性!$G$66:$G$73,1),0)</f>
        <v>彩</v>
      </c>
      <c r="C186" s="71">
        <f ca="1">OFFSET(装备属性!$D$14,MATCH(A186,装备属性!$H$15:$H$61,1),0)</f>
        <v>150</v>
      </c>
      <c r="D186" s="72">
        <f ca="1">IFERROR(MIN(MATCH(COUNTIFS($C$7:C186,C186,$B$7:B186,B186)*_xlfn.XLOOKUP(C186,装备属性!$D$15:$D$61,装备属性!$M$15:$M$61),装备产出!$Z$19:$Z$24,1),6),0)</f>
        <v>1</v>
      </c>
      <c r="E186" s="45" t="e">
        <f>MATCH(A186,装备属性!$AD$520:$AD$819,1)</f>
        <v>#N/A</v>
      </c>
      <c r="F186" s="73" t="e" cm="1">
        <f ca="1" t="array" ref="F186">_xlfn.XLOOKUP(B186&amp;C186,装备属性!$G$90:$G$466&amp;装备属性!$E$90:$E$466,装备属性!$I$90:$I$466)*D186+_xlfn.XLOOKUP(B186&amp;MAX(C186-10,1),装备属性!$G$90:$G$466&amp;装备属性!$E$90:$E$466,装备属性!$I$90:$I$466)*(6-D186)+_xlfn.XLOOKUP(B186&amp;C186,装备属性!$P$919:$P$955&amp;装备属性!$N$919:$N$955,装备属性!$R$919:$R$955)*D186*0.5+_xlfn.XLOOKUP(B186&amp;(MAX(C186-10,1)),装备属性!$P$919:$P$955&amp;装备属性!$N$919:$N$955,装备属性!$R$919:$R$955)*(6-D186)*0.5+_xlfn.XLOOKUP(E186,装备属性!$D$520:$D$819,装备属性!$I$520:$I$819)*6</f>
        <v>#N/A</v>
      </c>
      <c r="G186" s="73"/>
      <c r="H186" s="74"/>
      <c r="I186" s="74"/>
      <c r="J186" s="74"/>
      <c r="K186" s="56"/>
      <c r="L186" s="56"/>
      <c r="M186" s="56"/>
      <c r="N186" s="74"/>
      <c r="O186" s="74"/>
      <c r="P186" s="74"/>
    </row>
    <row r="187" ht="16.5" spans="1:16">
      <c r="A187" s="70">
        <v>181</v>
      </c>
      <c r="B187" s="45" t="str">
        <f ca="1">OFFSET(装备属性!$D$65,MATCH(A187,装备属性!$G$66:$G$73,1),0)</f>
        <v>彩</v>
      </c>
      <c r="C187" s="71">
        <f ca="1">OFFSET(装备属性!$D$14,MATCH(A187,装备属性!$H$15:$H$61,1),0)</f>
        <v>150</v>
      </c>
      <c r="D187" s="72">
        <f ca="1">IFERROR(MIN(MATCH(COUNTIFS($C$7:C187,C187,$B$7:B187,B187)*_xlfn.XLOOKUP(C187,装备属性!$D$15:$D$61,装备属性!$M$15:$M$61),装备产出!$Z$19:$Z$24,1),6),0)</f>
        <v>1</v>
      </c>
      <c r="E187" s="45" t="e">
        <f>MATCH(A187,装备属性!$AD$520:$AD$819,1)</f>
        <v>#N/A</v>
      </c>
      <c r="F187" s="73" t="e" cm="1">
        <f ca="1" t="array" ref="F187">_xlfn.XLOOKUP(B187&amp;C187,装备属性!$G$90:$G$466&amp;装备属性!$E$90:$E$466,装备属性!$I$90:$I$466)*D187+_xlfn.XLOOKUP(B187&amp;MAX(C187-10,1),装备属性!$G$90:$G$466&amp;装备属性!$E$90:$E$466,装备属性!$I$90:$I$466)*(6-D187)+_xlfn.XLOOKUP(B187&amp;C187,装备属性!$P$919:$P$955&amp;装备属性!$N$919:$N$955,装备属性!$R$919:$R$955)*D187*0.5+_xlfn.XLOOKUP(B187&amp;(MAX(C187-10,1)),装备属性!$P$919:$P$955&amp;装备属性!$N$919:$N$955,装备属性!$R$919:$R$955)*(6-D187)*0.5+_xlfn.XLOOKUP(E187,装备属性!$D$520:$D$819,装备属性!$I$520:$I$819)*6</f>
        <v>#N/A</v>
      </c>
      <c r="G187" s="73"/>
      <c r="H187" s="74"/>
      <c r="I187" s="74"/>
      <c r="J187" s="74"/>
      <c r="K187" s="56"/>
      <c r="L187" s="56"/>
      <c r="M187" s="56"/>
      <c r="N187" s="74"/>
      <c r="O187" s="74"/>
      <c r="P187" s="74"/>
    </row>
    <row r="188" ht="16.5" spans="1:16">
      <c r="A188" s="70">
        <v>182</v>
      </c>
      <c r="B188" s="45" t="str">
        <f ca="1">OFFSET(装备属性!$D$65,MATCH(A188,装备属性!$G$66:$G$73,1),0)</f>
        <v>彩</v>
      </c>
      <c r="C188" s="71">
        <f ca="1">OFFSET(装备属性!$D$14,MATCH(A188,装备属性!$H$15:$H$61,1),0)</f>
        <v>155</v>
      </c>
      <c r="D188" s="72">
        <f ca="1">IFERROR(MIN(MATCH(COUNTIFS($C$7:C188,C188,$B$7:B188,B188)*_xlfn.XLOOKUP(C188,装备属性!$D$15:$D$61,装备属性!$M$15:$M$61),装备产出!$Z$19:$Z$24,1),6),0)</f>
        <v>0</v>
      </c>
      <c r="E188" s="45" t="e">
        <f>MATCH(A188,装备属性!$AD$520:$AD$819,1)</f>
        <v>#N/A</v>
      </c>
      <c r="F188" s="73" t="e" cm="1">
        <f ca="1" t="array" ref="F188">_xlfn.XLOOKUP(B188&amp;C188,装备属性!$G$90:$G$466&amp;装备属性!$E$90:$E$466,装备属性!$I$90:$I$466)*D188+_xlfn.XLOOKUP(B188&amp;MAX(C188-10,1),装备属性!$G$90:$G$466&amp;装备属性!$E$90:$E$466,装备属性!$I$90:$I$466)*(6-D188)+_xlfn.XLOOKUP(B188&amp;C188,装备属性!$P$919:$P$955&amp;装备属性!$N$919:$N$955,装备属性!$R$919:$R$955)*D188*0.5+_xlfn.XLOOKUP(B188&amp;(MAX(C188-10,1)),装备属性!$P$919:$P$955&amp;装备属性!$N$919:$N$955,装备属性!$R$919:$R$955)*(6-D188)*0.5+_xlfn.XLOOKUP(E188,装备属性!$D$520:$D$819,装备属性!$I$520:$I$819)*6</f>
        <v>#N/A</v>
      </c>
      <c r="G188" s="73"/>
      <c r="H188" s="74"/>
      <c r="I188" s="74"/>
      <c r="J188" s="74"/>
      <c r="K188" s="56"/>
      <c r="L188" s="56"/>
      <c r="M188" s="56"/>
      <c r="N188" s="74"/>
      <c r="O188" s="74"/>
      <c r="P188" s="74"/>
    </row>
    <row r="189" ht="16.5" spans="1:16">
      <c r="A189" s="70">
        <v>183</v>
      </c>
      <c r="B189" s="45" t="str">
        <f ca="1">OFFSET(装备属性!$D$65,MATCH(A189,装备属性!$G$66:$G$73,1),0)</f>
        <v>彩</v>
      </c>
      <c r="C189" s="71">
        <f ca="1">OFFSET(装备属性!$D$14,MATCH(A189,装备属性!$H$15:$H$61,1),0)</f>
        <v>155</v>
      </c>
      <c r="D189" s="72">
        <f ca="1">IFERROR(MIN(MATCH(COUNTIFS($C$7:C189,C189,$B$7:B189,B189)*_xlfn.XLOOKUP(C189,装备属性!$D$15:$D$61,装备属性!$M$15:$M$61),装备产出!$Z$19:$Z$24,1),6),0)</f>
        <v>0</v>
      </c>
      <c r="E189" s="45" t="e">
        <f>MATCH(A189,装备属性!$AD$520:$AD$819,1)</f>
        <v>#N/A</v>
      </c>
      <c r="F189" s="73" t="e" cm="1">
        <f ca="1" t="array" ref="F189">_xlfn.XLOOKUP(B189&amp;C189,装备属性!$G$90:$G$466&amp;装备属性!$E$90:$E$466,装备属性!$I$90:$I$466)*D189+_xlfn.XLOOKUP(B189&amp;MAX(C189-10,1),装备属性!$G$90:$G$466&amp;装备属性!$E$90:$E$466,装备属性!$I$90:$I$466)*(6-D189)+_xlfn.XLOOKUP(B189&amp;C189,装备属性!$P$919:$P$955&amp;装备属性!$N$919:$N$955,装备属性!$R$919:$R$955)*D189*0.5+_xlfn.XLOOKUP(B189&amp;(MAX(C189-10,1)),装备属性!$P$919:$P$955&amp;装备属性!$N$919:$N$955,装备属性!$R$919:$R$955)*(6-D189)*0.5+_xlfn.XLOOKUP(E189,装备属性!$D$520:$D$819,装备属性!$I$520:$I$819)*6</f>
        <v>#N/A</v>
      </c>
      <c r="G189" s="73"/>
      <c r="H189" s="74"/>
      <c r="I189" s="74"/>
      <c r="J189" s="74"/>
      <c r="K189" s="56"/>
      <c r="L189" s="56"/>
      <c r="M189" s="56"/>
      <c r="N189" s="74"/>
      <c r="O189" s="74"/>
      <c r="P189" s="74"/>
    </row>
    <row r="190" ht="16.5" spans="1:16">
      <c r="A190" s="70">
        <v>184</v>
      </c>
      <c r="B190" s="45" t="str">
        <f ca="1">OFFSET(装备属性!$D$65,MATCH(A190,装备属性!$G$66:$G$73,1),0)</f>
        <v>彩</v>
      </c>
      <c r="C190" s="71">
        <f ca="1">OFFSET(装备属性!$D$14,MATCH(A190,装备属性!$H$15:$H$61,1),0)</f>
        <v>155</v>
      </c>
      <c r="D190" s="72">
        <f ca="1">IFERROR(MIN(MATCH(COUNTIFS($C$7:C190,C190,$B$7:B190,B190)*_xlfn.XLOOKUP(C190,装备属性!$D$15:$D$61,装备属性!$M$15:$M$61),装备产出!$Z$19:$Z$24,1),6),0)</f>
        <v>0</v>
      </c>
      <c r="E190" s="45" t="e">
        <f>MATCH(A190,装备属性!$AD$520:$AD$819,1)</f>
        <v>#N/A</v>
      </c>
      <c r="F190" s="73" t="e" cm="1">
        <f ca="1" t="array" ref="F190">_xlfn.XLOOKUP(B190&amp;C190,装备属性!$G$90:$G$466&amp;装备属性!$E$90:$E$466,装备属性!$I$90:$I$466)*D190+_xlfn.XLOOKUP(B190&amp;MAX(C190-10,1),装备属性!$G$90:$G$466&amp;装备属性!$E$90:$E$466,装备属性!$I$90:$I$466)*(6-D190)+_xlfn.XLOOKUP(B190&amp;C190,装备属性!$P$919:$P$955&amp;装备属性!$N$919:$N$955,装备属性!$R$919:$R$955)*D190*0.5+_xlfn.XLOOKUP(B190&amp;(MAX(C190-10,1)),装备属性!$P$919:$P$955&amp;装备属性!$N$919:$N$955,装备属性!$R$919:$R$955)*(6-D190)*0.5+_xlfn.XLOOKUP(E190,装备属性!$D$520:$D$819,装备属性!$I$520:$I$819)*6</f>
        <v>#N/A</v>
      </c>
      <c r="G190" s="73"/>
      <c r="H190" s="74"/>
      <c r="I190" s="74"/>
      <c r="J190" s="74"/>
      <c r="K190" s="56"/>
      <c r="L190" s="56"/>
      <c r="M190" s="56"/>
      <c r="N190" s="74"/>
      <c r="O190" s="74"/>
      <c r="P190" s="74"/>
    </row>
    <row r="191" ht="16.5" spans="1:16">
      <c r="A191" s="70">
        <v>185</v>
      </c>
      <c r="B191" s="45" t="str">
        <f ca="1">OFFSET(装备属性!$D$65,MATCH(A191,装备属性!$G$66:$G$73,1),0)</f>
        <v>彩</v>
      </c>
      <c r="C191" s="71">
        <f ca="1">OFFSET(装备属性!$D$14,MATCH(A191,装备属性!$H$15:$H$61,1),0)</f>
        <v>155</v>
      </c>
      <c r="D191" s="72">
        <f ca="1">IFERROR(MIN(MATCH(COUNTIFS($C$7:C191,C191,$B$7:B191,B191)*_xlfn.XLOOKUP(C191,装备属性!$D$15:$D$61,装备属性!$M$15:$M$61),装备产出!$Z$19:$Z$24,1),6),0)</f>
        <v>0</v>
      </c>
      <c r="E191" s="45" t="e">
        <f>MATCH(A191,装备属性!$AD$520:$AD$819,1)</f>
        <v>#N/A</v>
      </c>
      <c r="F191" s="73" t="e" cm="1">
        <f ca="1" t="array" ref="F191">_xlfn.XLOOKUP(B191&amp;C191,装备属性!$G$90:$G$466&amp;装备属性!$E$90:$E$466,装备属性!$I$90:$I$466)*D191+_xlfn.XLOOKUP(B191&amp;MAX(C191-10,1),装备属性!$G$90:$G$466&amp;装备属性!$E$90:$E$466,装备属性!$I$90:$I$466)*(6-D191)+_xlfn.XLOOKUP(B191&amp;C191,装备属性!$P$919:$P$955&amp;装备属性!$N$919:$N$955,装备属性!$R$919:$R$955)*D191*0.5+_xlfn.XLOOKUP(B191&amp;(MAX(C191-10,1)),装备属性!$P$919:$P$955&amp;装备属性!$N$919:$N$955,装备属性!$R$919:$R$955)*(6-D191)*0.5+_xlfn.XLOOKUP(E191,装备属性!$D$520:$D$819,装备属性!$I$520:$I$819)*6</f>
        <v>#N/A</v>
      </c>
      <c r="G191" s="73"/>
      <c r="H191" s="74"/>
      <c r="I191" s="74"/>
      <c r="J191" s="74"/>
      <c r="K191" s="56"/>
      <c r="L191" s="56"/>
      <c r="M191" s="56"/>
      <c r="N191" s="74"/>
      <c r="O191" s="74"/>
      <c r="P191" s="74"/>
    </row>
    <row r="192" ht="16.5" spans="1:16">
      <c r="A192" s="70">
        <v>186</v>
      </c>
      <c r="B192" s="45" t="str">
        <f ca="1">OFFSET(装备属性!$D$65,MATCH(A192,装备属性!$G$66:$G$73,1),0)</f>
        <v>彩</v>
      </c>
      <c r="C192" s="71">
        <f ca="1">OFFSET(装备属性!$D$14,MATCH(A192,装备属性!$H$15:$H$61,1),0)</f>
        <v>155</v>
      </c>
      <c r="D192" s="72">
        <f ca="1">IFERROR(MIN(MATCH(COUNTIFS($C$7:C192,C192,$B$7:B192,B192)*_xlfn.XLOOKUP(C192,装备属性!$D$15:$D$61,装备属性!$M$15:$M$61),装备产出!$Z$19:$Z$24,1),6),0)</f>
        <v>0</v>
      </c>
      <c r="E192" s="45" t="e">
        <f>MATCH(A192,装备属性!$AD$520:$AD$819,1)</f>
        <v>#N/A</v>
      </c>
      <c r="F192" s="73" t="e" cm="1">
        <f ca="1" t="array" ref="F192">_xlfn.XLOOKUP(B192&amp;C192,装备属性!$G$90:$G$466&amp;装备属性!$E$90:$E$466,装备属性!$I$90:$I$466)*D192+_xlfn.XLOOKUP(B192&amp;MAX(C192-10,1),装备属性!$G$90:$G$466&amp;装备属性!$E$90:$E$466,装备属性!$I$90:$I$466)*(6-D192)+_xlfn.XLOOKUP(B192&amp;C192,装备属性!$P$919:$P$955&amp;装备属性!$N$919:$N$955,装备属性!$R$919:$R$955)*D192*0.5+_xlfn.XLOOKUP(B192&amp;(MAX(C192-10,1)),装备属性!$P$919:$P$955&amp;装备属性!$N$919:$N$955,装备属性!$R$919:$R$955)*(6-D192)*0.5+_xlfn.XLOOKUP(E192,装备属性!$D$520:$D$819,装备属性!$I$520:$I$819)*6</f>
        <v>#N/A</v>
      </c>
      <c r="G192" s="73"/>
      <c r="H192" s="74"/>
      <c r="I192" s="74"/>
      <c r="J192" s="74"/>
      <c r="K192" s="56"/>
      <c r="L192" s="56"/>
      <c r="M192" s="56"/>
      <c r="N192" s="74"/>
      <c r="O192" s="74"/>
      <c r="P192" s="74"/>
    </row>
    <row r="193" ht="16.5" spans="1:16">
      <c r="A193" s="70">
        <v>187</v>
      </c>
      <c r="B193" s="45" t="str">
        <f ca="1">OFFSET(装备属性!$D$65,MATCH(A193,装备属性!$G$66:$G$73,1),0)</f>
        <v>彩</v>
      </c>
      <c r="C193" s="71">
        <f ca="1">OFFSET(装备属性!$D$14,MATCH(A193,装备属性!$H$15:$H$61,1),0)</f>
        <v>155</v>
      </c>
      <c r="D193" s="72">
        <f ca="1">IFERROR(MIN(MATCH(COUNTIFS($C$7:C193,C193,$B$7:B193,B193)*_xlfn.XLOOKUP(C193,装备属性!$D$15:$D$61,装备属性!$M$15:$M$61),装备产出!$Z$19:$Z$24,1),6),0)</f>
        <v>1</v>
      </c>
      <c r="E193" s="45" t="e">
        <f>MATCH(A193,装备属性!$AD$520:$AD$819,1)</f>
        <v>#N/A</v>
      </c>
      <c r="F193" s="73" t="e" cm="1">
        <f ca="1" t="array" ref="F193">_xlfn.XLOOKUP(B193&amp;C193,装备属性!$G$90:$G$466&amp;装备属性!$E$90:$E$466,装备属性!$I$90:$I$466)*D193+_xlfn.XLOOKUP(B193&amp;MAX(C193-10,1),装备属性!$G$90:$G$466&amp;装备属性!$E$90:$E$466,装备属性!$I$90:$I$466)*(6-D193)+_xlfn.XLOOKUP(B193&amp;C193,装备属性!$P$919:$P$955&amp;装备属性!$N$919:$N$955,装备属性!$R$919:$R$955)*D193*0.5+_xlfn.XLOOKUP(B193&amp;(MAX(C193-10,1)),装备属性!$P$919:$P$955&amp;装备属性!$N$919:$N$955,装备属性!$R$919:$R$955)*(6-D193)*0.5+_xlfn.XLOOKUP(E193,装备属性!$D$520:$D$819,装备属性!$I$520:$I$819)*6</f>
        <v>#N/A</v>
      </c>
      <c r="G193" s="73"/>
      <c r="H193" s="74"/>
      <c r="I193" s="74"/>
      <c r="J193" s="74"/>
      <c r="K193" s="56"/>
      <c r="L193" s="56"/>
      <c r="M193" s="56"/>
      <c r="N193" s="74"/>
      <c r="O193" s="74"/>
      <c r="P193" s="74"/>
    </row>
    <row r="194" ht="16.5" spans="1:16">
      <c r="A194" s="70">
        <v>188</v>
      </c>
      <c r="B194" s="45" t="str">
        <f ca="1">OFFSET(装备属性!$D$65,MATCH(A194,装备属性!$G$66:$G$73,1),0)</f>
        <v>彩</v>
      </c>
      <c r="C194" s="71">
        <f ca="1">OFFSET(装备属性!$D$14,MATCH(A194,装备属性!$H$15:$H$61,1),0)</f>
        <v>155</v>
      </c>
      <c r="D194" s="72">
        <f ca="1">IFERROR(MIN(MATCH(COUNTIFS($C$7:C194,C194,$B$7:B194,B194)*_xlfn.XLOOKUP(C194,装备属性!$D$15:$D$61,装备属性!$M$15:$M$61),装备产出!$Z$19:$Z$24,1),6),0)</f>
        <v>1</v>
      </c>
      <c r="E194" s="45" t="e">
        <f>MATCH(A194,装备属性!$AD$520:$AD$819,1)</f>
        <v>#N/A</v>
      </c>
      <c r="F194" s="73" t="e" cm="1">
        <f ca="1" t="array" ref="F194">_xlfn.XLOOKUP(B194&amp;C194,装备属性!$G$90:$G$466&amp;装备属性!$E$90:$E$466,装备属性!$I$90:$I$466)*D194+_xlfn.XLOOKUP(B194&amp;MAX(C194-10,1),装备属性!$G$90:$G$466&amp;装备属性!$E$90:$E$466,装备属性!$I$90:$I$466)*(6-D194)+_xlfn.XLOOKUP(B194&amp;C194,装备属性!$P$919:$P$955&amp;装备属性!$N$919:$N$955,装备属性!$R$919:$R$955)*D194*0.5+_xlfn.XLOOKUP(B194&amp;(MAX(C194-10,1)),装备属性!$P$919:$P$955&amp;装备属性!$N$919:$N$955,装备属性!$R$919:$R$955)*(6-D194)*0.5+_xlfn.XLOOKUP(E194,装备属性!$D$520:$D$819,装备属性!$I$520:$I$819)*6</f>
        <v>#N/A</v>
      </c>
      <c r="G194" s="73"/>
      <c r="H194" s="74"/>
      <c r="I194" s="74"/>
      <c r="J194" s="74"/>
      <c r="K194" s="56"/>
      <c r="L194" s="56"/>
      <c r="M194" s="56"/>
      <c r="N194" s="74"/>
      <c r="O194" s="74"/>
      <c r="P194" s="74"/>
    </row>
    <row r="195" ht="16.5" spans="1:16">
      <c r="A195" s="70">
        <v>189</v>
      </c>
      <c r="B195" s="45" t="str">
        <f ca="1">OFFSET(装备属性!$D$65,MATCH(A195,装备属性!$G$66:$G$73,1),0)</f>
        <v>彩</v>
      </c>
      <c r="C195" s="71">
        <f ca="1">OFFSET(装备属性!$D$14,MATCH(A195,装备属性!$H$15:$H$61,1),0)</f>
        <v>155</v>
      </c>
      <c r="D195" s="72">
        <f ca="1">IFERROR(MIN(MATCH(COUNTIFS($C$7:C195,C195,$B$7:B195,B195)*_xlfn.XLOOKUP(C195,装备属性!$D$15:$D$61,装备属性!$M$15:$M$61),装备产出!$Z$19:$Z$24,1),6),0)</f>
        <v>1</v>
      </c>
      <c r="E195" s="45" t="e">
        <f>MATCH(A195,装备属性!$AD$520:$AD$819,1)</f>
        <v>#N/A</v>
      </c>
      <c r="F195" s="73" t="e" cm="1">
        <f ca="1" t="array" ref="F195">_xlfn.XLOOKUP(B195&amp;C195,装备属性!$G$90:$G$466&amp;装备属性!$E$90:$E$466,装备属性!$I$90:$I$466)*D195+_xlfn.XLOOKUP(B195&amp;MAX(C195-10,1),装备属性!$G$90:$G$466&amp;装备属性!$E$90:$E$466,装备属性!$I$90:$I$466)*(6-D195)+_xlfn.XLOOKUP(B195&amp;C195,装备属性!$P$919:$P$955&amp;装备属性!$N$919:$N$955,装备属性!$R$919:$R$955)*D195*0.5+_xlfn.XLOOKUP(B195&amp;(MAX(C195-10,1)),装备属性!$P$919:$P$955&amp;装备属性!$N$919:$N$955,装备属性!$R$919:$R$955)*(6-D195)*0.5+_xlfn.XLOOKUP(E195,装备属性!$D$520:$D$819,装备属性!$I$520:$I$819)*6</f>
        <v>#N/A</v>
      </c>
      <c r="G195" s="73"/>
      <c r="H195" s="74"/>
      <c r="I195" s="74"/>
      <c r="J195" s="74"/>
      <c r="K195" s="56"/>
      <c r="L195" s="56"/>
      <c r="M195" s="56"/>
      <c r="N195" s="74"/>
      <c r="O195" s="74"/>
      <c r="P195" s="74"/>
    </row>
    <row r="196" ht="16.5" spans="1:16">
      <c r="A196" s="70">
        <v>190</v>
      </c>
      <c r="B196" s="45" t="str">
        <f ca="1">OFFSET(装备属性!$D$65,MATCH(A196,装备属性!$G$66:$G$73,1),0)</f>
        <v>彩</v>
      </c>
      <c r="C196" s="71">
        <f ca="1">OFFSET(装备属性!$D$14,MATCH(A196,装备属性!$H$15:$H$61,1),0)</f>
        <v>155</v>
      </c>
      <c r="D196" s="72">
        <f ca="1">IFERROR(MIN(MATCH(COUNTIFS($C$7:C196,C196,$B$7:B196,B196)*_xlfn.XLOOKUP(C196,装备属性!$D$15:$D$61,装备属性!$M$15:$M$61),装备产出!$Z$19:$Z$24,1),6),0)</f>
        <v>1</v>
      </c>
      <c r="E196" s="45" t="e">
        <f>MATCH(A196,装备属性!$AD$520:$AD$819,1)</f>
        <v>#N/A</v>
      </c>
      <c r="F196" s="73" t="e" cm="1">
        <f ca="1" t="array" ref="F196">_xlfn.XLOOKUP(B196&amp;C196,装备属性!$G$90:$G$466&amp;装备属性!$E$90:$E$466,装备属性!$I$90:$I$466)*D196+_xlfn.XLOOKUP(B196&amp;MAX(C196-10,1),装备属性!$G$90:$G$466&amp;装备属性!$E$90:$E$466,装备属性!$I$90:$I$466)*(6-D196)+_xlfn.XLOOKUP(B196&amp;C196,装备属性!$P$919:$P$955&amp;装备属性!$N$919:$N$955,装备属性!$R$919:$R$955)*D196*0.5+_xlfn.XLOOKUP(B196&amp;(MAX(C196-10,1)),装备属性!$P$919:$P$955&amp;装备属性!$N$919:$N$955,装备属性!$R$919:$R$955)*(6-D196)*0.5+_xlfn.XLOOKUP(E196,装备属性!$D$520:$D$819,装备属性!$I$520:$I$819)*6</f>
        <v>#N/A</v>
      </c>
      <c r="G196" s="73"/>
      <c r="H196" s="74"/>
      <c r="I196" s="74"/>
      <c r="J196" s="74"/>
      <c r="K196" s="56"/>
      <c r="L196" s="56"/>
      <c r="M196" s="56"/>
      <c r="N196" s="74"/>
      <c r="O196" s="74"/>
      <c r="P196" s="74"/>
    </row>
    <row r="197" ht="16.5" spans="1:16">
      <c r="A197" s="70">
        <v>191</v>
      </c>
      <c r="B197" s="45" t="str">
        <f ca="1">OFFSET(装备属性!$D$65,MATCH(A197,装备属性!$G$66:$G$73,1),0)</f>
        <v>彩</v>
      </c>
      <c r="C197" s="71">
        <f ca="1">OFFSET(装备属性!$D$14,MATCH(A197,装备属性!$H$15:$H$61,1),0)</f>
        <v>155</v>
      </c>
      <c r="D197" s="72">
        <f ca="1">IFERROR(MIN(MATCH(COUNTIFS($C$7:C197,C197,$B$7:B197,B197)*_xlfn.XLOOKUP(C197,装备属性!$D$15:$D$61,装备属性!$M$15:$M$61),装备产出!$Z$19:$Z$24,1),6),0)</f>
        <v>1</v>
      </c>
      <c r="E197" s="45" t="e">
        <f>MATCH(A197,装备属性!$AD$520:$AD$819,1)</f>
        <v>#N/A</v>
      </c>
      <c r="F197" s="73" t="e" cm="1">
        <f ca="1" t="array" ref="F197">_xlfn.XLOOKUP(B197&amp;C197,装备属性!$G$90:$G$466&amp;装备属性!$E$90:$E$466,装备属性!$I$90:$I$466)*D197+_xlfn.XLOOKUP(B197&amp;MAX(C197-10,1),装备属性!$G$90:$G$466&amp;装备属性!$E$90:$E$466,装备属性!$I$90:$I$466)*(6-D197)+_xlfn.XLOOKUP(B197&amp;C197,装备属性!$P$919:$P$955&amp;装备属性!$N$919:$N$955,装备属性!$R$919:$R$955)*D197*0.5+_xlfn.XLOOKUP(B197&amp;(MAX(C197-10,1)),装备属性!$P$919:$P$955&amp;装备属性!$N$919:$N$955,装备属性!$R$919:$R$955)*(6-D197)*0.5+_xlfn.XLOOKUP(E197,装备属性!$D$520:$D$819,装备属性!$I$520:$I$819)*6</f>
        <v>#N/A</v>
      </c>
      <c r="G197" s="73"/>
      <c r="H197" s="74"/>
      <c r="I197" s="74"/>
      <c r="J197" s="74"/>
      <c r="K197" s="56"/>
      <c r="L197" s="56"/>
      <c r="M197" s="56"/>
      <c r="N197" s="74"/>
      <c r="O197" s="74"/>
      <c r="P197" s="74"/>
    </row>
    <row r="198" ht="16.5" spans="1:16">
      <c r="A198" s="70">
        <v>192</v>
      </c>
      <c r="B198" s="45" t="str">
        <f ca="1">OFFSET(装备属性!$D$65,MATCH(A198,装备属性!$G$66:$G$73,1),0)</f>
        <v>彩</v>
      </c>
      <c r="C198" s="71">
        <f ca="1">OFFSET(装备属性!$D$14,MATCH(A198,装备属性!$H$15:$H$61,1),0)</f>
        <v>160</v>
      </c>
      <c r="D198" s="72">
        <f ca="1">IFERROR(MIN(MATCH(COUNTIFS($C$7:C198,C198,$B$7:B198,B198)*_xlfn.XLOOKUP(C198,装备属性!$D$15:$D$61,装备属性!$M$15:$M$61),装备产出!$Z$19:$Z$24,1),6),0)</f>
        <v>0</v>
      </c>
      <c r="E198" s="45" t="e">
        <f>MATCH(A198,装备属性!$AD$520:$AD$819,1)</f>
        <v>#N/A</v>
      </c>
      <c r="F198" s="73" t="e" cm="1">
        <f ca="1" t="array" ref="F198">_xlfn.XLOOKUP(B198&amp;C198,装备属性!$G$90:$G$466&amp;装备属性!$E$90:$E$466,装备属性!$I$90:$I$466)*D198+_xlfn.XLOOKUP(B198&amp;MAX(C198-10,1),装备属性!$G$90:$G$466&amp;装备属性!$E$90:$E$466,装备属性!$I$90:$I$466)*(6-D198)+_xlfn.XLOOKUP(B198&amp;C198,装备属性!$P$919:$P$955&amp;装备属性!$N$919:$N$955,装备属性!$R$919:$R$955)*D198*0.5+_xlfn.XLOOKUP(B198&amp;(MAX(C198-10,1)),装备属性!$P$919:$P$955&amp;装备属性!$N$919:$N$955,装备属性!$R$919:$R$955)*(6-D198)*0.5+_xlfn.XLOOKUP(E198,装备属性!$D$520:$D$819,装备属性!$I$520:$I$819)*6</f>
        <v>#N/A</v>
      </c>
      <c r="G198" s="73"/>
      <c r="H198" s="74"/>
      <c r="I198" s="74"/>
      <c r="J198" s="74"/>
      <c r="K198" s="56"/>
      <c r="L198" s="56"/>
      <c r="M198" s="56"/>
      <c r="N198" s="74"/>
      <c r="O198" s="74"/>
      <c r="P198" s="74"/>
    </row>
    <row r="199" ht="16.5" spans="1:16">
      <c r="A199" s="70">
        <v>193</v>
      </c>
      <c r="B199" s="45" t="str">
        <f ca="1">OFFSET(装备属性!$D$65,MATCH(A199,装备属性!$G$66:$G$73,1),0)</f>
        <v>彩</v>
      </c>
      <c r="C199" s="71">
        <f ca="1">OFFSET(装备属性!$D$14,MATCH(A199,装备属性!$H$15:$H$61,1),0)</f>
        <v>160</v>
      </c>
      <c r="D199" s="72">
        <f ca="1">IFERROR(MIN(MATCH(COUNTIFS($C$7:C199,C199,$B$7:B199,B199)*_xlfn.XLOOKUP(C199,装备属性!$D$15:$D$61,装备属性!$M$15:$M$61),装备产出!$Z$19:$Z$24,1),6),0)</f>
        <v>0</v>
      </c>
      <c r="E199" s="45" t="e">
        <f>MATCH(A199,装备属性!$AD$520:$AD$819,1)</f>
        <v>#N/A</v>
      </c>
      <c r="F199" s="73" t="e" cm="1">
        <f ca="1" t="array" ref="F199">_xlfn.XLOOKUP(B199&amp;C199,装备属性!$G$90:$G$466&amp;装备属性!$E$90:$E$466,装备属性!$I$90:$I$466)*D199+_xlfn.XLOOKUP(B199&amp;MAX(C199-10,1),装备属性!$G$90:$G$466&amp;装备属性!$E$90:$E$466,装备属性!$I$90:$I$466)*(6-D199)+_xlfn.XLOOKUP(B199&amp;C199,装备属性!$P$919:$P$955&amp;装备属性!$N$919:$N$955,装备属性!$R$919:$R$955)*D199*0.5+_xlfn.XLOOKUP(B199&amp;(MAX(C199-10,1)),装备属性!$P$919:$P$955&amp;装备属性!$N$919:$N$955,装备属性!$R$919:$R$955)*(6-D199)*0.5+_xlfn.XLOOKUP(E199,装备属性!$D$520:$D$819,装备属性!$I$520:$I$819)*6</f>
        <v>#N/A</v>
      </c>
      <c r="G199" s="73"/>
      <c r="H199" s="74"/>
      <c r="I199" s="74"/>
      <c r="J199" s="74"/>
      <c r="K199" s="56"/>
      <c r="L199" s="56"/>
      <c r="M199" s="56"/>
      <c r="N199" s="74"/>
      <c r="O199" s="74"/>
      <c r="P199" s="74"/>
    </row>
    <row r="200" ht="16.5" spans="1:16">
      <c r="A200" s="70">
        <v>194</v>
      </c>
      <c r="B200" s="45" t="str">
        <f ca="1">OFFSET(装备属性!$D$65,MATCH(A200,装备属性!$G$66:$G$73,1),0)</f>
        <v>彩</v>
      </c>
      <c r="C200" s="71">
        <f ca="1">OFFSET(装备属性!$D$14,MATCH(A200,装备属性!$H$15:$H$61,1),0)</f>
        <v>160</v>
      </c>
      <c r="D200" s="72">
        <f ca="1">IFERROR(MIN(MATCH(COUNTIFS($C$7:C200,C200,$B$7:B200,B200)*_xlfn.XLOOKUP(C200,装备属性!$D$15:$D$61,装备属性!$M$15:$M$61),装备产出!$Z$19:$Z$24,1),6),0)</f>
        <v>0</v>
      </c>
      <c r="E200" s="45" t="e">
        <f>MATCH(A200,装备属性!$AD$520:$AD$819,1)</f>
        <v>#N/A</v>
      </c>
      <c r="F200" s="73" t="e" cm="1">
        <f ca="1" t="array" ref="F200">_xlfn.XLOOKUP(B200&amp;C200,装备属性!$G$90:$G$466&amp;装备属性!$E$90:$E$466,装备属性!$I$90:$I$466)*D200+_xlfn.XLOOKUP(B200&amp;MAX(C200-10,1),装备属性!$G$90:$G$466&amp;装备属性!$E$90:$E$466,装备属性!$I$90:$I$466)*(6-D200)+_xlfn.XLOOKUP(B200&amp;C200,装备属性!$P$919:$P$955&amp;装备属性!$N$919:$N$955,装备属性!$R$919:$R$955)*D200*0.5+_xlfn.XLOOKUP(B200&amp;(MAX(C200-10,1)),装备属性!$P$919:$P$955&amp;装备属性!$N$919:$N$955,装备属性!$R$919:$R$955)*(6-D200)*0.5+_xlfn.XLOOKUP(E200,装备属性!$D$520:$D$819,装备属性!$I$520:$I$819)*6</f>
        <v>#N/A</v>
      </c>
      <c r="G200" s="73"/>
      <c r="H200" s="74"/>
      <c r="I200" s="74"/>
      <c r="J200" s="74"/>
      <c r="K200" s="56"/>
      <c r="L200" s="56"/>
      <c r="M200" s="56"/>
      <c r="N200" s="74"/>
      <c r="O200" s="74"/>
      <c r="P200" s="74"/>
    </row>
    <row r="201" ht="16.5" spans="1:16">
      <c r="A201" s="70">
        <v>195</v>
      </c>
      <c r="B201" s="45" t="str">
        <f ca="1">OFFSET(装备属性!$D$65,MATCH(A201,装备属性!$G$66:$G$73,1),0)</f>
        <v>彩</v>
      </c>
      <c r="C201" s="71">
        <f ca="1">OFFSET(装备属性!$D$14,MATCH(A201,装备属性!$H$15:$H$61,1),0)</f>
        <v>160</v>
      </c>
      <c r="D201" s="72">
        <f ca="1">IFERROR(MIN(MATCH(COUNTIFS($C$7:C201,C201,$B$7:B201,B201)*_xlfn.XLOOKUP(C201,装备属性!$D$15:$D$61,装备属性!$M$15:$M$61),装备产出!$Z$19:$Z$24,1),6),0)</f>
        <v>0</v>
      </c>
      <c r="E201" s="45" t="e">
        <f>MATCH(A201,装备属性!$AD$520:$AD$819,1)</f>
        <v>#N/A</v>
      </c>
      <c r="F201" s="73" t="e" cm="1">
        <f ca="1" t="array" ref="F201">_xlfn.XLOOKUP(B201&amp;C201,装备属性!$G$90:$G$466&amp;装备属性!$E$90:$E$466,装备属性!$I$90:$I$466)*D201+_xlfn.XLOOKUP(B201&amp;MAX(C201-10,1),装备属性!$G$90:$G$466&amp;装备属性!$E$90:$E$466,装备属性!$I$90:$I$466)*(6-D201)+_xlfn.XLOOKUP(B201&amp;C201,装备属性!$P$919:$P$955&amp;装备属性!$N$919:$N$955,装备属性!$R$919:$R$955)*D201*0.5+_xlfn.XLOOKUP(B201&amp;(MAX(C201-10,1)),装备属性!$P$919:$P$955&amp;装备属性!$N$919:$N$955,装备属性!$R$919:$R$955)*(6-D201)*0.5+_xlfn.XLOOKUP(E201,装备属性!$D$520:$D$819,装备属性!$I$520:$I$819)*6</f>
        <v>#N/A</v>
      </c>
      <c r="G201" s="73"/>
      <c r="H201" s="74"/>
      <c r="I201" s="74"/>
      <c r="J201" s="74"/>
      <c r="K201" s="56"/>
      <c r="L201" s="56"/>
      <c r="M201" s="56"/>
      <c r="N201" s="74"/>
      <c r="O201" s="74"/>
      <c r="P201" s="74"/>
    </row>
    <row r="202" ht="16.5" spans="1:16">
      <c r="A202" s="70">
        <v>196</v>
      </c>
      <c r="B202" s="45" t="str">
        <f ca="1">OFFSET(装备属性!$D$65,MATCH(A202,装备属性!$G$66:$G$73,1),0)</f>
        <v>彩</v>
      </c>
      <c r="C202" s="71">
        <f ca="1">OFFSET(装备属性!$D$14,MATCH(A202,装备属性!$H$15:$H$61,1),0)</f>
        <v>160</v>
      </c>
      <c r="D202" s="72">
        <f ca="1">IFERROR(MIN(MATCH(COUNTIFS($C$7:C202,C202,$B$7:B202,B202)*_xlfn.XLOOKUP(C202,装备属性!$D$15:$D$61,装备属性!$M$15:$M$61),装备产出!$Z$19:$Z$24,1),6),0)</f>
        <v>0</v>
      </c>
      <c r="E202" s="45" t="e">
        <f>MATCH(A202,装备属性!$AD$520:$AD$819,1)</f>
        <v>#N/A</v>
      </c>
      <c r="F202" s="73" t="e" cm="1">
        <f ca="1" t="array" ref="F202">_xlfn.XLOOKUP(B202&amp;C202,装备属性!$G$90:$G$466&amp;装备属性!$E$90:$E$466,装备属性!$I$90:$I$466)*D202+_xlfn.XLOOKUP(B202&amp;MAX(C202-10,1),装备属性!$G$90:$G$466&amp;装备属性!$E$90:$E$466,装备属性!$I$90:$I$466)*(6-D202)+_xlfn.XLOOKUP(B202&amp;C202,装备属性!$P$919:$P$955&amp;装备属性!$N$919:$N$955,装备属性!$R$919:$R$955)*D202*0.5+_xlfn.XLOOKUP(B202&amp;(MAX(C202-10,1)),装备属性!$P$919:$P$955&amp;装备属性!$N$919:$N$955,装备属性!$R$919:$R$955)*(6-D202)*0.5+_xlfn.XLOOKUP(E202,装备属性!$D$520:$D$819,装备属性!$I$520:$I$819)*6</f>
        <v>#N/A</v>
      </c>
      <c r="G202" s="73"/>
      <c r="H202" s="74"/>
      <c r="I202" s="74"/>
      <c r="J202" s="74"/>
      <c r="K202" s="56"/>
      <c r="L202" s="56"/>
      <c r="M202" s="56"/>
      <c r="N202" s="74"/>
      <c r="O202" s="74"/>
      <c r="P202" s="74"/>
    </row>
    <row r="203" ht="16.5" spans="1:16">
      <c r="A203" s="70">
        <v>197</v>
      </c>
      <c r="B203" s="45" t="str">
        <f ca="1">OFFSET(装备属性!$D$65,MATCH(A203,装备属性!$G$66:$G$73,1),0)</f>
        <v>彩</v>
      </c>
      <c r="C203" s="71">
        <f ca="1">OFFSET(装备属性!$D$14,MATCH(A203,装备属性!$H$15:$H$61,1),0)</f>
        <v>160</v>
      </c>
      <c r="D203" s="72">
        <f ca="1">IFERROR(MIN(MATCH(COUNTIFS($C$7:C203,C203,$B$7:B203,B203)*_xlfn.XLOOKUP(C203,装备属性!$D$15:$D$61,装备属性!$M$15:$M$61),装备产出!$Z$19:$Z$24,1),6),0)</f>
        <v>1</v>
      </c>
      <c r="E203" s="45" t="e">
        <f>MATCH(A203,装备属性!$AD$520:$AD$819,1)</f>
        <v>#N/A</v>
      </c>
      <c r="F203" s="73" t="e" cm="1">
        <f ca="1" t="array" ref="F203">_xlfn.XLOOKUP(B203&amp;C203,装备属性!$G$90:$G$466&amp;装备属性!$E$90:$E$466,装备属性!$I$90:$I$466)*D203+_xlfn.XLOOKUP(B203&amp;MAX(C203-10,1),装备属性!$G$90:$G$466&amp;装备属性!$E$90:$E$466,装备属性!$I$90:$I$466)*(6-D203)+_xlfn.XLOOKUP(B203&amp;C203,装备属性!$P$919:$P$955&amp;装备属性!$N$919:$N$955,装备属性!$R$919:$R$955)*D203*0.5+_xlfn.XLOOKUP(B203&amp;(MAX(C203-10,1)),装备属性!$P$919:$P$955&amp;装备属性!$N$919:$N$955,装备属性!$R$919:$R$955)*(6-D203)*0.5+_xlfn.XLOOKUP(E203,装备属性!$D$520:$D$819,装备属性!$I$520:$I$819)*6</f>
        <v>#N/A</v>
      </c>
      <c r="G203" s="73"/>
      <c r="H203" s="74"/>
      <c r="I203" s="74"/>
      <c r="J203" s="74"/>
      <c r="K203" s="56"/>
      <c r="L203" s="56"/>
      <c r="M203" s="56"/>
      <c r="N203" s="74"/>
      <c r="O203" s="74"/>
      <c r="P203" s="74"/>
    </row>
    <row r="204" ht="16.5" spans="1:16">
      <c r="A204" s="70">
        <v>198</v>
      </c>
      <c r="B204" s="45" t="str">
        <f ca="1">OFFSET(装备属性!$D$65,MATCH(A204,装备属性!$G$66:$G$73,1),0)</f>
        <v>彩</v>
      </c>
      <c r="C204" s="71">
        <f ca="1">OFFSET(装备属性!$D$14,MATCH(A204,装备属性!$H$15:$H$61,1),0)</f>
        <v>160</v>
      </c>
      <c r="D204" s="72">
        <f ca="1">IFERROR(MIN(MATCH(COUNTIFS($C$7:C204,C204,$B$7:B204,B204)*_xlfn.XLOOKUP(C204,装备属性!$D$15:$D$61,装备属性!$M$15:$M$61),装备产出!$Z$19:$Z$24,1),6),0)</f>
        <v>1</v>
      </c>
      <c r="E204" s="45" t="e">
        <f>MATCH(A204,装备属性!$AD$520:$AD$819,1)</f>
        <v>#N/A</v>
      </c>
      <c r="F204" s="73" t="e" cm="1">
        <f ca="1" t="array" ref="F204">_xlfn.XLOOKUP(B204&amp;C204,装备属性!$G$90:$G$466&amp;装备属性!$E$90:$E$466,装备属性!$I$90:$I$466)*D204+_xlfn.XLOOKUP(B204&amp;MAX(C204-10,1),装备属性!$G$90:$G$466&amp;装备属性!$E$90:$E$466,装备属性!$I$90:$I$466)*(6-D204)+_xlfn.XLOOKUP(B204&amp;C204,装备属性!$P$919:$P$955&amp;装备属性!$N$919:$N$955,装备属性!$R$919:$R$955)*D204*0.5+_xlfn.XLOOKUP(B204&amp;(MAX(C204-10,1)),装备属性!$P$919:$P$955&amp;装备属性!$N$919:$N$955,装备属性!$R$919:$R$955)*(6-D204)*0.5+_xlfn.XLOOKUP(E204,装备属性!$D$520:$D$819,装备属性!$I$520:$I$819)*6</f>
        <v>#N/A</v>
      </c>
      <c r="G204" s="73"/>
      <c r="H204" s="74"/>
      <c r="I204" s="74"/>
      <c r="J204" s="74"/>
      <c r="K204" s="56"/>
      <c r="L204" s="56"/>
      <c r="M204" s="56"/>
      <c r="N204" s="74"/>
      <c r="O204" s="74"/>
      <c r="P204" s="74"/>
    </row>
    <row r="205" ht="16.5" spans="1:16">
      <c r="A205" s="70">
        <v>199</v>
      </c>
      <c r="B205" s="45" t="str">
        <f ca="1">OFFSET(装备属性!$D$65,MATCH(A205,装备属性!$G$66:$G$73,1),0)</f>
        <v>彩</v>
      </c>
      <c r="C205" s="71">
        <f ca="1">OFFSET(装备属性!$D$14,MATCH(A205,装备属性!$H$15:$H$61,1),0)</f>
        <v>160</v>
      </c>
      <c r="D205" s="72">
        <f ca="1">IFERROR(MIN(MATCH(COUNTIFS($C$7:C205,C205,$B$7:B205,B205)*_xlfn.XLOOKUP(C205,装备属性!$D$15:$D$61,装备属性!$M$15:$M$61),装备产出!$Z$19:$Z$24,1),6),0)</f>
        <v>1</v>
      </c>
      <c r="E205" s="45" t="e">
        <f>MATCH(A205,装备属性!$AD$520:$AD$819,1)</f>
        <v>#N/A</v>
      </c>
      <c r="F205" s="73" t="e" cm="1">
        <f ca="1" t="array" ref="F205">_xlfn.XLOOKUP(B205&amp;C205,装备属性!$G$90:$G$466&amp;装备属性!$E$90:$E$466,装备属性!$I$90:$I$466)*D205+_xlfn.XLOOKUP(B205&amp;MAX(C205-10,1),装备属性!$G$90:$G$466&amp;装备属性!$E$90:$E$466,装备属性!$I$90:$I$466)*(6-D205)+_xlfn.XLOOKUP(B205&amp;C205,装备属性!$P$919:$P$955&amp;装备属性!$N$919:$N$955,装备属性!$R$919:$R$955)*D205*0.5+_xlfn.XLOOKUP(B205&amp;(MAX(C205-10,1)),装备属性!$P$919:$P$955&amp;装备属性!$N$919:$N$955,装备属性!$R$919:$R$955)*(6-D205)*0.5+_xlfn.XLOOKUP(E205,装备属性!$D$520:$D$819,装备属性!$I$520:$I$819)*6</f>
        <v>#N/A</v>
      </c>
      <c r="G205" s="73"/>
      <c r="H205" s="74"/>
      <c r="I205" s="74"/>
      <c r="J205" s="74"/>
      <c r="K205" s="56"/>
      <c r="L205" s="56"/>
      <c r="M205" s="56"/>
      <c r="N205" s="74"/>
      <c r="O205" s="74"/>
      <c r="P205" s="74"/>
    </row>
    <row r="206" ht="16.5" spans="1:16">
      <c r="A206" s="70">
        <v>200</v>
      </c>
      <c r="B206" s="45" t="str">
        <f ca="1">OFFSET(装备属性!$D$65,MATCH(A206,装备属性!$G$66:$G$73,1),0)</f>
        <v>彩</v>
      </c>
      <c r="C206" s="71">
        <f ca="1">OFFSET(装备属性!$D$14,MATCH(A206,装备属性!$H$15:$H$61,1),0)</f>
        <v>160</v>
      </c>
      <c r="D206" s="72">
        <f ca="1">IFERROR(MIN(MATCH(COUNTIFS($C$7:C206,C206,$B$7:B206,B206)*_xlfn.XLOOKUP(C206,装备属性!$D$15:$D$61,装备属性!$M$15:$M$61),装备产出!$Z$19:$Z$24,1),6),0)</f>
        <v>1</v>
      </c>
      <c r="E206" s="45" t="e">
        <f>MATCH(A206,装备属性!$AD$520:$AD$819,1)</f>
        <v>#N/A</v>
      </c>
      <c r="F206" s="73" t="e" cm="1">
        <f ca="1" t="array" ref="F206">_xlfn.XLOOKUP(B206&amp;C206,装备属性!$G$90:$G$466&amp;装备属性!$E$90:$E$466,装备属性!$I$90:$I$466)*D206+_xlfn.XLOOKUP(B206&amp;MAX(C206-10,1),装备属性!$G$90:$G$466&amp;装备属性!$E$90:$E$466,装备属性!$I$90:$I$466)*(6-D206)+_xlfn.XLOOKUP(B206&amp;C206,装备属性!$P$919:$P$955&amp;装备属性!$N$919:$N$955,装备属性!$R$919:$R$955)*D206*0.5+_xlfn.XLOOKUP(B206&amp;(MAX(C206-10,1)),装备属性!$P$919:$P$955&amp;装备属性!$N$919:$N$955,装备属性!$R$919:$R$955)*(6-D206)*0.5+_xlfn.XLOOKUP(E206,装备属性!$D$520:$D$819,装备属性!$I$520:$I$819)*6</f>
        <v>#N/A</v>
      </c>
      <c r="G206" s="73"/>
      <c r="H206" s="74"/>
      <c r="I206" s="74"/>
      <c r="J206" s="74"/>
      <c r="K206" s="56"/>
      <c r="L206" s="56"/>
      <c r="M206" s="56"/>
      <c r="N206" s="74"/>
      <c r="O206" s="74"/>
      <c r="P206" s="74"/>
    </row>
    <row r="207" ht="16.5" spans="1:16">
      <c r="A207" s="70">
        <v>201</v>
      </c>
      <c r="B207" s="45" t="str">
        <f ca="1">OFFSET(装备属性!$D$65,MATCH(A207,装备属性!$G$66:$G$73,1),0)</f>
        <v>彩</v>
      </c>
      <c r="C207" s="71">
        <f ca="1">OFFSET(装备属性!$D$14,MATCH(A207,装备属性!$H$15:$H$61,1),0)</f>
        <v>160</v>
      </c>
      <c r="D207" s="72">
        <f ca="1">IFERROR(MIN(MATCH(COUNTIFS($C$7:C207,C207,$B$7:B207,B207)*_xlfn.XLOOKUP(C207,装备属性!$D$15:$D$61,装备属性!$M$15:$M$61),装备产出!$Z$19:$Z$24,1),6),0)</f>
        <v>1</v>
      </c>
      <c r="E207" s="45" t="e">
        <f>MATCH(A207,装备属性!$AD$520:$AD$819,1)</f>
        <v>#N/A</v>
      </c>
      <c r="F207" s="73" t="e" cm="1">
        <f ca="1" t="array" ref="F207">_xlfn.XLOOKUP(B207&amp;C207,装备属性!$G$90:$G$466&amp;装备属性!$E$90:$E$466,装备属性!$I$90:$I$466)*D207+_xlfn.XLOOKUP(B207&amp;MAX(C207-10,1),装备属性!$G$90:$G$466&amp;装备属性!$E$90:$E$466,装备属性!$I$90:$I$466)*(6-D207)+_xlfn.XLOOKUP(B207&amp;C207,装备属性!$P$919:$P$955&amp;装备属性!$N$919:$N$955,装备属性!$R$919:$R$955)*D207*0.5+_xlfn.XLOOKUP(B207&amp;(MAX(C207-10,1)),装备属性!$P$919:$P$955&amp;装备属性!$N$919:$N$955,装备属性!$R$919:$R$955)*(6-D207)*0.5+_xlfn.XLOOKUP(E207,装备属性!$D$520:$D$819,装备属性!$I$520:$I$819)*6</f>
        <v>#N/A</v>
      </c>
      <c r="G207" s="73"/>
      <c r="H207" s="74"/>
      <c r="I207" s="74"/>
      <c r="J207" s="74"/>
      <c r="K207" s="56"/>
      <c r="L207" s="56"/>
      <c r="M207" s="56"/>
      <c r="N207" s="74"/>
      <c r="O207" s="74"/>
      <c r="P207" s="74"/>
    </row>
    <row r="208" ht="16.5" spans="1:16">
      <c r="A208" s="70">
        <v>202</v>
      </c>
      <c r="B208" s="45" t="str">
        <f ca="1">OFFSET(装备属性!$D$65,MATCH(A208,装备属性!$G$66:$G$73,1),0)</f>
        <v>彩</v>
      </c>
      <c r="C208" s="71">
        <f ca="1">OFFSET(装备属性!$D$14,MATCH(A208,装备属性!$H$15:$H$61,1),0)</f>
        <v>160</v>
      </c>
      <c r="D208" s="72">
        <f ca="1">IFERROR(MIN(MATCH(COUNTIFS($C$7:C208,C208,$B$7:B208,B208)*_xlfn.XLOOKUP(C208,装备属性!$D$15:$D$61,装备属性!$M$15:$M$61),装备产出!$Z$19:$Z$24,1),6),0)</f>
        <v>1</v>
      </c>
      <c r="E208" s="45" t="e">
        <f>MATCH(A208,装备属性!$AD$520:$AD$819,1)</f>
        <v>#N/A</v>
      </c>
      <c r="F208" s="73" t="e" cm="1">
        <f ca="1" t="array" ref="F208">_xlfn.XLOOKUP(B208&amp;C208,装备属性!$G$90:$G$466&amp;装备属性!$E$90:$E$466,装备属性!$I$90:$I$466)*D208+_xlfn.XLOOKUP(B208&amp;MAX(C208-10,1),装备属性!$G$90:$G$466&amp;装备属性!$E$90:$E$466,装备属性!$I$90:$I$466)*(6-D208)+_xlfn.XLOOKUP(B208&amp;C208,装备属性!$P$919:$P$955&amp;装备属性!$N$919:$N$955,装备属性!$R$919:$R$955)*D208*0.5+_xlfn.XLOOKUP(B208&amp;(MAX(C208-10,1)),装备属性!$P$919:$P$955&amp;装备属性!$N$919:$N$955,装备属性!$R$919:$R$955)*(6-D208)*0.5+_xlfn.XLOOKUP(E208,装备属性!$D$520:$D$819,装备属性!$I$520:$I$819)*6</f>
        <v>#N/A</v>
      </c>
      <c r="G208" s="73"/>
      <c r="H208" s="74"/>
      <c r="I208" s="74"/>
      <c r="J208" s="74"/>
      <c r="K208" s="56"/>
      <c r="L208" s="56"/>
      <c r="M208" s="56"/>
      <c r="N208" s="74"/>
      <c r="O208" s="74"/>
      <c r="P208" s="74"/>
    </row>
    <row r="209" ht="16.5" spans="1:16">
      <c r="A209" s="70">
        <v>203</v>
      </c>
      <c r="B209" s="45" t="str">
        <f ca="1">OFFSET(装备属性!$D$65,MATCH(A209,装备属性!$G$66:$G$73,1),0)</f>
        <v>彩</v>
      </c>
      <c r="C209" s="71">
        <f ca="1">OFFSET(装备属性!$D$14,MATCH(A209,装备属性!$H$15:$H$61,1),0)</f>
        <v>160</v>
      </c>
      <c r="D209" s="72">
        <f ca="1">IFERROR(MIN(MATCH(COUNTIFS($C$7:C209,C209,$B$7:B209,B209)*_xlfn.XLOOKUP(C209,装备属性!$D$15:$D$61,装备属性!$M$15:$M$61),装备产出!$Z$19:$Z$24,1),6),0)</f>
        <v>1</v>
      </c>
      <c r="E209" s="45" t="e">
        <f>MATCH(A209,装备属性!$AD$520:$AD$819,1)</f>
        <v>#N/A</v>
      </c>
      <c r="F209" s="73" t="e" cm="1">
        <f ca="1" t="array" ref="F209">_xlfn.XLOOKUP(B209&amp;C209,装备属性!$G$90:$G$466&amp;装备属性!$E$90:$E$466,装备属性!$I$90:$I$466)*D209+_xlfn.XLOOKUP(B209&amp;MAX(C209-10,1),装备属性!$G$90:$G$466&amp;装备属性!$E$90:$E$466,装备属性!$I$90:$I$466)*(6-D209)+_xlfn.XLOOKUP(B209&amp;C209,装备属性!$P$919:$P$955&amp;装备属性!$N$919:$N$955,装备属性!$R$919:$R$955)*D209*0.5+_xlfn.XLOOKUP(B209&amp;(MAX(C209-10,1)),装备属性!$P$919:$P$955&amp;装备属性!$N$919:$N$955,装备属性!$R$919:$R$955)*(6-D209)*0.5+_xlfn.XLOOKUP(E209,装备属性!$D$520:$D$819,装备属性!$I$520:$I$819)*6</f>
        <v>#N/A</v>
      </c>
      <c r="G209" s="73"/>
      <c r="H209" s="74"/>
      <c r="I209" s="74"/>
      <c r="J209" s="74"/>
      <c r="K209" s="56"/>
      <c r="L209" s="56"/>
      <c r="M209" s="56"/>
      <c r="N209" s="74"/>
      <c r="O209" s="74"/>
      <c r="P209" s="74"/>
    </row>
    <row r="210" ht="16.5" spans="1:16">
      <c r="A210" s="70">
        <v>204</v>
      </c>
      <c r="B210" s="45" t="str">
        <f ca="1">OFFSET(装备属性!$D$65,MATCH(A210,装备属性!$G$66:$G$73,1),0)</f>
        <v>彩</v>
      </c>
      <c r="C210" s="71">
        <f ca="1">OFFSET(装备属性!$D$14,MATCH(A210,装备属性!$H$15:$H$61,1),0)</f>
        <v>160</v>
      </c>
      <c r="D210" s="72">
        <f ca="1">IFERROR(MIN(MATCH(COUNTIFS($C$7:C210,C210,$B$7:B210,B210)*_xlfn.XLOOKUP(C210,装备属性!$D$15:$D$61,装备属性!$M$15:$M$61),装备产出!$Z$19:$Z$24,1),6),0)</f>
        <v>2</v>
      </c>
      <c r="E210" s="45" t="e">
        <f>MATCH(A210,装备属性!$AD$520:$AD$819,1)</f>
        <v>#N/A</v>
      </c>
      <c r="F210" s="73" t="e" cm="1">
        <f ca="1" t="array" ref="F210">_xlfn.XLOOKUP(B210&amp;C210,装备属性!$G$90:$G$466&amp;装备属性!$E$90:$E$466,装备属性!$I$90:$I$466)*D210+_xlfn.XLOOKUP(B210&amp;MAX(C210-10,1),装备属性!$G$90:$G$466&amp;装备属性!$E$90:$E$466,装备属性!$I$90:$I$466)*(6-D210)+_xlfn.XLOOKUP(B210&amp;C210,装备属性!$P$919:$P$955&amp;装备属性!$N$919:$N$955,装备属性!$R$919:$R$955)*D210*0.5+_xlfn.XLOOKUP(B210&amp;(MAX(C210-10,1)),装备属性!$P$919:$P$955&amp;装备属性!$N$919:$N$955,装备属性!$R$919:$R$955)*(6-D210)*0.5+_xlfn.XLOOKUP(E210,装备属性!$D$520:$D$819,装备属性!$I$520:$I$819)*6</f>
        <v>#N/A</v>
      </c>
      <c r="G210" s="73"/>
      <c r="H210" s="74"/>
      <c r="I210" s="74"/>
      <c r="J210" s="74"/>
      <c r="K210" s="56"/>
      <c r="L210" s="56"/>
      <c r="M210" s="56"/>
      <c r="N210" s="74"/>
      <c r="O210" s="74"/>
      <c r="P210" s="74"/>
    </row>
    <row r="211" ht="16.5" spans="1:16">
      <c r="A211" s="70">
        <v>205</v>
      </c>
      <c r="B211" s="45" t="str">
        <f ca="1">OFFSET(装备属性!$D$65,MATCH(A211,装备属性!$G$66:$G$73,1),0)</f>
        <v>彩</v>
      </c>
      <c r="C211" s="71">
        <f ca="1">OFFSET(装备属性!$D$14,MATCH(A211,装备属性!$H$15:$H$61,1),0)</f>
        <v>165</v>
      </c>
      <c r="D211" s="72">
        <f ca="1">IFERROR(MIN(MATCH(COUNTIFS($C$7:C211,C211,$B$7:B211,B211)*_xlfn.XLOOKUP(C211,装备属性!$D$15:$D$61,装备属性!$M$15:$M$61),装备产出!$Z$19:$Z$24,1),6),0)</f>
        <v>0</v>
      </c>
      <c r="E211" s="45" t="e">
        <f>MATCH(A211,装备属性!$AD$520:$AD$819,1)</f>
        <v>#N/A</v>
      </c>
      <c r="F211" s="73" t="e" cm="1">
        <f ca="1" t="array" ref="F211">_xlfn.XLOOKUP(B211&amp;C211,装备属性!$G$90:$G$466&amp;装备属性!$E$90:$E$466,装备属性!$I$90:$I$466)*D211+_xlfn.XLOOKUP(B211&amp;MAX(C211-10,1),装备属性!$G$90:$G$466&amp;装备属性!$E$90:$E$466,装备属性!$I$90:$I$466)*(6-D211)+_xlfn.XLOOKUP(B211&amp;C211,装备属性!$P$919:$P$955&amp;装备属性!$N$919:$N$955,装备属性!$R$919:$R$955)*D211*0.5+_xlfn.XLOOKUP(B211&amp;(MAX(C211-10,1)),装备属性!$P$919:$P$955&amp;装备属性!$N$919:$N$955,装备属性!$R$919:$R$955)*(6-D211)*0.5+_xlfn.XLOOKUP(E211,装备属性!$D$520:$D$819,装备属性!$I$520:$I$819)*6</f>
        <v>#N/A</v>
      </c>
      <c r="G211" s="73"/>
      <c r="H211" s="74"/>
      <c r="I211" s="74"/>
      <c r="J211" s="74"/>
      <c r="K211" s="56"/>
      <c r="L211" s="56"/>
      <c r="M211" s="56"/>
      <c r="N211" s="74"/>
      <c r="O211" s="74"/>
      <c r="P211" s="74"/>
    </row>
    <row r="212" ht="16.5" spans="1:16">
      <c r="A212" s="70">
        <v>206</v>
      </c>
      <c r="B212" s="45" t="str">
        <f ca="1">OFFSET(装备属性!$D$65,MATCH(A212,装备属性!$G$66:$G$73,1),0)</f>
        <v>彩</v>
      </c>
      <c r="C212" s="71">
        <f ca="1">OFFSET(装备属性!$D$14,MATCH(A212,装备属性!$H$15:$H$61,1),0)</f>
        <v>165</v>
      </c>
      <c r="D212" s="72">
        <f ca="1">IFERROR(MIN(MATCH(COUNTIFS($C$7:C212,C212,$B$7:B212,B212)*_xlfn.XLOOKUP(C212,装备属性!$D$15:$D$61,装备属性!$M$15:$M$61),装备产出!$Z$19:$Z$24,1),6),0)</f>
        <v>0</v>
      </c>
      <c r="E212" s="45" t="e">
        <f>MATCH(A212,装备属性!$AD$520:$AD$819,1)</f>
        <v>#N/A</v>
      </c>
      <c r="F212" s="73" t="e" cm="1">
        <f ca="1" t="array" ref="F212">_xlfn.XLOOKUP(B212&amp;C212,装备属性!$G$90:$G$466&amp;装备属性!$E$90:$E$466,装备属性!$I$90:$I$466)*D212+_xlfn.XLOOKUP(B212&amp;MAX(C212-10,1),装备属性!$G$90:$G$466&amp;装备属性!$E$90:$E$466,装备属性!$I$90:$I$466)*(6-D212)+_xlfn.XLOOKUP(B212&amp;C212,装备属性!$P$919:$P$955&amp;装备属性!$N$919:$N$955,装备属性!$R$919:$R$955)*D212*0.5+_xlfn.XLOOKUP(B212&amp;(MAX(C212-10,1)),装备属性!$P$919:$P$955&amp;装备属性!$N$919:$N$955,装备属性!$R$919:$R$955)*(6-D212)*0.5+_xlfn.XLOOKUP(E212,装备属性!$D$520:$D$819,装备属性!$I$520:$I$819)*6</f>
        <v>#N/A</v>
      </c>
      <c r="G212" s="73"/>
      <c r="H212" s="74"/>
      <c r="I212" s="74"/>
      <c r="J212" s="74"/>
      <c r="K212" s="56"/>
      <c r="L212" s="56"/>
      <c r="M212" s="56"/>
      <c r="N212" s="74"/>
      <c r="O212" s="74"/>
      <c r="P212" s="74"/>
    </row>
    <row r="213" ht="16.5" spans="1:16">
      <c r="A213" s="70">
        <v>207</v>
      </c>
      <c r="B213" s="45" t="str">
        <f ca="1">OFFSET(装备属性!$D$65,MATCH(A213,装备属性!$G$66:$G$73,1),0)</f>
        <v>彩</v>
      </c>
      <c r="C213" s="71">
        <f ca="1">OFFSET(装备属性!$D$14,MATCH(A213,装备属性!$H$15:$H$61,1),0)</f>
        <v>165</v>
      </c>
      <c r="D213" s="72">
        <f ca="1">IFERROR(MIN(MATCH(COUNTIFS($C$7:C213,C213,$B$7:B213,B213)*_xlfn.XLOOKUP(C213,装备属性!$D$15:$D$61,装备属性!$M$15:$M$61),装备产出!$Z$19:$Z$24,1),6),0)</f>
        <v>0</v>
      </c>
      <c r="E213" s="45" t="e">
        <f>MATCH(A213,装备属性!$AD$520:$AD$819,1)</f>
        <v>#N/A</v>
      </c>
      <c r="F213" s="73" t="e" cm="1">
        <f ca="1" t="array" ref="F213">_xlfn.XLOOKUP(B213&amp;C213,装备属性!$G$90:$G$466&amp;装备属性!$E$90:$E$466,装备属性!$I$90:$I$466)*D213+_xlfn.XLOOKUP(B213&amp;MAX(C213-10,1),装备属性!$G$90:$G$466&amp;装备属性!$E$90:$E$466,装备属性!$I$90:$I$466)*(6-D213)+_xlfn.XLOOKUP(B213&amp;C213,装备属性!$P$919:$P$955&amp;装备属性!$N$919:$N$955,装备属性!$R$919:$R$955)*D213*0.5+_xlfn.XLOOKUP(B213&amp;(MAX(C213-10,1)),装备属性!$P$919:$P$955&amp;装备属性!$N$919:$N$955,装备属性!$R$919:$R$955)*(6-D213)*0.5+_xlfn.XLOOKUP(E213,装备属性!$D$520:$D$819,装备属性!$I$520:$I$819)*6</f>
        <v>#N/A</v>
      </c>
      <c r="G213" s="73"/>
      <c r="H213" s="74"/>
      <c r="I213" s="74"/>
      <c r="J213" s="74"/>
      <c r="K213" s="56"/>
      <c r="L213" s="56"/>
      <c r="M213" s="56"/>
      <c r="N213" s="74"/>
      <c r="O213" s="74"/>
      <c r="P213" s="74"/>
    </row>
    <row r="214" ht="16.5" spans="1:16">
      <c r="A214" s="70">
        <v>208</v>
      </c>
      <c r="B214" s="45" t="str">
        <f ca="1">OFFSET(装备属性!$D$65,MATCH(A214,装备属性!$G$66:$G$73,1),0)</f>
        <v>彩</v>
      </c>
      <c r="C214" s="71">
        <f ca="1">OFFSET(装备属性!$D$14,MATCH(A214,装备属性!$H$15:$H$61,1),0)</f>
        <v>165</v>
      </c>
      <c r="D214" s="72">
        <f ca="1">IFERROR(MIN(MATCH(COUNTIFS($C$7:C214,C214,$B$7:B214,B214)*_xlfn.XLOOKUP(C214,装备属性!$D$15:$D$61,装备属性!$M$15:$M$61),装备产出!$Z$19:$Z$24,1),6),0)</f>
        <v>0</v>
      </c>
      <c r="E214" s="45" t="e">
        <f>MATCH(A214,装备属性!$AD$520:$AD$819,1)</f>
        <v>#N/A</v>
      </c>
      <c r="F214" s="73" t="e" cm="1">
        <f ca="1" t="array" ref="F214">_xlfn.XLOOKUP(B214&amp;C214,装备属性!$G$90:$G$466&amp;装备属性!$E$90:$E$466,装备属性!$I$90:$I$466)*D214+_xlfn.XLOOKUP(B214&amp;MAX(C214-10,1),装备属性!$G$90:$G$466&amp;装备属性!$E$90:$E$466,装备属性!$I$90:$I$466)*(6-D214)+_xlfn.XLOOKUP(B214&amp;C214,装备属性!$P$919:$P$955&amp;装备属性!$N$919:$N$955,装备属性!$R$919:$R$955)*D214*0.5+_xlfn.XLOOKUP(B214&amp;(MAX(C214-10,1)),装备属性!$P$919:$P$955&amp;装备属性!$N$919:$N$955,装备属性!$R$919:$R$955)*(6-D214)*0.5+_xlfn.XLOOKUP(E214,装备属性!$D$520:$D$819,装备属性!$I$520:$I$819)*6</f>
        <v>#N/A</v>
      </c>
      <c r="G214" s="73"/>
      <c r="H214" s="74"/>
      <c r="I214" s="74"/>
      <c r="J214" s="74"/>
      <c r="K214" s="56"/>
      <c r="L214" s="56"/>
      <c r="M214" s="56"/>
      <c r="N214" s="74"/>
      <c r="O214" s="74"/>
      <c r="P214" s="74"/>
    </row>
    <row r="215" ht="16.5" spans="1:16">
      <c r="A215" s="70">
        <v>209</v>
      </c>
      <c r="B215" s="45" t="str">
        <f ca="1">OFFSET(装备属性!$D$65,MATCH(A215,装备属性!$G$66:$G$73,1),0)</f>
        <v>彩</v>
      </c>
      <c r="C215" s="71">
        <f ca="1">OFFSET(装备属性!$D$14,MATCH(A215,装备属性!$H$15:$H$61,1),0)</f>
        <v>165</v>
      </c>
      <c r="D215" s="72">
        <f ca="1">IFERROR(MIN(MATCH(COUNTIFS($C$7:C215,C215,$B$7:B215,B215)*_xlfn.XLOOKUP(C215,装备属性!$D$15:$D$61,装备属性!$M$15:$M$61),装备产出!$Z$19:$Z$24,1),6),0)</f>
        <v>0</v>
      </c>
      <c r="E215" s="45" t="e">
        <f>MATCH(A215,装备属性!$AD$520:$AD$819,1)</f>
        <v>#N/A</v>
      </c>
      <c r="F215" s="73" t="e" cm="1">
        <f ca="1" t="array" ref="F215">_xlfn.XLOOKUP(B215&amp;C215,装备属性!$G$90:$G$466&amp;装备属性!$E$90:$E$466,装备属性!$I$90:$I$466)*D215+_xlfn.XLOOKUP(B215&amp;MAX(C215-10,1),装备属性!$G$90:$G$466&amp;装备属性!$E$90:$E$466,装备属性!$I$90:$I$466)*(6-D215)+_xlfn.XLOOKUP(B215&amp;C215,装备属性!$P$919:$P$955&amp;装备属性!$N$919:$N$955,装备属性!$R$919:$R$955)*D215*0.5+_xlfn.XLOOKUP(B215&amp;(MAX(C215-10,1)),装备属性!$P$919:$P$955&amp;装备属性!$N$919:$N$955,装备属性!$R$919:$R$955)*(6-D215)*0.5+_xlfn.XLOOKUP(E215,装备属性!$D$520:$D$819,装备属性!$I$520:$I$819)*6</f>
        <v>#N/A</v>
      </c>
      <c r="G215" s="73"/>
      <c r="H215" s="74"/>
      <c r="I215" s="74"/>
      <c r="J215" s="74"/>
      <c r="K215" s="56"/>
      <c r="L215" s="56"/>
      <c r="M215" s="56"/>
      <c r="N215" s="74"/>
      <c r="O215" s="74"/>
      <c r="P215" s="74"/>
    </row>
    <row r="216" ht="16.5" spans="1:16">
      <c r="A216" s="70">
        <v>210</v>
      </c>
      <c r="B216" s="45" t="str">
        <f ca="1">OFFSET(装备属性!$D$65,MATCH(A216,装备属性!$G$66:$G$73,1),0)</f>
        <v>彩</v>
      </c>
      <c r="C216" s="71">
        <f ca="1">OFFSET(装备属性!$D$14,MATCH(A216,装备属性!$H$15:$H$61,1),0)</f>
        <v>165</v>
      </c>
      <c r="D216" s="72">
        <f ca="1">IFERROR(MIN(MATCH(COUNTIFS($C$7:C216,C216,$B$7:B216,B216)*_xlfn.XLOOKUP(C216,装备属性!$D$15:$D$61,装备属性!$M$15:$M$61),装备产出!$Z$19:$Z$24,1),6),0)</f>
        <v>1</v>
      </c>
      <c r="E216" s="45" t="e">
        <f>MATCH(A216,装备属性!$AD$520:$AD$819,1)</f>
        <v>#N/A</v>
      </c>
      <c r="F216" s="73" t="e" cm="1">
        <f ca="1" t="array" ref="F216">_xlfn.XLOOKUP(B216&amp;C216,装备属性!$G$90:$G$466&amp;装备属性!$E$90:$E$466,装备属性!$I$90:$I$466)*D216+_xlfn.XLOOKUP(B216&amp;MAX(C216-10,1),装备属性!$G$90:$G$466&amp;装备属性!$E$90:$E$466,装备属性!$I$90:$I$466)*(6-D216)+_xlfn.XLOOKUP(B216&amp;C216,装备属性!$P$919:$P$955&amp;装备属性!$N$919:$N$955,装备属性!$R$919:$R$955)*D216*0.5+_xlfn.XLOOKUP(B216&amp;(MAX(C216-10,1)),装备属性!$P$919:$P$955&amp;装备属性!$N$919:$N$955,装备属性!$R$919:$R$955)*(6-D216)*0.5+_xlfn.XLOOKUP(E216,装备属性!$D$520:$D$819,装备属性!$I$520:$I$819)*6</f>
        <v>#N/A</v>
      </c>
      <c r="G216" s="73"/>
      <c r="H216" s="74"/>
      <c r="I216" s="74"/>
      <c r="J216" s="74"/>
      <c r="K216" s="56"/>
      <c r="L216" s="56"/>
      <c r="M216" s="56"/>
      <c r="N216" s="74"/>
      <c r="O216" s="74"/>
      <c r="P216" s="74"/>
    </row>
    <row r="217" ht="16.5" spans="1:16">
      <c r="A217" s="70">
        <v>211</v>
      </c>
      <c r="B217" s="45" t="str">
        <f ca="1">OFFSET(装备属性!$D$65,MATCH(A217,装备属性!$G$66:$G$73,1),0)</f>
        <v>彩</v>
      </c>
      <c r="C217" s="71">
        <f ca="1">OFFSET(装备属性!$D$14,MATCH(A217,装备属性!$H$15:$H$61,1),0)</f>
        <v>165</v>
      </c>
      <c r="D217" s="72">
        <f ca="1">IFERROR(MIN(MATCH(COUNTIFS($C$7:C217,C217,$B$7:B217,B217)*_xlfn.XLOOKUP(C217,装备属性!$D$15:$D$61,装备属性!$M$15:$M$61),装备产出!$Z$19:$Z$24,1),6),0)</f>
        <v>1</v>
      </c>
      <c r="E217" s="45" t="e">
        <f>MATCH(A217,装备属性!$AD$520:$AD$819,1)</f>
        <v>#N/A</v>
      </c>
      <c r="F217" s="73" t="e" cm="1">
        <f ca="1" t="array" ref="F217">_xlfn.XLOOKUP(B217&amp;C217,装备属性!$G$90:$G$466&amp;装备属性!$E$90:$E$466,装备属性!$I$90:$I$466)*D217+_xlfn.XLOOKUP(B217&amp;MAX(C217-10,1),装备属性!$G$90:$G$466&amp;装备属性!$E$90:$E$466,装备属性!$I$90:$I$466)*(6-D217)+_xlfn.XLOOKUP(B217&amp;C217,装备属性!$P$919:$P$955&amp;装备属性!$N$919:$N$955,装备属性!$R$919:$R$955)*D217*0.5+_xlfn.XLOOKUP(B217&amp;(MAX(C217-10,1)),装备属性!$P$919:$P$955&amp;装备属性!$N$919:$N$955,装备属性!$R$919:$R$955)*(6-D217)*0.5+_xlfn.XLOOKUP(E217,装备属性!$D$520:$D$819,装备属性!$I$520:$I$819)*6</f>
        <v>#N/A</v>
      </c>
      <c r="G217" s="73"/>
      <c r="H217" s="74"/>
      <c r="I217" s="74"/>
      <c r="J217" s="74"/>
      <c r="K217" s="56"/>
      <c r="L217" s="56"/>
      <c r="M217" s="56"/>
      <c r="N217" s="74"/>
      <c r="O217" s="74"/>
      <c r="P217" s="74"/>
    </row>
    <row r="218" ht="16.5" spans="1:16">
      <c r="A218" s="70">
        <v>212</v>
      </c>
      <c r="B218" s="45" t="str">
        <f ca="1">OFFSET(装备属性!$D$65,MATCH(A218,装备属性!$G$66:$G$73,1),0)</f>
        <v>彩</v>
      </c>
      <c r="C218" s="71">
        <f ca="1">OFFSET(装备属性!$D$14,MATCH(A218,装备属性!$H$15:$H$61,1),0)</f>
        <v>165</v>
      </c>
      <c r="D218" s="72">
        <f ca="1">IFERROR(MIN(MATCH(COUNTIFS($C$7:C218,C218,$B$7:B218,B218)*_xlfn.XLOOKUP(C218,装备属性!$D$15:$D$61,装备属性!$M$15:$M$61),装备产出!$Z$19:$Z$24,1),6),0)</f>
        <v>1</v>
      </c>
      <c r="E218" s="45" t="e">
        <f>MATCH(A218,装备属性!$AD$520:$AD$819,1)</f>
        <v>#N/A</v>
      </c>
      <c r="F218" s="73" t="e" cm="1">
        <f ca="1" t="array" ref="F218">_xlfn.XLOOKUP(B218&amp;C218,装备属性!$G$90:$G$466&amp;装备属性!$E$90:$E$466,装备属性!$I$90:$I$466)*D218+_xlfn.XLOOKUP(B218&amp;MAX(C218-10,1),装备属性!$G$90:$G$466&amp;装备属性!$E$90:$E$466,装备属性!$I$90:$I$466)*(6-D218)+_xlfn.XLOOKUP(B218&amp;C218,装备属性!$P$919:$P$955&amp;装备属性!$N$919:$N$955,装备属性!$R$919:$R$955)*D218*0.5+_xlfn.XLOOKUP(B218&amp;(MAX(C218-10,1)),装备属性!$P$919:$P$955&amp;装备属性!$N$919:$N$955,装备属性!$R$919:$R$955)*(6-D218)*0.5+_xlfn.XLOOKUP(E218,装备属性!$D$520:$D$819,装备属性!$I$520:$I$819)*6</f>
        <v>#N/A</v>
      </c>
      <c r="G218" s="73"/>
      <c r="H218" s="74"/>
      <c r="I218" s="74"/>
      <c r="J218" s="74"/>
      <c r="K218" s="56"/>
      <c r="L218" s="56"/>
      <c r="M218" s="56"/>
      <c r="N218" s="74"/>
      <c r="O218" s="74"/>
      <c r="P218" s="74"/>
    </row>
    <row r="219" ht="16.5" spans="1:16">
      <c r="A219" s="70">
        <v>213</v>
      </c>
      <c r="B219" s="45" t="str">
        <f ca="1">OFFSET(装备属性!$D$65,MATCH(A219,装备属性!$G$66:$G$73,1),0)</f>
        <v>彩</v>
      </c>
      <c r="C219" s="71">
        <f ca="1">OFFSET(装备属性!$D$14,MATCH(A219,装备属性!$H$15:$H$61,1),0)</f>
        <v>165</v>
      </c>
      <c r="D219" s="72">
        <f ca="1">IFERROR(MIN(MATCH(COUNTIFS($C$7:C219,C219,$B$7:B219,B219)*_xlfn.XLOOKUP(C219,装备属性!$D$15:$D$61,装备属性!$M$15:$M$61),装备产出!$Z$19:$Z$24,1),6),0)</f>
        <v>1</v>
      </c>
      <c r="E219" s="45" t="e">
        <f>MATCH(A219,装备属性!$AD$520:$AD$819,1)</f>
        <v>#N/A</v>
      </c>
      <c r="F219" s="73" t="e" cm="1">
        <f ca="1" t="array" ref="F219">_xlfn.XLOOKUP(B219&amp;C219,装备属性!$G$90:$G$466&amp;装备属性!$E$90:$E$466,装备属性!$I$90:$I$466)*D219+_xlfn.XLOOKUP(B219&amp;MAX(C219-10,1),装备属性!$G$90:$G$466&amp;装备属性!$E$90:$E$466,装备属性!$I$90:$I$466)*(6-D219)+_xlfn.XLOOKUP(B219&amp;C219,装备属性!$P$919:$P$955&amp;装备属性!$N$919:$N$955,装备属性!$R$919:$R$955)*D219*0.5+_xlfn.XLOOKUP(B219&amp;(MAX(C219-10,1)),装备属性!$P$919:$P$955&amp;装备属性!$N$919:$N$955,装备属性!$R$919:$R$955)*(6-D219)*0.5+_xlfn.XLOOKUP(E219,装备属性!$D$520:$D$819,装备属性!$I$520:$I$819)*6</f>
        <v>#N/A</v>
      </c>
      <c r="G219" s="73"/>
      <c r="H219" s="74"/>
      <c r="I219" s="74"/>
      <c r="J219" s="74"/>
      <c r="K219" s="56"/>
      <c r="L219" s="56"/>
      <c r="M219" s="56"/>
      <c r="N219" s="74"/>
      <c r="O219" s="74"/>
      <c r="P219" s="74"/>
    </row>
    <row r="220" ht="16.5" spans="1:16">
      <c r="A220" s="70">
        <v>214</v>
      </c>
      <c r="B220" s="45" t="str">
        <f ca="1">OFFSET(装备属性!$D$65,MATCH(A220,装备属性!$G$66:$G$73,1),0)</f>
        <v>彩</v>
      </c>
      <c r="C220" s="71">
        <f ca="1">OFFSET(装备属性!$D$14,MATCH(A220,装备属性!$H$15:$H$61,1),0)</f>
        <v>165</v>
      </c>
      <c r="D220" s="72">
        <f ca="1">IFERROR(MIN(MATCH(COUNTIFS($C$7:C220,C220,$B$7:B220,B220)*_xlfn.XLOOKUP(C220,装备属性!$D$15:$D$61,装备属性!$M$15:$M$61),装备产出!$Z$19:$Z$24,1),6),0)</f>
        <v>1</v>
      </c>
      <c r="E220" s="45" t="e">
        <f>MATCH(A220,装备属性!$AD$520:$AD$819,1)</f>
        <v>#N/A</v>
      </c>
      <c r="F220" s="73" t="e" cm="1">
        <f ca="1" t="array" ref="F220">_xlfn.XLOOKUP(B220&amp;C220,装备属性!$G$90:$G$466&amp;装备属性!$E$90:$E$466,装备属性!$I$90:$I$466)*D220+_xlfn.XLOOKUP(B220&amp;MAX(C220-10,1),装备属性!$G$90:$G$466&amp;装备属性!$E$90:$E$466,装备属性!$I$90:$I$466)*(6-D220)+_xlfn.XLOOKUP(B220&amp;C220,装备属性!$P$919:$P$955&amp;装备属性!$N$919:$N$955,装备属性!$R$919:$R$955)*D220*0.5+_xlfn.XLOOKUP(B220&amp;(MAX(C220-10,1)),装备属性!$P$919:$P$955&amp;装备属性!$N$919:$N$955,装备属性!$R$919:$R$955)*(6-D220)*0.5+_xlfn.XLOOKUP(E220,装备属性!$D$520:$D$819,装备属性!$I$520:$I$819)*6</f>
        <v>#N/A</v>
      </c>
      <c r="G220" s="73"/>
      <c r="H220" s="74"/>
      <c r="I220" s="74"/>
      <c r="J220" s="74"/>
      <c r="K220" s="56"/>
      <c r="L220" s="56"/>
      <c r="M220" s="56"/>
      <c r="N220" s="74"/>
      <c r="O220" s="74"/>
      <c r="P220" s="74"/>
    </row>
    <row r="221" ht="16.5" spans="1:16">
      <c r="A221" s="70">
        <v>215</v>
      </c>
      <c r="B221" s="45" t="str">
        <f ca="1">OFFSET(装备属性!$D$65,MATCH(A221,装备属性!$G$66:$G$73,1),0)</f>
        <v>彩</v>
      </c>
      <c r="C221" s="71">
        <f ca="1">OFFSET(装备属性!$D$14,MATCH(A221,装备属性!$H$15:$H$61,1),0)</f>
        <v>165</v>
      </c>
      <c r="D221" s="72">
        <f ca="1">IFERROR(MIN(MATCH(COUNTIFS($C$7:C221,C221,$B$7:B221,B221)*_xlfn.XLOOKUP(C221,装备属性!$D$15:$D$61,装备属性!$M$15:$M$61),装备产出!$Z$19:$Z$24,1),6),0)</f>
        <v>1</v>
      </c>
      <c r="E221" s="45" t="e">
        <f>MATCH(A221,装备属性!$AD$520:$AD$819,1)</f>
        <v>#N/A</v>
      </c>
      <c r="F221" s="73" t="e" cm="1">
        <f ca="1" t="array" ref="F221">_xlfn.XLOOKUP(B221&amp;C221,装备属性!$G$90:$G$466&amp;装备属性!$E$90:$E$466,装备属性!$I$90:$I$466)*D221+_xlfn.XLOOKUP(B221&amp;MAX(C221-10,1),装备属性!$G$90:$G$466&amp;装备属性!$E$90:$E$466,装备属性!$I$90:$I$466)*(6-D221)+_xlfn.XLOOKUP(B221&amp;C221,装备属性!$P$919:$P$955&amp;装备属性!$N$919:$N$955,装备属性!$R$919:$R$955)*D221*0.5+_xlfn.XLOOKUP(B221&amp;(MAX(C221-10,1)),装备属性!$P$919:$P$955&amp;装备属性!$N$919:$N$955,装备属性!$R$919:$R$955)*(6-D221)*0.5+_xlfn.XLOOKUP(E221,装备属性!$D$520:$D$819,装备属性!$I$520:$I$819)*6</f>
        <v>#N/A</v>
      </c>
      <c r="G221" s="73"/>
      <c r="H221" s="74"/>
      <c r="I221" s="74"/>
      <c r="J221" s="74"/>
      <c r="K221" s="56"/>
      <c r="L221" s="56"/>
      <c r="M221" s="56"/>
      <c r="N221" s="74"/>
      <c r="O221" s="74"/>
      <c r="P221" s="74"/>
    </row>
    <row r="222" ht="16.5" spans="1:16">
      <c r="A222" s="70">
        <v>216</v>
      </c>
      <c r="B222" s="45" t="str">
        <f ca="1">OFFSET(装备属性!$D$65,MATCH(A222,装备属性!$G$66:$G$73,1),0)</f>
        <v>彩</v>
      </c>
      <c r="C222" s="71">
        <f ca="1">OFFSET(装备属性!$D$14,MATCH(A222,装备属性!$H$15:$H$61,1),0)</f>
        <v>165</v>
      </c>
      <c r="D222" s="72">
        <f ca="1">IFERROR(MIN(MATCH(COUNTIFS($C$7:C222,C222,$B$7:B222,B222)*_xlfn.XLOOKUP(C222,装备属性!$D$15:$D$61,装备属性!$M$15:$M$61),装备产出!$Z$19:$Z$24,1),6),0)</f>
        <v>2</v>
      </c>
      <c r="E222" s="45" t="e">
        <f>MATCH(A222,装备属性!$AD$520:$AD$819,1)</f>
        <v>#N/A</v>
      </c>
      <c r="F222" s="73" t="e" cm="1">
        <f ca="1" t="array" ref="F222">_xlfn.XLOOKUP(B222&amp;C222,装备属性!$G$90:$G$466&amp;装备属性!$E$90:$E$466,装备属性!$I$90:$I$466)*D222+_xlfn.XLOOKUP(B222&amp;MAX(C222-10,1),装备属性!$G$90:$G$466&amp;装备属性!$E$90:$E$466,装备属性!$I$90:$I$466)*(6-D222)+_xlfn.XLOOKUP(B222&amp;C222,装备属性!$P$919:$P$955&amp;装备属性!$N$919:$N$955,装备属性!$R$919:$R$955)*D222*0.5+_xlfn.XLOOKUP(B222&amp;(MAX(C222-10,1)),装备属性!$P$919:$P$955&amp;装备属性!$N$919:$N$955,装备属性!$R$919:$R$955)*(6-D222)*0.5+_xlfn.XLOOKUP(E222,装备属性!$D$520:$D$819,装备属性!$I$520:$I$819)*6</f>
        <v>#N/A</v>
      </c>
      <c r="G222" s="73"/>
      <c r="H222" s="74"/>
      <c r="I222" s="74"/>
      <c r="J222" s="74"/>
      <c r="K222" s="56"/>
      <c r="L222" s="56"/>
      <c r="M222" s="56"/>
      <c r="N222" s="74"/>
      <c r="O222" s="74"/>
      <c r="P222" s="74"/>
    </row>
    <row r="223" ht="16.5" spans="1:16">
      <c r="A223" s="70">
        <v>217</v>
      </c>
      <c r="B223" s="45" t="str">
        <f ca="1">OFFSET(装备属性!$D$65,MATCH(A223,装备属性!$G$66:$G$73,1),0)</f>
        <v>彩</v>
      </c>
      <c r="C223" s="71">
        <f ca="1">OFFSET(装备属性!$D$14,MATCH(A223,装备属性!$H$15:$H$61,1),0)</f>
        <v>165</v>
      </c>
      <c r="D223" s="72">
        <f ca="1">IFERROR(MIN(MATCH(COUNTIFS($C$7:C223,C223,$B$7:B223,B223)*_xlfn.XLOOKUP(C223,装备属性!$D$15:$D$61,装备属性!$M$15:$M$61),装备产出!$Z$19:$Z$24,1),6),0)</f>
        <v>2</v>
      </c>
      <c r="E223" s="45" t="e">
        <f>MATCH(A223,装备属性!$AD$520:$AD$819,1)</f>
        <v>#N/A</v>
      </c>
      <c r="F223" s="73" t="e" cm="1">
        <f ca="1" t="array" ref="F223">_xlfn.XLOOKUP(B223&amp;C223,装备属性!$G$90:$G$466&amp;装备属性!$E$90:$E$466,装备属性!$I$90:$I$466)*D223+_xlfn.XLOOKUP(B223&amp;MAX(C223-10,1),装备属性!$G$90:$G$466&amp;装备属性!$E$90:$E$466,装备属性!$I$90:$I$466)*(6-D223)+_xlfn.XLOOKUP(B223&amp;C223,装备属性!$P$919:$P$955&amp;装备属性!$N$919:$N$955,装备属性!$R$919:$R$955)*D223*0.5+_xlfn.XLOOKUP(B223&amp;(MAX(C223-10,1)),装备属性!$P$919:$P$955&amp;装备属性!$N$919:$N$955,装备属性!$R$919:$R$955)*(6-D223)*0.5+_xlfn.XLOOKUP(E223,装备属性!$D$520:$D$819,装备属性!$I$520:$I$819)*6</f>
        <v>#N/A</v>
      </c>
      <c r="G223" s="73"/>
      <c r="H223" s="74"/>
      <c r="I223" s="74"/>
      <c r="J223" s="74"/>
      <c r="K223" s="56"/>
      <c r="L223" s="56"/>
      <c r="M223" s="56"/>
      <c r="N223" s="74"/>
      <c r="O223" s="74"/>
      <c r="P223" s="74"/>
    </row>
    <row r="224" ht="16.5" spans="1:16">
      <c r="A224" s="70">
        <v>218</v>
      </c>
      <c r="B224" s="45" t="str">
        <f ca="1">OFFSET(装备属性!$D$65,MATCH(A224,装备属性!$G$66:$G$73,1),0)</f>
        <v>彩</v>
      </c>
      <c r="C224" s="71">
        <f ca="1">OFFSET(装备属性!$D$14,MATCH(A224,装备属性!$H$15:$H$61,1),0)</f>
        <v>170</v>
      </c>
      <c r="D224" s="72">
        <f ca="1">IFERROR(MIN(MATCH(COUNTIFS($C$7:C224,C224,$B$7:B224,B224)*_xlfn.XLOOKUP(C224,装备属性!$D$15:$D$61,装备属性!$M$15:$M$61),装备产出!$Z$19:$Z$24,1),6),0)</f>
        <v>0</v>
      </c>
      <c r="E224" s="45" t="e">
        <f>MATCH(A224,装备属性!$AD$520:$AD$819,1)</f>
        <v>#N/A</v>
      </c>
      <c r="F224" s="73" t="e" cm="1">
        <f ca="1" t="array" ref="F224">_xlfn.XLOOKUP(B224&amp;C224,装备属性!$G$90:$G$466&amp;装备属性!$E$90:$E$466,装备属性!$I$90:$I$466)*D224+_xlfn.XLOOKUP(B224&amp;MAX(C224-10,1),装备属性!$G$90:$G$466&amp;装备属性!$E$90:$E$466,装备属性!$I$90:$I$466)*(6-D224)+_xlfn.XLOOKUP(B224&amp;C224,装备属性!$P$919:$P$955&amp;装备属性!$N$919:$N$955,装备属性!$R$919:$R$955)*D224*0.5+_xlfn.XLOOKUP(B224&amp;(MAX(C224-10,1)),装备属性!$P$919:$P$955&amp;装备属性!$N$919:$N$955,装备属性!$R$919:$R$955)*(6-D224)*0.5+_xlfn.XLOOKUP(E224,装备属性!$D$520:$D$819,装备属性!$I$520:$I$819)*6</f>
        <v>#N/A</v>
      </c>
      <c r="G224" s="73"/>
      <c r="H224" s="74"/>
      <c r="I224" s="74"/>
      <c r="J224" s="74"/>
      <c r="K224" s="56"/>
      <c r="L224" s="56"/>
      <c r="M224" s="56"/>
      <c r="N224" s="74"/>
      <c r="O224" s="74"/>
      <c r="P224" s="74"/>
    </row>
    <row r="225" ht="16.5" spans="1:16">
      <c r="A225" s="70">
        <v>219</v>
      </c>
      <c r="B225" s="45" t="str">
        <f ca="1">OFFSET(装备属性!$D$65,MATCH(A225,装备属性!$G$66:$G$73,1),0)</f>
        <v>彩</v>
      </c>
      <c r="C225" s="71">
        <f ca="1">OFFSET(装备属性!$D$14,MATCH(A225,装备属性!$H$15:$H$61,1),0)</f>
        <v>170</v>
      </c>
      <c r="D225" s="72">
        <f ca="1">IFERROR(MIN(MATCH(COUNTIFS($C$7:C225,C225,$B$7:B225,B225)*_xlfn.XLOOKUP(C225,装备属性!$D$15:$D$61,装备属性!$M$15:$M$61),装备产出!$Z$19:$Z$24,1),6),0)</f>
        <v>0</v>
      </c>
      <c r="E225" s="45" t="e">
        <f>MATCH(A225,装备属性!$AD$520:$AD$819,1)</f>
        <v>#N/A</v>
      </c>
      <c r="F225" s="73" t="e" cm="1">
        <f ca="1" t="array" ref="F225">_xlfn.XLOOKUP(B225&amp;C225,装备属性!$G$90:$G$466&amp;装备属性!$E$90:$E$466,装备属性!$I$90:$I$466)*D225+_xlfn.XLOOKUP(B225&amp;MAX(C225-10,1),装备属性!$G$90:$G$466&amp;装备属性!$E$90:$E$466,装备属性!$I$90:$I$466)*(6-D225)+_xlfn.XLOOKUP(B225&amp;C225,装备属性!$P$919:$P$955&amp;装备属性!$N$919:$N$955,装备属性!$R$919:$R$955)*D225*0.5+_xlfn.XLOOKUP(B225&amp;(MAX(C225-10,1)),装备属性!$P$919:$P$955&amp;装备属性!$N$919:$N$955,装备属性!$R$919:$R$955)*(6-D225)*0.5+_xlfn.XLOOKUP(E225,装备属性!$D$520:$D$819,装备属性!$I$520:$I$819)*6</f>
        <v>#N/A</v>
      </c>
      <c r="G225" s="73"/>
      <c r="H225" s="74"/>
      <c r="I225" s="74"/>
      <c r="J225" s="74"/>
      <c r="K225" s="56"/>
      <c r="L225" s="56"/>
      <c r="M225" s="56"/>
      <c r="N225" s="74"/>
      <c r="O225" s="74"/>
      <c r="P225" s="74"/>
    </row>
    <row r="226" ht="16.5" spans="1:16">
      <c r="A226" s="70">
        <v>220</v>
      </c>
      <c r="B226" s="45" t="str">
        <f ca="1">OFFSET(装备属性!$D$65,MATCH(A226,装备属性!$G$66:$G$73,1),0)</f>
        <v>彩</v>
      </c>
      <c r="C226" s="71">
        <f ca="1">OFFSET(装备属性!$D$14,MATCH(A226,装备属性!$H$15:$H$61,1),0)</f>
        <v>170</v>
      </c>
      <c r="D226" s="72">
        <f ca="1">IFERROR(MIN(MATCH(COUNTIFS($C$7:C226,C226,$B$7:B226,B226)*_xlfn.XLOOKUP(C226,装备属性!$D$15:$D$61,装备属性!$M$15:$M$61),装备产出!$Z$19:$Z$24,1),6),0)</f>
        <v>0</v>
      </c>
      <c r="E226" s="45" t="e">
        <f>MATCH(A226,装备属性!$AD$520:$AD$819,1)</f>
        <v>#N/A</v>
      </c>
      <c r="F226" s="73" t="e" cm="1">
        <f ca="1" t="array" ref="F226">_xlfn.XLOOKUP(B226&amp;C226,装备属性!$G$90:$G$466&amp;装备属性!$E$90:$E$466,装备属性!$I$90:$I$466)*D226+_xlfn.XLOOKUP(B226&amp;MAX(C226-10,1),装备属性!$G$90:$G$466&amp;装备属性!$E$90:$E$466,装备属性!$I$90:$I$466)*(6-D226)+_xlfn.XLOOKUP(B226&amp;C226,装备属性!$P$919:$P$955&amp;装备属性!$N$919:$N$955,装备属性!$R$919:$R$955)*D226*0.5+_xlfn.XLOOKUP(B226&amp;(MAX(C226-10,1)),装备属性!$P$919:$P$955&amp;装备属性!$N$919:$N$955,装备属性!$R$919:$R$955)*(6-D226)*0.5+_xlfn.XLOOKUP(E226,装备属性!$D$520:$D$819,装备属性!$I$520:$I$819)*6</f>
        <v>#N/A</v>
      </c>
      <c r="G226" s="73"/>
      <c r="H226" s="74"/>
      <c r="I226" s="74"/>
      <c r="J226" s="74"/>
      <c r="K226" s="56"/>
      <c r="L226" s="56"/>
      <c r="M226" s="56"/>
      <c r="N226" s="74"/>
      <c r="O226" s="74"/>
      <c r="P226" s="74"/>
    </row>
    <row r="227" ht="16.5" spans="1:16">
      <c r="A227" s="70">
        <v>221</v>
      </c>
      <c r="B227" s="45" t="str">
        <f ca="1">OFFSET(装备属性!$D$65,MATCH(A227,装备属性!$G$66:$G$73,1),0)</f>
        <v>彩</v>
      </c>
      <c r="C227" s="71">
        <f ca="1">OFFSET(装备属性!$D$14,MATCH(A227,装备属性!$H$15:$H$61,1),0)</f>
        <v>170</v>
      </c>
      <c r="D227" s="72">
        <f ca="1">IFERROR(MIN(MATCH(COUNTIFS($C$7:C227,C227,$B$7:B227,B227)*_xlfn.XLOOKUP(C227,装备属性!$D$15:$D$61,装备属性!$M$15:$M$61),装备产出!$Z$19:$Z$24,1),6),0)</f>
        <v>0</v>
      </c>
      <c r="E227" s="45" t="e">
        <f>MATCH(A227,装备属性!$AD$520:$AD$819,1)</f>
        <v>#N/A</v>
      </c>
      <c r="F227" s="73" t="e" cm="1">
        <f ca="1" t="array" ref="F227">_xlfn.XLOOKUP(B227&amp;C227,装备属性!$G$90:$G$466&amp;装备属性!$E$90:$E$466,装备属性!$I$90:$I$466)*D227+_xlfn.XLOOKUP(B227&amp;MAX(C227-10,1),装备属性!$G$90:$G$466&amp;装备属性!$E$90:$E$466,装备属性!$I$90:$I$466)*(6-D227)+_xlfn.XLOOKUP(B227&amp;C227,装备属性!$P$919:$P$955&amp;装备属性!$N$919:$N$955,装备属性!$R$919:$R$955)*D227*0.5+_xlfn.XLOOKUP(B227&amp;(MAX(C227-10,1)),装备属性!$P$919:$P$955&amp;装备属性!$N$919:$N$955,装备属性!$R$919:$R$955)*(6-D227)*0.5+_xlfn.XLOOKUP(E227,装备属性!$D$520:$D$819,装备属性!$I$520:$I$819)*6</f>
        <v>#N/A</v>
      </c>
      <c r="G227" s="73"/>
      <c r="H227" s="74"/>
      <c r="I227" s="74"/>
      <c r="J227" s="74"/>
      <c r="K227" s="56"/>
      <c r="L227" s="56"/>
      <c r="M227" s="56"/>
      <c r="N227" s="74"/>
      <c r="O227" s="74"/>
      <c r="P227" s="74"/>
    </row>
    <row r="228" ht="16.5" spans="1:16">
      <c r="A228" s="70">
        <v>222</v>
      </c>
      <c r="B228" s="45" t="str">
        <f ca="1">OFFSET(装备属性!$D$65,MATCH(A228,装备属性!$G$66:$G$73,1),0)</f>
        <v>彩</v>
      </c>
      <c r="C228" s="71">
        <f ca="1">OFFSET(装备属性!$D$14,MATCH(A228,装备属性!$H$15:$H$61,1),0)</f>
        <v>170</v>
      </c>
      <c r="D228" s="72">
        <f ca="1">IFERROR(MIN(MATCH(COUNTIFS($C$7:C228,C228,$B$7:B228,B228)*_xlfn.XLOOKUP(C228,装备属性!$D$15:$D$61,装备属性!$M$15:$M$61),装备产出!$Z$19:$Z$24,1),6),0)</f>
        <v>0</v>
      </c>
      <c r="E228" s="45" t="e">
        <f>MATCH(A228,装备属性!$AD$520:$AD$819,1)</f>
        <v>#N/A</v>
      </c>
      <c r="F228" s="73" t="e" cm="1">
        <f ca="1" t="array" ref="F228">_xlfn.XLOOKUP(B228&amp;C228,装备属性!$G$90:$G$466&amp;装备属性!$E$90:$E$466,装备属性!$I$90:$I$466)*D228+_xlfn.XLOOKUP(B228&amp;MAX(C228-10,1),装备属性!$G$90:$G$466&amp;装备属性!$E$90:$E$466,装备属性!$I$90:$I$466)*(6-D228)+_xlfn.XLOOKUP(B228&amp;C228,装备属性!$P$919:$P$955&amp;装备属性!$N$919:$N$955,装备属性!$R$919:$R$955)*D228*0.5+_xlfn.XLOOKUP(B228&amp;(MAX(C228-10,1)),装备属性!$P$919:$P$955&amp;装备属性!$N$919:$N$955,装备属性!$R$919:$R$955)*(6-D228)*0.5+_xlfn.XLOOKUP(E228,装备属性!$D$520:$D$819,装备属性!$I$520:$I$819)*6</f>
        <v>#N/A</v>
      </c>
      <c r="G228" s="73"/>
      <c r="H228" s="74"/>
      <c r="I228" s="74"/>
      <c r="J228" s="74"/>
      <c r="K228" s="56"/>
      <c r="L228" s="56"/>
      <c r="M228" s="56"/>
      <c r="N228" s="74"/>
      <c r="O228" s="74"/>
      <c r="P228" s="74"/>
    </row>
    <row r="229" ht="16.5" spans="1:16">
      <c r="A229" s="70">
        <v>223</v>
      </c>
      <c r="B229" s="45" t="str">
        <f ca="1">OFFSET(装备属性!$D$65,MATCH(A229,装备属性!$G$66:$G$73,1),0)</f>
        <v>彩</v>
      </c>
      <c r="C229" s="71">
        <f ca="1">OFFSET(装备属性!$D$14,MATCH(A229,装备属性!$H$15:$H$61,1),0)</f>
        <v>170</v>
      </c>
      <c r="D229" s="72">
        <f ca="1">IFERROR(MIN(MATCH(COUNTIFS($C$7:C229,C229,$B$7:B229,B229)*_xlfn.XLOOKUP(C229,装备属性!$D$15:$D$61,装备属性!$M$15:$M$61),装备产出!$Z$19:$Z$24,1),6),0)</f>
        <v>1</v>
      </c>
      <c r="E229" s="45" t="e">
        <f>MATCH(A229,装备属性!$AD$520:$AD$819,1)</f>
        <v>#N/A</v>
      </c>
      <c r="F229" s="73" t="e" cm="1">
        <f ca="1" t="array" ref="F229">_xlfn.XLOOKUP(B229&amp;C229,装备属性!$G$90:$G$466&amp;装备属性!$E$90:$E$466,装备属性!$I$90:$I$466)*D229+_xlfn.XLOOKUP(B229&amp;MAX(C229-10,1),装备属性!$G$90:$G$466&amp;装备属性!$E$90:$E$466,装备属性!$I$90:$I$466)*(6-D229)+_xlfn.XLOOKUP(B229&amp;C229,装备属性!$P$919:$P$955&amp;装备属性!$N$919:$N$955,装备属性!$R$919:$R$955)*D229*0.5+_xlfn.XLOOKUP(B229&amp;(MAX(C229-10,1)),装备属性!$P$919:$P$955&amp;装备属性!$N$919:$N$955,装备属性!$R$919:$R$955)*(6-D229)*0.5+_xlfn.XLOOKUP(E229,装备属性!$D$520:$D$819,装备属性!$I$520:$I$819)*6</f>
        <v>#N/A</v>
      </c>
      <c r="G229" s="73"/>
      <c r="H229" s="74"/>
      <c r="I229" s="74"/>
      <c r="J229" s="74"/>
      <c r="K229" s="56"/>
      <c r="L229" s="56"/>
      <c r="M229" s="56"/>
      <c r="N229" s="74"/>
      <c r="O229" s="74"/>
      <c r="P229" s="74"/>
    </row>
    <row r="230" ht="16.5" spans="1:16">
      <c r="A230" s="70">
        <v>224</v>
      </c>
      <c r="B230" s="45" t="str">
        <f ca="1">OFFSET(装备属性!$D$65,MATCH(A230,装备属性!$G$66:$G$73,1),0)</f>
        <v>彩</v>
      </c>
      <c r="C230" s="71">
        <f ca="1">OFFSET(装备属性!$D$14,MATCH(A230,装备属性!$H$15:$H$61,1),0)</f>
        <v>170</v>
      </c>
      <c r="D230" s="72">
        <f ca="1">IFERROR(MIN(MATCH(COUNTIFS($C$7:C230,C230,$B$7:B230,B230)*_xlfn.XLOOKUP(C230,装备属性!$D$15:$D$61,装备属性!$M$15:$M$61),装备产出!$Z$19:$Z$24,1),6),0)</f>
        <v>1</v>
      </c>
      <c r="E230" s="45" t="e">
        <f>MATCH(A230,装备属性!$AD$520:$AD$819,1)</f>
        <v>#N/A</v>
      </c>
      <c r="F230" s="73" t="e" cm="1">
        <f ca="1" t="array" ref="F230">_xlfn.XLOOKUP(B230&amp;C230,装备属性!$G$90:$G$466&amp;装备属性!$E$90:$E$466,装备属性!$I$90:$I$466)*D230+_xlfn.XLOOKUP(B230&amp;MAX(C230-10,1),装备属性!$G$90:$G$466&amp;装备属性!$E$90:$E$466,装备属性!$I$90:$I$466)*(6-D230)+_xlfn.XLOOKUP(B230&amp;C230,装备属性!$P$919:$P$955&amp;装备属性!$N$919:$N$955,装备属性!$R$919:$R$955)*D230*0.5+_xlfn.XLOOKUP(B230&amp;(MAX(C230-10,1)),装备属性!$P$919:$P$955&amp;装备属性!$N$919:$N$955,装备属性!$R$919:$R$955)*(6-D230)*0.5+_xlfn.XLOOKUP(E230,装备属性!$D$520:$D$819,装备属性!$I$520:$I$819)*6</f>
        <v>#N/A</v>
      </c>
      <c r="G230" s="73"/>
      <c r="H230" s="74"/>
      <c r="I230" s="74"/>
      <c r="J230" s="74"/>
      <c r="K230" s="56"/>
      <c r="L230" s="56"/>
      <c r="M230" s="56"/>
      <c r="N230" s="74"/>
      <c r="O230" s="74"/>
      <c r="P230" s="74"/>
    </row>
    <row r="231" ht="16.5" spans="1:16">
      <c r="A231" s="70">
        <v>225</v>
      </c>
      <c r="B231" s="45" t="str">
        <f ca="1">OFFSET(装备属性!$D$65,MATCH(A231,装备属性!$G$66:$G$73,1),0)</f>
        <v>彩</v>
      </c>
      <c r="C231" s="71">
        <f ca="1">OFFSET(装备属性!$D$14,MATCH(A231,装备属性!$H$15:$H$61,1),0)</f>
        <v>170</v>
      </c>
      <c r="D231" s="72">
        <f ca="1">IFERROR(MIN(MATCH(COUNTIFS($C$7:C231,C231,$B$7:B231,B231)*_xlfn.XLOOKUP(C231,装备属性!$D$15:$D$61,装备属性!$M$15:$M$61),装备产出!$Z$19:$Z$24,1),6),0)</f>
        <v>1</v>
      </c>
      <c r="E231" s="45" t="e">
        <f>MATCH(A231,装备属性!$AD$520:$AD$819,1)</f>
        <v>#N/A</v>
      </c>
      <c r="F231" s="73" t="e" cm="1">
        <f ca="1" t="array" ref="F231">_xlfn.XLOOKUP(B231&amp;C231,装备属性!$G$90:$G$466&amp;装备属性!$E$90:$E$466,装备属性!$I$90:$I$466)*D231+_xlfn.XLOOKUP(B231&amp;MAX(C231-10,1),装备属性!$G$90:$G$466&amp;装备属性!$E$90:$E$466,装备属性!$I$90:$I$466)*(6-D231)+_xlfn.XLOOKUP(B231&amp;C231,装备属性!$P$919:$P$955&amp;装备属性!$N$919:$N$955,装备属性!$R$919:$R$955)*D231*0.5+_xlfn.XLOOKUP(B231&amp;(MAX(C231-10,1)),装备属性!$P$919:$P$955&amp;装备属性!$N$919:$N$955,装备属性!$R$919:$R$955)*(6-D231)*0.5+_xlfn.XLOOKUP(E231,装备属性!$D$520:$D$819,装备属性!$I$520:$I$819)*6</f>
        <v>#N/A</v>
      </c>
      <c r="G231" s="73"/>
      <c r="H231" s="74"/>
      <c r="I231" s="74"/>
      <c r="J231" s="74"/>
      <c r="K231" s="56"/>
      <c r="L231" s="56"/>
      <c r="M231" s="56"/>
      <c r="N231" s="74"/>
      <c r="O231" s="74"/>
      <c r="P231" s="74"/>
    </row>
    <row r="232" ht="16.5" spans="1:16">
      <c r="A232" s="70">
        <v>226</v>
      </c>
      <c r="B232" s="45" t="str">
        <f ca="1">OFFSET(装备属性!$D$65,MATCH(A232,装备属性!$G$66:$G$73,1),0)</f>
        <v>彩</v>
      </c>
      <c r="C232" s="71">
        <f ca="1">OFFSET(装备属性!$D$14,MATCH(A232,装备属性!$H$15:$H$61,1),0)</f>
        <v>170</v>
      </c>
      <c r="D232" s="72">
        <f ca="1">IFERROR(MIN(MATCH(COUNTIFS($C$7:C232,C232,$B$7:B232,B232)*_xlfn.XLOOKUP(C232,装备属性!$D$15:$D$61,装备属性!$M$15:$M$61),装备产出!$Z$19:$Z$24,1),6),0)</f>
        <v>1</v>
      </c>
      <c r="E232" s="45" t="e">
        <f>MATCH(A232,装备属性!$AD$520:$AD$819,1)</f>
        <v>#N/A</v>
      </c>
      <c r="F232" s="73" t="e" cm="1">
        <f ca="1" t="array" ref="F232">_xlfn.XLOOKUP(B232&amp;C232,装备属性!$G$90:$G$466&amp;装备属性!$E$90:$E$466,装备属性!$I$90:$I$466)*D232+_xlfn.XLOOKUP(B232&amp;MAX(C232-10,1),装备属性!$G$90:$G$466&amp;装备属性!$E$90:$E$466,装备属性!$I$90:$I$466)*(6-D232)+_xlfn.XLOOKUP(B232&amp;C232,装备属性!$P$919:$P$955&amp;装备属性!$N$919:$N$955,装备属性!$R$919:$R$955)*D232*0.5+_xlfn.XLOOKUP(B232&amp;(MAX(C232-10,1)),装备属性!$P$919:$P$955&amp;装备属性!$N$919:$N$955,装备属性!$R$919:$R$955)*(6-D232)*0.5+_xlfn.XLOOKUP(E232,装备属性!$D$520:$D$819,装备属性!$I$520:$I$819)*6</f>
        <v>#N/A</v>
      </c>
      <c r="G232" s="73"/>
      <c r="H232" s="74"/>
      <c r="I232" s="74"/>
      <c r="J232" s="74"/>
      <c r="K232" s="56"/>
      <c r="L232" s="56"/>
      <c r="M232" s="56"/>
      <c r="N232" s="74"/>
      <c r="O232" s="74"/>
      <c r="P232" s="74"/>
    </row>
    <row r="233" ht="16.5" spans="1:16">
      <c r="A233" s="70">
        <v>227</v>
      </c>
      <c r="B233" s="45" t="str">
        <f ca="1">OFFSET(装备属性!$D$65,MATCH(A233,装备属性!$G$66:$G$73,1),0)</f>
        <v>彩</v>
      </c>
      <c r="C233" s="71">
        <f ca="1">OFFSET(装备属性!$D$14,MATCH(A233,装备属性!$H$15:$H$61,1),0)</f>
        <v>170</v>
      </c>
      <c r="D233" s="72">
        <f ca="1">IFERROR(MIN(MATCH(COUNTIFS($C$7:C233,C233,$B$7:B233,B233)*_xlfn.XLOOKUP(C233,装备属性!$D$15:$D$61,装备属性!$M$15:$M$61),装备产出!$Z$19:$Z$24,1),6),0)</f>
        <v>1</v>
      </c>
      <c r="E233" s="45" t="e">
        <f>MATCH(A233,装备属性!$AD$520:$AD$819,1)</f>
        <v>#N/A</v>
      </c>
      <c r="F233" s="73" t="e" cm="1">
        <f ca="1" t="array" ref="F233">_xlfn.XLOOKUP(B233&amp;C233,装备属性!$G$90:$G$466&amp;装备属性!$E$90:$E$466,装备属性!$I$90:$I$466)*D233+_xlfn.XLOOKUP(B233&amp;MAX(C233-10,1),装备属性!$G$90:$G$466&amp;装备属性!$E$90:$E$466,装备属性!$I$90:$I$466)*(6-D233)+_xlfn.XLOOKUP(B233&amp;C233,装备属性!$P$919:$P$955&amp;装备属性!$N$919:$N$955,装备属性!$R$919:$R$955)*D233*0.5+_xlfn.XLOOKUP(B233&amp;(MAX(C233-10,1)),装备属性!$P$919:$P$955&amp;装备属性!$N$919:$N$955,装备属性!$R$919:$R$955)*(6-D233)*0.5+_xlfn.XLOOKUP(E233,装备属性!$D$520:$D$819,装备属性!$I$520:$I$819)*6</f>
        <v>#N/A</v>
      </c>
      <c r="G233" s="73"/>
      <c r="H233" s="74"/>
      <c r="I233" s="74"/>
      <c r="J233" s="74"/>
      <c r="K233" s="56"/>
      <c r="L233" s="56"/>
      <c r="M233" s="56"/>
      <c r="N233" s="74"/>
      <c r="O233" s="74"/>
      <c r="P233" s="74"/>
    </row>
    <row r="234" ht="16.5" spans="1:16">
      <c r="A234" s="70">
        <v>228</v>
      </c>
      <c r="B234" s="45" t="str">
        <f ca="1">OFFSET(装备属性!$D$65,MATCH(A234,装备属性!$G$66:$G$73,1),0)</f>
        <v>彩</v>
      </c>
      <c r="C234" s="71">
        <f ca="1">OFFSET(装备属性!$D$14,MATCH(A234,装备属性!$H$15:$H$61,1),0)</f>
        <v>170</v>
      </c>
      <c r="D234" s="72">
        <f ca="1">IFERROR(MIN(MATCH(COUNTIFS($C$7:C234,C234,$B$7:B234,B234)*_xlfn.XLOOKUP(C234,装备属性!$D$15:$D$61,装备属性!$M$15:$M$61),装备产出!$Z$19:$Z$24,1),6),0)</f>
        <v>1</v>
      </c>
      <c r="E234" s="45" t="e">
        <f>MATCH(A234,装备属性!$AD$520:$AD$819,1)</f>
        <v>#N/A</v>
      </c>
      <c r="F234" s="73" t="e" cm="1">
        <f ca="1" t="array" ref="F234">_xlfn.XLOOKUP(B234&amp;C234,装备属性!$G$90:$G$466&amp;装备属性!$E$90:$E$466,装备属性!$I$90:$I$466)*D234+_xlfn.XLOOKUP(B234&amp;MAX(C234-10,1),装备属性!$G$90:$G$466&amp;装备属性!$E$90:$E$466,装备属性!$I$90:$I$466)*(6-D234)+_xlfn.XLOOKUP(B234&amp;C234,装备属性!$P$919:$P$955&amp;装备属性!$N$919:$N$955,装备属性!$R$919:$R$955)*D234*0.5+_xlfn.XLOOKUP(B234&amp;(MAX(C234-10,1)),装备属性!$P$919:$P$955&amp;装备属性!$N$919:$N$955,装备属性!$R$919:$R$955)*(6-D234)*0.5+_xlfn.XLOOKUP(E234,装备属性!$D$520:$D$819,装备属性!$I$520:$I$819)*6</f>
        <v>#N/A</v>
      </c>
      <c r="G234" s="73"/>
      <c r="H234" s="74"/>
      <c r="I234" s="74"/>
      <c r="J234" s="74"/>
      <c r="K234" s="56"/>
      <c r="L234" s="56"/>
      <c r="M234" s="56"/>
      <c r="N234" s="74"/>
      <c r="O234" s="74"/>
      <c r="P234" s="74"/>
    </row>
    <row r="235" ht="16.5" spans="1:16">
      <c r="A235" s="70">
        <v>229</v>
      </c>
      <c r="B235" s="45" t="str">
        <f ca="1">OFFSET(装备属性!$D$65,MATCH(A235,装备属性!$G$66:$G$73,1),0)</f>
        <v>彩</v>
      </c>
      <c r="C235" s="71">
        <f ca="1">OFFSET(装备属性!$D$14,MATCH(A235,装备属性!$H$15:$H$61,1),0)</f>
        <v>170</v>
      </c>
      <c r="D235" s="72">
        <f ca="1">IFERROR(MIN(MATCH(COUNTIFS($C$7:C235,C235,$B$7:B235,B235)*_xlfn.XLOOKUP(C235,装备属性!$D$15:$D$61,装备属性!$M$15:$M$61),装备产出!$Z$19:$Z$24,1),6),0)</f>
        <v>1</v>
      </c>
      <c r="E235" s="45" t="e">
        <f>MATCH(A235,装备属性!$AD$520:$AD$819,1)</f>
        <v>#N/A</v>
      </c>
      <c r="F235" s="73" t="e" cm="1">
        <f ca="1" t="array" ref="F235">_xlfn.XLOOKUP(B235&amp;C235,装备属性!$G$90:$G$466&amp;装备属性!$E$90:$E$466,装备属性!$I$90:$I$466)*D235+_xlfn.XLOOKUP(B235&amp;MAX(C235-10,1),装备属性!$G$90:$G$466&amp;装备属性!$E$90:$E$466,装备属性!$I$90:$I$466)*(6-D235)+_xlfn.XLOOKUP(B235&amp;C235,装备属性!$P$919:$P$955&amp;装备属性!$N$919:$N$955,装备属性!$R$919:$R$955)*D235*0.5+_xlfn.XLOOKUP(B235&amp;(MAX(C235-10,1)),装备属性!$P$919:$P$955&amp;装备属性!$N$919:$N$955,装备属性!$R$919:$R$955)*(6-D235)*0.5+_xlfn.XLOOKUP(E235,装备属性!$D$520:$D$819,装备属性!$I$520:$I$819)*6</f>
        <v>#N/A</v>
      </c>
      <c r="G235" s="73"/>
      <c r="H235" s="74"/>
      <c r="I235" s="74"/>
      <c r="J235" s="74"/>
      <c r="K235" s="56"/>
      <c r="L235" s="56"/>
      <c r="M235" s="56"/>
      <c r="N235" s="74"/>
      <c r="O235" s="74"/>
      <c r="P235" s="74"/>
    </row>
    <row r="236" ht="16.5" spans="1:16">
      <c r="A236" s="70">
        <v>230</v>
      </c>
      <c r="B236" s="45" t="str">
        <f ca="1">OFFSET(装备属性!$D$65,MATCH(A236,装备属性!$G$66:$G$73,1),0)</f>
        <v>彩</v>
      </c>
      <c r="C236" s="71">
        <f ca="1">OFFSET(装备属性!$D$14,MATCH(A236,装备属性!$H$15:$H$61,1),0)</f>
        <v>170</v>
      </c>
      <c r="D236" s="72">
        <f ca="1">IFERROR(MIN(MATCH(COUNTIFS($C$7:C236,C236,$B$7:B236,B236)*_xlfn.XLOOKUP(C236,装备属性!$D$15:$D$61,装备属性!$M$15:$M$61),装备产出!$Z$19:$Z$24,1),6),0)</f>
        <v>2</v>
      </c>
      <c r="E236" s="45" t="e">
        <f>MATCH(A236,装备属性!$AD$520:$AD$819,1)</f>
        <v>#N/A</v>
      </c>
      <c r="F236" s="73" t="e" cm="1">
        <f ca="1" t="array" ref="F236">_xlfn.XLOOKUP(B236&amp;C236,装备属性!$G$90:$G$466&amp;装备属性!$E$90:$E$466,装备属性!$I$90:$I$466)*D236+_xlfn.XLOOKUP(B236&amp;MAX(C236-10,1),装备属性!$G$90:$G$466&amp;装备属性!$E$90:$E$466,装备属性!$I$90:$I$466)*(6-D236)+_xlfn.XLOOKUP(B236&amp;C236,装备属性!$P$919:$P$955&amp;装备属性!$N$919:$N$955,装备属性!$R$919:$R$955)*D236*0.5+_xlfn.XLOOKUP(B236&amp;(MAX(C236-10,1)),装备属性!$P$919:$P$955&amp;装备属性!$N$919:$N$955,装备属性!$R$919:$R$955)*(6-D236)*0.5+_xlfn.XLOOKUP(E236,装备属性!$D$520:$D$819,装备属性!$I$520:$I$819)*6</f>
        <v>#N/A</v>
      </c>
      <c r="G236" s="73"/>
      <c r="H236" s="74"/>
      <c r="I236" s="74"/>
      <c r="J236" s="74"/>
      <c r="K236" s="56"/>
      <c r="L236" s="56"/>
      <c r="M236" s="56"/>
      <c r="N236" s="74"/>
      <c r="O236" s="74"/>
      <c r="P236" s="74"/>
    </row>
    <row r="237" ht="16.5" spans="1:16">
      <c r="A237" s="70">
        <v>231</v>
      </c>
      <c r="B237" s="45" t="str">
        <f ca="1">OFFSET(装备属性!$D$65,MATCH(A237,装备属性!$G$66:$G$73,1),0)</f>
        <v>彩</v>
      </c>
      <c r="C237" s="71">
        <f ca="1">OFFSET(装备属性!$D$14,MATCH(A237,装备属性!$H$15:$H$61,1),0)</f>
        <v>170</v>
      </c>
      <c r="D237" s="72">
        <f ca="1">IFERROR(MIN(MATCH(COUNTIFS($C$7:C237,C237,$B$7:B237,B237)*_xlfn.XLOOKUP(C237,装备属性!$D$15:$D$61,装备属性!$M$15:$M$61),装备产出!$Z$19:$Z$24,1),6),0)</f>
        <v>2</v>
      </c>
      <c r="E237" s="45" t="e">
        <f>MATCH(A237,装备属性!$AD$520:$AD$819,1)</f>
        <v>#N/A</v>
      </c>
      <c r="F237" s="73" t="e" cm="1">
        <f ca="1" t="array" ref="F237">_xlfn.XLOOKUP(B237&amp;C237,装备属性!$G$90:$G$466&amp;装备属性!$E$90:$E$466,装备属性!$I$90:$I$466)*D237+_xlfn.XLOOKUP(B237&amp;MAX(C237-10,1),装备属性!$G$90:$G$466&amp;装备属性!$E$90:$E$466,装备属性!$I$90:$I$466)*(6-D237)+_xlfn.XLOOKUP(B237&amp;C237,装备属性!$P$919:$P$955&amp;装备属性!$N$919:$N$955,装备属性!$R$919:$R$955)*D237*0.5+_xlfn.XLOOKUP(B237&amp;(MAX(C237-10,1)),装备属性!$P$919:$P$955&amp;装备属性!$N$919:$N$955,装备属性!$R$919:$R$955)*(6-D237)*0.5+_xlfn.XLOOKUP(E237,装备属性!$D$520:$D$819,装备属性!$I$520:$I$819)*6</f>
        <v>#N/A</v>
      </c>
      <c r="G237" s="73"/>
      <c r="H237" s="74"/>
      <c r="I237" s="74"/>
      <c r="J237" s="74"/>
      <c r="K237" s="56"/>
      <c r="L237" s="56"/>
      <c r="M237" s="56"/>
      <c r="N237" s="74"/>
      <c r="O237" s="74"/>
      <c r="P237" s="74"/>
    </row>
    <row r="238" ht="16.5" spans="1:16">
      <c r="A238" s="70">
        <v>232</v>
      </c>
      <c r="B238" s="45" t="str">
        <f ca="1">OFFSET(装备属性!$D$65,MATCH(A238,装备属性!$G$66:$G$73,1),0)</f>
        <v>彩</v>
      </c>
      <c r="C238" s="71">
        <f ca="1">OFFSET(装备属性!$D$14,MATCH(A238,装备属性!$H$15:$H$61,1),0)</f>
        <v>170</v>
      </c>
      <c r="D238" s="72">
        <f ca="1">IFERROR(MIN(MATCH(COUNTIFS($C$7:C238,C238,$B$7:B238,B238)*_xlfn.XLOOKUP(C238,装备属性!$D$15:$D$61,装备属性!$M$15:$M$61),装备产出!$Z$19:$Z$24,1),6),0)</f>
        <v>2</v>
      </c>
      <c r="E238" s="45" t="e">
        <f>MATCH(A238,装备属性!$AD$520:$AD$819,1)</f>
        <v>#N/A</v>
      </c>
      <c r="F238" s="73" t="e" cm="1">
        <f ca="1" t="array" ref="F238">_xlfn.XLOOKUP(B238&amp;C238,装备属性!$G$90:$G$466&amp;装备属性!$E$90:$E$466,装备属性!$I$90:$I$466)*D238+_xlfn.XLOOKUP(B238&amp;MAX(C238-10,1),装备属性!$G$90:$G$466&amp;装备属性!$E$90:$E$466,装备属性!$I$90:$I$466)*(6-D238)+_xlfn.XLOOKUP(B238&amp;C238,装备属性!$P$919:$P$955&amp;装备属性!$N$919:$N$955,装备属性!$R$919:$R$955)*D238*0.5+_xlfn.XLOOKUP(B238&amp;(MAX(C238-10,1)),装备属性!$P$919:$P$955&amp;装备属性!$N$919:$N$955,装备属性!$R$919:$R$955)*(6-D238)*0.5+_xlfn.XLOOKUP(E238,装备属性!$D$520:$D$819,装备属性!$I$520:$I$819)*6</f>
        <v>#N/A</v>
      </c>
      <c r="G238" s="73"/>
      <c r="H238" s="74"/>
      <c r="I238" s="74"/>
      <c r="J238" s="74"/>
      <c r="K238" s="56"/>
      <c r="L238" s="56"/>
      <c r="M238" s="56"/>
      <c r="N238" s="74"/>
      <c r="O238" s="74"/>
      <c r="P238" s="74"/>
    </row>
    <row r="239" ht="16.5" spans="1:16">
      <c r="A239" s="70">
        <v>233</v>
      </c>
      <c r="B239" s="45" t="str">
        <f ca="1">OFFSET(装备属性!$D$65,MATCH(A239,装备属性!$G$66:$G$73,1),0)</f>
        <v>彩</v>
      </c>
      <c r="C239" s="71">
        <f ca="1">OFFSET(装备属性!$D$14,MATCH(A239,装备属性!$H$15:$H$61,1),0)</f>
        <v>175</v>
      </c>
      <c r="D239" s="72">
        <f ca="1">IFERROR(MIN(MATCH(COUNTIFS($C$7:C239,C239,$B$7:B239,B239)*_xlfn.XLOOKUP(C239,装备属性!$D$15:$D$61,装备属性!$M$15:$M$61),装备产出!$Z$19:$Z$24,1),6),0)</f>
        <v>0</v>
      </c>
      <c r="E239" s="45" t="e">
        <f>MATCH(A239,装备属性!$AD$520:$AD$819,1)</f>
        <v>#N/A</v>
      </c>
      <c r="F239" s="73" t="e" cm="1">
        <f ca="1" t="array" ref="F239">_xlfn.XLOOKUP(B239&amp;C239,装备属性!$G$90:$G$466&amp;装备属性!$E$90:$E$466,装备属性!$I$90:$I$466)*D239+_xlfn.XLOOKUP(B239&amp;MAX(C239-10,1),装备属性!$G$90:$G$466&amp;装备属性!$E$90:$E$466,装备属性!$I$90:$I$466)*(6-D239)+_xlfn.XLOOKUP(B239&amp;C239,装备属性!$P$919:$P$955&amp;装备属性!$N$919:$N$955,装备属性!$R$919:$R$955)*D239*0.5+_xlfn.XLOOKUP(B239&amp;(MAX(C239-10,1)),装备属性!$P$919:$P$955&amp;装备属性!$N$919:$N$955,装备属性!$R$919:$R$955)*(6-D239)*0.5+_xlfn.XLOOKUP(E239,装备属性!$D$520:$D$819,装备属性!$I$520:$I$819)*6</f>
        <v>#N/A</v>
      </c>
      <c r="G239" s="73"/>
      <c r="H239" s="74"/>
      <c r="I239" s="74"/>
      <c r="J239" s="74"/>
      <c r="K239" s="56"/>
      <c r="L239" s="56"/>
      <c r="M239" s="56"/>
      <c r="N239" s="74"/>
      <c r="O239" s="74"/>
      <c r="P239" s="74"/>
    </row>
    <row r="240" ht="16.5" spans="1:16">
      <c r="A240" s="70">
        <v>234</v>
      </c>
      <c r="B240" s="45" t="str">
        <f ca="1">OFFSET(装备属性!$D$65,MATCH(A240,装备属性!$G$66:$G$73,1),0)</f>
        <v>彩</v>
      </c>
      <c r="C240" s="71">
        <f ca="1">OFFSET(装备属性!$D$14,MATCH(A240,装备属性!$H$15:$H$61,1),0)</f>
        <v>175</v>
      </c>
      <c r="D240" s="72">
        <f ca="1">IFERROR(MIN(MATCH(COUNTIFS($C$7:C240,C240,$B$7:B240,B240)*_xlfn.XLOOKUP(C240,装备属性!$D$15:$D$61,装备属性!$M$15:$M$61),装备产出!$Z$19:$Z$24,1),6),0)</f>
        <v>0</v>
      </c>
      <c r="E240" s="45" t="e">
        <f>MATCH(A240,装备属性!$AD$520:$AD$819,1)</f>
        <v>#N/A</v>
      </c>
      <c r="F240" s="73" t="e" cm="1">
        <f ca="1" t="array" ref="F240">_xlfn.XLOOKUP(B240&amp;C240,装备属性!$G$90:$G$466&amp;装备属性!$E$90:$E$466,装备属性!$I$90:$I$466)*D240+_xlfn.XLOOKUP(B240&amp;MAX(C240-10,1),装备属性!$G$90:$G$466&amp;装备属性!$E$90:$E$466,装备属性!$I$90:$I$466)*(6-D240)+_xlfn.XLOOKUP(B240&amp;C240,装备属性!$P$919:$P$955&amp;装备属性!$N$919:$N$955,装备属性!$R$919:$R$955)*D240*0.5+_xlfn.XLOOKUP(B240&amp;(MAX(C240-10,1)),装备属性!$P$919:$P$955&amp;装备属性!$N$919:$N$955,装备属性!$R$919:$R$955)*(6-D240)*0.5+_xlfn.XLOOKUP(E240,装备属性!$D$520:$D$819,装备属性!$I$520:$I$819)*6</f>
        <v>#N/A</v>
      </c>
      <c r="G240" s="73"/>
      <c r="H240" s="74"/>
      <c r="I240" s="74"/>
      <c r="J240" s="74"/>
      <c r="K240" s="56"/>
      <c r="L240" s="56"/>
      <c r="M240" s="56"/>
      <c r="N240" s="74"/>
      <c r="O240" s="74"/>
      <c r="P240" s="74"/>
    </row>
    <row r="241" ht="16.5" spans="1:16">
      <c r="A241" s="70">
        <v>235</v>
      </c>
      <c r="B241" s="45" t="str">
        <f ca="1">OFFSET(装备属性!$D$65,MATCH(A241,装备属性!$G$66:$G$73,1),0)</f>
        <v>彩</v>
      </c>
      <c r="C241" s="71">
        <f ca="1">OFFSET(装备属性!$D$14,MATCH(A241,装备属性!$H$15:$H$61,1),0)</f>
        <v>175</v>
      </c>
      <c r="D241" s="72">
        <f ca="1">IFERROR(MIN(MATCH(COUNTIFS($C$7:C241,C241,$B$7:B241,B241)*_xlfn.XLOOKUP(C241,装备属性!$D$15:$D$61,装备属性!$M$15:$M$61),装备产出!$Z$19:$Z$24,1),6),0)</f>
        <v>0</v>
      </c>
      <c r="E241" s="45" t="e">
        <f>MATCH(A241,装备属性!$AD$520:$AD$819,1)</f>
        <v>#N/A</v>
      </c>
      <c r="F241" s="73" t="e" cm="1">
        <f ca="1" t="array" ref="F241">_xlfn.XLOOKUP(B241&amp;C241,装备属性!$G$90:$G$466&amp;装备属性!$E$90:$E$466,装备属性!$I$90:$I$466)*D241+_xlfn.XLOOKUP(B241&amp;MAX(C241-10,1),装备属性!$G$90:$G$466&amp;装备属性!$E$90:$E$466,装备属性!$I$90:$I$466)*(6-D241)+_xlfn.XLOOKUP(B241&amp;C241,装备属性!$P$919:$P$955&amp;装备属性!$N$919:$N$955,装备属性!$R$919:$R$955)*D241*0.5+_xlfn.XLOOKUP(B241&amp;(MAX(C241-10,1)),装备属性!$P$919:$P$955&amp;装备属性!$N$919:$N$955,装备属性!$R$919:$R$955)*(6-D241)*0.5+_xlfn.XLOOKUP(E241,装备属性!$D$520:$D$819,装备属性!$I$520:$I$819)*6</f>
        <v>#N/A</v>
      </c>
      <c r="G241" s="73"/>
      <c r="H241" s="74"/>
      <c r="I241" s="74"/>
      <c r="J241" s="74"/>
      <c r="K241" s="56"/>
      <c r="L241" s="56"/>
      <c r="M241" s="56"/>
      <c r="N241" s="74"/>
      <c r="O241" s="74"/>
      <c r="P241" s="74"/>
    </row>
    <row r="242" ht="16.5" spans="1:16">
      <c r="A242" s="70">
        <v>236</v>
      </c>
      <c r="B242" s="45" t="str">
        <f ca="1">OFFSET(装备属性!$D$65,MATCH(A242,装备属性!$G$66:$G$73,1),0)</f>
        <v>彩</v>
      </c>
      <c r="C242" s="71">
        <f ca="1">OFFSET(装备属性!$D$14,MATCH(A242,装备属性!$H$15:$H$61,1),0)</f>
        <v>175</v>
      </c>
      <c r="D242" s="72">
        <f ca="1">IFERROR(MIN(MATCH(COUNTIFS($C$7:C242,C242,$B$7:B242,B242)*_xlfn.XLOOKUP(C242,装备属性!$D$15:$D$61,装备属性!$M$15:$M$61),装备产出!$Z$19:$Z$24,1),6),0)</f>
        <v>0</v>
      </c>
      <c r="E242" s="45" t="e">
        <f>MATCH(A242,装备属性!$AD$520:$AD$819,1)</f>
        <v>#N/A</v>
      </c>
      <c r="F242" s="73" t="e" cm="1">
        <f ca="1" t="array" ref="F242">_xlfn.XLOOKUP(B242&amp;C242,装备属性!$G$90:$G$466&amp;装备属性!$E$90:$E$466,装备属性!$I$90:$I$466)*D242+_xlfn.XLOOKUP(B242&amp;MAX(C242-10,1),装备属性!$G$90:$G$466&amp;装备属性!$E$90:$E$466,装备属性!$I$90:$I$466)*(6-D242)+_xlfn.XLOOKUP(B242&amp;C242,装备属性!$P$919:$P$955&amp;装备属性!$N$919:$N$955,装备属性!$R$919:$R$955)*D242*0.5+_xlfn.XLOOKUP(B242&amp;(MAX(C242-10,1)),装备属性!$P$919:$P$955&amp;装备属性!$N$919:$N$955,装备属性!$R$919:$R$955)*(6-D242)*0.5+_xlfn.XLOOKUP(E242,装备属性!$D$520:$D$819,装备属性!$I$520:$I$819)*6</f>
        <v>#N/A</v>
      </c>
      <c r="G242" s="73"/>
      <c r="H242" s="74"/>
      <c r="I242" s="74"/>
      <c r="J242" s="74"/>
      <c r="K242" s="56"/>
      <c r="L242" s="56"/>
      <c r="M242" s="56"/>
      <c r="N242" s="74"/>
      <c r="O242" s="74"/>
      <c r="P242" s="74"/>
    </row>
    <row r="243" ht="16.5" spans="1:16">
      <c r="A243" s="70">
        <v>237</v>
      </c>
      <c r="B243" s="45" t="str">
        <f ca="1">OFFSET(装备属性!$D$65,MATCH(A243,装备属性!$G$66:$G$73,1),0)</f>
        <v>彩</v>
      </c>
      <c r="C243" s="71">
        <f ca="1">OFFSET(装备属性!$D$14,MATCH(A243,装备属性!$H$15:$H$61,1),0)</f>
        <v>175</v>
      </c>
      <c r="D243" s="72">
        <f ca="1">IFERROR(MIN(MATCH(COUNTIFS($C$7:C243,C243,$B$7:B243,B243)*_xlfn.XLOOKUP(C243,装备属性!$D$15:$D$61,装备属性!$M$15:$M$61),装备产出!$Z$19:$Z$24,1),6),0)</f>
        <v>0</v>
      </c>
      <c r="E243" s="45" t="e">
        <f>MATCH(A243,装备属性!$AD$520:$AD$819,1)</f>
        <v>#N/A</v>
      </c>
      <c r="F243" s="73" t="e" cm="1">
        <f ca="1" t="array" ref="F243">_xlfn.XLOOKUP(B243&amp;C243,装备属性!$G$90:$G$466&amp;装备属性!$E$90:$E$466,装备属性!$I$90:$I$466)*D243+_xlfn.XLOOKUP(B243&amp;MAX(C243-10,1),装备属性!$G$90:$G$466&amp;装备属性!$E$90:$E$466,装备属性!$I$90:$I$466)*(6-D243)+_xlfn.XLOOKUP(B243&amp;C243,装备属性!$P$919:$P$955&amp;装备属性!$N$919:$N$955,装备属性!$R$919:$R$955)*D243*0.5+_xlfn.XLOOKUP(B243&amp;(MAX(C243-10,1)),装备属性!$P$919:$P$955&amp;装备属性!$N$919:$N$955,装备属性!$R$919:$R$955)*(6-D243)*0.5+_xlfn.XLOOKUP(E243,装备属性!$D$520:$D$819,装备属性!$I$520:$I$819)*6</f>
        <v>#N/A</v>
      </c>
      <c r="G243" s="73"/>
      <c r="H243" s="74"/>
      <c r="I243" s="74"/>
      <c r="J243" s="74"/>
      <c r="K243" s="56"/>
      <c r="L243" s="56"/>
      <c r="M243" s="56"/>
      <c r="N243" s="74"/>
      <c r="O243" s="74"/>
      <c r="P243" s="74"/>
    </row>
    <row r="244" ht="16.5" spans="1:16">
      <c r="A244" s="70">
        <v>238</v>
      </c>
      <c r="B244" s="45" t="str">
        <f ca="1">OFFSET(装备属性!$D$65,MATCH(A244,装备属性!$G$66:$G$73,1),0)</f>
        <v>彩</v>
      </c>
      <c r="C244" s="71">
        <f ca="1">OFFSET(装备属性!$D$14,MATCH(A244,装备属性!$H$15:$H$61,1),0)</f>
        <v>175</v>
      </c>
      <c r="D244" s="72">
        <f ca="1">IFERROR(MIN(MATCH(COUNTIFS($C$7:C244,C244,$B$7:B244,B244)*_xlfn.XLOOKUP(C244,装备属性!$D$15:$D$61,装备属性!$M$15:$M$61),装备产出!$Z$19:$Z$24,1),6),0)</f>
        <v>1</v>
      </c>
      <c r="E244" s="45" t="e">
        <f>MATCH(A244,装备属性!$AD$520:$AD$819,1)</f>
        <v>#N/A</v>
      </c>
      <c r="F244" s="73" t="e" cm="1">
        <f ca="1" t="array" ref="F244">_xlfn.XLOOKUP(B244&amp;C244,装备属性!$G$90:$G$466&amp;装备属性!$E$90:$E$466,装备属性!$I$90:$I$466)*D244+_xlfn.XLOOKUP(B244&amp;MAX(C244-10,1),装备属性!$G$90:$G$466&amp;装备属性!$E$90:$E$466,装备属性!$I$90:$I$466)*(6-D244)+_xlfn.XLOOKUP(B244&amp;C244,装备属性!$P$919:$P$955&amp;装备属性!$N$919:$N$955,装备属性!$R$919:$R$955)*D244*0.5+_xlfn.XLOOKUP(B244&amp;(MAX(C244-10,1)),装备属性!$P$919:$P$955&amp;装备属性!$N$919:$N$955,装备属性!$R$919:$R$955)*(6-D244)*0.5+_xlfn.XLOOKUP(E244,装备属性!$D$520:$D$819,装备属性!$I$520:$I$819)*6</f>
        <v>#N/A</v>
      </c>
      <c r="G244" s="73"/>
      <c r="H244" s="74"/>
      <c r="I244" s="74"/>
      <c r="J244" s="74"/>
      <c r="K244" s="56"/>
      <c r="L244" s="56"/>
      <c r="M244" s="56"/>
      <c r="N244" s="74"/>
      <c r="O244" s="74"/>
      <c r="P244" s="74"/>
    </row>
    <row r="245" ht="16.5" spans="1:16">
      <c r="A245" s="70">
        <v>239</v>
      </c>
      <c r="B245" s="45" t="str">
        <f ca="1">OFFSET(装备属性!$D$65,MATCH(A245,装备属性!$G$66:$G$73,1),0)</f>
        <v>彩</v>
      </c>
      <c r="C245" s="71">
        <f ca="1">OFFSET(装备属性!$D$14,MATCH(A245,装备属性!$H$15:$H$61,1),0)</f>
        <v>175</v>
      </c>
      <c r="D245" s="72">
        <f ca="1">IFERROR(MIN(MATCH(COUNTIFS($C$7:C245,C245,$B$7:B245,B245)*_xlfn.XLOOKUP(C245,装备属性!$D$15:$D$61,装备属性!$M$15:$M$61),装备产出!$Z$19:$Z$24,1),6),0)</f>
        <v>1</v>
      </c>
      <c r="E245" s="45" t="e">
        <f>MATCH(A245,装备属性!$AD$520:$AD$819,1)</f>
        <v>#N/A</v>
      </c>
      <c r="F245" s="73" t="e" cm="1">
        <f ca="1" t="array" ref="F245">_xlfn.XLOOKUP(B245&amp;C245,装备属性!$G$90:$G$466&amp;装备属性!$E$90:$E$466,装备属性!$I$90:$I$466)*D245+_xlfn.XLOOKUP(B245&amp;MAX(C245-10,1),装备属性!$G$90:$G$466&amp;装备属性!$E$90:$E$466,装备属性!$I$90:$I$466)*(6-D245)+_xlfn.XLOOKUP(B245&amp;C245,装备属性!$P$919:$P$955&amp;装备属性!$N$919:$N$955,装备属性!$R$919:$R$955)*D245*0.5+_xlfn.XLOOKUP(B245&amp;(MAX(C245-10,1)),装备属性!$P$919:$P$955&amp;装备属性!$N$919:$N$955,装备属性!$R$919:$R$955)*(6-D245)*0.5+_xlfn.XLOOKUP(E245,装备属性!$D$520:$D$819,装备属性!$I$520:$I$819)*6</f>
        <v>#N/A</v>
      </c>
      <c r="G245" s="73"/>
      <c r="H245" s="74"/>
      <c r="I245" s="74"/>
      <c r="J245" s="74"/>
      <c r="K245" s="56"/>
      <c r="L245" s="56"/>
      <c r="M245" s="56"/>
      <c r="N245" s="74"/>
      <c r="O245" s="74"/>
      <c r="P245" s="74"/>
    </row>
    <row r="246" ht="16.5" spans="1:16">
      <c r="A246" s="70">
        <v>240</v>
      </c>
      <c r="B246" s="45" t="str">
        <f ca="1">OFFSET(装备属性!$D$65,MATCH(A246,装备属性!$G$66:$G$73,1),0)</f>
        <v>彩</v>
      </c>
      <c r="C246" s="71">
        <f ca="1">OFFSET(装备属性!$D$14,MATCH(A246,装备属性!$H$15:$H$61,1),0)</f>
        <v>175</v>
      </c>
      <c r="D246" s="72">
        <f ca="1">IFERROR(MIN(MATCH(COUNTIFS($C$7:C246,C246,$B$7:B246,B246)*_xlfn.XLOOKUP(C246,装备属性!$D$15:$D$61,装备属性!$M$15:$M$61),装备产出!$Z$19:$Z$24,1),6),0)</f>
        <v>1</v>
      </c>
      <c r="E246" s="45" t="e">
        <f>MATCH(A246,装备属性!$AD$520:$AD$819,1)</f>
        <v>#N/A</v>
      </c>
      <c r="F246" s="73" t="e" cm="1">
        <f ca="1" t="array" ref="F246">_xlfn.XLOOKUP(B246&amp;C246,装备属性!$G$90:$G$466&amp;装备属性!$E$90:$E$466,装备属性!$I$90:$I$466)*D246+_xlfn.XLOOKUP(B246&amp;MAX(C246-10,1),装备属性!$G$90:$G$466&amp;装备属性!$E$90:$E$466,装备属性!$I$90:$I$466)*(6-D246)+_xlfn.XLOOKUP(B246&amp;C246,装备属性!$P$919:$P$955&amp;装备属性!$N$919:$N$955,装备属性!$R$919:$R$955)*D246*0.5+_xlfn.XLOOKUP(B246&amp;(MAX(C246-10,1)),装备属性!$P$919:$P$955&amp;装备属性!$N$919:$N$955,装备属性!$R$919:$R$955)*(6-D246)*0.5+_xlfn.XLOOKUP(E246,装备属性!$D$520:$D$819,装备属性!$I$520:$I$819)*6</f>
        <v>#N/A</v>
      </c>
      <c r="G246" s="73"/>
      <c r="H246" s="74"/>
      <c r="I246" s="74"/>
      <c r="J246" s="74"/>
      <c r="K246" s="56"/>
      <c r="L246" s="56"/>
      <c r="M246" s="56"/>
      <c r="N246" s="74"/>
      <c r="O246" s="74"/>
      <c r="P246" s="74"/>
    </row>
    <row r="247" ht="16.5" spans="1:16">
      <c r="A247" s="70">
        <v>241</v>
      </c>
      <c r="B247" s="45" t="str">
        <f ca="1">OFFSET(装备属性!$D$65,MATCH(A247,装备属性!$G$66:$G$73,1),0)</f>
        <v>彩</v>
      </c>
      <c r="C247" s="71">
        <f ca="1">OFFSET(装备属性!$D$14,MATCH(A247,装备属性!$H$15:$H$61,1),0)</f>
        <v>175</v>
      </c>
      <c r="D247" s="72">
        <f ca="1">IFERROR(MIN(MATCH(COUNTIFS($C$7:C247,C247,$B$7:B247,B247)*_xlfn.XLOOKUP(C247,装备属性!$D$15:$D$61,装备属性!$M$15:$M$61),装备产出!$Z$19:$Z$24,1),6),0)</f>
        <v>1</v>
      </c>
      <c r="E247" s="45" t="e">
        <f>MATCH(A247,装备属性!$AD$520:$AD$819,1)</f>
        <v>#N/A</v>
      </c>
      <c r="F247" s="73" t="e" cm="1">
        <f ca="1" t="array" ref="F247">_xlfn.XLOOKUP(B247&amp;C247,装备属性!$G$90:$G$466&amp;装备属性!$E$90:$E$466,装备属性!$I$90:$I$466)*D247+_xlfn.XLOOKUP(B247&amp;MAX(C247-10,1),装备属性!$G$90:$G$466&amp;装备属性!$E$90:$E$466,装备属性!$I$90:$I$466)*(6-D247)+_xlfn.XLOOKUP(B247&amp;C247,装备属性!$P$919:$P$955&amp;装备属性!$N$919:$N$955,装备属性!$R$919:$R$955)*D247*0.5+_xlfn.XLOOKUP(B247&amp;(MAX(C247-10,1)),装备属性!$P$919:$P$955&amp;装备属性!$N$919:$N$955,装备属性!$R$919:$R$955)*(6-D247)*0.5+_xlfn.XLOOKUP(E247,装备属性!$D$520:$D$819,装备属性!$I$520:$I$819)*6</f>
        <v>#N/A</v>
      </c>
      <c r="G247" s="73"/>
      <c r="H247" s="74"/>
      <c r="I247" s="74"/>
      <c r="J247" s="74"/>
      <c r="K247" s="56"/>
      <c r="L247" s="56"/>
      <c r="M247" s="56"/>
      <c r="N247" s="74"/>
      <c r="O247" s="74"/>
      <c r="P247" s="74"/>
    </row>
    <row r="248" ht="16.5" spans="1:16">
      <c r="A248" s="70">
        <v>242</v>
      </c>
      <c r="B248" s="45" t="str">
        <f ca="1">OFFSET(装备属性!$D$65,MATCH(A248,装备属性!$G$66:$G$73,1),0)</f>
        <v>彩</v>
      </c>
      <c r="C248" s="71">
        <f ca="1">OFFSET(装备属性!$D$14,MATCH(A248,装备属性!$H$15:$H$61,1),0)</f>
        <v>175</v>
      </c>
      <c r="D248" s="72">
        <f ca="1">IFERROR(MIN(MATCH(COUNTIFS($C$7:C248,C248,$B$7:B248,B248)*_xlfn.XLOOKUP(C248,装备属性!$D$15:$D$61,装备属性!$M$15:$M$61),装备产出!$Z$19:$Z$24,1),6),0)</f>
        <v>1</v>
      </c>
      <c r="E248" s="45" t="e">
        <f>MATCH(A248,装备属性!$AD$520:$AD$819,1)</f>
        <v>#N/A</v>
      </c>
      <c r="F248" s="73" t="e" cm="1">
        <f ca="1" t="array" ref="F248">_xlfn.XLOOKUP(B248&amp;C248,装备属性!$G$90:$G$466&amp;装备属性!$E$90:$E$466,装备属性!$I$90:$I$466)*D248+_xlfn.XLOOKUP(B248&amp;MAX(C248-10,1),装备属性!$G$90:$G$466&amp;装备属性!$E$90:$E$466,装备属性!$I$90:$I$466)*(6-D248)+_xlfn.XLOOKUP(B248&amp;C248,装备属性!$P$919:$P$955&amp;装备属性!$N$919:$N$955,装备属性!$R$919:$R$955)*D248*0.5+_xlfn.XLOOKUP(B248&amp;(MAX(C248-10,1)),装备属性!$P$919:$P$955&amp;装备属性!$N$919:$N$955,装备属性!$R$919:$R$955)*(6-D248)*0.5+_xlfn.XLOOKUP(E248,装备属性!$D$520:$D$819,装备属性!$I$520:$I$819)*6</f>
        <v>#N/A</v>
      </c>
      <c r="G248" s="73"/>
      <c r="H248" s="74"/>
      <c r="I248" s="74"/>
      <c r="J248" s="74"/>
      <c r="K248" s="56"/>
      <c r="L248" s="56"/>
      <c r="M248" s="56"/>
      <c r="N248" s="74"/>
      <c r="O248" s="74"/>
      <c r="P248" s="74"/>
    </row>
    <row r="249" ht="16.5" spans="1:16">
      <c r="A249" s="70">
        <v>243</v>
      </c>
      <c r="B249" s="45" t="str">
        <f ca="1">OFFSET(装备属性!$D$65,MATCH(A249,装备属性!$G$66:$G$73,1),0)</f>
        <v>彩</v>
      </c>
      <c r="C249" s="71">
        <f ca="1">OFFSET(装备属性!$D$14,MATCH(A249,装备属性!$H$15:$H$61,1),0)</f>
        <v>175</v>
      </c>
      <c r="D249" s="72">
        <f ca="1">IFERROR(MIN(MATCH(COUNTIFS($C$7:C249,C249,$B$7:B249,B249)*_xlfn.XLOOKUP(C249,装备属性!$D$15:$D$61,装备属性!$M$15:$M$61),装备产出!$Z$19:$Z$24,1),6),0)</f>
        <v>1</v>
      </c>
      <c r="E249" s="45" t="e">
        <f>MATCH(A249,装备属性!$AD$520:$AD$819,1)</f>
        <v>#N/A</v>
      </c>
      <c r="F249" s="73" t="e" cm="1">
        <f ca="1" t="array" ref="F249">_xlfn.XLOOKUP(B249&amp;C249,装备属性!$G$90:$G$466&amp;装备属性!$E$90:$E$466,装备属性!$I$90:$I$466)*D249+_xlfn.XLOOKUP(B249&amp;MAX(C249-10,1),装备属性!$G$90:$G$466&amp;装备属性!$E$90:$E$466,装备属性!$I$90:$I$466)*(6-D249)+_xlfn.XLOOKUP(B249&amp;C249,装备属性!$P$919:$P$955&amp;装备属性!$N$919:$N$955,装备属性!$R$919:$R$955)*D249*0.5+_xlfn.XLOOKUP(B249&amp;(MAX(C249-10,1)),装备属性!$P$919:$P$955&amp;装备属性!$N$919:$N$955,装备属性!$R$919:$R$955)*(6-D249)*0.5+_xlfn.XLOOKUP(E249,装备属性!$D$520:$D$819,装备属性!$I$520:$I$819)*6</f>
        <v>#N/A</v>
      </c>
      <c r="G249" s="73"/>
      <c r="H249" s="74"/>
      <c r="I249" s="74"/>
      <c r="J249" s="74"/>
      <c r="K249" s="56"/>
      <c r="L249" s="56"/>
      <c r="M249" s="56"/>
      <c r="N249" s="74"/>
      <c r="O249" s="74"/>
      <c r="P249" s="74"/>
    </row>
    <row r="250" ht="16.5" spans="1:16">
      <c r="A250" s="70">
        <v>244</v>
      </c>
      <c r="B250" s="45" t="str">
        <f ca="1">OFFSET(装备属性!$D$65,MATCH(A250,装备属性!$G$66:$G$73,1),0)</f>
        <v>彩</v>
      </c>
      <c r="C250" s="71">
        <f ca="1">OFFSET(装备属性!$D$14,MATCH(A250,装备属性!$H$15:$H$61,1),0)</f>
        <v>175</v>
      </c>
      <c r="D250" s="72">
        <f ca="1">IFERROR(MIN(MATCH(COUNTIFS($C$7:C250,C250,$B$7:B250,B250)*_xlfn.XLOOKUP(C250,装备属性!$D$15:$D$61,装备属性!$M$15:$M$61),装备产出!$Z$19:$Z$24,1),6),0)</f>
        <v>2</v>
      </c>
      <c r="E250" s="45" t="e">
        <f>MATCH(A250,装备属性!$AD$520:$AD$819,1)</f>
        <v>#N/A</v>
      </c>
      <c r="F250" s="73" t="e" cm="1">
        <f ca="1" t="array" ref="F250">_xlfn.XLOOKUP(B250&amp;C250,装备属性!$G$90:$G$466&amp;装备属性!$E$90:$E$466,装备属性!$I$90:$I$466)*D250+_xlfn.XLOOKUP(B250&amp;MAX(C250-10,1),装备属性!$G$90:$G$466&amp;装备属性!$E$90:$E$466,装备属性!$I$90:$I$466)*(6-D250)+_xlfn.XLOOKUP(B250&amp;C250,装备属性!$P$919:$P$955&amp;装备属性!$N$919:$N$955,装备属性!$R$919:$R$955)*D250*0.5+_xlfn.XLOOKUP(B250&amp;(MAX(C250-10,1)),装备属性!$P$919:$P$955&amp;装备属性!$N$919:$N$955,装备属性!$R$919:$R$955)*(6-D250)*0.5+_xlfn.XLOOKUP(E250,装备属性!$D$520:$D$819,装备属性!$I$520:$I$819)*6</f>
        <v>#N/A</v>
      </c>
      <c r="G250" s="73"/>
      <c r="H250" s="74"/>
      <c r="I250" s="74"/>
      <c r="J250" s="74"/>
      <c r="K250" s="56"/>
      <c r="L250" s="56"/>
      <c r="M250" s="56"/>
      <c r="N250" s="74"/>
      <c r="O250" s="74"/>
      <c r="P250" s="74"/>
    </row>
    <row r="251" ht="16.5" spans="1:16">
      <c r="A251" s="70">
        <v>245</v>
      </c>
      <c r="B251" s="45" t="str">
        <f ca="1">OFFSET(装备属性!$D$65,MATCH(A251,装备属性!$G$66:$G$73,1),0)</f>
        <v>彩</v>
      </c>
      <c r="C251" s="71">
        <f ca="1">OFFSET(装备属性!$D$14,MATCH(A251,装备属性!$H$15:$H$61,1),0)</f>
        <v>175</v>
      </c>
      <c r="D251" s="72">
        <f ca="1">IFERROR(MIN(MATCH(COUNTIFS($C$7:C251,C251,$B$7:B251,B251)*_xlfn.XLOOKUP(C251,装备属性!$D$15:$D$61,装备属性!$M$15:$M$61),装备产出!$Z$19:$Z$24,1),6),0)</f>
        <v>2</v>
      </c>
      <c r="E251" s="45" t="e">
        <f>MATCH(A251,装备属性!$AD$520:$AD$819,1)</f>
        <v>#N/A</v>
      </c>
      <c r="F251" s="73" t="e" cm="1">
        <f ca="1" t="array" ref="F251">_xlfn.XLOOKUP(B251&amp;C251,装备属性!$G$90:$G$466&amp;装备属性!$E$90:$E$466,装备属性!$I$90:$I$466)*D251+_xlfn.XLOOKUP(B251&amp;MAX(C251-10,1),装备属性!$G$90:$G$466&amp;装备属性!$E$90:$E$466,装备属性!$I$90:$I$466)*(6-D251)+_xlfn.XLOOKUP(B251&amp;C251,装备属性!$P$919:$P$955&amp;装备属性!$N$919:$N$955,装备属性!$R$919:$R$955)*D251*0.5+_xlfn.XLOOKUP(B251&amp;(MAX(C251-10,1)),装备属性!$P$919:$P$955&amp;装备属性!$N$919:$N$955,装备属性!$R$919:$R$955)*(6-D251)*0.5+_xlfn.XLOOKUP(E251,装备属性!$D$520:$D$819,装备属性!$I$520:$I$819)*6</f>
        <v>#N/A</v>
      </c>
      <c r="G251" s="73"/>
      <c r="H251" s="74"/>
      <c r="I251" s="74"/>
      <c r="J251" s="74"/>
      <c r="K251" s="56"/>
      <c r="L251" s="56"/>
      <c r="M251" s="56"/>
      <c r="N251" s="74"/>
      <c r="O251" s="74"/>
      <c r="P251" s="74"/>
    </row>
    <row r="252" ht="16.5" spans="1:16">
      <c r="A252" s="70">
        <v>246</v>
      </c>
      <c r="B252" s="45" t="str">
        <f ca="1">OFFSET(装备属性!$D$65,MATCH(A252,装备属性!$G$66:$G$73,1),0)</f>
        <v>彩</v>
      </c>
      <c r="C252" s="71">
        <f ca="1">OFFSET(装备属性!$D$14,MATCH(A252,装备属性!$H$15:$H$61,1),0)</f>
        <v>175</v>
      </c>
      <c r="D252" s="72">
        <f ca="1">IFERROR(MIN(MATCH(COUNTIFS($C$7:C252,C252,$B$7:B252,B252)*_xlfn.XLOOKUP(C252,装备属性!$D$15:$D$61,装备属性!$M$15:$M$61),装备产出!$Z$19:$Z$24,1),6),0)</f>
        <v>2</v>
      </c>
      <c r="E252" s="45" t="e">
        <f>MATCH(A252,装备属性!$AD$520:$AD$819,1)</f>
        <v>#N/A</v>
      </c>
      <c r="F252" s="73" t="e" cm="1">
        <f ca="1" t="array" ref="F252">_xlfn.XLOOKUP(B252&amp;C252,装备属性!$G$90:$G$466&amp;装备属性!$E$90:$E$466,装备属性!$I$90:$I$466)*D252+_xlfn.XLOOKUP(B252&amp;MAX(C252-10,1),装备属性!$G$90:$G$466&amp;装备属性!$E$90:$E$466,装备属性!$I$90:$I$466)*(6-D252)+_xlfn.XLOOKUP(B252&amp;C252,装备属性!$P$919:$P$955&amp;装备属性!$N$919:$N$955,装备属性!$R$919:$R$955)*D252*0.5+_xlfn.XLOOKUP(B252&amp;(MAX(C252-10,1)),装备属性!$P$919:$P$955&amp;装备属性!$N$919:$N$955,装备属性!$R$919:$R$955)*(6-D252)*0.5+_xlfn.XLOOKUP(E252,装备属性!$D$520:$D$819,装备属性!$I$520:$I$819)*6</f>
        <v>#N/A</v>
      </c>
      <c r="G252" s="73"/>
      <c r="H252" s="74"/>
      <c r="I252" s="74"/>
      <c r="J252" s="74"/>
      <c r="K252" s="56"/>
      <c r="L252" s="56"/>
      <c r="M252" s="56"/>
      <c r="N252" s="74"/>
      <c r="O252" s="74"/>
      <c r="P252" s="74"/>
    </row>
    <row r="253" ht="16.5" spans="1:16">
      <c r="A253" s="70">
        <v>247</v>
      </c>
      <c r="B253" s="45" t="str">
        <f ca="1">OFFSET(装备属性!$D$65,MATCH(A253,装备属性!$G$66:$G$73,1),0)</f>
        <v>彩</v>
      </c>
      <c r="C253" s="71">
        <f ca="1">OFFSET(装备属性!$D$14,MATCH(A253,装备属性!$H$15:$H$61,1),0)</f>
        <v>175</v>
      </c>
      <c r="D253" s="72">
        <f ca="1">IFERROR(MIN(MATCH(COUNTIFS($C$7:C253,C253,$B$7:B253,B253)*_xlfn.XLOOKUP(C253,装备属性!$D$15:$D$61,装备属性!$M$15:$M$61),装备产出!$Z$19:$Z$24,1),6),0)</f>
        <v>2</v>
      </c>
      <c r="E253" s="45" t="e">
        <f>MATCH(A253,装备属性!$AD$520:$AD$819,1)</f>
        <v>#N/A</v>
      </c>
      <c r="F253" s="73" t="e" cm="1">
        <f ca="1" t="array" ref="F253">_xlfn.XLOOKUP(B253&amp;C253,装备属性!$G$90:$G$466&amp;装备属性!$E$90:$E$466,装备属性!$I$90:$I$466)*D253+_xlfn.XLOOKUP(B253&amp;MAX(C253-10,1),装备属性!$G$90:$G$466&amp;装备属性!$E$90:$E$466,装备属性!$I$90:$I$466)*(6-D253)+_xlfn.XLOOKUP(B253&amp;C253,装备属性!$P$919:$P$955&amp;装备属性!$N$919:$N$955,装备属性!$R$919:$R$955)*D253*0.5+_xlfn.XLOOKUP(B253&amp;(MAX(C253-10,1)),装备属性!$P$919:$P$955&amp;装备属性!$N$919:$N$955,装备属性!$R$919:$R$955)*(6-D253)*0.5+_xlfn.XLOOKUP(E253,装备属性!$D$520:$D$819,装备属性!$I$520:$I$819)*6</f>
        <v>#N/A</v>
      </c>
      <c r="G253" s="73"/>
      <c r="H253" s="74"/>
      <c r="I253" s="74"/>
      <c r="J253" s="74"/>
      <c r="K253" s="56"/>
      <c r="L253" s="56"/>
      <c r="M253" s="56"/>
      <c r="N253" s="74"/>
      <c r="O253" s="74"/>
      <c r="P253" s="74"/>
    </row>
    <row r="254" ht="16.5" spans="1:16">
      <c r="A254" s="70">
        <v>248</v>
      </c>
      <c r="B254" s="45" t="str">
        <f ca="1">OFFSET(装备属性!$D$65,MATCH(A254,装备属性!$G$66:$G$73,1),0)</f>
        <v>彩</v>
      </c>
      <c r="C254" s="71">
        <f ca="1">OFFSET(装备属性!$D$14,MATCH(A254,装备属性!$H$15:$H$61,1),0)</f>
        <v>180</v>
      </c>
      <c r="D254" s="72">
        <f ca="1">IFERROR(MIN(MATCH(COUNTIFS($C$7:C254,C254,$B$7:B254,B254)*_xlfn.XLOOKUP(C254,装备属性!$D$15:$D$61,装备属性!$M$15:$M$61),装备产出!$Z$19:$Z$24,1),6),0)</f>
        <v>0</v>
      </c>
      <c r="E254" s="45" t="e">
        <f>MATCH(A254,装备属性!$AD$520:$AD$819,1)</f>
        <v>#N/A</v>
      </c>
      <c r="F254" s="73" t="e" cm="1">
        <f ca="1" t="array" ref="F254">_xlfn.XLOOKUP(B254&amp;C254,装备属性!$G$90:$G$466&amp;装备属性!$E$90:$E$466,装备属性!$I$90:$I$466)*D254+_xlfn.XLOOKUP(B254&amp;MAX(C254-10,1),装备属性!$G$90:$G$466&amp;装备属性!$E$90:$E$466,装备属性!$I$90:$I$466)*(6-D254)+_xlfn.XLOOKUP(B254&amp;C254,装备属性!$P$919:$P$955&amp;装备属性!$N$919:$N$955,装备属性!$R$919:$R$955)*D254*0.5+_xlfn.XLOOKUP(B254&amp;(MAX(C254-10,1)),装备属性!$P$919:$P$955&amp;装备属性!$N$919:$N$955,装备属性!$R$919:$R$955)*(6-D254)*0.5+_xlfn.XLOOKUP(E254,装备属性!$D$520:$D$819,装备属性!$I$520:$I$819)*6</f>
        <v>#N/A</v>
      </c>
      <c r="G254" s="73"/>
      <c r="H254" s="74"/>
      <c r="I254" s="74"/>
      <c r="J254" s="74"/>
      <c r="K254" s="56"/>
      <c r="L254" s="56"/>
      <c r="M254" s="56"/>
      <c r="N254" s="74"/>
      <c r="O254" s="74"/>
      <c r="P254" s="74"/>
    </row>
    <row r="255" ht="16.5" spans="1:16">
      <c r="A255" s="70">
        <v>249</v>
      </c>
      <c r="B255" s="45" t="str">
        <f ca="1">OFFSET(装备属性!$D$65,MATCH(A255,装备属性!$G$66:$G$73,1),0)</f>
        <v>彩</v>
      </c>
      <c r="C255" s="71">
        <f ca="1">OFFSET(装备属性!$D$14,MATCH(A255,装备属性!$H$15:$H$61,1),0)</f>
        <v>180</v>
      </c>
      <c r="D255" s="72">
        <f ca="1">IFERROR(MIN(MATCH(COUNTIFS($C$7:C255,C255,$B$7:B255,B255)*_xlfn.XLOOKUP(C255,装备属性!$D$15:$D$61,装备属性!$M$15:$M$61),装备产出!$Z$19:$Z$24,1),6),0)</f>
        <v>0</v>
      </c>
      <c r="E255" s="45" t="e">
        <f>MATCH(A255,装备属性!$AD$520:$AD$819,1)</f>
        <v>#N/A</v>
      </c>
      <c r="F255" s="73" t="e" cm="1">
        <f ca="1" t="array" ref="F255">_xlfn.XLOOKUP(B255&amp;C255,装备属性!$G$90:$G$466&amp;装备属性!$E$90:$E$466,装备属性!$I$90:$I$466)*D255+_xlfn.XLOOKUP(B255&amp;MAX(C255-10,1),装备属性!$G$90:$G$466&amp;装备属性!$E$90:$E$466,装备属性!$I$90:$I$466)*(6-D255)+_xlfn.XLOOKUP(B255&amp;C255,装备属性!$P$919:$P$955&amp;装备属性!$N$919:$N$955,装备属性!$R$919:$R$955)*D255*0.5+_xlfn.XLOOKUP(B255&amp;(MAX(C255-10,1)),装备属性!$P$919:$P$955&amp;装备属性!$N$919:$N$955,装备属性!$R$919:$R$955)*(6-D255)*0.5+_xlfn.XLOOKUP(E255,装备属性!$D$520:$D$819,装备属性!$I$520:$I$819)*6</f>
        <v>#N/A</v>
      </c>
      <c r="G255" s="73"/>
      <c r="H255" s="74"/>
      <c r="I255" s="74"/>
      <c r="J255" s="74"/>
      <c r="K255" s="56"/>
      <c r="L255" s="56"/>
      <c r="M255" s="56"/>
      <c r="N255" s="74"/>
      <c r="O255" s="74"/>
      <c r="P255" s="74"/>
    </row>
    <row r="256" ht="16.5" spans="1:16">
      <c r="A256" s="70">
        <v>250</v>
      </c>
      <c r="B256" s="45" t="str">
        <f ca="1">OFFSET(装备属性!$D$65,MATCH(A256,装备属性!$G$66:$G$73,1),0)</f>
        <v>彩</v>
      </c>
      <c r="C256" s="71">
        <f ca="1">OFFSET(装备属性!$D$14,MATCH(A256,装备属性!$H$15:$H$61,1),0)</f>
        <v>180</v>
      </c>
      <c r="D256" s="72">
        <f ca="1">IFERROR(MIN(MATCH(COUNTIFS($C$7:C256,C256,$B$7:B256,B256)*_xlfn.XLOOKUP(C256,装备属性!$D$15:$D$61,装备属性!$M$15:$M$61),装备产出!$Z$19:$Z$24,1),6),0)</f>
        <v>0</v>
      </c>
      <c r="E256" s="45" t="e">
        <f>MATCH(A256,装备属性!$AD$520:$AD$819,1)</f>
        <v>#N/A</v>
      </c>
      <c r="F256" s="73" t="e" cm="1">
        <f ca="1" t="array" ref="F256">_xlfn.XLOOKUP(B256&amp;C256,装备属性!$G$90:$G$466&amp;装备属性!$E$90:$E$466,装备属性!$I$90:$I$466)*D256+_xlfn.XLOOKUP(B256&amp;MAX(C256-10,1),装备属性!$G$90:$G$466&amp;装备属性!$E$90:$E$466,装备属性!$I$90:$I$466)*(6-D256)+_xlfn.XLOOKUP(B256&amp;C256,装备属性!$P$919:$P$955&amp;装备属性!$N$919:$N$955,装备属性!$R$919:$R$955)*D256*0.5+_xlfn.XLOOKUP(B256&amp;(MAX(C256-10,1)),装备属性!$P$919:$P$955&amp;装备属性!$N$919:$N$955,装备属性!$R$919:$R$955)*(6-D256)*0.5+_xlfn.XLOOKUP(E256,装备属性!$D$520:$D$819,装备属性!$I$520:$I$819)*6</f>
        <v>#N/A</v>
      </c>
      <c r="G256" s="73"/>
      <c r="H256" s="74"/>
      <c r="I256" s="74"/>
      <c r="J256" s="74"/>
      <c r="K256" s="56"/>
      <c r="L256" s="56"/>
      <c r="M256" s="56"/>
      <c r="N256" s="74"/>
      <c r="O256" s="74"/>
      <c r="P256" s="74"/>
    </row>
    <row r="257" ht="16.5" spans="1:16">
      <c r="A257" s="70">
        <v>251</v>
      </c>
      <c r="B257" s="45" t="str">
        <f ca="1">OFFSET(装备属性!$D$65,MATCH(A257,装备属性!$G$66:$G$73,1),0)</f>
        <v>彩</v>
      </c>
      <c r="C257" s="71">
        <f ca="1">OFFSET(装备属性!$D$14,MATCH(A257,装备属性!$H$15:$H$61,1),0)</f>
        <v>180</v>
      </c>
      <c r="D257" s="72">
        <f ca="1">IFERROR(MIN(MATCH(COUNTIFS($C$7:C257,C257,$B$7:B257,B257)*_xlfn.XLOOKUP(C257,装备属性!$D$15:$D$61,装备属性!$M$15:$M$61),装备产出!$Z$19:$Z$24,1),6),0)</f>
        <v>0</v>
      </c>
      <c r="E257" s="45" t="e">
        <f>MATCH(A257,装备属性!$AD$520:$AD$819,1)</f>
        <v>#N/A</v>
      </c>
      <c r="F257" s="73" t="e" cm="1">
        <f ca="1" t="array" ref="F257">_xlfn.XLOOKUP(B257&amp;C257,装备属性!$G$90:$G$466&amp;装备属性!$E$90:$E$466,装备属性!$I$90:$I$466)*D257+_xlfn.XLOOKUP(B257&amp;MAX(C257-10,1),装备属性!$G$90:$G$466&amp;装备属性!$E$90:$E$466,装备属性!$I$90:$I$466)*(6-D257)+_xlfn.XLOOKUP(B257&amp;C257,装备属性!$P$919:$P$955&amp;装备属性!$N$919:$N$955,装备属性!$R$919:$R$955)*D257*0.5+_xlfn.XLOOKUP(B257&amp;(MAX(C257-10,1)),装备属性!$P$919:$P$955&amp;装备属性!$N$919:$N$955,装备属性!$R$919:$R$955)*(6-D257)*0.5+_xlfn.XLOOKUP(E257,装备属性!$D$520:$D$819,装备属性!$I$520:$I$819)*6</f>
        <v>#N/A</v>
      </c>
      <c r="G257" s="73"/>
      <c r="H257" s="74"/>
      <c r="I257" s="74"/>
      <c r="J257" s="74"/>
      <c r="K257" s="56"/>
      <c r="L257" s="56"/>
      <c r="M257" s="56"/>
      <c r="N257" s="74"/>
      <c r="O257" s="74"/>
      <c r="P257" s="74"/>
    </row>
    <row r="258" ht="16.5" spans="1:16">
      <c r="A258" s="70">
        <v>252</v>
      </c>
      <c r="B258" s="45" t="str">
        <f ca="1">OFFSET(装备属性!$D$65,MATCH(A258,装备属性!$G$66:$G$73,1),0)</f>
        <v>彩</v>
      </c>
      <c r="C258" s="71">
        <f ca="1">OFFSET(装备属性!$D$14,MATCH(A258,装备属性!$H$15:$H$61,1),0)</f>
        <v>180</v>
      </c>
      <c r="D258" s="72">
        <f ca="1">IFERROR(MIN(MATCH(COUNTIFS($C$7:C258,C258,$B$7:B258,B258)*_xlfn.XLOOKUP(C258,装备属性!$D$15:$D$61,装备属性!$M$15:$M$61),装备产出!$Z$19:$Z$24,1),6),0)</f>
        <v>0</v>
      </c>
      <c r="E258" s="45" t="e">
        <f>MATCH(A258,装备属性!$AD$520:$AD$819,1)</f>
        <v>#N/A</v>
      </c>
      <c r="F258" s="73" t="e" cm="1">
        <f ca="1" t="array" ref="F258">_xlfn.XLOOKUP(B258&amp;C258,装备属性!$G$90:$G$466&amp;装备属性!$E$90:$E$466,装备属性!$I$90:$I$466)*D258+_xlfn.XLOOKUP(B258&amp;MAX(C258-10,1),装备属性!$G$90:$G$466&amp;装备属性!$E$90:$E$466,装备属性!$I$90:$I$466)*(6-D258)+_xlfn.XLOOKUP(B258&amp;C258,装备属性!$P$919:$P$955&amp;装备属性!$N$919:$N$955,装备属性!$R$919:$R$955)*D258*0.5+_xlfn.XLOOKUP(B258&amp;(MAX(C258-10,1)),装备属性!$P$919:$P$955&amp;装备属性!$N$919:$N$955,装备属性!$R$919:$R$955)*(6-D258)*0.5+_xlfn.XLOOKUP(E258,装备属性!$D$520:$D$819,装备属性!$I$520:$I$819)*6</f>
        <v>#N/A</v>
      </c>
      <c r="G258" s="73"/>
      <c r="H258" s="74"/>
      <c r="I258" s="74"/>
      <c r="J258" s="74"/>
      <c r="K258" s="56"/>
      <c r="L258" s="56"/>
      <c r="M258" s="56"/>
      <c r="N258" s="74"/>
      <c r="O258" s="74"/>
      <c r="P258" s="74"/>
    </row>
    <row r="259" ht="16.5" spans="1:16">
      <c r="A259" s="70">
        <v>253</v>
      </c>
      <c r="B259" s="45" t="str">
        <f ca="1">OFFSET(装备属性!$D$65,MATCH(A259,装备属性!$G$66:$G$73,1),0)</f>
        <v>彩</v>
      </c>
      <c r="C259" s="71">
        <f ca="1">OFFSET(装备属性!$D$14,MATCH(A259,装备属性!$H$15:$H$61,1),0)</f>
        <v>180</v>
      </c>
      <c r="D259" s="72">
        <f ca="1">IFERROR(MIN(MATCH(COUNTIFS($C$7:C259,C259,$B$7:B259,B259)*_xlfn.XLOOKUP(C259,装备属性!$D$15:$D$61,装备属性!$M$15:$M$61),装备产出!$Z$19:$Z$24,1),6),0)</f>
        <v>1</v>
      </c>
      <c r="E259" s="45" t="e">
        <f>MATCH(A259,装备属性!$AD$520:$AD$819,1)</f>
        <v>#N/A</v>
      </c>
      <c r="F259" s="73" t="e" cm="1">
        <f ca="1" t="array" ref="F259">_xlfn.XLOOKUP(B259&amp;C259,装备属性!$G$90:$G$466&amp;装备属性!$E$90:$E$466,装备属性!$I$90:$I$466)*D259+_xlfn.XLOOKUP(B259&amp;MAX(C259-10,1),装备属性!$G$90:$G$466&amp;装备属性!$E$90:$E$466,装备属性!$I$90:$I$466)*(6-D259)+_xlfn.XLOOKUP(B259&amp;C259,装备属性!$P$919:$P$955&amp;装备属性!$N$919:$N$955,装备属性!$R$919:$R$955)*D259*0.5+_xlfn.XLOOKUP(B259&amp;(MAX(C259-10,1)),装备属性!$P$919:$P$955&amp;装备属性!$N$919:$N$955,装备属性!$R$919:$R$955)*(6-D259)*0.5+_xlfn.XLOOKUP(E259,装备属性!$D$520:$D$819,装备属性!$I$520:$I$819)*6</f>
        <v>#N/A</v>
      </c>
      <c r="G259" s="73"/>
      <c r="H259" s="74"/>
      <c r="I259" s="74"/>
      <c r="J259" s="74"/>
      <c r="K259" s="56"/>
      <c r="L259" s="56"/>
      <c r="M259" s="56"/>
      <c r="N259" s="74"/>
      <c r="O259" s="74"/>
      <c r="P259" s="74"/>
    </row>
    <row r="260" ht="16.5" spans="1:16">
      <c r="A260" s="70">
        <v>254</v>
      </c>
      <c r="B260" s="45" t="str">
        <f ca="1">OFFSET(装备属性!$D$65,MATCH(A260,装备属性!$G$66:$G$73,1),0)</f>
        <v>彩</v>
      </c>
      <c r="C260" s="71">
        <f ca="1">OFFSET(装备属性!$D$14,MATCH(A260,装备属性!$H$15:$H$61,1),0)</f>
        <v>180</v>
      </c>
      <c r="D260" s="72">
        <f ca="1">IFERROR(MIN(MATCH(COUNTIFS($C$7:C260,C260,$B$7:B260,B260)*_xlfn.XLOOKUP(C260,装备属性!$D$15:$D$61,装备属性!$M$15:$M$61),装备产出!$Z$19:$Z$24,1),6),0)</f>
        <v>1</v>
      </c>
      <c r="E260" s="45" t="e">
        <f>MATCH(A260,装备属性!$AD$520:$AD$819,1)</f>
        <v>#N/A</v>
      </c>
      <c r="F260" s="73" t="e" cm="1">
        <f ca="1" t="array" ref="F260">_xlfn.XLOOKUP(B260&amp;C260,装备属性!$G$90:$G$466&amp;装备属性!$E$90:$E$466,装备属性!$I$90:$I$466)*D260+_xlfn.XLOOKUP(B260&amp;MAX(C260-10,1),装备属性!$G$90:$G$466&amp;装备属性!$E$90:$E$466,装备属性!$I$90:$I$466)*(6-D260)+_xlfn.XLOOKUP(B260&amp;C260,装备属性!$P$919:$P$955&amp;装备属性!$N$919:$N$955,装备属性!$R$919:$R$955)*D260*0.5+_xlfn.XLOOKUP(B260&amp;(MAX(C260-10,1)),装备属性!$P$919:$P$955&amp;装备属性!$N$919:$N$955,装备属性!$R$919:$R$955)*(6-D260)*0.5+_xlfn.XLOOKUP(E260,装备属性!$D$520:$D$819,装备属性!$I$520:$I$819)*6</f>
        <v>#N/A</v>
      </c>
      <c r="G260" s="73"/>
      <c r="H260" s="74"/>
      <c r="I260" s="74"/>
      <c r="J260" s="74"/>
      <c r="K260" s="56"/>
      <c r="L260" s="56"/>
      <c r="M260" s="56"/>
      <c r="N260" s="74"/>
      <c r="O260" s="74"/>
      <c r="P260" s="74"/>
    </row>
    <row r="261" ht="16.5" spans="1:16">
      <c r="A261" s="70">
        <v>255</v>
      </c>
      <c r="B261" s="45" t="str">
        <f ca="1">OFFSET(装备属性!$D$65,MATCH(A261,装备属性!$G$66:$G$73,1),0)</f>
        <v>彩</v>
      </c>
      <c r="C261" s="71">
        <f ca="1">OFFSET(装备属性!$D$14,MATCH(A261,装备属性!$H$15:$H$61,1),0)</f>
        <v>180</v>
      </c>
      <c r="D261" s="72">
        <f ca="1">IFERROR(MIN(MATCH(COUNTIFS($C$7:C261,C261,$B$7:B261,B261)*_xlfn.XLOOKUP(C261,装备属性!$D$15:$D$61,装备属性!$M$15:$M$61),装备产出!$Z$19:$Z$24,1),6),0)</f>
        <v>1</v>
      </c>
      <c r="E261" s="45" t="e">
        <f>MATCH(A261,装备属性!$AD$520:$AD$819,1)</f>
        <v>#N/A</v>
      </c>
      <c r="F261" s="73" t="e" cm="1">
        <f ca="1" t="array" ref="F261">_xlfn.XLOOKUP(B261&amp;C261,装备属性!$G$90:$G$466&amp;装备属性!$E$90:$E$466,装备属性!$I$90:$I$466)*D261+_xlfn.XLOOKUP(B261&amp;MAX(C261-10,1),装备属性!$G$90:$G$466&amp;装备属性!$E$90:$E$466,装备属性!$I$90:$I$466)*(6-D261)+_xlfn.XLOOKUP(B261&amp;C261,装备属性!$P$919:$P$955&amp;装备属性!$N$919:$N$955,装备属性!$R$919:$R$955)*D261*0.5+_xlfn.XLOOKUP(B261&amp;(MAX(C261-10,1)),装备属性!$P$919:$P$955&amp;装备属性!$N$919:$N$955,装备属性!$R$919:$R$955)*(6-D261)*0.5+_xlfn.XLOOKUP(E261,装备属性!$D$520:$D$819,装备属性!$I$520:$I$819)*6</f>
        <v>#N/A</v>
      </c>
      <c r="G261" s="73"/>
      <c r="H261" s="74"/>
      <c r="I261" s="74"/>
      <c r="J261" s="74"/>
      <c r="K261" s="56"/>
      <c r="L261" s="56"/>
      <c r="M261" s="56"/>
      <c r="N261" s="74"/>
      <c r="O261" s="74"/>
      <c r="P261" s="74"/>
    </row>
    <row r="262" ht="16.5" spans="1:16">
      <c r="A262" s="70">
        <v>256</v>
      </c>
      <c r="B262" s="45" t="str">
        <f ca="1">OFFSET(装备属性!$D$65,MATCH(A262,装备属性!$G$66:$G$73,1),0)</f>
        <v>彩</v>
      </c>
      <c r="C262" s="71">
        <f ca="1">OFFSET(装备属性!$D$14,MATCH(A262,装备属性!$H$15:$H$61,1),0)</f>
        <v>180</v>
      </c>
      <c r="D262" s="72">
        <f ca="1">IFERROR(MIN(MATCH(COUNTIFS($C$7:C262,C262,$B$7:B262,B262)*_xlfn.XLOOKUP(C262,装备属性!$D$15:$D$61,装备属性!$M$15:$M$61),装备产出!$Z$19:$Z$24,1),6),0)</f>
        <v>1</v>
      </c>
      <c r="E262" s="45" t="e">
        <f>MATCH(A262,装备属性!$AD$520:$AD$819,1)</f>
        <v>#N/A</v>
      </c>
      <c r="F262" s="73" t="e" cm="1">
        <f ca="1" t="array" ref="F262">_xlfn.XLOOKUP(B262&amp;C262,装备属性!$G$90:$G$466&amp;装备属性!$E$90:$E$466,装备属性!$I$90:$I$466)*D262+_xlfn.XLOOKUP(B262&amp;MAX(C262-10,1),装备属性!$G$90:$G$466&amp;装备属性!$E$90:$E$466,装备属性!$I$90:$I$466)*(6-D262)+_xlfn.XLOOKUP(B262&amp;C262,装备属性!$P$919:$P$955&amp;装备属性!$N$919:$N$955,装备属性!$R$919:$R$955)*D262*0.5+_xlfn.XLOOKUP(B262&amp;(MAX(C262-10,1)),装备属性!$P$919:$P$955&amp;装备属性!$N$919:$N$955,装备属性!$R$919:$R$955)*(6-D262)*0.5+_xlfn.XLOOKUP(E262,装备属性!$D$520:$D$819,装备属性!$I$520:$I$819)*6</f>
        <v>#N/A</v>
      </c>
      <c r="G262" s="73"/>
      <c r="H262" s="74"/>
      <c r="I262" s="74"/>
      <c r="J262" s="74"/>
      <c r="K262" s="56"/>
      <c r="L262" s="56"/>
      <c r="M262" s="56"/>
      <c r="N262" s="74"/>
      <c r="O262" s="74"/>
      <c r="P262" s="74"/>
    </row>
    <row r="263" ht="16.5" spans="1:16">
      <c r="A263" s="70">
        <v>257</v>
      </c>
      <c r="B263" s="45" t="str">
        <f ca="1">OFFSET(装备属性!$D$65,MATCH(A263,装备属性!$G$66:$G$73,1),0)</f>
        <v>彩</v>
      </c>
      <c r="C263" s="71">
        <f ca="1">OFFSET(装备属性!$D$14,MATCH(A263,装备属性!$H$15:$H$61,1),0)</f>
        <v>180</v>
      </c>
      <c r="D263" s="72">
        <f ca="1">IFERROR(MIN(MATCH(COUNTIFS($C$7:C263,C263,$B$7:B263,B263)*_xlfn.XLOOKUP(C263,装备属性!$D$15:$D$61,装备属性!$M$15:$M$61),装备产出!$Z$19:$Z$24,1),6),0)</f>
        <v>1</v>
      </c>
      <c r="E263" s="45" t="e">
        <f>MATCH(A263,装备属性!$AD$520:$AD$819,1)</f>
        <v>#N/A</v>
      </c>
      <c r="F263" s="73" t="e" cm="1">
        <f ca="1" t="array" ref="F263">_xlfn.XLOOKUP(B263&amp;C263,装备属性!$G$90:$G$466&amp;装备属性!$E$90:$E$466,装备属性!$I$90:$I$466)*D263+_xlfn.XLOOKUP(B263&amp;MAX(C263-10,1),装备属性!$G$90:$G$466&amp;装备属性!$E$90:$E$466,装备属性!$I$90:$I$466)*(6-D263)+_xlfn.XLOOKUP(B263&amp;C263,装备属性!$P$919:$P$955&amp;装备属性!$N$919:$N$955,装备属性!$R$919:$R$955)*D263*0.5+_xlfn.XLOOKUP(B263&amp;(MAX(C263-10,1)),装备属性!$P$919:$P$955&amp;装备属性!$N$919:$N$955,装备属性!$R$919:$R$955)*(6-D263)*0.5+_xlfn.XLOOKUP(E263,装备属性!$D$520:$D$819,装备属性!$I$520:$I$819)*6</f>
        <v>#N/A</v>
      </c>
      <c r="G263" s="73"/>
      <c r="H263" s="74"/>
      <c r="I263" s="74"/>
      <c r="J263" s="74"/>
      <c r="K263" s="56"/>
      <c r="L263" s="56"/>
      <c r="M263" s="56"/>
      <c r="N263" s="74"/>
      <c r="O263" s="74"/>
      <c r="P263" s="74"/>
    </row>
    <row r="264" ht="16.5" spans="1:16">
      <c r="A264" s="70">
        <v>258</v>
      </c>
      <c r="B264" s="45" t="str">
        <f ca="1">OFFSET(装备属性!$D$65,MATCH(A264,装备属性!$G$66:$G$73,1),0)</f>
        <v>彩</v>
      </c>
      <c r="C264" s="71">
        <f ca="1">OFFSET(装备属性!$D$14,MATCH(A264,装备属性!$H$15:$H$61,1),0)</f>
        <v>180</v>
      </c>
      <c r="D264" s="72">
        <f ca="1">IFERROR(MIN(MATCH(COUNTIFS($C$7:C264,C264,$B$7:B264,B264)*_xlfn.XLOOKUP(C264,装备属性!$D$15:$D$61,装备属性!$M$15:$M$61),装备产出!$Z$19:$Z$24,1),6),0)</f>
        <v>1</v>
      </c>
      <c r="E264" s="45" t="e">
        <f>MATCH(A264,装备属性!$AD$520:$AD$819,1)</f>
        <v>#N/A</v>
      </c>
      <c r="F264" s="73" t="e" cm="1">
        <f ca="1" t="array" ref="F264">_xlfn.XLOOKUP(B264&amp;C264,装备属性!$G$90:$G$466&amp;装备属性!$E$90:$E$466,装备属性!$I$90:$I$466)*D264+_xlfn.XLOOKUP(B264&amp;MAX(C264-10,1),装备属性!$G$90:$G$466&amp;装备属性!$E$90:$E$466,装备属性!$I$90:$I$466)*(6-D264)+_xlfn.XLOOKUP(B264&amp;C264,装备属性!$P$919:$P$955&amp;装备属性!$N$919:$N$955,装备属性!$R$919:$R$955)*D264*0.5+_xlfn.XLOOKUP(B264&amp;(MAX(C264-10,1)),装备属性!$P$919:$P$955&amp;装备属性!$N$919:$N$955,装备属性!$R$919:$R$955)*(6-D264)*0.5+_xlfn.XLOOKUP(E264,装备属性!$D$520:$D$819,装备属性!$I$520:$I$819)*6</f>
        <v>#N/A</v>
      </c>
      <c r="G264" s="73"/>
      <c r="H264" s="74"/>
      <c r="I264" s="74"/>
      <c r="J264" s="74"/>
      <c r="K264" s="56"/>
      <c r="L264" s="56"/>
      <c r="M264" s="56"/>
      <c r="N264" s="74"/>
      <c r="O264" s="74"/>
      <c r="P264" s="74"/>
    </row>
    <row r="265" ht="16.5" spans="1:16">
      <c r="A265" s="70">
        <v>259</v>
      </c>
      <c r="B265" s="45" t="str">
        <f ca="1">OFFSET(装备属性!$D$65,MATCH(A265,装备属性!$G$66:$G$73,1),0)</f>
        <v>彩</v>
      </c>
      <c r="C265" s="71">
        <f ca="1">OFFSET(装备属性!$D$14,MATCH(A265,装备属性!$H$15:$H$61,1),0)</f>
        <v>180</v>
      </c>
      <c r="D265" s="72">
        <f ca="1">IFERROR(MIN(MATCH(COUNTIFS($C$7:C265,C265,$B$7:B265,B265)*_xlfn.XLOOKUP(C265,装备属性!$D$15:$D$61,装备属性!$M$15:$M$61),装备产出!$Z$19:$Z$24,1),6),0)</f>
        <v>1</v>
      </c>
      <c r="E265" s="45" t="e">
        <f>MATCH(A265,装备属性!$AD$520:$AD$819,1)</f>
        <v>#N/A</v>
      </c>
      <c r="F265" s="73" t="e" cm="1">
        <f ca="1" t="array" ref="F265">_xlfn.XLOOKUP(B265&amp;C265,装备属性!$G$90:$G$466&amp;装备属性!$E$90:$E$466,装备属性!$I$90:$I$466)*D265+_xlfn.XLOOKUP(B265&amp;MAX(C265-10,1),装备属性!$G$90:$G$466&amp;装备属性!$E$90:$E$466,装备属性!$I$90:$I$466)*(6-D265)+_xlfn.XLOOKUP(B265&amp;C265,装备属性!$P$919:$P$955&amp;装备属性!$N$919:$N$955,装备属性!$R$919:$R$955)*D265*0.5+_xlfn.XLOOKUP(B265&amp;(MAX(C265-10,1)),装备属性!$P$919:$P$955&amp;装备属性!$N$919:$N$955,装备属性!$R$919:$R$955)*(6-D265)*0.5+_xlfn.XLOOKUP(E265,装备属性!$D$520:$D$819,装备属性!$I$520:$I$819)*6</f>
        <v>#N/A</v>
      </c>
      <c r="G265" s="73"/>
      <c r="H265" s="74"/>
      <c r="I265" s="74"/>
      <c r="J265" s="74"/>
      <c r="K265" s="56"/>
      <c r="L265" s="56"/>
      <c r="M265" s="56"/>
      <c r="N265" s="74"/>
      <c r="O265" s="74"/>
      <c r="P265" s="74"/>
    </row>
    <row r="266" ht="16.5" spans="1:16">
      <c r="A266" s="70">
        <v>260</v>
      </c>
      <c r="B266" s="45" t="str">
        <f ca="1">OFFSET(装备属性!$D$65,MATCH(A266,装备属性!$G$66:$G$73,1),0)</f>
        <v>彩</v>
      </c>
      <c r="C266" s="71">
        <f ca="1">OFFSET(装备属性!$D$14,MATCH(A266,装备属性!$H$15:$H$61,1),0)</f>
        <v>180</v>
      </c>
      <c r="D266" s="72">
        <f ca="1">IFERROR(MIN(MATCH(COUNTIFS($C$7:C266,C266,$B$7:B266,B266)*_xlfn.XLOOKUP(C266,装备属性!$D$15:$D$61,装备属性!$M$15:$M$61),装备产出!$Z$19:$Z$24,1),6),0)</f>
        <v>2</v>
      </c>
      <c r="E266" s="45" t="e">
        <f>MATCH(A266,装备属性!$AD$520:$AD$819,1)</f>
        <v>#N/A</v>
      </c>
      <c r="F266" s="73" t="e" cm="1">
        <f ca="1" t="array" ref="F266">_xlfn.XLOOKUP(B266&amp;C266,装备属性!$G$90:$G$466&amp;装备属性!$E$90:$E$466,装备属性!$I$90:$I$466)*D266+_xlfn.XLOOKUP(B266&amp;MAX(C266-10,1),装备属性!$G$90:$G$466&amp;装备属性!$E$90:$E$466,装备属性!$I$90:$I$466)*(6-D266)+_xlfn.XLOOKUP(B266&amp;C266,装备属性!$P$919:$P$955&amp;装备属性!$N$919:$N$955,装备属性!$R$919:$R$955)*D266*0.5+_xlfn.XLOOKUP(B266&amp;(MAX(C266-10,1)),装备属性!$P$919:$P$955&amp;装备属性!$N$919:$N$955,装备属性!$R$919:$R$955)*(6-D266)*0.5+_xlfn.XLOOKUP(E266,装备属性!$D$520:$D$819,装备属性!$I$520:$I$819)*6</f>
        <v>#N/A</v>
      </c>
      <c r="G266" s="73"/>
      <c r="H266" s="74"/>
      <c r="I266" s="74"/>
      <c r="J266" s="74"/>
      <c r="K266" s="56"/>
      <c r="L266" s="56"/>
      <c r="M266" s="56"/>
      <c r="N266" s="74"/>
      <c r="O266" s="74"/>
      <c r="P266" s="74"/>
    </row>
    <row r="267" ht="16.5" spans="1:16">
      <c r="A267" s="70">
        <v>261</v>
      </c>
      <c r="B267" s="45" t="str">
        <f ca="1">OFFSET(装备属性!$D$65,MATCH(A267,装备属性!$G$66:$G$73,1),0)</f>
        <v>彩</v>
      </c>
      <c r="C267" s="71">
        <f ca="1">OFFSET(装备属性!$D$14,MATCH(A267,装备属性!$H$15:$H$61,1),0)</f>
        <v>180</v>
      </c>
      <c r="D267" s="72">
        <f ca="1">IFERROR(MIN(MATCH(COUNTIFS($C$7:C267,C267,$B$7:B267,B267)*_xlfn.XLOOKUP(C267,装备属性!$D$15:$D$61,装备属性!$M$15:$M$61),装备产出!$Z$19:$Z$24,1),6),0)</f>
        <v>2</v>
      </c>
      <c r="E267" s="45" t="e">
        <f>MATCH(A267,装备属性!$AD$520:$AD$819,1)</f>
        <v>#N/A</v>
      </c>
      <c r="F267" s="73" t="e" cm="1">
        <f ca="1" t="array" ref="F267">_xlfn.XLOOKUP(B267&amp;C267,装备属性!$G$90:$G$466&amp;装备属性!$E$90:$E$466,装备属性!$I$90:$I$466)*D267+_xlfn.XLOOKUP(B267&amp;MAX(C267-10,1),装备属性!$G$90:$G$466&amp;装备属性!$E$90:$E$466,装备属性!$I$90:$I$466)*(6-D267)+_xlfn.XLOOKUP(B267&amp;C267,装备属性!$P$919:$P$955&amp;装备属性!$N$919:$N$955,装备属性!$R$919:$R$955)*D267*0.5+_xlfn.XLOOKUP(B267&amp;(MAX(C267-10,1)),装备属性!$P$919:$P$955&amp;装备属性!$N$919:$N$955,装备属性!$R$919:$R$955)*(6-D267)*0.5+_xlfn.XLOOKUP(E267,装备属性!$D$520:$D$819,装备属性!$I$520:$I$819)*6</f>
        <v>#N/A</v>
      </c>
      <c r="G267" s="73"/>
      <c r="H267" s="74"/>
      <c r="I267" s="74"/>
      <c r="J267" s="74"/>
      <c r="K267" s="56"/>
      <c r="L267" s="56"/>
      <c r="M267" s="56"/>
      <c r="N267" s="74"/>
      <c r="O267" s="74"/>
      <c r="P267" s="74"/>
    </row>
    <row r="268" ht="16.5" spans="1:16">
      <c r="A268" s="70">
        <v>262</v>
      </c>
      <c r="B268" s="45" t="str">
        <f ca="1">OFFSET(装备属性!$D$65,MATCH(A268,装备属性!$G$66:$G$73,1),0)</f>
        <v>彩</v>
      </c>
      <c r="C268" s="71">
        <f ca="1">OFFSET(装备属性!$D$14,MATCH(A268,装备属性!$H$15:$H$61,1),0)</f>
        <v>180</v>
      </c>
      <c r="D268" s="72">
        <f ca="1">IFERROR(MIN(MATCH(COUNTIFS($C$7:C268,C268,$B$7:B268,B268)*_xlfn.XLOOKUP(C268,装备属性!$D$15:$D$61,装备属性!$M$15:$M$61),装备产出!$Z$19:$Z$24,1),6),0)</f>
        <v>2</v>
      </c>
      <c r="E268" s="45" t="e">
        <f>MATCH(A268,装备属性!$AD$520:$AD$819,1)</f>
        <v>#N/A</v>
      </c>
      <c r="F268" s="73" t="e" cm="1">
        <f ca="1" t="array" ref="F268">_xlfn.XLOOKUP(B268&amp;C268,装备属性!$G$90:$G$466&amp;装备属性!$E$90:$E$466,装备属性!$I$90:$I$466)*D268+_xlfn.XLOOKUP(B268&amp;MAX(C268-10,1),装备属性!$G$90:$G$466&amp;装备属性!$E$90:$E$466,装备属性!$I$90:$I$466)*(6-D268)+_xlfn.XLOOKUP(B268&amp;C268,装备属性!$P$919:$P$955&amp;装备属性!$N$919:$N$955,装备属性!$R$919:$R$955)*D268*0.5+_xlfn.XLOOKUP(B268&amp;(MAX(C268-10,1)),装备属性!$P$919:$P$955&amp;装备属性!$N$919:$N$955,装备属性!$R$919:$R$955)*(6-D268)*0.5+_xlfn.XLOOKUP(E268,装备属性!$D$520:$D$819,装备属性!$I$520:$I$819)*6</f>
        <v>#N/A</v>
      </c>
      <c r="G268" s="73"/>
      <c r="H268" s="74"/>
      <c r="I268" s="74"/>
      <c r="J268" s="74"/>
      <c r="K268" s="56"/>
      <c r="L268" s="56"/>
      <c r="M268" s="56"/>
      <c r="N268" s="74"/>
      <c r="O268" s="74"/>
      <c r="P268" s="74"/>
    </row>
    <row r="269" ht="16.5" spans="1:16">
      <c r="A269" s="70">
        <v>263</v>
      </c>
      <c r="B269" s="45" t="str">
        <f ca="1">OFFSET(装备属性!$D$65,MATCH(A269,装备属性!$G$66:$G$73,1),0)</f>
        <v>彩</v>
      </c>
      <c r="C269" s="71">
        <f ca="1">OFFSET(装备属性!$D$14,MATCH(A269,装备属性!$H$15:$H$61,1),0)</f>
        <v>185</v>
      </c>
      <c r="D269" s="72">
        <f ca="1">IFERROR(MIN(MATCH(COUNTIFS($C$7:C269,C269,$B$7:B269,B269)*_xlfn.XLOOKUP(C269,装备属性!$D$15:$D$61,装备属性!$M$15:$M$61),装备产出!$Z$19:$Z$24,1),6),0)</f>
        <v>0</v>
      </c>
      <c r="E269" s="45" t="e">
        <f>MATCH(A269,装备属性!$AD$520:$AD$819,1)</f>
        <v>#N/A</v>
      </c>
      <c r="F269" s="73" t="e" cm="1">
        <f ca="1" t="array" ref="F269">_xlfn.XLOOKUP(B269&amp;C269,装备属性!$G$90:$G$466&amp;装备属性!$E$90:$E$466,装备属性!$I$90:$I$466)*D269+_xlfn.XLOOKUP(B269&amp;MAX(C269-10,1),装备属性!$G$90:$G$466&amp;装备属性!$E$90:$E$466,装备属性!$I$90:$I$466)*(6-D269)+_xlfn.XLOOKUP(B269&amp;C269,装备属性!$P$919:$P$955&amp;装备属性!$N$919:$N$955,装备属性!$R$919:$R$955)*D269*0.5+_xlfn.XLOOKUP(B269&amp;(MAX(C269-10,1)),装备属性!$P$919:$P$955&amp;装备属性!$N$919:$N$955,装备属性!$R$919:$R$955)*(6-D269)*0.5+_xlfn.XLOOKUP(E269,装备属性!$D$520:$D$819,装备属性!$I$520:$I$819)*6</f>
        <v>#N/A</v>
      </c>
      <c r="G269" s="73"/>
      <c r="H269" s="74"/>
      <c r="I269" s="74"/>
      <c r="J269" s="74"/>
      <c r="K269" s="56"/>
      <c r="L269" s="56"/>
      <c r="M269" s="56"/>
      <c r="N269" s="74"/>
      <c r="O269" s="74"/>
      <c r="P269" s="74"/>
    </row>
    <row r="270" ht="16.5" spans="1:16">
      <c r="A270" s="70">
        <v>264</v>
      </c>
      <c r="B270" s="45" t="str">
        <f ca="1">OFFSET(装备属性!$D$65,MATCH(A270,装备属性!$G$66:$G$73,1),0)</f>
        <v>彩</v>
      </c>
      <c r="C270" s="71">
        <f ca="1">OFFSET(装备属性!$D$14,MATCH(A270,装备属性!$H$15:$H$61,1),0)</f>
        <v>185</v>
      </c>
      <c r="D270" s="72">
        <f ca="1">IFERROR(MIN(MATCH(COUNTIFS($C$7:C270,C270,$B$7:B270,B270)*_xlfn.XLOOKUP(C270,装备属性!$D$15:$D$61,装备属性!$M$15:$M$61),装备产出!$Z$19:$Z$24,1),6),0)</f>
        <v>0</v>
      </c>
      <c r="E270" s="45" t="e">
        <f>MATCH(A270,装备属性!$AD$520:$AD$819,1)</f>
        <v>#N/A</v>
      </c>
      <c r="F270" s="73" t="e" cm="1">
        <f ca="1" t="array" ref="F270">_xlfn.XLOOKUP(B270&amp;C270,装备属性!$G$90:$G$466&amp;装备属性!$E$90:$E$466,装备属性!$I$90:$I$466)*D270+_xlfn.XLOOKUP(B270&amp;MAX(C270-10,1),装备属性!$G$90:$G$466&amp;装备属性!$E$90:$E$466,装备属性!$I$90:$I$466)*(6-D270)+_xlfn.XLOOKUP(B270&amp;C270,装备属性!$P$919:$P$955&amp;装备属性!$N$919:$N$955,装备属性!$R$919:$R$955)*D270*0.5+_xlfn.XLOOKUP(B270&amp;(MAX(C270-10,1)),装备属性!$P$919:$P$955&amp;装备属性!$N$919:$N$955,装备属性!$R$919:$R$955)*(6-D270)*0.5+_xlfn.XLOOKUP(E270,装备属性!$D$520:$D$819,装备属性!$I$520:$I$819)*6</f>
        <v>#N/A</v>
      </c>
      <c r="G270" s="73"/>
      <c r="H270" s="74"/>
      <c r="I270" s="74"/>
      <c r="J270" s="74"/>
      <c r="K270" s="56"/>
      <c r="L270" s="56"/>
      <c r="M270" s="56"/>
      <c r="N270" s="74"/>
      <c r="O270" s="74"/>
      <c r="P270" s="74"/>
    </row>
    <row r="271" ht="16.5" spans="1:16">
      <c r="A271" s="70">
        <v>265</v>
      </c>
      <c r="B271" s="45" t="str">
        <f ca="1">OFFSET(装备属性!$D$65,MATCH(A271,装备属性!$G$66:$G$73,1),0)</f>
        <v>彩</v>
      </c>
      <c r="C271" s="71">
        <f ca="1">OFFSET(装备属性!$D$14,MATCH(A271,装备属性!$H$15:$H$61,1),0)</f>
        <v>185</v>
      </c>
      <c r="D271" s="72">
        <f ca="1">IFERROR(MIN(MATCH(COUNTIFS($C$7:C271,C271,$B$7:B271,B271)*_xlfn.XLOOKUP(C271,装备属性!$D$15:$D$61,装备属性!$M$15:$M$61),装备产出!$Z$19:$Z$24,1),6),0)</f>
        <v>0</v>
      </c>
      <c r="E271" s="45" t="e">
        <f>MATCH(A271,装备属性!$AD$520:$AD$819,1)</f>
        <v>#N/A</v>
      </c>
      <c r="F271" s="73" t="e" cm="1">
        <f ca="1" t="array" ref="F271">_xlfn.XLOOKUP(B271&amp;C271,装备属性!$G$90:$G$466&amp;装备属性!$E$90:$E$466,装备属性!$I$90:$I$466)*D271+_xlfn.XLOOKUP(B271&amp;MAX(C271-10,1),装备属性!$G$90:$G$466&amp;装备属性!$E$90:$E$466,装备属性!$I$90:$I$466)*(6-D271)+_xlfn.XLOOKUP(B271&amp;C271,装备属性!$P$919:$P$955&amp;装备属性!$N$919:$N$955,装备属性!$R$919:$R$955)*D271*0.5+_xlfn.XLOOKUP(B271&amp;(MAX(C271-10,1)),装备属性!$P$919:$P$955&amp;装备属性!$N$919:$N$955,装备属性!$R$919:$R$955)*(6-D271)*0.5+_xlfn.XLOOKUP(E271,装备属性!$D$520:$D$819,装备属性!$I$520:$I$819)*6</f>
        <v>#N/A</v>
      </c>
      <c r="G271" s="73"/>
      <c r="H271" s="74"/>
      <c r="I271" s="74"/>
      <c r="J271" s="74"/>
      <c r="K271" s="56"/>
      <c r="L271" s="56"/>
      <c r="M271" s="56"/>
      <c r="N271" s="74"/>
      <c r="O271" s="74"/>
      <c r="P271" s="74"/>
    </row>
    <row r="272" ht="16.5" spans="1:16">
      <c r="A272" s="70">
        <v>266</v>
      </c>
      <c r="B272" s="45" t="str">
        <f ca="1">OFFSET(装备属性!$D$65,MATCH(A272,装备属性!$G$66:$G$73,1),0)</f>
        <v>彩</v>
      </c>
      <c r="C272" s="71">
        <f ca="1">OFFSET(装备属性!$D$14,MATCH(A272,装备属性!$H$15:$H$61,1),0)</f>
        <v>185</v>
      </c>
      <c r="D272" s="72">
        <f ca="1">IFERROR(MIN(MATCH(COUNTIFS($C$7:C272,C272,$B$7:B272,B272)*_xlfn.XLOOKUP(C272,装备属性!$D$15:$D$61,装备属性!$M$15:$M$61),装备产出!$Z$19:$Z$24,1),6),0)</f>
        <v>0</v>
      </c>
      <c r="E272" s="45" t="e">
        <f>MATCH(A272,装备属性!$AD$520:$AD$819,1)</f>
        <v>#N/A</v>
      </c>
      <c r="F272" s="73" t="e" cm="1">
        <f ca="1" t="array" ref="F272">_xlfn.XLOOKUP(B272&amp;C272,装备属性!$G$90:$G$466&amp;装备属性!$E$90:$E$466,装备属性!$I$90:$I$466)*D272+_xlfn.XLOOKUP(B272&amp;MAX(C272-10,1),装备属性!$G$90:$G$466&amp;装备属性!$E$90:$E$466,装备属性!$I$90:$I$466)*(6-D272)+_xlfn.XLOOKUP(B272&amp;C272,装备属性!$P$919:$P$955&amp;装备属性!$N$919:$N$955,装备属性!$R$919:$R$955)*D272*0.5+_xlfn.XLOOKUP(B272&amp;(MAX(C272-10,1)),装备属性!$P$919:$P$955&amp;装备属性!$N$919:$N$955,装备属性!$R$919:$R$955)*(6-D272)*0.5+_xlfn.XLOOKUP(E272,装备属性!$D$520:$D$819,装备属性!$I$520:$I$819)*6</f>
        <v>#N/A</v>
      </c>
      <c r="G272" s="73"/>
      <c r="H272" s="74"/>
      <c r="I272" s="74"/>
      <c r="J272" s="74"/>
      <c r="K272" s="56"/>
      <c r="L272" s="56"/>
      <c r="M272" s="56"/>
      <c r="N272" s="74"/>
      <c r="O272" s="74"/>
      <c r="P272" s="74"/>
    </row>
    <row r="273" ht="16.5" spans="1:16">
      <c r="A273" s="70">
        <v>267</v>
      </c>
      <c r="B273" s="45" t="str">
        <f ca="1">OFFSET(装备属性!$D$65,MATCH(A273,装备属性!$G$66:$G$73,1),0)</f>
        <v>彩</v>
      </c>
      <c r="C273" s="71">
        <f ca="1">OFFSET(装备属性!$D$14,MATCH(A273,装备属性!$H$15:$H$61,1),0)</f>
        <v>185</v>
      </c>
      <c r="D273" s="72">
        <f ca="1">IFERROR(MIN(MATCH(COUNTIFS($C$7:C273,C273,$B$7:B273,B273)*_xlfn.XLOOKUP(C273,装备属性!$D$15:$D$61,装备属性!$M$15:$M$61),装备产出!$Z$19:$Z$24,1),6),0)</f>
        <v>0</v>
      </c>
      <c r="E273" s="45" t="e">
        <f>MATCH(A273,装备属性!$AD$520:$AD$819,1)</f>
        <v>#N/A</v>
      </c>
      <c r="F273" s="73" t="e" cm="1">
        <f ca="1" t="array" ref="F273">_xlfn.XLOOKUP(B273&amp;C273,装备属性!$G$90:$G$466&amp;装备属性!$E$90:$E$466,装备属性!$I$90:$I$466)*D273+_xlfn.XLOOKUP(B273&amp;MAX(C273-10,1),装备属性!$G$90:$G$466&amp;装备属性!$E$90:$E$466,装备属性!$I$90:$I$466)*(6-D273)+_xlfn.XLOOKUP(B273&amp;C273,装备属性!$P$919:$P$955&amp;装备属性!$N$919:$N$955,装备属性!$R$919:$R$955)*D273*0.5+_xlfn.XLOOKUP(B273&amp;(MAX(C273-10,1)),装备属性!$P$919:$P$955&amp;装备属性!$N$919:$N$955,装备属性!$R$919:$R$955)*(6-D273)*0.5+_xlfn.XLOOKUP(E273,装备属性!$D$520:$D$819,装备属性!$I$520:$I$819)*6</f>
        <v>#N/A</v>
      </c>
      <c r="G273" s="73"/>
      <c r="H273" s="74"/>
      <c r="I273" s="74"/>
      <c r="J273" s="74"/>
      <c r="K273" s="56"/>
      <c r="L273" s="56"/>
      <c r="M273" s="56"/>
      <c r="N273" s="74"/>
      <c r="O273" s="74"/>
      <c r="P273" s="74"/>
    </row>
    <row r="274" ht="16.5" spans="1:16">
      <c r="A274" s="70">
        <v>268</v>
      </c>
      <c r="B274" s="45" t="str">
        <f ca="1">OFFSET(装备属性!$D$65,MATCH(A274,装备属性!$G$66:$G$73,1),0)</f>
        <v>彩</v>
      </c>
      <c r="C274" s="71">
        <f ca="1">OFFSET(装备属性!$D$14,MATCH(A274,装备属性!$H$15:$H$61,1),0)</f>
        <v>185</v>
      </c>
      <c r="D274" s="72">
        <f ca="1">IFERROR(MIN(MATCH(COUNTIFS($C$7:C274,C274,$B$7:B274,B274)*_xlfn.XLOOKUP(C274,装备属性!$D$15:$D$61,装备属性!$M$15:$M$61),装备产出!$Z$19:$Z$24,1),6),0)</f>
        <v>1</v>
      </c>
      <c r="E274" s="45" t="e">
        <f>MATCH(A274,装备属性!$AD$520:$AD$819,1)</f>
        <v>#N/A</v>
      </c>
      <c r="F274" s="73" t="e" cm="1">
        <f ca="1" t="array" ref="F274">_xlfn.XLOOKUP(B274&amp;C274,装备属性!$G$90:$G$466&amp;装备属性!$E$90:$E$466,装备属性!$I$90:$I$466)*D274+_xlfn.XLOOKUP(B274&amp;MAX(C274-10,1),装备属性!$G$90:$G$466&amp;装备属性!$E$90:$E$466,装备属性!$I$90:$I$466)*(6-D274)+_xlfn.XLOOKUP(B274&amp;C274,装备属性!$P$919:$P$955&amp;装备属性!$N$919:$N$955,装备属性!$R$919:$R$955)*D274*0.5+_xlfn.XLOOKUP(B274&amp;(MAX(C274-10,1)),装备属性!$P$919:$P$955&amp;装备属性!$N$919:$N$955,装备属性!$R$919:$R$955)*(6-D274)*0.5+_xlfn.XLOOKUP(E274,装备属性!$D$520:$D$819,装备属性!$I$520:$I$819)*6</f>
        <v>#N/A</v>
      </c>
      <c r="G274" s="73"/>
      <c r="H274" s="74"/>
      <c r="I274" s="74"/>
      <c r="J274" s="74"/>
      <c r="K274" s="56"/>
      <c r="L274" s="56"/>
      <c r="M274" s="56"/>
      <c r="N274" s="74"/>
      <c r="O274" s="74"/>
      <c r="P274" s="74"/>
    </row>
    <row r="275" ht="16.5" spans="1:16">
      <c r="A275" s="70">
        <v>269</v>
      </c>
      <c r="B275" s="45" t="str">
        <f ca="1">OFFSET(装备属性!$D$65,MATCH(A275,装备属性!$G$66:$G$73,1),0)</f>
        <v>彩</v>
      </c>
      <c r="C275" s="71">
        <f ca="1">OFFSET(装备属性!$D$14,MATCH(A275,装备属性!$H$15:$H$61,1),0)</f>
        <v>185</v>
      </c>
      <c r="D275" s="72">
        <f ca="1">IFERROR(MIN(MATCH(COUNTIFS($C$7:C275,C275,$B$7:B275,B275)*_xlfn.XLOOKUP(C275,装备属性!$D$15:$D$61,装备属性!$M$15:$M$61),装备产出!$Z$19:$Z$24,1),6),0)</f>
        <v>1</v>
      </c>
      <c r="E275" s="45" t="e">
        <f>MATCH(A275,装备属性!$AD$520:$AD$819,1)</f>
        <v>#N/A</v>
      </c>
      <c r="F275" s="73" t="e" cm="1">
        <f ca="1" t="array" ref="F275">_xlfn.XLOOKUP(B275&amp;C275,装备属性!$G$90:$G$466&amp;装备属性!$E$90:$E$466,装备属性!$I$90:$I$466)*D275+_xlfn.XLOOKUP(B275&amp;MAX(C275-10,1),装备属性!$G$90:$G$466&amp;装备属性!$E$90:$E$466,装备属性!$I$90:$I$466)*(6-D275)+_xlfn.XLOOKUP(B275&amp;C275,装备属性!$P$919:$P$955&amp;装备属性!$N$919:$N$955,装备属性!$R$919:$R$955)*D275*0.5+_xlfn.XLOOKUP(B275&amp;(MAX(C275-10,1)),装备属性!$P$919:$P$955&amp;装备属性!$N$919:$N$955,装备属性!$R$919:$R$955)*(6-D275)*0.5+_xlfn.XLOOKUP(E275,装备属性!$D$520:$D$819,装备属性!$I$520:$I$819)*6</f>
        <v>#N/A</v>
      </c>
      <c r="G275" s="73"/>
      <c r="H275" s="74"/>
      <c r="I275" s="74"/>
      <c r="J275" s="74"/>
      <c r="K275" s="56"/>
      <c r="L275" s="56"/>
      <c r="M275" s="56"/>
      <c r="N275" s="74"/>
      <c r="O275" s="74"/>
      <c r="P275" s="74"/>
    </row>
    <row r="276" ht="16.5" spans="1:16">
      <c r="A276" s="70">
        <v>270</v>
      </c>
      <c r="B276" s="45" t="str">
        <f ca="1">OFFSET(装备属性!$D$65,MATCH(A276,装备属性!$G$66:$G$73,1),0)</f>
        <v>彩</v>
      </c>
      <c r="C276" s="71">
        <f ca="1">OFFSET(装备属性!$D$14,MATCH(A276,装备属性!$H$15:$H$61,1),0)</f>
        <v>185</v>
      </c>
      <c r="D276" s="72">
        <f ca="1">IFERROR(MIN(MATCH(COUNTIFS($C$7:C276,C276,$B$7:B276,B276)*_xlfn.XLOOKUP(C276,装备属性!$D$15:$D$61,装备属性!$M$15:$M$61),装备产出!$Z$19:$Z$24,1),6),0)</f>
        <v>1</v>
      </c>
      <c r="E276" s="45" t="e">
        <f>MATCH(A276,装备属性!$AD$520:$AD$819,1)</f>
        <v>#N/A</v>
      </c>
      <c r="F276" s="73" t="e" cm="1">
        <f ca="1" t="array" ref="F276">_xlfn.XLOOKUP(B276&amp;C276,装备属性!$G$90:$G$466&amp;装备属性!$E$90:$E$466,装备属性!$I$90:$I$466)*D276+_xlfn.XLOOKUP(B276&amp;MAX(C276-10,1),装备属性!$G$90:$G$466&amp;装备属性!$E$90:$E$466,装备属性!$I$90:$I$466)*(6-D276)+_xlfn.XLOOKUP(B276&amp;C276,装备属性!$P$919:$P$955&amp;装备属性!$N$919:$N$955,装备属性!$R$919:$R$955)*D276*0.5+_xlfn.XLOOKUP(B276&amp;(MAX(C276-10,1)),装备属性!$P$919:$P$955&amp;装备属性!$N$919:$N$955,装备属性!$R$919:$R$955)*(6-D276)*0.5+_xlfn.XLOOKUP(E276,装备属性!$D$520:$D$819,装备属性!$I$520:$I$819)*6</f>
        <v>#N/A</v>
      </c>
      <c r="G276" s="73"/>
      <c r="H276" s="74"/>
      <c r="I276" s="74"/>
      <c r="J276" s="74"/>
      <c r="K276" s="56"/>
      <c r="L276" s="56"/>
      <c r="M276" s="56"/>
      <c r="N276" s="74"/>
      <c r="O276" s="74"/>
      <c r="P276" s="74"/>
    </row>
    <row r="277" ht="16.5" spans="1:16">
      <c r="A277" s="70">
        <v>271</v>
      </c>
      <c r="B277" s="45" t="str">
        <f ca="1">OFFSET(装备属性!$D$65,MATCH(A277,装备属性!$G$66:$G$73,1),0)</f>
        <v>彩</v>
      </c>
      <c r="C277" s="71">
        <f ca="1">OFFSET(装备属性!$D$14,MATCH(A277,装备属性!$H$15:$H$61,1),0)</f>
        <v>185</v>
      </c>
      <c r="D277" s="72">
        <f ca="1">IFERROR(MIN(MATCH(COUNTIFS($C$7:C277,C277,$B$7:B277,B277)*_xlfn.XLOOKUP(C277,装备属性!$D$15:$D$61,装备属性!$M$15:$M$61),装备产出!$Z$19:$Z$24,1),6),0)</f>
        <v>1</v>
      </c>
      <c r="E277" s="45" t="e">
        <f>MATCH(A277,装备属性!$AD$520:$AD$819,1)</f>
        <v>#N/A</v>
      </c>
      <c r="F277" s="73" t="e" cm="1">
        <f ca="1" t="array" ref="F277">_xlfn.XLOOKUP(B277&amp;C277,装备属性!$G$90:$G$466&amp;装备属性!$E$90:$E$466,装备属性!$I$90:$I$466)*D277+_xlfn.XLOOKUP(B277&amp;MAX(C277-10,1),装备属性!$G$90:$G$466&amp;装备属性!$E$90:$E$466,装备属性!$I$90:$I$466)*(6-D277)+_xlfn.XLOOKUP(B277&amp;C277,装备属性!$P$919:$P$955&amp;装备属性!$N$919:$N$955,装备属性!$R$919:$R$955)*D277*0.5+_xlfn.XLOOKUP(B277&amp;(MAX(C277-10,1)),装备属性!$P$919:$P$955&amp;装备属性!$N$919:$N$955,装备属性!$R$919:$R$955)*(6-D277)*0.5+_xlfn.XLOOKUP(E277,装备属性!$D$520:$D$819,装备属性!$I$520:$I$819)*6</f>
        <v>#N/A</v>
      </c>
      <c r="G277" s="73"/>
      <c r="H277" s="74"/>
      <c r="I277" s="74"/>
      <c r="J277" s="74"/>
      <c r="K277" s="56"/>
      <c r="L277" s="56"/>
      <c r="M277" s="56"/>
      <c r="N277" s="74"/>
      <c r="O277" s="74"/>
      <c r="P277" s="74"/>
    </row>
    <row r="278" ht="16.5" spans="1:16">
      <c r="A278" s="70">
        <v>272</v>
      </c>
      <c r="B278" s="45" t="str">
        <f ca="1">OFFSET(装备属性!$D$65,MATCH(A278,装备属性!$G$66:$G$73,1),0)</f>
        <v>彩</v>
      </c>
      <c r="C278" s="71">
        <f ca="1">OFFSET(装备属性!$D$14,MATCH(A278,装备属性!$H$15:$H$61,1),0)</f>
        <v>185</v>
      </c>
      <c r="D278" s="72">
        <f ca="1">IFERROR(MIN(MATCH(COUNTIFS($C$7:C278,C278,$B$7:B278,B278)*_xlfn.XLOOKUP(C278,装备属性!$D$15:$D$61,装备属性!$M$15:$M$61),装备产出!$Z$19:$Z$24,1),6),0)</f>
        <v>1</v>
      </c>
      <c r="E278" s="45" t="e">
        <f>MATCH(A278,装备属性!$AD$520:$AD$819,1)</f>
        <v>#N/A</v>
      </c>
      <c r="F278" s="73" t="e" cm="1">
        <f ca="1" t="array" ref="F278">_xlfn.XLOOKUP(B278&amp;C278,装备属性!$G$90:$G$466&amp;装备属性!$E$90:$E$466,装备属性!$I$90:$I$466)*D278+_xlfn.XLOOKUP(B278&amp;MAX(C278-10,1),装备属性!$G$90:$G$466&amp;装备属性!$E$90:$E$466,装备属性!$I$90:$I$466)*(6-D278)+_xlfn.XLOOKUP(B278&amp;C278,装备属性!$P$919:$P$955&amp;装备属性!$N$919:$N$955,装备属性!$R$919:$R$955)*D278*0.5+_xlfn.XLOOKUP(B278&amp;(MAX(C278-10,1)),装备属性!$P$919:$P$955&amp;装备属性!$N$919:$N$955,装备属性!$R$919:$R$955)*(6-D278)*0.5+_xlfn.XLOOKUP(E278,装备属性!$D$520:$D$819,装备属性!$I$520:$I$819)*6</f>
        <v>#N/A</v>
      </c>
      <c r="G278" s="73"/>
      <c r="H278" s="74"/>
      <c r="I278" s="74"/>
      <c r="J278" s="74"/>
      <c r="K278" s="56"/>
      <c r="L278" s="56"/>
      <c r="M278" s="56"/>
      <c r="N278" s="74"/>
      <c r="O278" s="74"/>
      <c r="P278" s="74"/>
    </row>
    <row r="279" ht="16.5" spans="1:16">
      <c r="A279" s="70">
        <v>273</v>
      </c>
      <c r="B279" s="45" t="str">
        <f ca="1">OFFSET(装备属性!$D$65,MATCH(A279,装备属性!$G$66:$G$73,1),0)</f>
        <v>彩</v>
      </c>
      <c r="C279" s="71">
        <f ca="1">OFFSET(装备属性!$D$14,MATCH(A279,装备属性!$H$15:$H$61,1),0)</f>
        <v>185</v>
      </c>
      <c r="D279" s="72">
        <f ca="1">IFERROR(MIN(MATCH(COUNTIFS($C$7:C279,C279,$B$7:B279,B279)*_xlfn.XLOOKUP(C279,装备属性!$D$15:$D$61,装备属性!$M$15:$M$61),装备产出!$Z$19:$Z$24,1),6),0)</f>
        <v>1</v>
      </c>
      <c r="E279" s="45" t="e">
        <f>MATCH(A279,装备属性!$AD$520:$AD$819,1)</f>
        <v>#N/A</v>
      </c>
      <c r="F279" s="73" t="e" cm="1">
        <f ca="1" t="array" ref="F279">_xlfn.XLOOKUP(B279&amp;C279,装备属性!$G$90:$G$466&amp;装备属性!$E$90:$E$466,装备属性!$I$90:$I$466)*D279+_xlfn.XLOOKUP(B279&amp;MAX(C279-10,1),装备属性!$G$90:$G$466&amp;装备属性!$E$90:$E$466,装备属性!$I$90:$I$466)*(6-D279)+_xlfn.XLOOKUP(B279&amp;C279,装备属性!$P$919:$P$955&amp;装备属性!$N$919:$N$955,装备属性!$R$919:$R$955)*D279*0.5+_xlfn.XLOOKUP(B279&amp;(MAX(C279-10,1)),装备属性!$P$919:$P$955&amp;装备属性!$N$919:$N$955,装备属性!$R$919:$R$955)*(6-D279)*0.5+_xlfn.XLOOKUP(E279,装备属性!$D$520:$D$819,装备属性!$I$520:$I$819)*6</f>
        <v>#N/A</v>
      </c>
      <c r="G279" s="73"/>
      <c r="H279" s="74"/>
      <c r="I279" s="74"/>
      <c r="J279" s="74"/>
      <c r="K279" s="56"/>
      <c r="L279" s="56"/>
      <c r="M279" s="56"/>
      <c r="N279" s="74"/>
      <c r="O279" s="74"/>
      <c r="P279" s="74"/>
    </row>
    <row r="280" ht="16.5" spans="1:16">
      <c r="A280" s="70">
        <v>274</v>
      </c>
      <c r="B280" s="45" t="str">
        <f ca="1">OFFSET(装备属性!$D$65,MATCH(A280,装备属性!$G$66:$G$73,1),0)</f>
        <v>彩</v>
      </c>
      <c r="C280" s="71">
        <f ca="1">OFFSET(装备属性!$D$14,MATCH(A280,装备属性!$H$15:$H$61,1),0)</f>
        <v>185</v>
      </c>
      <c r="D280" s="72">
        <f ca="1">IFERROR(MIN(MATCH(COUNTIFS($C$7:C280,C280,$B$7:B280,B280)*_xlfn.XLOOKUP(C280,装备属性!$D$15:$D$61,装备属性!$M$15:$M$61),装备产出!$Z$19:$Z$24,1),6),0)</f>
        <v>2</v>
      </c>
      <c r="E280" s="45" t="e">
        <f>MATCH(A280,装备属性!$AD$520:$AD$819,1)</f>
        <v>#N/A</v>
      </c>
      <c r="F280" s="73" t="e" cm="1">
        <f ca="1" t="array" ref="F280">_xlfn.XLOOKUP(B280&amp;C280,装备属性!$G$90:$G$466&amp;装备属性!$E$90:$E$466,装备属性!$I$90:$I$466)*D280+_xlfn.XLOOKUP(B280&amp;MAX(C280-10,1),装备属性!$G$90:$G$466&amp;装备属性!$E$90:$E$466,装备属性!$I$90:$I$466)*(6-D280)+_xlfn.XLOOKUP(B280&amp;C280,装备属性!$P$919:$P$955&amp;装备属性!$N$919:$N$955,装备属性!$R$919:$R$955)*D280*0.5+_xlfn.XLOOKUP(B280&amp;(MAX(C280-10,1)),装备属性!$P$919:$P$955&amp;装备属性!$N$919:$N$955,装备属性!$R$919:$R$955)*(6-D280)*0.5+_xlfn.XLOOKUP(E280,装备属性!$D$520:$D$819,装备属性!$I$520:$I$819)*6</f>
        <v>#N/A</v>
      </c>
      <c r="G280" s="73"/>
      <c r="H280" s="74"/>
      <c r="I280" s="74"/>
      <c r="J280" s="74"/>
      <c r="K280" s="56"/>
      <c r="L280" s="56"/>
      <c r="M280" s="56"/>
      <c r="N280" s="74"/>
      <c r="O280" s="74"/>
      <c r="P280" s="74"/>
    </row>
    <row r="281" ht="16.5" spans="1:16">
      <c r="A281" s="70">
        <v>275</v>
      </c>
      <c r="B281" s="45" t="str">
        <f ca="1">OFFSET(装备属性!$D$65,MATCH(A281,装备属性!$G$66:$G$73,1),0)</f>
        <v>彩</v>
      </c>
      <c r="C281" s="71">
        <f ca="1">OFFSET(装备属性!$D$14,MATCH(A281,装备属性!$H$15:$H$61,1),0)</f>
        <v>185</v>
      </c>
      <c r="D281" s="72">
        <f ca="1">IFERROR(MIN(MATCH(COUNTIFS($C$7:C281,C281,$B$7:B281,B281)*_xlfn.XLOOKUP(C281,装备属性!$D$15:$D$61,装备属性!$M$15:$M$61),装备产出!$Z$19:$Z$24,1),6),0)</f>
        <v>2</v>
      </c>
      <c r="E281" s="45" t="e">
        <f>MATCH(A281,装备属性!$AD$520:$AD$819,1)</f>
        <v>#N/A</v>
      </c>
      <c r="F281" s="73" t="e" cm="1">
        <f ca="1" t="array" ref="F281">_xlfn.XLOOKUP(B281&amp;C281,装备属性!$G$90:$G$466&amp;装备属性!$E$90:$E$466,装备属性!$I$90:$I$466)*D281+_xlfn.XLOOKUP(B281&amp;MAX(C281-10,1),装备属性!$G$90:$G$466&amp;装备属性!$E$90:$E$466,装备属性!$I$90:$I$466)*(6-D281)+_xlfn.XLOOKUP(B281&amp;C281,装备属性!$P$919:$P$955&amp;装备属性!$N$919:$N$955,装备属性!$R$919:$R$955)*D281*0.5+_xlfn.XLOOKUP(B281&amp;(MAX(C281-10,1)),装备属性!$P$919:$P$955&amp;装备属性!$N$919:$N$955,装备属性!$R$919:$R$955)*(6-D281)*0.5+_xlfn.XLOOKUP(E281,装备属性!$D$520:$D$819,装备属性!$I$520:$I$819)*6</f>
        <v>#N/A</v>
      </c>
      <c r="G281" s="73"/>
      <c r="H281" s="74"/>
      <c r="I281" s="74"/>
      <c r="J281" s="74"/>
      <c r="K281" s="56"/>
      <c r="L281" s="56"/>
      <c r="M281" s="56"/>
      <c r="N281" s="74"/>
      <c r="O281" s="74"/>
      <c r="P281" s="74"/>
    </row>
    <row r="282" ht="16.5" spans="1:16">
      <c r="A282" s="70">
        <v>276</v>
      </c>
      <c r="B282" s="45" t="str">
        <f ca="1">OFFSET(装备属性!$D$65,MATCH(A282,装备属性!$G$66:$G$73,1),0)</f>
        <v>彩</v>
      </c>
      <c r="C282" s="71">
        <f ca="1">OFFSET(装备属性!$D$14,MATCH(A282,装备属性!$H$15:$H$61,1),0)</f>
        <v>185</v>
      </c>
      <c r="D282" s="72">
        <f ca="1">IFERROR(MIN(MATCH(COUNTIFS($C$7:C282,C282,$B$7:B282,B282)*_xlfn.XLOOKUP(C282,装备属性!$D$15:$D$61,装备属性!$M$15:$M$61),装备产出!$Z$19:$Z$24,1),6),0)</f>
        <v>2</v>
      </c>
      <c r="E282" s="45" t="e">
        <f>MATCH(A282,装备属性!$AD$520:$AD$819,1)</f>
        <v>#N/A</v>
      </c>
      <c r="F282" s="73" t="e" cm="1">
        <f ca="1" t="array" ref="F282">_xlfn.XLOOKUP(B282&amp;C282,装备属性!$G$90:$G$466&amp;装备属性!$E$90:$E$466,装备属性!$I$90:$I$466)*D282+_xlfn.XLOOKUP(B282&amp;MAX(C282-10,1),装备属性!$G$90:$G$466&amp;装备属性!$E$90:$E$466,装备属性!$I$90:$I$466)*(6-D282)+_xlfn.XLOOKUP(B282&amp;C282,装备属性!$P$919:$P$955&amp;装备属性!$N$919:$N$955,装备属性!$R$919:$R$955)*D282*0.5+_xlfn.XLOOKUP(B282&amp;(MAX(C282-10,1)),装备属性!$P$919:$P$955&amp;装备属性!$N$919:$N$955,装备属性!$R$919:$R$955)*(6-D282)*0.5+_xlfn.XLOOKUP(E282,装备属性!$D$520:$D$819,装备属性!$I$520:$I$819)*6</f>
        <v>#N/A</v>
      </c>
      <c r="G282" s="73"/>
      <c r="H282" s="74"/>
      <c r="I282" s="74"/>
      <c r="J282" s="74"/>
      <c r="K282" s="56"/>
      <c r="L282" s="56"/>
      <c r="M282" s="56"/>
      <c r="N282" s="74"/>
      <c r="O282" s="74"/>
      <c r="P282" s="74"/>
    </row>
    <row r="283" ht="16.5" spans="1:16">
      <c r="A283" s="70">
        <v>277</v>
      </c>
      <c r="B283" s="45" t="str">
        <f ca="1">OFFSET(装备属性!$D$65,MATCH(A283,装备属性!$G$66:$G$73,1),0)</f>
        <v>彩</v>
      </c>
      <c r="C283" s="71">
        <f ca="1">OFFSET(装备属性!$D$14,MATCH(A283,装备属性!$H$15:$H$61,1),0)</f>
        <v>185</v>
      </c>
      <c r="D283" s="72">
        <f ca="1">IFERROR(MIN(MATCH(COUNTIFS($C$7:C283,C283,$B$7:B283,B283)*_xlfn.XLOOKUP(C283,装备属性!$D$15:$D$61,装备属性!$M$15:$M$61),装备产出!$Z$19:$Z$24,1),6),0)</f>
        <v>2</v>
      </c>
      <c r="E283" s="45" t="e">
        <f>MATCH(A283,装备属性!$AD$520:$AD$819,1)</f>
        <v>#N/A</v>
      </c>
      <c r="F283" s="73" t="e" cm="1">
        <f ca="1" t="array" ref="F283">_xlfn.XLOOKUP(B283&amp;C283,装备属性!$G$90:$G$466&amp;装备属性!$E$90:$E$466,装备属性!$I$90:$I$466)*D283+_xlfn.XLOOKUP(B283&amp;MAX(C283-10,1),装备属性!$G$90:$G$466&amp;装备属性!$E$90:$E$466,装备属性!$I$90:$I$466)*(6-D283)+_xlfn.XLOOKUP(B283&amp;C283,装备属性!$P$919:$P$955&amp;装备属性!$N$919:$N$955,装备属性!$R$919:$R$955)*D283*0.5+_xlfn.XLOOKUP(B283&amp;(MAX(C283-10,1)),装备属性!$P$919:$P$955&amp;装备属性!$N$919:$N$955,装备属性!$R$919:$R$955)*(6-D283)*0.5+_xlfn.XLOOKUP(E283,装备属性!$D$520:$D$819,装备属性!$I$520:$I$819)*6</f>
        <v>#N/A</v>
      </c>
      <c r="G283" s="73"/>
      <c r="H283" s="74"/>
      <c r="I283" s="74"/>
      <c r="J283" s="74"/>
      <c r="K283" s="56"/>
      <c r="L283" s="56"/>
      <c r="M283" s="56"/>
      <c r="N283" s="74"/>
      <c r="O283" s="74"/>
      <c r="P283" s="74"/>
    </row>
    <row r="284" ht="16.5" spans="1:16">
      <c r="A284" s="70">
        <v>278</v>
      </c>
      <c r="B284" s="45" t="str">
        <f ca="1">OFFSET(装备属性!$D$65,MATCH(A284,装备属性!$G$66:$G$73,1),0)</f>
        <v>彩</v>
      </c>
      <c r="C284" s="71">
        <f ca="1">OFFSET(装备属性!$D$14,MATCH(A284,装备属性!$H$15:$H$61,1),0)</f>
        <v>190</v>
      </c>
      <c r="D284" s="72">
        <f ca="1">IFERROR(MIN(MATCH(COUNTIFS($C$7:C284,C284,$B$7:B284,B284)*_xlfn.XLOOKUP(C284,装备属性!$D$15:$D$61,装备属性!$M$15:$M$61),装备产出!$Z$19:$Z$24,1),6),0)</f>
        <v>0</v>
      </c>
      <c r="E284" s="45" t="e">
        <f>MATCH(A284,装备属性!$AD$520:$AD$819,1)</f>
        <v>#N/A</v>
      </c>
      <c r="F284" s="73" t="e" cm="1">
        <f ca="1" t="array" ref="F284">_xlfn.XLOOKUP(B284&amp;C284,装备属性!$G$90:$G$466&amp;装备属性!$E$90:$E$466,装备属性!$I$90:$I$466)*D284+_xlfn.XLOOKUP(B284&amp;MAX(C284-10,1),装备属性!$G$90:$G$466&amp;装备属性!$E$90:$E$466,装备属性!$I$90:$I$466)*(6-D284)+_xlfn.XLOOKUP(B284&amp;C284,装备属性!$P$919:$P$955&amp;装备属性!$N$919:$N$955,装备属性!$R$919:$R$955)*D284*0.5+_xlfn.XLOOKUP(B284&amp;(MAX(C284-10,1)),装备属性!$P$919:$P$955&amp;装备属性!$N$919:$N$955,装备属性!$R$919:$R$955)*(6-D284)*0.5+_xlfn.XLOOKUP(E284,装备属性!$D$520:$D$819,装备属性!$I$520:$I$819)*6</f>
        <v>#N/A</v>
      </c>
      <c r="G284" s="73"/>
      <c r="H284" s="74"/>
      <c r="I284" s="74"/>
      <c r="J284" s="74"/>
      <c r="K284" s="56"/>
      <c r="L284" s="56"/>
      <c r="M284" s="56"/>
      <c r="N284" s="74"/>
      <c r="O284" s="74"/>
      <c r="P284" s="74"/>
    </row>
    <row r="285" ht="16.5" spans="1:16">
      <c r="A285" s="70">
        <v>279</v>
      </c>
      <c r="B285" s="45" t="str">
        <f ca="1">OFFSET(装备属性!$D$65,MATCH(A285,装备属性!$G$66:$G$73,1),0)</f>
        <v>彩</v>
      </c>
      <c r="C285" s="71">
        <f ca="1">OFFSET(装备属性!$D$14,MATCH(A285,装备属性!$H$15:$H$61,1),0)</f>
        <v>190</v>
      </c>
      <c r="D285" s="72">
        <f ca="1">IFERROR(MIN(MATCH(COUNTIFS($C$7:C285,C285,$B$7:B285,B285)*_xlfn.XLOOKUP(C285,装备属性!$D$15:$D$61,装备属性!$M$15:$M$61),装备产出!$Z$19:$Z$24,1),6),0)</f>
        <v>0</v>
      </c>
      <c r="E285" s="45" t="e">
        <f>MATCH(A285,装备属性!$AD$520:$AD$819,1)</f>
        <v>#N/A</v>
      </c>
      <c r="F285" s="73" t="e" cm="1">
        <f ca="1" t="array" ref="F285">_xlfn.XLOOKUP(B285&amp;C285,装备属性!$G$90:$G$466&amp;装备属性!$E$90:$E$466,装备属性!$I$90:$I$466)*D285+_xlfn.XLOOKUP(B285&amp;MAX(C285-10,1),装备属性!$G$90:$G$466&amp;装备属性!$E$90:$E$466,装备属性!$I$90:$I$466)*(6-D285)+_xlfn.XLOOKUP(B285&amp;C285,装备属性!$P$919:$P$955&amp;装备属性!$N$919:$N$955,装备属性!$R$919:$R$955)*D285*0.5+_xlfn.XLOOKUP(B285&amp;(MAX(C285-10,1)),装备属性!$P$919:$P$955&amp;装备属性!$N$919:$N$955,装备属性!$R$919:$R$955)*(6-D285)*0.5+_xlfn.XLOOKUP(E285,装备属性!$D$520:$D$819,装备属性!$I$520:$I$819)*6</f>
        <v>#N/A</v>
      </c>
      <c r="G285" s="73"/>
      <c r="H285" s="74"/>
      <c r="I285" s="74"/>
      <c r="J285" s="74"/>
      <c r="K285" s="56"/>
      <c r="L285" s="56"/>
      <c r="M285" s="56"/>
      <c r="N285" s="74"/>
      <c r="O285" s="74"/>
      <c r="P285" s="74"/>
    </row>
    <row r="286" ht="16.5" spans="1:16">
      <c r="A286" s="70">
        <v>280</v>
      </c>
      <c r="B286" s="45" t="str">
        <f ca="1">OFFSET(装备属性!$D$65,MATCH(A286,装备属性!$G$66:$G$73,1),0)</f>
        <v>彩</v>
      </c>
      <c r="C286" s="71">
        <f ca="1">OFFSET(装备属性!$D$14,MATCH(A286,装备属性!$H$15:$H$61,1),0)</f>
        <v>190</v>
      </c>
      <c r="D286" s="72">
        <f ca="1">IFERROR(MIN(MATCH(COUNTIFS($C$7:C286,C286,$B$7:B286,B286)*_xlfn.XLOOKUP(C286,装备属性!$D$15:$D$61,装备属性!$M$15:$M$61),装备产出!$Z$19:$Z$24,1),6),0)</f>
        <v>0</v>
      </c>
      <c r="E286" s="45" t="e">
        <f>MATCH(A286,装备属性!$AD$520:$AD$819,1)</f>
        <v>#N/A</v>
      </c>
      <c r="F286" s="73" t="e" cm="1">
        <f ca="1" t="array" ref="F286">_xlfn.XLOOKUP(B286&amp;C286,装备属性!$G$90:$G$466&amp;装备属性!$E$90:$E$466,装备属性!$I$90:$I$466)*D286+_xlfn.XLOOKUP(B286&amp;MAX(C286-10,1),装备属性!$G$90:$G$466&amp;装备属性!$E$90:$E$466,装备属性!$I$90:$I$466)*(6-D286)+_xlfn.XLOOKUP(B286&amp;C286,装备属性!$P$919:$P$955&amp;装备属性!$N$919:$N$955,装备属性!$R$919:$R$955)*D286*0.5+_xlfn.XLOOKUP(B286&amp;(MAX(C286-10,1)),装备属性!$P$919:$P$955&amp;装备属性!$N$919:$N$955,装备属性!$R$919:$R$955)*(6-D286)*0.5+_xlfn.XLOOKUP(E286,装备属性!$D$520:$D$819,装备属性!$I$520:$I$819)*6</f>
        <v>#N/A</v>
      </c>
      <c r="G286" s="73"/>
      <c r="H286" s="74"/>
      <c r="I286" s="74"/>
      <c r="J286" s="74"/>
      <c r="K286" s="56"/>
      <c r="L286" s="56"/>
      <c r="M286" s="56"/>
      <c r="N286" s="74"/>
      <c r="O286" s="74"/>
      <c r="P286" s="74"/>
    </row>
    <row r="287" ht="16.5" spans="1:16">
      <c r="A287" s="70">
        <v>281</v>
      </c>
      <c r="B287" s="45" t="str">
        <f ca="1">OFFSET(装备属性!$D$65,MATCH(A287,装备属性!$G$66:$G$73,1),0)</f>
        <v>彩</v>
      </c>
      <c r="C287" s="71">
        <f ca="1">OFFSET(装备属性!$D$14,MATCH(A287,装备属性!$H$15:$H$61,1),0)</f>
        <v>190</v>
      </c>
      <c r="D287" s="72">
        <f ca="1">IFERROR(MIN(MATCH(COUNTIFS($C$7:C287,C287,$B$7:B287,B287)*_xlfn.XLOOKUP(C287,装备属性!$D$15:$D$61,装备属性!$M$15:$M$61),装备产出!$Z$19:$Z$24,1),6),0)</f>
        <v>0</v>
      </c>
      <c r="E287" s="45" t="e">
        <f>MATCH(A287,装备属性!$AD$520:$AD$819,1)</f>
        <v>#N/A</v>
      </c>
      <c r="F287" s="73" t="e" cm="1">
        <f ca="1" t="array" ref="F287">_xlfn.XLOOKUP(B287&amp;C287,装备属性!$G$90:$G$466&amp;装备属性!$E$90:$E$466,装备属性!$I$90:$I$466)*D287+_xlfn.XLOOKUP(B287&amp;MAX(C287-10,1),装备属性!$G$90:$G$466&amp;装备属性!$E$90:$E$466,装备属性!$I$90:$I$466)*(6-D287)+_xlfn.XLOOKUP(B287&amp;C287,装备属性!$P$919:$P$955&amp;装备属性!$N$919:$N$955,装备属性!$R$919:$R$955)*D287*0.5+_xlfn.XLOOKUP(B287&amp;(MAX(C287-10,1)),装备属性!$P$919:$P$955&amp;装备属性!$N$919:$N$955,装备属性!$R$919:$R$955)*(6-D287)*0.5+_xlfn.XLOOKUP(E287,装备属性!$D$520:$D$819,装备属性!$I$520:$I$819)*6</f>
        <v>#N/A</v>
      </c>
      <c r="G287" s="73"/>
      <c r="H287" s="74"/>
      <c r="I287" s="74"/>
      <c r="J287" s="74"/>
      <c r="K287" s="56"/>
      <c r="L287" s="56"/>
      <c r="M287" s="56"/>
      <c r="N287" s="74"/>
      <c r="O287" s="74"/>
      <c r="P287" s="74"/>
    </row>
    <row r="288" ht="16.5" spans="1:16">
      <c r="A288" s="70">
        <v>282</v>
      </c>
      <c r="B288" s="45" t="str">
        <f ca="1">OFFSET(装备属性!$D$65,MATCH(A288,装备属性!$G$66:$G$73,1),0)</f>
        <v>彩</v>
      </c>
      <c r="C288" s="71">
        <f ca="1">OFFSET(装备属性!$D$14,MATCH(A288,装备属性!$H$15:$H$61,1),0)</f>
        <v>190</v>
      </c>
      <c r="D288" s="72">
        <f ca="1">IFERROR(MIN(MATCH(COUNTIFS($C$7:C288,C288,$B$7:B288,B288)*_xlfn.XLOOKUP(C288,装备属性!$D$15:$D$61,装备属性!$M$15:$M$61),装备产出!$Z$19:$Z$24,1),6),0)</f>
        <v>0</v>
      </c>
      <c r="E288" s="45" t="e">
        <f>MATCH(A288,装备属性!$AD$520:$AD$819,1)</f>
        <v>#N/A</v>
      </c>
      <c r="F288" s="73" t="e" cm="1">
        <f ca="1" t="array" ref="F288">_xlfn.XLOOKUP(B288&amp;C288,装备属性!$G$90:$G$466&amp;装备属性!$E$90:$E$466,装备属性!$I$90:$I$466)*D288+_xlfn.XLOOKUP(B288&amp;MAX(C288-10,1),装备属性!$G$90:$G$466&amp;装备属性!$E$90:$E$466,装备属性!$I$90:$I$466)*(6-D288)+_xlfn.XLOOKUP(B288&amp;C288,装备属性!$P$919:$P$955&amp;装备属性!$N$919:$N$955,装备属性!$R$919:$R$955)*D288*0.5+_xlfn.XLOOKUP(B288&amp;(MAX(C288-10,1)),装备属性!$P$919:$P$955&amp;装备属性!$N$919:$N$955,装备属性!$R$919:$R$955)*(6-D288)*0.5+_xlfn.XLOOKUP(E288,装备属性!$D$520:$D$819,装备属性!$I$520:$I$819)*6</f>
        <v>#N/A</v>
      </c>
      <c r="G288" s="73"/>
      <c r="H288" s="74"/>
      <c r="I288" s="74"/>
      <c r="J288" s="74"/>
      <c r="K288" s="56"/>
      <c r="L288" s="56"/>
      <c r="M288" s="56"/>
      <c r="N288" s="74"/>
      <c r="O288" s="74"/>
      <c r="P288" s="74"/>
    </row>
    <row r="289" ht="16.5" spans="1:16">
      <c r="A289" s="70">
        <v>283</v>
      </c>
      <c r="B289" s="45" t="str">
        <f ca="1">OFFSET(装备属性!$D$65,MATCH(A289,装备属性!$G$66:$G$73,1),0)</f>
        <v>彩</v>
      </c>
      <c r="C289" s="71">
        <f ca="1">OFFSET(装备属性!$D$14,MATCH(A289,装备属性!$H$15:$H$61,1),0)</f>
        <v>190</v>
      </c>
      <c r="D289" s="72">
        <f ca="1">IFERROR(MIN(MATCH(COUNTIFS($C$7:C289,C289,$B$7:B289,B289)*_xlfn.XLOOKUP(C289,装备属性!$D$15:$D$61,装备属性!$M$15:$M$61),装备产出!$Z$19:$Z$24,1),6),0)</f>
        <v>1</v>
      </c>
      <c r="E289" s="45" t="e">
        <f>MATCH(A289,装备属性!$AD$520:$AD$819,1)</f>
        <v>#N/A</v>
      </c>
      <c r="F289" s="73" t="e" cm="1">
        <f ca="1" t="array" ref="F289">_xlfn.XLOOKUP(B289&amp;C289,装备属性!$G$90:$G$466&amp;装备属性!$E$90:$E$466,装备属性!$I$90:$I$466)*D289+_xlfn.XLOOKUP(B289&amp;MAX(C289-10,1),装备属性!$G$90:$G$466&amp;装备属性!$E$90:$E$466,装备属性!$I$90:$I$466)*(6-D289)+_xlfn.XLOOKUP(B289&amp;C289,装备属性!$P$919:$P$955&amp;装备属性!$N$919:$N$955,装备属性!$R$919:$R$955)*D289*0.5+_xlfn.XLOOKUP(B289&amp;(MAX(C289-10,1)),装备属性!$P$919:$P$955&amp;装备属性!$N$919:$N$955,装备属性!$R$919:$R$955)*(6-D289)*0.5+_xlfn.XLOOKUP(E289,装备属性!$D$520:$D$819,装备属性!$I$520:$I$819)*6</f>
        <v>#N/A</v>
      </c>
      <c r="G289" s="73"/>
      <c r="H289" s="74"/>
      <c r="I289" s="74"/>
      <c r="J289" s="74"/>
      <c r="K289" s="56"/>
      <c r="L289" s="56"/>
      <c r="M289" s="56"/>
      <c r="N289" s="74"/>
      <c r="O289" s="74"/>
      <c r="P289" s="74"/>
    </row>
    <row r="290" ht="16.5" spans="1:16">
      <c r="A290" s="70">
        <v>284</v>
      </c>
      <c r="B290" s="45" t="str">
        <f ca="1">OFFSET(装备属性!$D$65,MATCH(A290,装备属性!$G$66:$G$73,1),0)</f>
        <v>彩</v>
      </c>
      <c r="C290" s="71">
        <f ca="1">OFFSET(装备属性!$D$14,MATCH(A290,装备属性!$H$15:$H$61,1),0)</f>
        <v>190</v>
      </c>
      <c r="D290" s="72">
        <f ca="1">IFERROR(MIN(MATCH(COUNTIFS($C$7:C290,C290,$B$7:B290,B290)*_xlfn.XLOOKUP(C290,装备属性!$D$15:$D$61,装备属性!$M$15:$M$61),装备产出!$Z$19:$Z$24,1),6),0)</f>
        <v>1</v>
      </c>
      <c r="E290" s="45" t="e">
        <f>MATCH(A290,装备属性!$AD$520:$AD$819,1)</f>
        <v>#N/A</v>
      </c>
      <c r="F290" s="73" t="e" cm="1">
        <f ca="1" t="array" ref="F290">_xlfn.XLOOKUP(B290&amp;C290,装备属性!$G$90:$G$466&amp;装备属性!$E$90:$E$466,装备属性!$I$90:$I$466)*D290+_xlfn.XLOOKUP(B290&amp;MAX(C290-10,1),装备属性!$G$90:$G$466&amp;装备属性!$E$90:$E$466,装备属性!$I$90:$I$466)*(6-D290)+_xlfn.XLOOKUP(B290&amp;C290,装备属性!$P$919:$P$955&amp;装备属性!$N$919:$N$955,装备属性!$R$919:$R$955)*D290*0.5+_xlfn.XLOOKUP(B290&amp;(MAX(C290-10,1)),装备属性!$P$919:$P$955&amp;装备属性!$N$919:$N$955,装备属性!$R$919:$R$955)*(6-D290)*0.5+_xlfn.XLOOKUP(E290,装备属性!$D$520:$D$819,装备属性!$I$520:$I$819)*6</f>
        <v>#N/A</v>
      </c>
      <c r="G290" s="73"/>
      <c r="H290" s="74"/>
      <c r="I290" s="74"/>
      <c r="J290" s="74"/>
      <c r="K290" s="56"/>
      <c r="L290" s="56"/>
      <c r="M290" s="56"/>
      <c r="N290" s="74"/>
      <c r="O290" s="74"/>
      <c r="P290" s="74"/>
    </row>
    <row r="291" ht="16.5" spans="1:16">
      <c r="A291" s="70">
        <v>285</v>
      </c>
      <c r="B291" s="45" t="str">
        <f ca="1">OFFSET(装备属性!$D$65,MATCH(A291,装备属性!$G$66:$G$73,1),0)</f>
        <v>彩</v>
      </c>
      <c r="C291" s="71">
        <f ca="1">OFFSET(装备属性!$D$14,MATCH(A291,装备属性!$H$15:$H$61,1),0)</f>
        <v>190</v>
      </c>
      <c r="D291" s="72">
        <f ca="1">IFERROR(MIN(MATCH(COUNTIFS($C$7:C291,C291,$B$7:B291,B291)*_xlfn.XLOOKUP(C291,装备属性!$D$15:$D$61,装备属性!$M$15:$M$61),装备产出!$Z$19:$Z$24,1),6),0)</f>
        <v>1</v>
      </c>
      <c r="E291" s="45" t="e">
        <f>MATCH(A291,装备属性!$AD$520:$AD$819,1)</f>
        <v>#N/A</v>
      </c>
      <c r="F291" s="73" t="e" cm="1">
        <f ca="1" t="array" ref="F291">_xlfn.XLOOKUP(B291&amp;C291,装备属性!$G$90:$G$466&amp;装备属性!$E$90:$E$466,装备属性!$I$90:$I$466)*D291+_xlfn.XLOOKUP(B291&amp;MAX(C291-10,1),装备属性!$G$90:$G$466&amp;装备属性!$E$90:$E$466,装备属性!$I$90:$I$466)*(6-D291)+_xlfn.XLOOKUP(B291&amp;C291,装备属性!$P$919:$P$955&amp;装备属性!$N$919:$N$955,装备属性!$R$919:$R$955)*D291*0.5+_xlfn.XLOOKUP(B291&amp;(MAX(C291-10,1)),装备属性!$P$919:$P$955&amp;装备属性!$N$919:$N$955,装备属性!$R$919:$R$955)*(6-D291)*0.5+_xlfn.XLOOKUP(E291,装备属性!$D$520:$D$819,装备属性!$I$520:$I$819)*6</f>
        <v>#N/A</v>
      </c>
      <c r="G291" s="73"/>
      <c r="H291" s="74"/>
      <c r="I291" s="74"/>
      <c r="J291" s="74"/>
      <c r="K291" s="56"/>
      <c r="L291" s="56"/>
      <c r="M291" s="56"/>
      <c r="N291" s="74"/>
      <c r="O291" s="74"/>
      <c r="P291" s="74"/>
    </row>
    <row r="292" ht="16.5" spans="1:16">
      <c r="A292" s="70">
        <v>286</v>
      </c>
      <c r="B292" s="45" t="str">
        <f ca="1">OFFSET(装备属性!$D$65,MATCH(A292,装备属性!$G$66:$G$73,1),0)</f>
        <v>彩</v>
      </c>
      <c r="C292" s="71">
        <f ca="1">OFFSET(装备属性!$D$14,MATCH(A292,装备属性!$H$15:$H$61,1),0)</f>
        <v>190</v>
      </c>
      <c r="D292" s="72">
        <f ca="1">IFERROR(MIN(MATCH(COUNTIFS($C$7:C292,C292,$B$7:B292,B292)*_xlfn.XLOOKUP(C292,装备属性!$D$15:$D$61,装备属性!$M$15:$M$61),装备产出!$Z$19:$Z$24,1),6),0)</f>
        <v>1</v>
      </c>
      <c r="E292" s="45" t="e">
        <f>MATCH(A292,装备属性!$AD$520:$AD$819,1)</f>
        <v>#N/A</v>
      </c>
      <c r="F292" s="73" t="e" cm="1">
        <f ca="1" t="array" ref="F292">_xlfn.XLOOKUP(B292&amp;C292,装备属性!$G$90:$G$466&amp;装备属性!$E$90:$E$466,装备属性!$I$90:$I$466)*D292+_xlfn.XLOOKUP(B292&amp;MAX(C292-10,1),装备属性!$G$90:$G$466&amp;装备属性!$E$90:$E$466,装备属性!$I$90:$I$466)*(6-D292)+_xlfn.XLOOKUP(B292&amp;C292,装备属性!$P$919:$P$955&amp;装备属性!$N$919:$N$955,装备属性!$R$919:$R$955)*D292*0.5+_xlfn.XLOOKUP(B292&amp;(MAX(C292-10,1)),装备属性!$P$919:$P$955&amp;装备属性!$N$919:$N$955,装备属性!$R$919:$R$955)*(6-D292)*0.5+_xlfn.XLOOKUP(E292,装备属性!$D$520:$D$819,装备属性!$I$520:$I$819)*6</f>
        <v>#N/A</v>
      </c>
      <c r="G292" s="73"/>
      <c r="H292" s="74"/>
      <c r="I292" s="74"/>
      <c r="J292" s="74"/>
      <c r="K292" s="56"/>
      <c r="L292" s="56"/>
      <c r="M292" s="56"/>
      <c r="N292" s="74"/>
      <c r="O292" s="74"/>
      <c r="P292" s="74"/>
    </row>
    <row r="293" ht="16.5" spans="1:16">
      <c r="A293" s="70">
        <v>287</v>
      </c>
      <c r="B293" s="45" t="str">
        <f ca="1">OFFSET(装备属性!$D$65,MATCH(A293,装备属性!$G$66:$G$73,1),0)</f>
        <v>彩</v>
      </c>
      <c r="C293" s="71">
        <f ca="1">OFFSET(装备属性!$D$14,MATCH(A293,装备属性!$H$15:$H$61,1),0)</f>
        <v>190</v>
      </c>
      <c r="D293" s="72">
        <f ca="1">IFERROR(MIN(MATCH(COUNTIFS($C$7:C293,C293,$B$7:B293,B293)*_xlfn.XLOOKUP(C293,装备属性!$D$15:$D$61,装备属性!$M$15:$M$61),装备产出!$Z$19:$Z$24,1),6),0)</f>
        <v>1</v>
      </c>
      <c r="E293" s="45" t="e">
        <f>MATCH(A293,装备属性!$AD$520:$AD$819,1)</f>
        <v>#N/A</v>
      </c>
      <c r="F293" s="73" t="e" cm="1">
        <f ca="1" t="array" ref="F293">_xlfn.XLOOKUP(B293&amp;C293,装备属性!$G$90:$G$466&amp;装备属性!$E$90:$E$466,装备属性!$I$90:$I$466)*D293+_xlfn.XLOOKUP(B293&amp;MAX(C293-10,1),装备属性!$G$90:$G$466&amp;装备属性!$E$90:$E$466,装备属性!$I$90:$I$466)*(6-D293)+_xlfn.XLOOKUP(B293&amp;C293,装备属性!$P$919:$P$955&amp;装备属性!$N$919:$N$955,装备属性!$R$919:$R$955)*D293*0.5+_xlfn.XLOOKUP(B293&amp;(MAX(C293-10,1)),装备属性!$P$919:$P$955&amp;装备属性!$N$919:$N$955,装备属性!$R$919:$R$955)*(6-D293)*0.5+_xlfn.XLOOKUP(E293,装备属性!$D$520:$D$819,装备属性!$I$520:$I$819)*6</f>
        <v>#N/A</v>
      </c>
      <c r="G293" s="73"/>
      <c r="H293" s="74"/>
      <c r="I293" s="74"/>
      <c r="J293" s="74"/>
      <c r="K293" s="56"/>
      <c r="L293" s="56"/>
      <c r="M293" s="56"/>
      <c r="N293" s="74"/>
      <c r="O293" s="74"/>
      <c r="P293" s="74"/>
    </row>
    <row r="294" ht="16.5" spans="1:16">
      <c r="A294" s="70">
        <v>288</v>
      </c>
      <c r="B294" s="45" t="str">
        <f ca="1">OFFSET(装备属性!$D$65,MATCH(A294,装备属性!$G$66:$G$73,1),0)</f>
        <v>彩</v>
      </c>
      <c r="C294" s="71">
        <f ca="1">OFFSET(装备属性!$D$14,MATCH(A294,装备属性!$H$15:$H$61,1),0)</f>
        <v>190</v>
      </c>
      <c r="D294" s="72">
        <f ca="1">IFERROR(MIN(MATCH(COUNTIFS($C$7:C294,C294,$B$7:B294,B294)*_xlfn.XLOOKUP(C294,装备属性!$D$15:$D$61,装备属性!$M$15:$M$61),装备产出!$Z$19:$Z$24,1),6),0)</f>
        <v>1</v>
      </c>
      <c r="E294" s="45" t="e">
        <f>MATCH(A294,装备属性!$AD$520:$AD$819,1)</f>
        <v>#N/A</v>
      </c>
      <c r="F294" s="73" t="e" cm="1">
        <f ca="1" t="array" ref="F294">_xlfn.XLOOKUP(B294&amp;C294,装备属性!$G$90:$G$466&amp;装备属性!$E$90:$E$466,装备属性!$I$90:$I$466)*D294+_xlfn.XLOOKUP(B294&amp;MAX(C294-10,1),装备属性!$G$90:$G$466&amp;装备属性!$E$90:$E$466,装备属性!$I$90:$I$466)*(6-D294)+_xlfn.XLOOKUP(B294&amp;C294,装备属性!$P$919:$P$955&amp;装备属性!$N$919:$N$955,装备属性!$R$919:$R$955)*D294*0.5+_xlfn.XLOOKUP(B294&amp;(MAX(C294-10,1)),装备属性!$P$919:$P$955&amp;装备属性!$N$919:$N$955,装备属性!$R$919:$R$955)*(6-D294)*0.5+_xlfn.XLOOKUP(E294,装备属性!$D$520:$D$819,装备属性!$I$520:$I$819)*6</f>
        <v>#N/A</v>
      </c>
      <c r="G294" s="73"/>
      <c r="H294" s="74"/>
      <c r="I294" s="74"/>
      <c r="J294" s="74"/>
      <c r="K294" s="56"/>
      <c r="L294" s="56"/>
      <c r="M294" s="56"/>
      <c r="N294" s="74"/>
      <c r="O294" s="74"/>
      <c r="P294" s="74"/>
    </row>
    <row r="295" ht="16.5" spans="1:16">
      <c r="A295" s="70">
        <v>289</v>
      </c>
      <c r="B295" s="45" t="str">
        <f ca="1">OFFSET(装备属性!$D$65,MATCH(A295,装备属性!$G$66:$G$73,1),0)</f>
        <v>彩</v>
      </c>
      <c r="C295" s="71">
        <f ca="1">OFFSET(装备属性!$D$14,MATCH(A295,装备属性!$H$15:$H$61,1),0)</f>
        <v>190</v>
      </c>
      <c r="D295" s="72">
        <f ca="1">IFERROR(MIN(MATCH(COUNTIFS($C$7:C295,C295,$B$7:B295,B295)*_xlfn.XLOOKUP(C295,装备属性!$D$15:$D$61,装备属性!$M$15:$M$61),装备产出!$Z$19:$Z$24,1),6),0)</f>
        <v>1</v>
      </c>
      <c r="E295" s="45" t="e">
        <f>MATCH(A295,装备属性!$AD$520:$AD$819,1)</f>
        <v>#N/A</v>
      </c>
      <c r="F295" s="73" t="e" cm="1">
        <f ca="1" t="array" ref="F295">_xlfn.XLOOKUP(B295&amp;C295,装备属性!$G$90:$G$466&amp;装备属性!$E$90:$E$466,装备属性!$I$90:$I$466)*D295+_xlfn.XLOOKUP(B295&amp;MAX(C295-10,1),装备属性!$G$90:$G$466&amp;装备属性!$E$90:$E$466,装备属性!$I$90:$I$466)*(6-D295)+_xlfn.XLOOKUP(B295&amp;C295,装备属性!$P$919:$P$955&amp;装备属性!$N$919:$N$955,装备属性!$R$919:$R$955)*D295*0.5+_xlfn.XLOOKUP(B295&amp;(MAX(C295-10,1)),装备属性!$P$919:$P$955&amp;装备属性!$N$919:$N$955,装备属性!$R$919:$R$955)*(6-D295)*0.5+_xlfn.XLOOKUP(E295,装备属性!$D$520:$D$819,装备属性!$I$520:$I$819)*6</f>
        <v>#N/A</v>
      </c>
      <c r="G295" s="73"/>
      <c r="H295" s="74"/>
      <c r="I295" s="74"/>
      <c r="J295" s="74"/>
      <c r="K295" s="56"/>
      <c r="L295" s="56"/>
      <c r="M295" s="56"/>
      <c r="N295" s="74"/>
      <c r="O295" s="74"/>
      <c r="P295" s="74"/>
    </row>
    <row r="296" ht="16.5" spans="1:16">
      <c r="A296" s="70">
        <v>290</v>
      </c>
      <c r="B296" s="45" t="str">
        <f ca="1">OFFSET(装备属性!$D$65,MATCH(A296,装备属性!$G$66:$G$73,1),0)</f>
        <v>彩</v>
      </c>
      <c r="C296" s="71">
        <f ca="1">OFFSET(装备属性!$D$14,MATCH(A296,装备属性!$H$15:$H$61,1),0)</f>
        <v>190</v>
      </c>
      <c r="D296" s="72">
        <f ca="1">IFERROR(MIN(MATCH(COUNTIFS($C$7:C296,C296,$B$7:B296,B296)*_xlfn.XLOOKUP(C296,装备属性!$D$15:$D$61,装备属性!$M$15:$M$61),装备产出!$Z$19:$Z$24,1),6),0)</f>
        <v>2</v>
      </c>
      <c r="E296" s="45" t="e">
        <f>MATCH(A296,装备属性!$AD$520:$AD$819,1)</f>
        <v>#N/A</v>
      </c>
      <c r="F296" s="73" t="e" cm="1">
        <f ca="1" t="array" ref="F296">_xlfn.XLOOKUP(B296&amp;C296,装备属性!$G$90:$G$466&amp;装备属性!$E$90:$E$466,装备属性!$I$90:$I$466)*D296+_xlfn.XLOOKUP(B296&amp;MAX(C296-10,1),装备属性!$G$90:$G$466&amp;装备属性!$E$90:$E$466,装备属性!$I$90:$I$466)*(6-D296)+_xlfn.XLOOKUP(B296&amp;C296,装备属性!$P$919:$P$955&amp;装备属性!$N$919:$N$955,装备属性!$R$919:$R$955)*D296*0.5+_xlfn.XLOOKUP(B296&amp;(MAX(C296-10,1)),装备属性!$P$919:$P$955&amp;装备属性!$N$919:$N$955,装备属性!$R$919:$R$955)*(6-D296)*0.5+_xlfn.XLOOKUP(E296,装备属性!$D$520:$D$819,装备属性!$I$520:$I$819)*6</f>
        <v>#N/A</v>
      </c>
      <c r="G296" s="73"/>
      <c r="H296" s="74"/>
      <c r="I296" s="74"/>
      <c r="J296" s="74"/>
      <c r="K296" s="56"/>
      <c r="L296" s="56"/>
      <c r="M296" s="56"/>
      <c r="N296" s="74"/>
      <c r="O296" s="74"/>
      <c r="P296" s="74"/>
    </row>
    <row r="297" ht="16.5" spans="1:16">
      <c r="A297" s="70">
        <v>291</v>
      </c>
      <c r="B297" s="45" t="str">
        <f ca="1">OFFSET(装备属性!$D$65,MATCH(A297,装备属性!$G$66:$G$73,1),0)</f>
        <v>彩</v>
      </c>
      <c r="C297" s="71">
        <f ca="1">OFFSET(装备属性!$D$14,MATCH(A297,装备属性!$H$15:$H$61,1),0)</f>
        <v>190</v>
      </c>
      <c r="D297" s="72">
        <f ca="1">IFERROR(MIN(MATCH(COUNTIFS($C$7:C297,C297,$B$7:B297,B297)*_xlfn.XLOOKUP(C297,装备属性!$D$15:$D$61,装备属性!$M$15:$M$61),装备产出!$Z$19:$Z$24,1),6),0)</f>
        <v>2</v>
      </c>
      <c r="E297" s="45" t="e">
        <f>MATCH(A297,装备属性!$AD$520:$AD$819,1)</f>
        <v>#N/A</v>
      </c>
      <c r="F297" s="73" t="e" cm="1">
        <f ca="1" t="array" ref="F297">_xlfn.XLOOKUP(B297&amp;C297,装备属性!$G$90:$G$466&amp;装备属性!$E$90:$E$466,装备属性!$I$90:$I$466)*D297+_xlfn.XLOOKUP(B297&amp;MAX(C297-10,1),装备属性!$G$90:$G$466&amp;装备属性!$E$90:$E$466,装备属性!$I$90:$I$466)*(6-D297)+_xlfn.XLOOKUP(B297&amp;C297,装备属性!$P$919:$P$955&amp;装备属性!$N$919:$N$955,装备属性!$R$919:$R$955)*D297*0.5+_xlfn.XLOOKUP(B297&amp;(MAX(C297-10,1)),装备属性!$P$919:$P$955&amp;装备属性!$N$919:$N$955,装备属性!$R$919:$R$955)*(6-D297)*0.5+_xlfn.XLOOKUP(E297,装备属性!$D$520:$D$819,装备属性!$I$520:$I$819)*6</f>
        <v>#N/A</v>
      </c>
      <c r="G297" s="73"/>
      <c r="H297" s="74"/>
      <c r="I297" s="74"/>
      <c r="J297" s="74"/>
      <c r="K297" s="56"/>
      <c r="L297" s="56"/>
      <c r="M297" s="56"/>
      <c r="N297" s="74"/>
      <c r="O297" s="74"/>
      <c r="P297" s="74"/>
    </row>
    <row r="298" ht="16.5" spans="1:16">
      <c r="A298" s="70">
        <v>292</v>
      </c>
      <c r="B298" s="45" t="str">
        <f ca="1">OFFSET(装备属性!$D$65,MATCH(A298,装备属性!$G$66:$G$73,1),0)</f>
        <v>彩</v>
      </c>
      <c r="C298" s="71">
        <f ca="1">OFFSET(装备属性!$D$14,MATCH(A298,装备属性!$H$15:$H$61,1),0)</f>
        <v>190</v>
      </c>
      <c r="D298" s="72">
        <f ca="1">IFERROR(MIN(MATCH(COUNTIFS($C$7:C298,C298,$B$7:B298,B298)*_xlfn.XLOOKUP(C298,装备属性!$D$15:$D$61,装备属性!$M$15:$M$61),装备产出!$Z$19:$Z$24,1),6),0)</f>
        <v>2</v>
      </c>
      <c r="E298" s="45" t="e">
        <f>MATCH(A298,装备属性!$AD$520:$AD$819,1)</f>
        <v>#N/A</v>
      </c>
      <c r="F298" s="73" t="e" cm="1">
        <f ca="1" t="array" ref="F298">_xlfn.XLOOKUP(B298&amp;C298,装备属性!$G$90:$G$466&amp;装备属性!$E$90:$E$466,装备属性!$I$90:$I$466)*D298+_xlfn.XLOOKUP(B298&amp;MAX(C298-10,1),装备属性!$G$90:$G$466&amp;装备属性!$E$90:$E$466,装备属性!$I$90:$I$466)*(6-D298)+_xlfn.XLOOKUP(B298&amp;C298,装备属性!$P$919:$P$955&amp;装备属性!$N$919:$N$955,装备属性!$R$919:$R$955)*D298*0.5+_xlfn.XLOOKUP(B298&amp;(MAX(C298-10,1)),装备属性!$P$919:$P$955&amp;装备属性!$N$919:$N$955,装备属性!$R$919:$R$955)*(6-D298)*0.5+_xlfn.XLOOKUP(E298,装备属性!$D$520:$D$819,装备属性!$I$520:$I$819)*6</f>
        <v>#N/A</v>
      </c>
      <c r="G298" s="73"/>
      <c r="H298" s="74"/>
      <c r="I298" s="74"/>
      <c r="J298" s="74"/>
      <c r="K298" s="56"/>
      <c r="L298" s="56"/>
      <c r="M298" s="56"/>
      <c r="N298" s="74"/>
      <c r="O298" s="74"/>
      <c r="P298" s="74"/>
    </row>
    <row r="299" ht="16.5" spans="1:16">
      <c r="A299" s="70">
        <v>293</v>
      </c>
      <c r="B299" s="45" t="str">
        <f ca="1">OFFSET(装备属性!$D$65,MATCH(A299,装备属性!$G$66:$G$73,1),0)</f>
        <v>彩</v>
      </c>
      <c r="C299" s="71">
        <f ca="1">OFFSET(装备属性!$D$14,MATCH(A299,装备属性!$H$15:$H$61,1),0)</f>
        <v>195</v>
      </c>
      <c r="D299" s="72">
        <f ca="1">IFERROR(MIN(MATCH(COUNTIFS($C$7:C299,C299,$B$7:B299,B299)*_xlfn.XLOOKUP(C299,装备属性!$D$15:$D$61,装备属性!$M$15:$M$61),装备产出!$Z$19:$Z$24,1),6),0)</f>
        <v>0</v>
      </c>
      <c r="E299" s="45" t="e">
        <f>MATCH(A299,装备属性!$AD$520:$AD$819,1)</f>
        <v>#N/A</v>
      </c>
      <c r="F299" s="73" t="e" cm="1">
        <f ca="1" t="array" ref="F299">_xlfn.XLOOKUP(B299&amp;C299,装备属性!$G$90:$G$466&amp;装备属性!$E$90:$E$466,装备属性!$I$90:$I$466)*D299+_xlfn.XLOOKUP(B299&amp;MAX(C299-10,1),装备属性!$G$90:$G$466&amp;装备属性!$E$90:$E$466,装备属性!$I$90:$I$466)*(6-D299)+_xlfn.XLOOKUP(B299&amp;C299,装备属性!$P$919:$P$955&amp;装备属性!$N$919:$N$955,装备属性!$R$919:$R$955)*D299*0.5+_xlfn.XLOOKUP(B299&amp;(MAX(C299-10,1)),装备属性!$P$919:$P$955&amp;装备属性!$N$919:$N$955,装备属性!$R$919:$R$955)*(6-D299)*0.5+_xlfn.XLOOKUP(E299,装备属性!$D$520:$D$819,装备属性!$I$520:$I$819)*6</f>
        <v>#N/A</v>
      </c>
      <c r="G299" s="73"/>
      <c r="H299" s="74"/>
      <c r="I299" s="74"/>
      <c r="J299" s="74"/>
      <c r="K299" s="56"/>
      <c r="L299" s="56"/>
      <c r="M299" s="56"/>
      <c r="N299" s="74"/>
      <c r="O299" s="74"/>
      <c r="P299" s="74"/>
    </row>
    <row r="300" ht="16.5" spans="1:16">
      <c r="A300" s="70">
        <v>294</v>
      </c>
      <c r="B300" s="45" t="str">
        <f ca="1">OFFSET(装备属性!$D$65,MATCH(A300,装备属性!$G$66:$G$73,1),0)</f>
        <v>彩</v>
      </c>
      <c r="C300" s="71">
        <f ca="1">OFFSET(装备属性!$D$14,MATCH(A300,装备属性!$H$15:$H$61,1),0)</f>
        <v>195</v>
      </c>
      <c r="D300" s="72">
        <f ca="1">IFERROR(MIN(MATCH(COUNTIFS($C$7:C300,C300,$B$7:B300,B300)*_xlfn.XLOOKUP(C300,装备属性!$D$15:$D$61,装备属性!$M$15:$M$61),装备产出!$Z$19:$Z$24,1),6),0)</f>
        <v>0</v>
      </c>
      <c r="E300" s="45" t="e">
        <f>MATCH(A300,装备属性!$AD$520:$AD$819,1)</f>
        <v>#N/A</v>
      </c>
      <c r="F300" s="73" t="e" cm="1">
        <f ca="1" t="array" ref="F300">_xlfn.XLOOKUP(B300&amp;C300,装备属性!$G$90:$G$466&amp;装备属性!$E$90:$E$466,装备属性!$I$90:$I$466)*D300+_xlfn.XLOOKUP(B300&amp;MAX(C300-10,1),装备属性!$G$90:$G$466&amp;装备属性!$E$90:$E$466,装备属性!$I$90:$I$466)*(6-D300)+_xlfn.XLOOKUP(B300&amp;C300,装备属性!$P$919:$P$955&amp;装备属性!$N$919:$N$955,装备属性!$R$919:$R$955)*D300*0.5+_xlfn.XLOOKUP(B300&amp;(MAX(C300-10,1)),装备属性!$P$919:$P$955&amp;装备属性!$N$919:$N$955,装备属性!$R$919:$R$955)*(6-D300)*0.5+_xlfn.XLOOKUP(E300,装备属性!$D$520:$D$819,装备属性!$I$520:$I$819)*6</f>
        <v>#N/A</v>
      </c>
      <c r="G300" s="73"/>
      <c r="H300" s="74"/>
      <c r="I300" s="74"/>
      <c r="J300" s="74"/>
      <c r="K300" s="56"/>
      <c r="L300" s="56"/>
      <c r="M300" s="56"/>
      <c r="N300" s="74"/>
      <c r="O300" s="74"/>
      <c r="P300" s="74"/>
    </row>
    <row r="301" ht="16.5" spans="1:16">
      <c r="A301" s="70">
        <v>295</v>
      </c>
      <c r="B301" s="45" t="str">
        <f ca="1">OFFSET(装备属性!$D$65,MATCH(A301,装备属性!$G$66:$G$73,1),0)</f>
        <v>彩</v>
      </c>
      <c r="C301" s="71">
        <f ca="1">OFFSET(装备属性!$D$14,MATCH(A301,装备属性!$H$15:$H$61,1),0)</f>
        <v>195</v>
      </c>
      <c r="D301" s="72">
        <f ca="1">IFERROR(MIN(MATCH(COUNTIFS($C$7:C301,C301,$B$7:B301,B301)*_xlfn.XLOOKUP(C301,装备属性!$D$15:$D$61,装备属性!$M$15:$M$61),装备产出!$Z$19:$Z$24,1),6),0)</f>
        <v>0</v>
      </c>
      <c r="E301" s="45" t="e">
        <f>MATCH(A301,装备属性!$AD$520:$AD$819,1)</f>
        <v>#N/A</v>
      </c>
      <c r="F301" s="73" t="e" cm="1">
        <f ca="1" t="array" ref="F301">_xlfn.XLOOKUP(B301&amp;C301,装备属性!$G$90:$G$466&amp;装备属性!$E$90:$E$466,装备属性!$I$90:$I$466)*D301+_xlfn.XLOOKUP(B301&amp;MAX(C301-10,1),装备属性!$G$90:$G$466&amp;装备属性!$E$90:$E$466,装备属性!$I$90:$I$466)*(6-D301)+_xlfn.XLOOKUP(B301&amp;C301,装备属性!$P$919:$P$955&amp;装备属性!$N$919:$N$955,装备属性!$R$919:$R$955)*D301*0.5+_xlfn.XLOOKUP(B301&amp;(MAX(C301-10,1)),装备属性!$P$919:$P$955&amp;装备属性!$N$919:$N$955,装备属性!$R$919:$R$955)*(6-D301)*0.5+_xlfn.XLOOKUP(E301,装备属性!$D$520:$D$819,装备属性!$I$520:$I$819)*6</f>
        <v>#N/A</v>
      </c>
      <c r="G301" s="73"/>
      <c r="H301" s="74"/>
      <c r="I301" s="74"/>
      <c r="J301" s="74"/>
      <c r="K301" s="56"/>
      <c r="L301" s="56"/>
      <c r="M301" s="56"/>
      <c r="N301" s="74"/>
      <c r="O301" s="74"/>
      <c r="P301" s="74"/>
    </row>
    <row r="302" ht="16.5" spans="1:16">
      <c r="A302" s="70">
        <v>296</v>
      </c>
      <c r="B302" s="45" t="str">
        <f ca="1">OFFSET(装备属性!$D$65,MATCH(A302,装备属性!$G$66:$G$73,1),0)</f>
        <v>彩</v>
      </c>
      <c r="C302" s="71">
        <f ca="1">OFFSET(装备属性!$D$14,MATCH(A302,装备属性!$H$15:$H$61,1),0)</f>
        <v>195</v>
      </c>
      <c r="D302" s="72">
        <f ca="1">IFERROR(MIN(MATCH(COUNTIFS($C$7:C302,C302,$B$7:B302,B302)*_xlfn.XLOOKUP(C302,装备属性!$D$15:$D$61,装备属性!$M$15:$M$61),装备产出!$Z$19:$Z$24,1),6),0)</f>
        <v>0</v>
      </c>
      <c r="E302" s="45" t="e">
        <f>MATCH(A302,装备属性!$AD$520:$AD$819,1)</f>
        <v>#N/A</v>
      </c>
      <c r="F302" s="73" t="e" cm="1">
        <f ca="1" t="array" ref="F302">_xlfn.XLOOKUP(B302&amp;C302,装备属性!$G$90:$G$466&amp;装备属性!$E$90:$E$466,装备属性!$I$90:$I$466)*D302+_xlfn.XLOOKUP(B302&amp;MAX(C302-10,1),装备属性!$G$90:$G$466&amp;装备属性!$E$90:$E$466,装备属性!$I$90:$I$466)*(6-D302)+_xlfn.XLOOKUP(B302&amp;C302,装备属性!$P$919:$P$955&amp;装备属性!$N$919:$N$955,装备属性!$R$919:$R$955)*D302*0.5+_xlfn.XLOOKUP(B302&amp;(MAX(C302-10,1)),装备属性!$P$919:$P$955&amp;装备属性!$N$919:$N$955,装备属性!$R$919:$R$955)*(6-D302)*0.5+_xlfn.XLOOKUP(E302,装备属性!$D$520:$D$819,装备属性!$I$520:$I$819)*6</f>
        <v>#N/A</v>
      </c>
      <c r="G302" s="73"/>
      <c r="H302" s="74"/>
      <c r="I302" s="74"/>
      <c r="J302" s="74"/>
      <c r="K302" s="56"/>
      <c r="L302" s="56"/>
      <c r="M302" s="56"/>
      <c r="N302" s="74"/>
      <c r="O302" s="74"/>
      <c r="P302" s="74"/>
    </row>
    <row r="303" ht="16.5" spans="1:16">
      <c r="A303" s="70">
        <v>297</v>
      </c>
      <c r="B303" s="45" t="str">
        <f ca="1">OFFSET(装备属性!$D$65,MATCH(A303,装备属性!$G$66:$G$73,1),0)</f>
        <v>彩</v>
      </c>
      <c r="C303" s="71">
        <f ca="1">OFFSET(装备属性!$D$14,MATCH(A303,装备属性!$H$15:$H$61,1),0)</f>
        <v>195</v>
      </c>
      <c r="D303" s="72">
        <f ca="1">IFERROR(MIN(MATCH(COUNTIFS($C$7:C303,C303,$B$7:B303,B303)*_xlfn.XLOOKUP(C303,装备属性!$D$15:$D$61,装备属性!$M$15:$M$61),装备产出!$Z$19:$Z$24,1),6),0)</f>
        <v>0</v>
      </c>
      <c r="E303" s="45" t="e">
        <f>MATCH(A303,装备属性!$AD$520:$AD$819,1)</f>
        <v>#N/A</v>
      </c>
      <c r="F303" s="73" t="e" cm="1">
        <f ca="1" t="array" ref="F303">_xlfn.XLOOKUP(B303&amp;C303,装备属性!$G$90:$G$466&amp;装备属性!$E$90:$E$466,装备属性!$I$90:$I$466)*D303+_xlfn.XLOOKUP(B303&amp;MAX(C303-10,1),装备属性!$G$90:$G$466&amp;装备属性!$E$90:$E$466,装备属性!$I$90:$I$466)*(6-D303)+_xlfn.XLOOKUP(B303&amp;C303,装备属性!$P$919:$P$955&amp;装备属性!$N$919:$N$955,装备属性!$R$919:$R$955)*D303*0.5+_xlfn.XLOOKUP(B303&amp;(MAX(C303-10,1)),装备属性!$P$919:$P$955&amp;装备属性!$N$919:$N$955,装备属性!$R$919:$R$955)*(6-D303)*0.5+_xlfn.XLOOKUP(E303,装备属性!$D$520:$D$819,装备属性!$I$520:$I$819)*6</f>
        <v>#N/A</v>
      </c>
      <c r="G303" s="73"/>
      <c r="H303" s="74"/>
      <c r="I303" s="74"/>
      <c r="J303" s="74"/>
      <c r="K303" s="56"/>
      <c r="L303" s="56"/>
      <c r="M303" s="56"/>
      <c r="N303" s="74"/>
      <c r="O303" s="74"/>
      <c r="P303" s="74"/>
    </row>
    <row r="304" ht="16.5" spans="1:16">
      <c r="A304" s="70">
        <v>298</v>
      </c>
      <c r="B304" s="45" t="str">
        <f ca="1">OFFSET(装备属性!$D$65,MATCH(A304,装备属性!$G$66:$G$73,1),0)</f>
        <v>彩</v>
      </c>
      <c r="C304" s="71">
        <f ca="1">OFFSET(装备属性!$D$14,MATCH(A304,装备属性!$H$15:$H$61,1),0)</f>
        <v>195</v>
      </c>
      <c r="D304" s="72">
        <f ca="1">IFERROR(MIN(MATCH(COUNTIFS($C$7:C304,C304,$B$7:B304,B304)*_xlfn.XLOOKUP(C304,装备属性!$D$15:$D$61,装备属性!$M$15:$M$61),装备产出!$Z$19:$Z$24,1),6),0)</f>
        <v>1</v>
      </c>
      <c r="E304" s="45" t="e">
        <f>MATCH(A304,装备属性!$AD$520:$AD$819,1)</f>
        <v>#N/A</v>
      </c>
      <c r="F304" s="73" t="e" cm="1">
        <f ca="1" t="array" ref="F304">_xlfn.XLOOKUP(B304&amp;C304,装备属性!$G$90:$G$466&amp;装备属性!$E$90:$E$466,装备属性!$I$90:$I$466)*D304+_xlfn.XLOOKUP(B304&amp;MAX(C304-10,1),装备属性!$G$90:$G$466&amp;装备属性!$E$90:$E$466,装备属性!$I$90:$I$466)*(6-D304)+_xlfn.XLOOKUP(B304&amp;C304,装备属性!$P$919:$P$955&amp;装备属性!$N$919:$N$955,装备属性!$R$919:$R$955)*D304*0.5+_xlfn.XLOOKUP(B304&amp;(MAX(C304-10,1)),装备属性!$P$919:$P$955&amp;装备属性!$N$919:$N$955,装备属性!$R$919:$R$955)*(6-D304)*0.5+_xlfn.XLOOKUP(E304,装备属性!$D$520:$D$819,装备属性!$I$520:$I$819)*6</f>
        <v>#N/A</v>
      </c>
      <c r="G304" s="73"/>
      <c r="H304" s="74"/>
      <c r="I304" s="74"/>
      <c r="J304" s="74"/>
      <c r="K304" s="56"/>
      <c r="L304" s="56"/>
      <c r="M304" s="56"/>
      <c r="N304" s="74"/>
      <c r="O304" s="74"/>
      <c r="P304" s="74"/>
    </row>
    <row r="305" ht="16.5" spans="1:16">
      <c r="A305" s="70">
        <v>299</v>
      </c>
      <c r="B305" s="45" t="str">
        <f ca="1">OFFSET(装备属性!$D$65,MATCH(A305,装备属性!$G$66:$G$73,1),0)</f>
        <v>彩</v>
      </c>
      <c r="C305" s="71">
        <f ca="1">OFFSET(装备属性!$D$14,MATCH(A305,装备属性!$H$15:$H$61,1),0)</f>
        <v>195</v>
      </c>
      <c r="D305" s="72">
        <f ca="1">IFERROR(MIN(MATCH(COUNTIFS($C$7:C305,C305,$B$7:B305,B305)*_xlfn.XLOOKUP(C305,装备属性!$D$15:$D$61,装备属性!$M$15:$M$61),装备产出!$Z$19:$Z$24,1),6),0)</f>
        <v>1</v>
      </c>
      <c r="E305" s="45" t="e">
        <f>MATCH(A305,装备属性!$AD$520:$AD$819,1)</f>
        <v>#N/A</v>
      </c>
      <c r="F305" s="73" t="e" cm="1">
        <f ca="1" t="array" ref="F305">_xlfn.XLOOKUP(B305&amp;C305,装备属性!$G$90:$G$466&amp;装备属性!$E$90:$E$466,装备属性!$I$90:$I$466)*D305+_xlfn.XLOOKUP(B305&amp;MAX(C305-10,1),装备属性!$G$90:$G$466&amp;装备属性!$E$90:$E$466,装备属性!$I$90:$I$466)*(6-D305)+_xlfn.XLOOKUP(B305&amp;C305,装备属性!$P$919:$P$955&amp;装备属性!$N$919:$N$955,装备属性!$R$919:$R$955)*D305*0.5+_xlfn.XLOOKUP(B305&amp;(MAX(C305-10,1)),装备属性!$P$919:$P$955&amp;装备属性!$N$919:$N$955,装备属性!$R$919:$R$955)*(6-D305)*0.5+_xlfn.XLOOKUP(E305,装备属性!$D$520:$D$819,装备属性!$I$520:$I$819)*6</f>
        <v>#N/A</v>
      </c>
      <c r="G305" s="73"/>
      <c r="H305" s="74"/>
      <c r="I305" s="74"/>
      <c r="J305" s="74"/>
      <c r="K305" s="56"/>
      <c r="L305" s="56"/>
      <c r="M305" s="56"/>
      <c r="N305" s="74"/>
      <c r="O305" s="74"/>
      <c r="P305" s="74"/>
    </row>
    <row r="306" ht="16.5" spans="1:16">
      <c r="A306" s="70">
        <v>300</v>
      </c>
      <c r="B306" s="45" t="str">
        <f ca="1">OFFSET(装备属性!$D$65,MATCH(A306,装备属性!$G$66:$G$73,1),0)</f>
        <v>彩</v>
      </c>
      <c r="C306" s="71">
        <f ca="1">OFFSET(装备属性!$D$14,MATCH(A306,装备属性!$H$15:$H$61,1),0)</f>
        <v>195</v>
      </c>
      <c r="D306" s="72">
        <f ca="1">IFERROR(MIN(MATCH(COUNTIFS($C$7:C306,C306,$B$7:B306,B306)*_xlfn.XLOOKUP(C306,装备属性!$D$15:$D$61,装备属性!$M$15:$M$61),装备产出!$Z$19:$Z$24,1),6),0)</f>
        <v>1</v>
      </c>
      <c r="E306" s="45" t="e">
        <f>MATCH(A306,装备属性!$AD$520:$AD$819,1)</f>
        <v>#N/A</v>
      </c>
      <c r="F306" s="73" t="e" cm="1">
        <f ca="1" t="array" ref="F306">_xlfn.XLOOKUP(B306&amp;C306,装备属性!$G$90:$G$466&amp;装备属性!$E$90:$E$466,装备属性!$I$90:$I$466)*D306+_xlfn.XLOOKUP(B306&amp;MAX(C306-10,1),装备属性!$G$90:$G$466&amp;装备属性!$E$90:$E$466,装备属性!$I$90:$I$466)*(6-D306)+_xlfn.XLOOKUP(B306&amp;C306,装备属性!$P$919:$P$955&amp;装备属性!$N$919:$N$955,装备属性!$R$919:$R$955)*D306*0.5+_xlfn.XLOOKUP(B306&amp;(MAX(C306-10,1)),装备属性!$P$919:$P$955&amp;装备属性!$N$919:$N$955,装备属性!$R$919:$R$955)*(6-D306)*0.5+_xlfn.XLOOKUP(E306,装备属性!$D$520:$D$819,装备属性!$I$520:$I$819)*6</f>
        <v>#N/A</v>
      </c>
      <c r="G306" s="73"/>
      <c r="H306" s="74"/>
      <c r="I306" s="74"/>
      <c r="J306" s="74"/>
      <c r="K306" s="56"/>
      <c r="L306" s="56"/>
      <c r="M306" s="56"/>
      <c r="N306" s="74"/>
      <c r="O306" s="74"/>
      <c r="P306" s="74"/>
    </row>
    <row r="307" ht="16.5" spans="1:16">
      <c r="A307" s="70"/>
    </row>
    <row r="308" ht="16.5" spans="1:16">
      <c r="A308" s="70"/>
    </row>
    <row r="309" ht="16.5" spans="1:16">
      <c r="A309" s="70"/>
    </row>
    <row r="310" ht="16.5" spans="1:16">
      <c r="A310" s="70"/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W500"/>
  <sheetViews>
    <sheetView zoomScale="85" zoomScaleNormal="85" workbookViewId="0">
      <selection activeCell="AD21" sqref="AD21"/>
    </sheetView>
  </sheetViews>
  <sheetFormatPr defaultColWidth="9.14285714285714" defaultRowHeight="16.5"/>
  <cols>
    <col min="1" max="1" width="9.14285714285714" style="45"/>
    <col min="2" max="2" width="14.5714285714286" style="45"/>
    <col min="3" max="4" width="9.14285714285714" style="45"/>
    <col min="5" max="5" width="14.5714285714286" style="45"/>
    <col min="6" max="11" width="9.14285714285714" style="45"/>
    <col min="12" max="12" width="11" style="46" customWidth="1"/>
    <col min="13" max="13" width="11.1428571428571" style="45"/>
    <col min="14" max="14" width="12.8571428571429" style="45" hidden="1" customWidth="1"/>
    <col min="15" max="19" width="9.14285714285714" style="45" hidden="1" customWidth="1"/>
    <col min="20" max="20" width="9.14285714285714" style="45"/>
    <col min="21" max="21" width="14.5714285714286" style="45"/>
    <col min="22" max="28" width="9.42857142857143" style="45" customWidth="1"/>
    <col min="29" max="30" width="14.5714285714286" style="45"/>
    <col min="31" max="31" width="12.2857142857143" style="45"/>
    <col min="32" max="33" width="11.2571428571429" style="45" customWidth="1"/>
    <col min="34" max="39" width="14.5714285714286" style="45"/>
    <col min="40" max="44" width="9.14285714285714" style="45"/>
    <col min="45" max="45" width="14.5714285714286" style="45"/>
    <col min="46" max="46" width="9.14285714285714" style="45"/>
    <col min="47" max="47" width="9.57142857142857" style="45"/>
    <col min="48" max="48" width="14.5714285714286" style="45"/>
    <col min="49" max="16384" width="9.14285714285714" style="45"/>
  </cols>
  <sheetData>
    <row r="1" spans="1:48">
      <c r="I1" s="45">
        <f>F4*4*5+F4*16*5/2</f>
        <v>3</v>
      </c>
      <c r="M1" s="45" t="s">
        <v>579</v>
      </c>
      <c r="N1" s="47">
        <v>0</v>
      </c>
      <c r="O1" s="45" t="s">
        <v>580</v>
      </c>
      <c r="P1" s="47">
        <v>1</v>
      </c>
      <c r="Q1" s="45" t="s">
        <v>581</v>
      </c>
      <c r="R1" s="47">
        <v>0</v>
      </c>
    </row>
    <row r="2" spans="1:48">
      <c r="AS2" s="45" t="s">
        <v>582</v>
      </c>
    </row>
    <row r="3" ht="18" spans="1:48">
      <c r="A3" s="45" t="s">
        <v>583</v>
      </c>
      <c r="B3" s="48" t="s">
        <v>58</v>
      </c>
      <c r="C3" s="48" t="s">
        <v>59</v>
      </c>
      <c r="D3" s="48" t="s">
        <v>31</v>
      </c>
      <c r="E3" s="48" t="s">
        <v>32</v>
      </c>
      <c r="F3" s="48" t="s">
        <v>33</v>
      </c>
      <c r="G3" s="48" t="s">
        <v>34</v>
      </c>
      <c r="H3" s="49" t="s">
        <v>35</v>
      </c>
      <c r="I3" s="49" t="s">
        <v>36</v>
      </c>
      <c r="M3" s="50" t="s">
        <v>584</v>
      </c>
      <c r="N3" s="50" t="s">
        <v>585</v>
      </c>
      <c r="O3" s="50" t="s">
        <v>586</v>
      </c>
      <c r="P3" s="50" t="s">
        <v>587</v>
      </c>
      <c r="Q3" s="50" t="s">
        <v>588</v>
      </c>
      <c r="R3" s="50" t="s">
        <v>589</v>
      </c>
      <c r="S3" s="50" t="s">
        <v>590</v>
      </c>
      <c r="T3" s="50"/>
      <c r="U3" s="50" t="s">
        <v>591</v>
      </c>
      <c r="V3" s="50" t="s">
        <v>592</v>
      </c>
      <c r="W3" s="50" t="s">
        <v>593</v>
      </c>
      <c r="X3" s="50" t="s">
        <v>594</v>
      </c>
      <c r="Y3" s="50" t="s">
        <v>595</v>
      </c>
      <c r="Z3" s="50" t="s">
        <v>596</v>
      </c>
      <c r="AA3" s="50" t="s">
        <v>597</v>
      </c>
      <c r="AB3" s="50" t="s">
        <v>597</v>
      </c>
      <c r="AC3" s="50" t="s">
        <v>598</v>
      </c>
      <c r="AD3" s="50" t="s">
        <v>599</v>
      </c>
      <c r="AE3" s="50" t="s">
        <v>600</v>
      </c>
      <c r="AF3" s="50" t="s">
        <v>601</v>
      </c>
      <c r="AG3" s="50" t="s">
        <v>602</v>
      </c>
      <c r="AH3" s="50" t="s">
        <v>603</v>
      </c>
      <c r="AI3" s="50" t="s">
        <v>604</v>
      </c>
      <c r="AM3" s="45" t="s">
        <v>605</v>
      </c>
      <c r="AN3" s="45" t="s">
        <v>606</v>
      </c>
      <c r="AQ3" s="45" t="s">
        <v>607</v>
      </c>
      <c r="AR3" s="45" t="s">
        <v>608</v>
      </c>
      <c r="AU3" s="45" t="s">
        <v>609</v>
      </c>
    </row>
    <row r="4" ht="17.25" spans="1:48">
      <c r="A4" s="45">
        <v>1</v>
      </c>
      <c r="B4" s="51">
        <f>1-SUM(C4:I4)</f>
        <v>0.1</v>
      </c>
      <c r="C4" s="51">
        <v>0.35</v>
      </c>
      <c r="D4" s="51">
        <v>0.3</v>
      </c>
      <c r="E4" s="51">
        <v>0.2</v>
      </c>
      <c r="F4" s="51">
        <v>0.05</v>
      </c>
      <c r="G4" s="51"/>
      <c r="H4" s="51"/>
      <c r="I4" s="51"/>
      <c r="J4" s="45">
        <f>SUM(D4:F4)/2</f>
        <v>0.275</v>
      </c>
      <c r="K4" s="45">
        <f>F4*J4</f>
        <v>0.01375</v>
      </c>
      <c r="L4" s="46" t="s">
        <v>610</v>
      </c>
      <c r="M4" s="52">
        <f>B4*$N$1</f>
        <v>0</v>
      </c>
      <c r="N4" s="52">
        <f t="shared" ref="N4:S4" si="0">C4*$N$1</f>
        <v>0</v>
      </c>
      <c r="O4" s="52">
        <f t="shared" si="0"/>
        <v>0</v>
      </c>
      <c r="P4" s="52">
        <f t="shared" si="0"/>
        <v>0</v>
      </c>
      <c r="Q4" s="52">
        <f t="shared" si="0"/>
        <v>0</v>
      </c>
      <c r="R4" s="52">
        <f t="shared" si="0"/>
        <v>0</v>
      </c>
      <c r="S4" s="52">
        <f t="shared" si="0"/>
        <v>0</v>
      </c>
      <c r="T4" s="52"/>
      <c r="U4" s="52"/>
      <c r="V4" s="52"/>
      <c r="W4" s="52"/>
      <c r="X4" s="53">
        <f>50%-Y4</f>
        <v>0.25</v>
      </c>
      <c r="Y4" s="53">
        <f>MIN($E4:$I4)*5</f>
        <v>0.25</v>
      </c>
      <c r="Z4" s="52"/>
      <c r="AA4" s="52"/>
      <c r="AB4" s="52"/>
      <c r="AC4" s="54"/>
      <c r="AD4" s="54"/>
      <c r="AE4" s="54"/>
      <c r="AF4" s="54"/>
      <c r="AG4" s="54"/>
      <c r="AH4" s="54"/>
      <c r="AI4" s="54"/>
      <c r="AL4" s="55">
        <v>0.005</v>
      </c>
      <c r="AM4" s="45">
        <f>AL4*4*5</f>
        <v>0.1</v>
      </c>
      <c r="AN4" s="45">
        <f>AL4/2*16*5</f>
        <v>0.2</v>
      </c>
      <c r="AO4" s="45">
        <f t="shared" ref="AO4:AO23" si="1">AN4+AM4</f>
        <v>0.3</v>
      </c>
      <c r="AQ4" s="45">
        <f>AL4*5</f>
        <v>0.025</v>
      </c>
      <c r="AR4" s="45">
        <f>AL4*0.4*5</f>
        <v>0.01</v>
      </c>
      <c r="AS4" s="45">
        <f>AQ4*4+AR4*4</f>
        <v>0.14</v>
      </c>
      <c r="AT4" s="45">
        <f>AR4*16</f>
        <v>0.16</v>
      </c>
      <c r="AU4" s="45">
        <f>AT4+AS4</f>
        <v>0.3</v>
      </c>
      <c r="AV4" s="56">
        <f>AS4/AU4</f>
        <v>0.466666666666667</v>
      </c>
    </row>
    <row r="5" ht="17.25" spans="1:48">
      <c r="A5" s="45">
        <v>2</v>
      </c>
      <c r="B5" s="51">
        <v>0.1</v>
      </c>
      <c r="C5" s="51">
        <v>0.15</v>
      </c>
      <c r="D5" s="51">
        <v>0.4</v>
      </c>
      <c r="E5" s="51">
        <v>0.25</v>
      </c>
      <c r="F5" s="51">
        <v>0.1</v>
      </c>
      <c r="G5" s="51"/>
      <c r="H5" s="51"/>
      <c r="I5" s="51"/>
      <c r="J5" s="45">
        <f>SUM(D5:F5)/2</f>
        <v>0.375</v>
      </c>
      <c r="K5" s="45">
        <f>F5*J5</f>
        <v>0.0375</v>
      </c>
      <c r="L5" s="46" t="s">
        <v>611</v>
      </c>
      <c r="M5" s="52">
        <f t="shared" ref="M5:M18" si="2">B5*$N$1</f>
        <v>0</v>
      </c>
      <c r="N5" s="52">
        <f t="shared" ref="N5:N18" si="3">C5*$N$1</f>
        <v>0</v>
      </c>
      <c r="O5" s="52">
        <f t="shared" ref="O5:O18" si="4">D5*$N$1</f>
        <v>0</v>
      </c>
      <c r="P5" s="52">
        <f t="shared" ref="P5:P18" si="5">E5*$N$1</f>
        <v>0</v>
      </c>
      <c r="Q5" s="52">
        <f t="shared" ref="Q5:Q18" si="6">F5*$N$1</f>
        <v>0</v>
      </c>
      <c r="R5" s="52">
        <f t="shared" ref="R5:R18" si="7">G5*$N$1</f>
        <v>0</v>
      </c>
      <c r="S5" s="52">
        <f t="shared" ref="S5:S18" si="8">H5*$N$1</f>
        <v>0</v>
      </c>
      <c r="T5" s="52"/>
      <c r="U5" s="52"/>
      <c r="V5" s="52"/>
      <c r="W5" s="52"/>
      <c r="X5" s="53">
        <f>50%-Y5</f>
        <v>0</v>
      </c>
      <c r="Y5" s="53">
        <f>MIN($E5:$I5)*5</f>
        <v>0.5</v>
      </c>
      <c r="Z5" s="52"/>
      <c r="AA5" s="52"/>
      <c r="AB5" s="52"/>
      <c r="AC5" s="54"/>
      <c r="AD5" s="54"/>
      <c r="AE5" s="54"/>
      <c r="AF5" s="54"/>
      <c r="AG5" s="54"/>
      <c r="AH5" s="54"/>
      <c r="AI5" s="54"/>
      <c r="AL5" s="57">
        <v>0.01</v>
      </c>
      <c r="AM5" s="45">
        <f t="shared" ref="AM5:AM23" si="9">AL5*4*5</f>
        <v>0.2</v>
      </c>
      <c r="AN5" s="45">
        <f>AL5/2*16*5</f>
        <v>0.4</v>
      </c>
      <c r="AO5" s="45">
        <f t="shared" si="1"/>
        <v>0.6</v>
      </c>
      <c r="AQ5" s="45">
        <f t="shared" ref="AQ5:AQ23" si="10">AL5*5</f>
        <v>0.05</v>
      </c>
      <c r="AR5" s="45">
        <f t="shared" ref="AR5:AR23" si="11">AL5*0.4*5</f>
        <v>0.02</v>
      </c>
      <c r="AS5" s="45">
        <f t="shared" ref="AS5:AS23" si="12">AQ5*4+AR5*4</f>
        <v>0.28</v>
      </c>
      <c r="AT5" s="45">
        <f t="shared" ref="AT5:AT23" si="13">AR5*16</f>
        <v>0.32</v>
      </c>
      <c r="AU5" s="45">
        <f t="shared" ref="AU5:AU23" si="14">AT5+AS5</f>
        <v>0.6</v>
      </c>
      <c r="AV5" s="56">
        <f t="shared" ref="AV5:AV23" si="15">AS5/AU5</f>
        <v>0.466666666666667</v>
      </c>
    </row>
    <row r="6" ht="17.25" spans="1:48">
      <c r="A6" s="45">
        <v>3</v>
      </c>
      <c r="B6" s="51">
        <v>0.05</v>
      </c>
      <c r="C6" s="51">
        <v>0.15</v>
      </c>
      <c r="D6" s="51">
        <v>0.4</v>
      </c>
      <c r="E6" s="51">
        <v>0.25</v>
      </c>
      <c r="F6" s="51">
        <v>0.125</v>
      </c>
      <c r="G6" s="51">
        <v>0.025</v>
      </c>
      <c r="H6" s="51"/>
      <c r="I6" s="51"/>
      <c r="J6" s="45">
        <f>SUM(E6:G6)/2</f>
        <v>0.2</v>
      </c>
      <c r="K6" s="45">
        <f>SUM(F6+G6)*J6</f>
        <v>0.03</v>
      </c>
      <c r="L6" s="46" t="s">
        <v>612</v>
      </c>
      <c r="M6" s="52">
        <f t="shared" si="2"/>
        <v>0</v>
      </c>
      <c r="N6" s="52">
        <f t="shared" si="3"/>
        <v>0</v>
      </c>
      <c r="O6" s="52">
        <f t="shared" si="4"/>
        <v>0</v>
      </c>
      <c r="P6" s="52">
        <f t="shared" si="5"/>
        <v>0</v>
      </c>
      <c r="Q6" s="52">
        <f t="shared" si="6"/>
        <v>0</v>
      </c>
      <c r="R6" s="52">
        <f t="shared" si="7"/>
        <v>0</v>
      </c>
      <c r="S6" s="52">
        <f t="shared" si="8"/>
        <v>0</v>
      </c>
      <c r="T6" s="52"/>
      <c r="U6" s="52"/>
      <c r="V6" s="52"/>
      <c r="W6" s="52"/>
      <c r="X6" s="52"/>
      <c r="Y6" s="53">
        <f>50%-Z6</f>
        <v>0.375</v>
      </c>
      <c r="Z6" s="53">
        <f>MIN($E6:$I6)*5</f>
        <v>0.125</v>
      </c>
      <c r="AA6" s="53"/>
      <c r="AB6" s="53"/>
      <c r="AC6" s="54"/>
      <c r="AD6" s="54"/>
      <c r="AE6" s="54"/>
      <c r="AF6" s="54"/>
      <c r="AG6" s="54"/>
      <c r="AH6" s="54"/>
      <c r="AI6" s="54"/>
      <c r="AL6" s="57">
        <v>0.015</v>
      </c>
      <c r="AM6" s="45">
        <f t="shared" si="9"/>
        <v>0.3</v>
      </c>
      <c r="AN6" s="45">
        <f t="shared" ref="AN5:AN23" si="16">AL6/2*16*5</f>
        <v>0.6</v>
      </c>
      <c r="AO6" s="45">
        <f t="shared" si="1"/>
        <v>0.9</v>
      </c>
      <c r="AQ6" s="45">
        <f t="shared" si="10"/>
        <v>0.075</v>
      </c>
      <c r="AR6" s="45">
        <f t="shared" si="11"/>
        <v>0.03</v>
      </c>
      <c r="AS6" s="45">
        <f t="shared" si="12"/>
        <v>0.42</v>
      </c>
      <c r="AT6" s="45">
        <f t="shared" si="13"/>
        <v>0.48</v>
      </c>
      <c r="AU6" s="45">
        <f t="shared" si="14"/>
        <v>0.9</v>
      </c>
      <c r="AV6" s="56">
        <f t="shared" si="15"/>
        <v>0.466666666666667</v>
      </c>
    </row>
    <row r="7" ht="17.25" spans="1:48">
      <c r="A7" s="45">
        <v>4</v>
      </c>
      <c r="B7" s="51">
        <v>0.025</v>
      </c>
      <c r="C7" s="51">
        <v>0.15</v>
      </c>
      <c r="D7" s="51">
        <v>0.4</v>
      </c>
      <c r="E7" s="51">
        <v>0.25</v>
      </c>
      <c r="F7" s="51">
        <v>0.125</v>
      </c>
      <c r="G7" s="51">
        <v>0.05</v>
      </c>
      <c r="H7" s="51"/>
      <c r="I7" s="51"/>
      <c r="J7" s="45">
        <f>SUM(E7:G7)/2</f>
        <v>0.2125</v>
      </c>
      <c r="K7" s="45">
        <f>SUM(F7+G7)*J7</f>
        <v>0.0371875</v>
      </c>
      <c r="L7" s="46" t="s">
        <v>613</v>
      </c>
      <c r="M7" s="52">
        <f t="shared" si="2"/>
        <v>0</v>
      </c>
      <c r="N7" s="52">
        <f t="shared" si="3"/>
        <v>0</v>
      </c>
      <c r="O7" s="52">
        <f t="shared" si="4"/>
        <v>0</v>
      </c>
      <c r="P7" s="52">
        <f t="shared" si="5"/>
        <v>0</v>
      </c>
      <c r="Q7" s="52">
        <f t="shared" si="6"/>
        <v>0</v>
      </c>
      <c r="R7" s="52">
        <f t="shared" si="7"/>
        <v>0</v>
      </c>
      <c r="S7" s="52">
        <f t="shared" si="8"/>
        <v>0</v>
      </c>
      <c r="T7" s="52"/>
      <c r="U7" s="52"/>
      <c r="V7" s="52"/>
      <c r="W7" s="52"/>
      <c r="X7" s="52"/>
      <c r="Y7" s="53">
        <f>50%-Z7</f>
        <v>0.25</v>
      </c>
      <c r="Z7" s="53">
        <f>MIN($E7:$I7)*5</f>
        <v>0.25</v>
      </c>
      <c r="AA7" s="53"/>
      <c r="AB7" s="53"/>
      <c r="AC7" s="54"/>
      <c r="AD7" s="54"/>
      <c r="AE7" s="54"/>
      <c r="AF7" s="54"/>
      <c r="AG7" s="54"/>
      <c r="AH7" s="54"/>
      <c r="AI7" s="54"/>
      <c r="AL7" s="57">
        <v>0.02</v>
      </c>
      <c r="AM7" s="45">
        <f t="shared" si="9"/>
        <v>0.4</v>
      </c>
      <c r="AN7" s="45">
        <f t="shared" si="16"/>
        <v>0.8</v>
      </c>
      <c r="AO7" s="45">
        <f t="shared" si="1"/>
        <v>1.2</v>
      </c>
      <c r="AQ7" s="45">
        <f t="shared" si="10"/>
        <v>0.1</v>
      </c>
      <c r="AR7" s="45">
        <f t="shared" si="11"/>
        <v>0.04</v>
      </c>
      <c r="AS7" s="45">
        <f t="shared" si="12"/>
        <v>0.56</v>
      </c>
      <c r="AT7" s="45">
        <f t="shared" si="13"/>
        <v>0.64</v>
      </c>
      <c r="AU7" s="45">
        <f t="shared" si="14"/>
        <v>1.2</v>
      </c>
      <c r="AV7" s="56">
        <f t="shared" si="15"/>
        <v>0.466666666666667</v>
      </c>
    </row>
    <row r="8" ht="17.25" spans="1:48">
      <c r="A8" s="45">
        <v>5</v>
      </c>
      <c r="B8" s="51">
        <f t="shared" ref="B8:B18" si="17">1-SUM(C8:I8)</f>
        <v>0</v>
      </c>
      <c r="C8" s="51">
        <f t="shared" ref="C8:C18" si="18">1-SUM(D8:I8)</f>
        <v>0.125</v>
      </c>
      <c r="D8" s="51">
        <v>0.4</v>
      </c>
      <c r="E8" s="51">
        <v>0.25</v>
      </c>
      <c r="F8" s="51">
        <v>0.15</v>
      </c>
      <c r="G8" s="51">
        <v>0.075</v>
      </c>
      <c r="H8" s="51"/>
      <c r="I8" s="51"/>
      <c r="J8" s="45">
        <f>SUM(E8:G8)/2</f>
        <v>0.2375</v>
      </c>
      <c r="K8" s="45">
        <f>SUM(G8)*J8</f>
        <v>0.0178125</v>
      </c>
      <c r="L8" s="46" t="s">
        <v>614</v>
      </c>
      <c r="M8" s="52">
        <f t="shared" si="2"/>
        <v>0</v>
      </c>
      <c r="N8" s="52">
        <f t="shared" si="3"/>
        <v>0</v>
      </c>
      <c r="O8" s="52">
        <f t="shared" si="4"/>
        <v>0</v>
      </c>
      <c r="P8" s="52">
        <f t="shared" si="5"/>
        <v>0</v>
      </c>
      <c r="Q8" s="52">
        <f t="shared" si="6"/>
        <v>0</v>
      </c>
      <c r="R8" s="52">
        <f t="shared" si="7"/>
        <v>0</v>
      </c>
      <c r="S8" s="52">
        <f t="shared" si="8"/>
        <v>0</v>
      </c>
      <c r="T8" s="52"/>
      <c r="U8" s="52"/>
      <c r="V8" s="52"/>
      <c r="W8" s="52"/>
      <c r="X8" s="52"/>
      <c r="Y8" s="53">
        <f>50%-Z8</f>
        <v>0.125</v>
      </c>
      <c r="Z8" s="53">
        <f>MIN($E8:$I8)*5</f>
        <v>0.375</v>
      </c>
      <c r="AA8" s="53"/>
      <c r="AB8" s="53"/>
      <c r="AC8" s="54"/>
      <c r="AD8" s="54"/>
      <c r="AE8" s="54"/>
      <c r="AF8" s="54"/>
      <c r="AG8" s="54"/>
      <c r="AH8" s="54"/>
      <c r="AI8" s="54"/>
      <c r="AL8" s="57">
        <v>0.025</v>
      </c>
      <c r="AM8" s="45">
        <f t="shared" si="9"/>
        <v>0.5</v>
      </c>
      <c r="AN8" s="45">
        <f t="shared" si="16"/>
        <v>1</v>
      </c>
      <c r="AO8" s="45">
        <f t="shared" si="1"/>
        <v>1.5</v>
      </c>
      <c r="AQ8" s="45">
        <f t="shared" si="10"/>
        <v>0.125</v>
      </c>
      <c r="AR8" s="45">
        <f t="shared" si="11"/>
        <v>0.05</v>
      </c>
      <c r="AS8" s="45">
        <f t="shared" si="12"/>
        <v>0.7</v>
      </c>
      <c r="AT8" s="45">
        <f t="shared" si="13"/>
        <v>0.8</v>
      </c>
      <c r="AU8" s="45">
        <f t="shared" si="14"/>
        <v>1.5</v>
      </c>
      <c r="AV8" s="56">
        <f t="shared" si="15"/>
        <v>0.466666666666667</v>
      </c>
    </row>
    <row r="9" ht="17.25" spans="1:48">
      <c r="A9" s="45">
        <v>6</v>
      </c>
      <c r="B9" s="51">
        <f t="shared" si="17"/>
        <v>0</v>
      </c>
      <c r="C9" s="51">
        <v>0.075</v>
      </c>
      <c r="D9" s="51">
        <v>0.4</v>
      </c>
      <c r="E9" s="51">
        <v>0.25</v>
      </c>
      <c r="F9" s="51">
        <v>0.15</v>
      </c>
      <c r="G9" s="51">
        <v>0.1</v>
      </c>
      <c r="H9" s="51">
        <v>0.025</v>
      </c>
      <c r="I9" s="51"/>
      <c r="J9" s="45">
        <f>SUM(F9:H9)/2</f>
        <v>0.1375</v>
      </c>
      <c r="K9" s="45">
        <f t="shared" ref="K9:K18" si="19">F9*J9</f>
        <v>0.020625</v>
      </c>
      <c r="L9" s="46" t="s">
        <v>615</v>
      </c>
      <c r="M9" s="52">
        <f t="shared" si="2"/>
        <v>0</v>
      </c>
      <c r="N9" s="52">
        <f t="shared" si="3"/>
        <v>0</v>
      </c>
      <c r="O9" s="52">
        <f t="shared" si="4"/>
        <v>0</v>
      </c>
      <c r="P9" s="52">
        <f t="shared" si="5"/>
        <v>0</v>
      </c>
      <c r="Q9" s="52">
        <f t="shared" si="6"/>
        <v>0</v>
      </c>
      <c r="R9" s="52">
        <f t="shared" si="7"/>
        <v>0</v>
      </c>
      <c r="S9" s="52">
        <f t="shared" si="8"/>
        <v>0</v>
      </c>
      <c r="T9" s="52"/>
      <c r="U9" s="52"/>
      <c r="V9" s="52"/>
      <c r="W9" s="52"/>
      <c r="X9" s="52"/>
      <c r="Z9" s="53">
        <f>50%-AA9</f>
        <v>0.375</v>
      </c>
      <c r="AA9" s="53">
        <f>MIN($E9:$I9)*5</f>
        <v>0.125</v>
      </c>
      <c r="AB9" s="53"/>
      <c r="AC9" s="54"/>
      <c r="AD9" s="54"/>
      <c r="AE9" s="54"/>
      <c r="AF9" s="54"/>
      <c r="AG9" s="54"/>
      <c r="AH9" s="54"/>
      <c r="AI9" s="54"/>
      <c r="AL9" s="57">
        <v>0.03</v>
      </c>
      <c r="AM9" s="45">
        <f t="shared" si="9"/>
        <v>0.6</v>
      </c>
      <c r="AN9" s="45">
        <f t="shared" si="16"/>
        <v>1.2</v>
      </c>
      <c r="AO9" s="45">
        <f t="shared" si="1"/>
        <v>1.8</v>
      </c>
      <c r="AQ9" s="45">
        <f t="shared" si="10"/>
        <v>0.15</v>
      </c>
      <c r="AR9" s="45">
        <f t="shared" si="11"/>
        <v>0.06</v>
      </c>
      <c r="AS9" s="45">
        <f t="shared" si="12"/>
        <v>0.84</v>
      </c>
      <c r="AT9" s="45">
        <f t="shared" si="13"/>
        <v>0.96</v>
      </c>
      <c r="AU9" s="45">
        <f t="shared" si="14"/>
        <v>1.8</v>
      </c>
      <c r="AV9" s="56">
        <f t="shared" si="15"/>
        <v>0.466666666666667</v>
      </c>
    </row>
    <row r="10" ht="17.25" spans="1:48">
      <c r="A10" s="45">
        <v>7</v>
      </c>
      <c r="B10" s="51">
        <f t="shared" si="17"/>
        <v>0</v>
      </c>
      <c r="C10" s="51">
        <v>0.035</v>
      </c>
      <c r="D10" s="51">
        <v>0.4</v>
      </c>
      <c r="E10" s="51">
        <v>0.25</v>
      </c>
      <c r="F10" s="51">
        <v>0.16</v>
      </c>
      <c r="G10" s="51">
        <v>0.115</v>
      </c>
      <c r="H10" s="51">
        <v>0.04</v>
      </c>
      <c r="I10" s="51"/>
      <c r="J10" s="45">
        <f>SUM(F10:H10)/2</f>
        <v>0.1575</v>
      </c>
      <c r="K10" s="45">
        <f t="shared" si="19"/>
        <v>0.0252</v>
      </c>
      <c r="L10" s="46" t="s">
        <v>616</v>
      </c>
      <c r="M10" s="52">
        <f t="shared" si="2"/>
        <v>0</v>
      </c>
      <c r="N10" s="52">
        <f t="shared" si="3"/>
        <v>0</v>
      </c>
      <c r="O10" s="52">
        <f t="shared" si="4"/>
        <v>0</v>
      </c>
      <c r="P10" s="52">
        <f t="shared" si="5"/>
        <v>0</v>
      </c>
      <c r="Q10" s="52">
        <f t="shared" si="6"/>
        <v>0</v>
      </c>
      <c r="R10" s="52">
        <f t="shared" si="7"/>
        <v>0</v>
      </c>
      <c r="S10" s="52">
        <f t="shared" si="8"/>
        <v>0</v>
      </c>
      <c r="T10" s="52"/>
      <c r="U10" s="52"/>
      <c r="V10" s="52"/>
      <c r="W10" s="52"/>
      <c r="X10" s="52"/>
      <c r="Z10" s="53">
        <f>50%-AA10</f>
        <v>0.3</v>
      </c>
      <c r="AA10" s="53">
        <f>MIN($E10:$I10)*5</f>
        <v>0.2</v>
      </c>
      <c r="AB10" s="53"/>
      <c r="AC10" s="54"/>
      <c r="AD10" s="54"/>
      <c r="AE10" s="54"/>
      <c r="AF10" s="54"/>
      <c r="AG10" s="54"/>
      <c r="AH10" s="54"/>
      <c r="AI10" s="54"/>
      <c r="AL10" s="57">
        <v>0.035</v>
      </c>
      <c r="AM10" s="45">
        <f t="shared" si="9"/>
        <v>0.7</v>
      </c>
      <c r="AN10" s="45">
        <f t="shared" si="16"/>
        <v>1.4</v>
      </c>
      <c r="AO10" s="45">
        <f t="shared" si="1"/>
        <v>2.1</v>
      </c>
      <c r="AQ10" s="45">
        <f t="shared" si="10"/>
        <v>0.175</v>
      </c>
      <c r="AR10" s="45">
        <f t="shared" si="11"/>
        <v>0.07</v>
      </c>
      <c r="AS10" s="45">
        <f t="shared" si="12"/>
        <v>0.98</v>
      </c>
      <c r="AT10" s="45">
        <f t="shared" si="13"/>
        <v>1.12</v>
      </c>
      <c r="AU10" s="45">
        <f t="shared" si="14"/>
        <v>2.1</v>
      </c>
      <c r="AV10" s="56">
        <f t="shared" si="15"/>
        <v>0.466666666666667</v>
      </c>
    </row>
    <row r="11" ht="17.25" spans="1:48">
      <c r="A11" s="45">
        <v>8</v>
      </c>
      <c r="B11" s="51">
        <f t="shared" si="17"/>
        <v>0</v>
      </c>
      <c r="C11" s="51">
        <f t="shared" si="18"/>
        <v>0</v>
      </c>
      <c r="D11" s="51">
        <v>0.345</v>
      </c>
      <c r="E11" s="51">
        <v>0.3</v>
      </c>
      <c r="F11" s="51">
        <v>0.17</v>
      </c>
      <c r="G11" s="51">
        <v>0.13</v>
      </c>
      <c r="H11" s="51">
        <v>0.055</v>
      </c>
      <c r="I11" s="51"/>
      <c r="J11" s="45">
        <f>SUM(F11:H11)/2</f>
        <v>0.1775</v>
      </c>
      <c r="K11" s="45">
        <f t="shared" si="19"/>
        <v>0.030175</v>
      </c>
      <c r="L11" s="46" t="s">
        <v>617</v>
      </c>
      <c r="M11" s="52">
        <f t="shared" si="2"/>
        <v>0</v>
      </c>
      <c r="N11" s="52">
        <f t="shared" si="3"/>
        <v>0</v>
      </c>
      <c r="O11" s="52">
        <f t="shared" si="4"/>
        <v>0</v>
      </c>
      <c r="P11" s="52">
        <f t="shared" si="5"/>
        <v>0</v>
      </c>
      <c r="Q11" s="52">
        <f t="shared" si="6"/>
        <v>0</v>
      </c>
      <c r="R11" s="52">
        <f t="shared" si="7"/>
        <v>0</v>
      </c>
      <c r="S11" s="52">
        <f t="shared" si="8"/>
        <v>0</v>
      </c>
      <c r="T11" s="52"/>
      <c r="U11" s="52"/>
      <c r="V11" s="52"/>
      <c r="W11" s="52"/>
      <c r="X11" s="52"/>
      <c r="Z11" s="53">
        <f>50%-AA11</f>
        <v>0.225</v>
      </c>
      <c r="AA11" s="53">
        <f>MIN($E11:$I11)*5</f>
        <v>0.275</v>
      </c>
      <c r="AB11" s="53"/>
      <c r="AC11" s="54"/>
      <c r="AD11" s="54"/>
      <c r="AE11" s="54"/>
      <c r="AF11" s="54"/>
      <c r="AG11" s="54"/>
      <c r="AH11" s="54"/>
      <c r="AI11" s="54"/>
      <c r="AL11" s="57">
        <v>0.04</v>
      </c>
      <c r="AM11" s="45">
        <f t="shared" si="9"/>
        <v>0.8</v>
      </c>
      <c r="AN11" s="45">
        <f t="shared" si="16"/>
        <v>1.6</v>
      </c>
      <c r="AO11" s="45">
        <f t="shared" si="1"/>
        <v>2.4</v>
      </c>
      <c r="AQ11" s="45">
        <f t="shared" si="10"/>
        <v>0.2</v>
      </c>
      <c r="AR11" s="45">
        <f t="shared" si="11"/>
        <v>0.08</v>
      </c>
      <c r="AS11" s="45">
        <f t="shared" si="12"/>
        <v>1.12</v>
      </c>
      <c r="AT11" s="45">
        <f t="shared" si="13"/>
        <v>1.28</v>
      </c>
      <c r="AU11" s="45">
        <f t="shared" si="14"/>
        <v>2.4</v>
      </c>
      <c r="AV11" s="56">
        <f t="shared" si="15"/>
        <v>0.466666666666667</v>
      </c>
    </row>
    <row r="12" ht="17.25" spans="1:48">
      <c r="A12" s="45">
        <v>9</v>
      </c>
      <c r="B12" s="51">
        <f t="shared" si="17"/>
        <v>0</v>
      </c>
      <c r="C12" s="51">
        <f t="shared" si="18"/>
        <v>0</v>
      </c>
      <c r="D12" s="51">
        <v>0.25</v>
      </c>
      <c r="E12" s="51">
        <v>0.35</v>
      </c>
      <c r="F12" s="51">
        <v>0.18</v>
      </c>
      <c r="G12" s="51">
        <v>0.145</v>
      </c>
      <c r="H12" s="51">
        <v>0.075</v>
      </c>
      <c r="I12" s="51"/>
      <c r="J12" s="45">
        <f>SUM(F12:H12)/2</f>
        <v>0.2</v>
      </c>
      <c r="K12" s="45">
        <f t="shared" si="19"/>
        <v>0.036</v>
      </c>
      <c r="L12" s="46" t="s">
        <v>618</v>
      </c>
      <c r="M12" s="52">
        <f t="shared" si="2"/>
        <v>0</v>
      </c>
      <c r="N12" s="52">
        <f t="shared" si="3"/>
        <v>0</v>
      </c>
      <c r="O12" s="52">
        <f t="shared" si="4"/>
        <v>0</v>
      </c>
      <c r="P12" s="52">
        <f t="shared" si="5"/>
        <v>0</v>
      </c>
      <c r="Q12" s="52">
        <f t="shared" si="6"/>
        <v>0</v>
      </c>
      <c r="R12" s="52">
        <f t="shared" si="7"/>
        <v>0</v>
      </c>
      <c r="S12" s="52">
        <f t="shared" si="8"/>
        <v>0</v>
      </c>
      <c r="T12" s="52"/>
      <c r="U12" s="52"/>
      <c r="V12" s="52"/>
      <c r="W12" s="52"/>
      <c r="X12" s="52"/>
      <c r="Z12" s="53">
        <f>50%-AA12</f>
        <v>0.125</v>
      </c>
      <c r="AA12" s="53">
        <f>MIN($E12:$I12)*5</f>
        <v>0.375</v>
      </c>
      <c r="AB12" s="53"/>
      <c r="AC12" s="54"/>
      <c r="AD12" s="54"/>
      <c r="AE12" s="54"/>
      <c r="AF12" s="54"/>
      <c r="AG12" s="54"/>
      <c r="AH12" s="54"/>
      <c r="AI12" s="54"/>
      <c r="AL12" s="57">
        <v>0.045</v>
      </c>
      <c r="AM12" s="45">
        <f t="shared" si="9"/>
        <v>0.9</v>
      </c>
      <c r="AN12" s="45">
        <f t="shared" si="16"/>
        <v>1.8</v>
      </c>
      <c r="AO12" s="45">
        <f t="shared" si="1"/>
        <v>2.7</v>
      </c>
      <c r="AQ12" s="45">
        <f t="shared" si="10"/>
        <v>0.225</v>
      </c>
      <c r="AR12" s="45">
        <f t="shared" si="11"/>
        <v>0.09</v>
      </c>
      <c r="AS12" s="45">
        <f t="shared" si="12"/>
        <v>1.26</v>
      </c>
      <c r="AT12" s="45">
        <f t="shared" si="13"/>
        <v>1.44</v>
      </c>
      <c r="AU12" s="45">
        <f t="shared" si="14"/>
        <v>2.7</v>
      </c>
      <c r="AV12" s="56">
        <f t="shared" si="15"/>
        <v>0.466666666666667</v>
      </c>
    </row>
    <row r="13" ht="17.25" spans="1:48">
      <c r="A13" s="45">
        <v>10</v>
      </c>
      <c r="B13" s="51">
        <f t="shared" si="17"/>
        <v>0</v>
      </c>
      <c r="C13" s="51">
        <f t="shared" si="18"/>
        <v>0</v>
      </c>
      <c r="D13" s="51">
        <v>0.135</v>
      </c>
      <c r="E13" s="51">
        <v>0.4</v>
      </c>
      <c r="F13" s="51">
        <v>0.2</v>
      </c>
      <c r="G13" s="51">
        <v>0.16</v>
      </c>
      <c r="H13" s="51">
        <v>0.09</v>
      </c>
      <c r="I13" s="51">
        <v>0.015</v>
      </c>
      <c r="J13" s="45">
        <f t="shared" ref="J13:J18" si="20">SUM(G13:I13)/2</f>
        <v>0.1325</v>
      </c>
      <c r="K13" s="45">
        <f t="shared" si="19"/>
        <v>0.0265</v>
      </c>
      <c r="L13" s="46" t="s">
        <v>619</v>
      </c>
      <c r="M13" s="52">
        <f t="shared" si="2"/>
        <v>0</v>
      </c>
      <c r="N13" s="52">
        <f t="shared" si="3"/>
        <v>0</v>
      </c>
      <c r="O13" s="52">
        <f t="shared" si="4"/>
        <v>0</v>
      </c>
      <c r="P13" s="52">
        <f t="shared" si="5"/>
        <v>0</v>
      </c>
      <c r="Q13" s="52">
        <f t="shared" si="6"/>
        <v>0</v>
      </c>
      <c r="R13" s="52">
        <f t="shared" si="7"/>
        <v>0</v>
      </c>
      <c r="S13" s="52">
        <f t="shared" si="8"/>
        <v>0</v>
      </c>
      <c r="T13" s="52"/>
      <c r="U13" s="52"/>
      <c r="V13" s="52"/>
      <c r="W13" s="52"/>
      <c r="X13" s="52"/>
      <c r="Z13" s="53"/>
      <c r="AA13" s="53">
        <f t="shared" ref="AA13:AA18" si="21">50%-AB13</f>
        <v>0.425</v>
      </c>
      <c r="AB13" s="53">
        <f t="shared" ref="AB13:AB18" si="22">MIN($E13:$I13)*5</f>
        <v>0.075</v>
      </c>
      <c r="AC13" s="54"/>
      <c r="AD13" s="54"/>
      <c r="AE13" s="54"/>
      <c r="AF13" s="54"/>
      <c r="AG13" s="54"/>
      <c r="AH13" s="54"/>
      <c r="AI13" s="54"/>
      <c r="AL13" s="57">
        <v>0.05</v>
      </c>
      <c r="AM13" s="45">
        <f t="shared" si="9"/>
        <v>1</v>
      </c>
      <c r="AN13" s="45">
        <f t="shared" si="16"/>
        <v>2</v>
      </c>
      <c r="AO13" s="45">
        <f t="shared" si="1"/>
        <v>3</v>
      </c>
      <c r="AQ13" s="45">
        <f t="shared" si="10"/>
        <v>0.25</v>
      </c>
      <c r="AR13" s="45">
        <f t="shared" si="11"/>
        <v>0.1</v>
      </c>
      <c r="AS13" s="45">
        <f t="shared" si="12"/>
        <v>1.4</v>
      </c>
      <c r="AT13" s="45">
        <f t="shared" si="13"/>
        <v>1.6</v>
      </c>
      <c r="AU13" s="45">
        <f t="shared" si="14"/>
        <v>3</v>
      </c>
      <c r="AV13" s="56">
        <f t="shared" si="15"/>
        <v>0.466666666666667</v>
      </c>
    </row>
    <row r="14" ht="17.25" spans="1:48">
      <c r="A14" s="45">
        <v>11</v>
      </c>
      <c r="B14" s="51">
        <f t="shared" si="17"/>
        <v>0</v>
      </c>
      <c r="C14" s="51">
        <f t="shared" si="18"/>
        <v>0</v>
      </c>
      <c r="D14" s="51">
        <f t="shared" ref="D14:D18" si="23">1-SUM(E14:I14)</f>
        <v>0</v>
      </c>
      <c r="E14" s="51">
        <v>0.455</v>
      </c>
      <c r="F14" s="51">
        <v>0.25</v>
      </c>
      <c r="G14" s="51">
        <v>0.17</v>
      </c>
      <c r="H14" s="51">
        <v>0.1</v>
      </c>
      <c r="I14" s="51">
        <v>0.025</v>
      </c>
      <c r="J14" s="45">
        <f t="shared" si="20"/>
        <v>0.1475</v>
      </c>
      <c r="K14" s="45">
        <f t="shared" si="19"/>
        <v>0.036875</v>
      </c>
      <c r="L14" s="46" t="s">
        <v>620</v>
      </c>
      <c r="M14" s="52">
        <f t="shared" si="2"/>
        <v>0</v>
      </c>
      <c r="N14" s="52">
        <f t="shared" si="3"/>
        <v>0</v>
      </c>
      <c r="O14" s="52">
        <f t="shared" si="4"/>
        <v>0</v>
      </c>
      <c r="P14" s="52">
        <f t="shared" si="5"/>
        <v>0</v>
      </c>
      <c r="Q14" s="52">
        <f t="shared" si="6"/>
        <v>0</v>
      </c>
      <c r="R14" s="52">
        <f t="shared" si="7"/>
        <v>0</v>
      </c>
      <c r="S14" s="52">
        <f t="shared" si="8"/>
        <v>0</v>
      </c>
      <c r="T14" s="52"/>
      <c r="U14" s="52"/>
      <c r="V14" s="52"/>
      <c r="W14" s="52"/>
      <c r="X14" s="52"/>
      <c r="Z14" s="53"/>
      <c r="AA14" s="53">
        <f t="shared" si="21"/>
        <v>0.375</v>
      </c>
      <c r="AB14" s="53">
        <f t="shared" si="22"/>
        <v>0.125</v>
      </c>
      <c r="AD14" s="54"/>
      <c r="AE14" s="54"/>
      <c r="AF14" s="54"/>
      <c r="AG14" s="54"/>
      <c r="AH14" s="54"/>
      <c r="AI14" s="54"/>
      <c r="AL14" s="57">
        <v>0.055</v>
      </c>
      <c r="AM14" s="45">
        <f t="shared" si="9"/>
        <v>1.1</v>
      </c>
      <c r="AN14" s="45">
        <f t="shared" si="16"/>
        <v>2.2</v>
      </c>
      <c r="AO14" s="45">
        <f t="shared" si="1"/>
        <v>3.3</v>
      </c>
      <c r="AQ14" s="45">
        <f t="shared" si="10"/>
        <v>0.275</v>
      </c>
      <c r="AR14" s="45">
        <f t="shared" si="11"/>
        <v>0.11</v>
      </c>
      <c r="AS14" s="45">
        <f t="shared" si="12"/>
        <v>1.54</v>
      </c>
      <c r="AT14" s="45">
        <f t="shared" si="13"/>
        <v>1.76</v>
      </c>
      <c r="AU14" s="45">
        <f t="shared" si="14"/>
        <v>3.3</v>
      </c>
      <c r="AV14" s="56">
        <f t="shared" si="15"/>
        <v>0.466666666666667</v>
      </c>
    </row>
    <row r="15" ht="17.25" spans="1:48">
      <c r="A15" s="45">
        <v>12</v>
      </c>
      <c r="B15" s="51">
        <f t="shared" si="17"/>
        <v>0</v>
      </c>
      <c r="C15" s="51">
        <f t="shared" si="18"/>
        <v>0</v>
      </c>
      <c r="D15" s="51">
        <f t="shared" si="23"/>
        <v>0</v>
      </c>
      <c r="E15" s="51">
        <v>0.37</v>
      </c>
      <c r="F15" s="51">
        <v>0.3</v>
      </c>
      <c r="G15" s="51">
        <v>0.18</v>
      </c>
      <c r="H15" s="51">
        <v>0.11</v>
      </c>
      <c r="I15" s="51">
        <v>0.04</v>
      </c>
      <c r="J15" s="45">
        <f t="shared" si="20"/>
        <v>0.165</v>
      </c>
      <c r="K15" s="45">
        <f t="shared" si="19"/>
        <v>0.0495</v>
      </c>
      <c r="L15" s="46" t="s">
        <v>621</v>
      </c>
      <c r="M15" s="52">
        <f t="shared" si="2"/>
        <v>0</v>
      </c>
      <c r="N15" s="52">
        <f t="shared" si="3"/>
        <v>0</v>
      </c>
      <c r="O15" s="52">
        <f t="shared" si="4"/>
        <v>0</v>
      </c>
      <c r="P15" s="52">
        <f t="shared" si="5"/>
        <v>0</v>
      </c>
      <c r="Q15" s="52">
        <f t="shared" si="6"/>
        <v>0</v>
      </c>
      <c r="R15" s="52">
        <f t="shared" si="7"/>
        <v>0</v>
      </c>
      <c r="S15" s="52">
        <f t="shared" si="8"/>
        <v>0</v>
      </c>
      <c r="T15" s="52"/>
      <c r="U15" s="52"/>
      <c r="V15" s="52"/>
      <c r="W15" s="52"/>
      <c r="X15" s="52"/>
      <c r="Z15" s="53"/>
      <c r="AA15" s="53">
        <f t="shared" si="21"/>
        <v>0.3</v>
      </c>
      <c r="AB15" s="53">
        <f t="shared" si="22"/>
        <v>0.2</v>
      </c>
      <c r="AD15" s="54"/>
      <c r="AE15" s="54"/>
      <c r="AF15" s="54"/>
      <c r="AG15" s="54"/>
      <c r="AH15" s="54"/>
      <c r="AI15" s="54"/>
      <c r="AL15" s="57">
        <v>0.06</v>
      </c>
      <c r="AM15" s="45">
        <f t="shared" si="9"/>
        <v>1.2</v>
      </c>
      <c r="AN15" s="45">
        <f t="shared" si="16"/>
        <v>2.4</v>
      </c>
      <c r="AO15" s="45">
        <f t="shared" si="1"/>
        <v>3.6</v>
      </c>
      <c r="AQ15" s="45">
        <f t="shared" si="10"/>
        <v>0.3</v>
      </c>
      <c r="AR15" s="45">
        <f t="shared" si="11"/>
        <v>0.12</v>
      </c>
      <c r="AS15" s="45">
        <f t="shared" si="12"/>
        <v>1.68</v>
      </c>
      <c r="AT15" s="45">
        <f t="shared" si="13"/>
        <v>1.92</v>
      </c>
      <c r="AU15" s="45">
        <f t="shared" si="14"/>
        <v>3.6</v>
      </c>
      <c r="AV15" s="56">
        <f t="shared" si="15"/>
        <v>0.466666666666667</v>
      </c>
    </row>
    <row r="16" ht="17.25" spans="1:48">
      <c r="A16" s="45">
        <v>13</v>
      </c>
      <c r="B16" s="51">
        <f t="shared" si="17"/>
        <v>0</v>
      </c>
      <c r="C16" s="51">
        <f t="shared" si="18"/>
        <v>0</v>
      </c>
      <c r="D16" s="51">
        <f t="shared" si="23"/>
        <v>0</v>
      </c>
      <c r="E16" s="51">
        <v>0.295</v>
      </c>
      <c r="F16" s="51">
        <v>0.35</v>
      </c>
      <c r="G16" s="51">
        <v>0.19</v>
      </c>
      <c r="H16" s="51">
        <v>0.12</v>
      </c>
      <c r="I16" s="51">
        <v>0.045</v>
      </c>
      <c r="J16" s="45">
        <f t="shared" si="20"/>
        <v>0.1775</v>
      </c>
      <c r="K16" s="45">
        <f t="shared" si="19"/>
        <v>0.062125</v>
      </c>
      <c r="L16" s="46" t="s">
        <v>622</v>
      </c>
      <c r="M16" s="52">
        <f t="shared" si="2"/>
        <v>0</v>
      </c>
      <c r="N16" s="52">
        <f t="shared" si="3"/>
        <v>0</v>
      </c>
      <c r="O16" s="52">
        <f t="shared" si="4"/>
        <v>0</v>
      </c>
      <c r="P16" s="52">
        <f t="shared" si="5"/>
        <v>0</v>
      </c>
      <c r="Q16" s="52">
        <f t="shared" si="6"/>
        <v>0</v>
      </c>
      <c r="R16" s="52">
        <f t="shared" si="7"/>
        <v>0</v>
      </c>
      <c r="S16" s="52">
        <f t="shared" si="8"/>
        <v>0</v>
      </c>
      <c r="T16" s="52"/>
      <c r="U16" s="52"/>
      <c r="V16" s="52"/>
      <c r="W16" s="52"/>
      <c r="X16" s="52"/>
      <c r="Z16" s="53"/>
      <c r="AA16" s="53">
        <f t="shared" si="21"/>
        <v>0.275</v>
      </c>
      <c r="AB16" s="53">
        <f t="shared" si="22"/>
        <v>0.225</v>
      </c>
      <c r="AD16" s="54"/>
      <c r="AE16" s="54"/>
      <c r="AF16" s="54"/>
      <c r="AG16" s="54"/>
      <c r="AH16" s="54"/>
      <c r="AI16" s="54"/>
      <c r="AL16" s="57">
        <v>0.065</v>
      </c>
      <c r="AM16" s="45">
        <f t="shared" si="9"/>
        <v>1.3</v>
      </c>
      <c r="AN16" s="45">
        <f t="shared" si="16"/>
        <v>2.6</v>
      </c>
      <c r="AO16" s="45">
        <f t="shared" si="1"/>
        <v>3.9</v>
      </c>
      <c r="AQ16" s="45">
        <f t="shared" si="10"/>
        <v>0.325</v>
      </c>
      <c r="AR16" s="45">
        <f t="shared" si="11"/>
        <v>0.13</v>
      </c>
      <c r="AS16" s="45">
        <f t="shared" si="12"/>
        <v>1.82</v>
      </c>
      <c r="AT16" s="45">
        <f t="shared" si="13"/>
        <v>2.08</v>
      </c>
      <c r="AU16" s="45">
        <f t="shared" si="14"/>
        <v>3.9</v>
      </c>
      <c r="AV16" s="56">
        <f t="shared" si="15"/>
        <v>0.466666666666667</v>
      </c>
    </row>
    <row r="17" ht="17.25" spans="1:48">
      <c r="A17" s="45">
        <v>14</v>
      </c>
      <c r="B17" s="51">
        <f t="shared" si="17"/>
        <v>0</v>
      </c>
      <c r="C17" s="51">
        <f t="shared" si="18"/>
        <v>0</v>
      </c>
      <c r="D17" s="51">
        <f t="shared" si="23"/>
        <v>0</v>
      </c>
      <c r="E17" s="51">
        <v>0.245</v>
      </c>
      <c r="F17" s="51">
        <v>0.375</v>
      </c>
      <c r="G17" s="51">
        <v>0.2</v>
      </c>
      <c r="H17" s="51">
        <v>0.13</v>
      </c>
      <c r="I17" s="51">
        <v>0.05</v>
      </c>
      <c r="J17" s="45">
        <f t="shared" si="20"/>
        <v>0.19</v>
      </c>
      <c r="K17" s="45">
        <f t="shared" si="19"/>
        <v>0.07125</v>
      </c>
      <c r="L17" s="46" t="s">
        <v>623</v>
      </c>
      <c r="M17" s="52">
        <f t="shared" si="2"/>
        <v>0</v>
      </c>
      <c r="N17" s="52">
        <f t="shared" si="3"/>
        <v>0</v>
      </c>
      <c r="O17" s="52">
        <f t="shared" si="4"/>
        <v>0</v>
      </c>
      <c r="P17" s="52">
        <f t="shared" si="5"/>
        <v>0</v>
      </c>
      <c r="Q17" s="52">
        <f t="shared" si="6"/>
        <v>0</v>
      </c>
      <c r="R17" s="52">
        <f t="shared" si="7"/>
        <v>0</v>
      </c>
      <c r="S17" s="52">
        <f t="shared" si="8"/>
        <v>0</v>
      </c>
      <c r="T17" s="52"/>
      <c r="U17" s="52"/>
      <c r="V17" s="52"/>
      <c r="W17" s="52"/>
      <c r="X17" s="52"/>
      <c r="Z17" s="53"/>
      <c r="AA17" s="53">
        <f t="shared" si="21"/>
        <v>0.25</v>
      </c>
      <c r="AB17" s="53">
        <f t="shared" si="22"/>
        <v>0.25</v>
      </c>
      <c r="AD17" s="54"/>
      <c r="AE17" s="54"/>
      <c r="AF17" s="54"/>
      <c r="AG17" s="54"/>
      <c r="AH17" s="54"/>
      <c r="AI17" s="54"/>
      <c r="AL17" s="57">
        <v>0.07</v>
      </c>
      <c r="AM17" s="45">
        <f t="shared" si="9"/>
        <v>1.4</v>
      </c>
      <c r="AN17" s="45">
        <f t="shared" si="16"/>
        <v>2.8</v>
      </c>
      <c r="AO17" s="45">
        <f t="shared" si="1"/>
        <v>4.2</v>
      </c>
      <c r="AQ17" s="45">
        <f t="shared" si="10"/>
        <v>0.35</v>
      </c>
      <c r="AR17" s="45">
        <f t="shared" si="11"/>
        <v>0.14</v>
      </c>
      <c r="AS17" s="45">
        <f t="shared" si="12"/>
        <v>1.96</v>
      </c>
      <c r="AT17" s="45">
        <f t="shared" si="13"/>
        <v>2.24</v>
      </c>
      <c r="AU17" s="45">
        <f t="shared" si="14"/>
        <v>4.2</v>
      </c>
      <c r="AV17" s="56">
        <f t="shared" si="15"/>
        <v>0.466666666666667</v>
      </c>
    </row>
    <row r="18" ht="17.25" spans="1:48">
      <c r="A18" s="45">
        <v>15</v>
      </c>
      <c r="B18" s="51">
        <f t="shared" si="17"/>
        <v>0</v>
      </c>
      <c r="C18" s="51">
        <f t="shared" si="18"/>
        <v>0</v>
      </c>
      <c r="D18" s="51">
        <f t="shared" si="23"/>
        <v>0</v>
      </c>
      <c r="E18" s="51">
        <v>0.2</v>
      </c>
      <c r="F18" s="51">
        <v>0.4</v>
      </c>
      <c r="G18" s="51">
        <v>0.21</v>
      </c>
      <c r="H18" s="51">
        <v>0.135</v>
      </c>
      <c r="I18" s="51">
        <v>0.055</v>
      </c>
      <c r="J18" s="45">
        <f t="shared" si="20"/>
        <v>0.2</v>
      </c>
      <c r="K18" s="45">
        <f t="shared" si="19"/>
        <v>0.08</v>
      </c>
      <c r="L18" s="46" t="s">
        <v>624</v>
      </c>
      <c r="M18" s="52">
        <f t="shared" si="2"/>
        <v>0</v>
      </c>
      <c r="N18" s="52">
        <f t="shared" si="3"/>
        <v>0</v>
      </c>
      <c r="O18" s="52">
        <f t="shared" si="4"/>
        <v>0</v>
      </c>
      <c r="P18" s="52">
        <f t="shared" si="5"/>
        <v>0</v>
      </c>
      <c r="Q18" s="52">
        <f t="shared" si="6"/>
        <v>0</v>
      </c>
      <c r="R18" s="52">
        <f t="shared" si="7"/>
        <v>0</v>
      </c>
      <c r="S18" s="52">
        <f t="shared" si="8"/>
        <v>0</v>
      </c>
      <c r="T18" s="52"/>
      <c r="U18" s="52"/>
      <c r="V18" s="52"/>
      <c r="W18" s="52"/>
      <c r="X18" s="52"/>
      <c r="Z18" s="53"/>
      <c r="AA18" s="53">
        <f t="shared" si="21"/>
        <v>0.225</v>
      </c>
      <c r="AB18" s="53">
        <f t="shared" si="22"/>
        <v>0.275</v>
      </c>
      <c r="AD18" s="54"/>
      <c r="AE18" s="54"/>
      <c r="AF18" s="54"/>
      <c r="AG18" s="54"/>
      <c r="AH18" s="54"/>
      <c r="AI18" s="54"/>
      <c r="AL18" s="57">
        <v>0.075</v>
      </c>
      <c r="AM18" s="45">
        <f t="shared" si="9"/>
        <v>1.5</v>
      </c>
      <c r="AN18" s="45">
        <f t="shared" si="16"/>
        <v>3</v>
      </c>
      <c r="AO18" s="45">
        <f t="shared" si="1"/>
        <v>4.5</v>
      </c>
      <c r="AQ18" s="45">
        <f t="shared" si="10"/>
        <v>0.375</v>
      </c>
      <c r="AR18" s="45">
        <f t="shared" si="11"/>
        <v>0.15</v>
      </c>
      <c r="AS18" s="45">
        <f t="shared" si="12"/>
        <v>2.1</v>
      </c>
      <c r="AT18" s="45">
        <f t="shared" si="13"/>
        <v>2.4</v>
      </c>
      <c r="AU18" s="45">
        <f t="shared" si="14"/>
        <v>4.5</v>
      </c>
      <c r="AV18" s="56">
        <f t="shared" si="15"/>
        <v>0.466666666666667</v>
      </c>
    </row>
    <row r="19" spans="1:48">
      <c r="AL19" s="57">
        <v>0.08</v>
      </c>
      <c r="AM19" s="45">
        <f t="shared" si="9"/>
        <v>1.6</v>
      </c>
      <c r="AN19" s="45">
        <f t="shared" si="16"/>
        <v>3.2</v>
      </c>
      <c r="AO19" s="45">
        <f t="shared" si="1"/>
        <v>4.8</v>
      </c>
      <c r="AQ19" s="45">
        <f t="shared" si="10"/>
        <v>0.4</v>
      </c>
      <c r="AR19" s="45">
        <f t="shared" si="11"/>
        <v>0.16</v>
      </c>
      <c r="AS19" s="45">
        <f t="shared" si="12"/>
        <v>2.24</v>
      </c>
      <c r="AT19" s="45">
        <f t="shared" si="13"/>
        <v>2.56</v>
      </c>
      <c r="AU19" s="45">
        <f t="shared" si="14"/>
        <v>4.8</v>
      </c>
      <c r="AV19" s="56">
        <f t="shared" si="15"/>
        <v>0.466666666666667</v>
      </c>
    </row>
    <row r="20" spans="1:48">
      <c r="E20" s="45" t="s">
        <v>625</v>
      </c>
      <c r="F20" s="45" t="s">
        <v>626</v>
      </c>
      <c r="G20" s="45" t="s">
        <v>627</v>
      </c>
      <c r="H20" s="45" t="s">
        <v>628</v>
      </c>
      <c r="U20" s="45">
        <f>U22*5</f>
        <v>0.5</v>
      </c>
      <c r="V20" s="45">
        <f>V22*5</f>
        <v>1.91</v>
      </c>
      <c r="W20" s="45">
        <f>W22*5+W4</f>
        <v>1.7</v>
      </c>
      <c r="X20" s="45">
        <f>X22*5+X4</f>
        <v>1.04</v>
      </c>
      <c r="AL20" s="57">
        <v>0.085</v>
      </c>
      <c r="AM20" s="45">
        <f t="shared" si="9"/>
        <v>1.7</v>
      </c>
      <c r="AN20" s="45">
        <f t="shared" si="16"/>
        <v>3.4</v>
      </c>
      <c r="AO20" s="45">
        <f t="shared" si="1"/>
        <v>5.1</v>
      </c>
      <c r="AQ20" s="45">
        <f t="shared" si="10"/>
        <v>0.425</v>
      </c>
      <c r="AR20" s="45">
        <f t="shared" si="11"/>
        <v>0.17</v>
      </c>
      <c r="AS20" s="45">
        <f t="shared" si="12"/>
        <v>2.38</v>
      </c>
      <c r="AT20" s="45">
        <f t="shared" si="13"/>
        <v>2.72</v>
      </c>
      <c r="AU20" s="45">
        <f t="shared" si="14"/>
        <v>5.1</v>
      </c>
      <c r="AV20" s="56">
        <f t="shared" si="15"/>
        <v>0.466666666666667</v>
      </c>
    </row>
    <row r="21" spans="1:48">
      <c r="C21" s="45">
        <v>1</v>
      </c>
      <c r="D21" s="45">
        <v>1</v>
      </c>
      <c r="E21" s="45">
        <f ca="1">IFERROR(INT(OFFSET($AE$60,C21,D21)*10000),0)</f>
        <v>1041</v>
      </c>
      <c r="F21" s="45">
        <f ca="1">IFERROR(INT(OFFSET($AE$43,C21,D21)*10000),0)</f>
        <v>0</v>
      </c>
      <c r="M21" s="50" t="s">
        <v>584</v>
      </c>
      <c r="N21" s="50" t="s">
        <v>585</v>
      </c>
      <c r="O21" s="50" t="s">
        <v>586</v>
      </c>
      <c r="P21" s="50" t="s">
        <v>587</v>
      </c>
      <c r="Q21" s="50" t="s">
        <v>588</v>
      </c>
      <c r="R21" s="50" t="s">
        <v>589</v>
      </c>
      <c r="S21" s="50" t="s">
        <v>590</v>
      </c>
      <c r="T21" s="50"/>
      <c r="U21" s="50" t="s">
        <v>591</v>
      </c>
      <c r="V21" s="50" t="s">
        <v>592</v>
      </c>
      <c r="W21" s="50" t="s">
        <v>593</v>
      </c>
      <c r="X21" s="50" t="s">
        <v>594</v>
      </c>
      <c r="Y21" s="50" t="s">
        <v>595</v>
      </c>
      <c r="Z21" s="50" t="s">
        <v>596</v>
      </c>
      <c r="AA21" s="50" t="s">
        <v>597</v>
      </c>
      <c r="AB21" s="50"/>
      <c r="AC21" s="50" t="s">
        <v>598</v>
      </c>
      <c r="AD21" s="50" t="s">
        <v>599</v>
      </c>
      <c r="AE21" s="50" t="s">
        <v>600</v>
      </c>
      <c r="AF21" s="50" t="s">
        <v>601</v>
      </c>
      <c r="AG21" s="50" t="s">
        <v>602</v>
      </c>
      <c r="AH21" s="50" t="s">
        <v>603</v>
      </c>
      <c r="AI21" s="50" t="s">
        <v>604</v>
      </c>
      <c r="AL21" s="57">
        <v>0.09</v>
      </c>
      <c r="AM21" s="45">
        <f t="shared" si="9"/>
        <v>1.8</v>
      </c>
      <c r="AN21" s="45">
        <f t="shared" si="16"/>
        <v>3.6</v>
      </c>
      <c r="AO21" s="45">
        <f t="shared" si="1"/>
        <v>5.4</v>
      </c>
      <c r="AQ21" s="45">
        <f t="shared" si="10"/>
        <v>0.45</v>
      </c>
      <c r="AR21" s="45">
        <f t="shared" si="11"/>
        <v>0.18</v>
      </c>
      <c r="AS21" s="45">
        <f t="shared" si="12"/>
        <v>2.52</v>
      </c>
      <c r="AT21" s="45">
        <f t="shared" si="13"/>
        <v>2.88</v>
      </c>
      <c r="AU21" s="45">
        <f t="shared" si="14"/>
        <v>5.4</v>
      </c>
      <c r="AV21" s="56">
        <f t="shared" si="15"/>
        <v>0.466666666666667</v>
      </c>
    </row>
    <row r="22" spans="1:48">
      <c r="C22" s="45">
        <f>IF(D21=8,C21+1,C21)</f>
        <v>1</v>
      </c>
      <c r="D22" s="45">
        <v>2</v>
      </c>
      <c r="E22" s="45">
        <f ca="1" t="shared" ref="E22:E85" si="24">IFERROR(INT(OFFSET($AE$60,C22,D22)*10000),0)</f>
        <v>3979</v>
      </c>
      <c r="F22" s="45">
        <f ca="1" t="shared" ref="F22:F85" si="25">IFERROR(INT(OFFSET($AE$43,C22,D22)*10000),0)</f>
        <v>0</v>
      </c>
      <c r="K22" s="45">
        <f>SUM(M22:AI22)</f>
        <v>1</v>
      </c>
      <c r="L22" s="46" t="s">
        <v>610</v>
      </c>
      <c r="U22" s="54">
        <v>0.1</v>
      </c>
      <c r="V22" s="54">
        <v>0.382</v>
      </c>
      <c r="W22" s="54">
        <v>0.34</v>
      </c>
      <c r="X22" s="54">
        <v>0.158</v>
      </c>
      <c r="Y22" s="54">
        <v>0.02</v>
      </c>
      <c r="Z22" s="54">
        <v>0</v>
      </c>
      <c r="AA22" s="54">
        <v>0</v>
      </c>
      <c r="AB22" s="54">
        <v>0</v>
      </c>
      <c r="AL22" s="57">
        <v>0.095</v>
      </c>
      <c r="AM22" s="45">
        <f t="shared" si="9"/>
        <v>1.9</v>
      </c>
      <c r="AN22" s="45">
        <f t="shared" si="16"/>
        <v>3.8</v>
      </c>
      <c r="AO22" s="45">
        <f t="shared" si="1"/>
        <v>5.7</v>
      </c>
      <c r="AQ22" s="45">
        <f t="shared" si="10"/>
        <v>0.475</v>
      </c>
      <c r="AR22" s="45">
        <f t="shared" si="11"/>
        <v>0.19</v>
      </c>
      <c r="AS22" s="45">
        <f t="shared" si="12"/>
        <v>2.66</v>
      </c>
      <c r="AT22" s="45">
        <f t="shared" si="13"/>
        <v>3.04</v>
      </c>
      <c r="AU22" s="45">
        <f t="shared" si="14"/>
        <v>5.7</v>
      </c>
      <c r="AV22" s="56">
        <f t="shared" si="15"/>
        <v>0.466666666666667</v>
      </c>
    </row>
    <row r="23" spans="1:48">
      <c r="C23" s="45">
        <f t="shared" ref="C23:C54" si="26">IF(D22=8,C22+1,C22)</f>
        <v>1</v>
      </c>
      <c r="D23" s="45">
        <v>3</v>
      </c>
      <c r="E23" s="45">
        <f ca="1" t="shared" si="24"/>
        <v>3333</v>
      </c>
      <c r="F23" s="45">
        <f ca="1" t="shared" si="25"/>
        <v>0</v>
      </c>
      <c r="K23" s="45">
        <f t="shared" ref="K23:K36" si="27">SUM(M23:AI23)</f>
        <v>1</v>
      </c>
      <c r="L23" s="46" t="s">
        <v>611</v>
      </c>
      <c r="U23" s="54">
        <v>0.1</v>
      </c>
      <c r="V23" s="54">
        <v>0.19</v>
      </c>
      <c r="W23" s="54">
        <v>0.46</v>
      </c>
      <c r="X23" s="54">
        <v>0.206</v>
      </c>
      <c r="Y23" s="54">
        <v>0.044</v>
      </c>
      <c r="Z23" s="54">
        <v>0</v>
      </c>
      <c r="AA23" s="54">
        <v>0</v>
      </c>
      <c r="AB23" s="54">
        <v>0</v>
      </c>
      <c r="AL23" s="57">
        <v>0.1</v>
      </c>
      <c r="AM23" s="45">
        <f t="shared" si="9"/>
        <v>2</v>
      </c>
      <c r="AN23" s="45">
        <f t="shared" si="16"/>
        <v>4</v>
      </c>
      <c r="AO23" s="45">
        <f t="shared" si="1"/>
        <v>6</v>
      </c>
      <c r="AQ23" s="45">
        <f t="shared" si="10"/>
        <v>0.5</v>
      </c>
      <c r="AR23" s="45">
        <f t="shared" si="11"/>
        <v>0.2</v>
      </c>
      <c r="AS23" s="45">
        <f t="shared" si="12"/>
        <v>2.8</v>
      </c>
      <c r="AT23" s="45">
        <f t="shared" si="13"/>
        <v>3.2</v>
      </c>
      <c r="AU23" s="45">
        <f t="shared" si="14"/>
        <v>6</v>
      </c>
      <c r="AV23" s="56">
        <f t="shared" si="15"/>
        <v>0.466666666666667</v>
      </c>
    </row>
    <row r="24" spans="1:48">
      <c r="C24" s="45">
        <f t="shared" si="26"/>
        <v>1</v>
      </c>
      <c r="D24" s="45">
        <v>4</v>
      </c>
      <c r="E24" s="45">
        <f ca="1" t="shared" si="24"/>
        <v>1458</v>
      </c>
      <c r="F24" s="45">
        <f ca="1" t="shared" si="25"/>
        <v>7000</v>
      </c>
      <c r="K24" s="45">
        <f t="shared" si="27"/>
        <v>1</v>
      </c>
      <c r="L24" s="46" t="s">
        <v>612</v>
      </c>
      <c r="U24" s="54">
        <v>0.05</v>
      </c>
      <c r="V24" s="54">
        <v>0.15</v>
      </c>
      <c r="W24" s="54">
        <v>0.42</v>
      </c>
      <c r="X24" s="54">
        <v>0.28</v>
      </c>
      <c r="Y24" s="54">
        <v>0.09</v>
      </c>
      <c r="Z24" s="54">
        <v>0.01</v>
      </c>
      <c r="AA24" s="54">
        <v>0</v>
      </c>
      <c r="AB24" s="54">
        <v>0</v>
      </c>
      <c r="AL24" s="57"/>
    </row>
    <row r="25" spans="1:48">
      <c r="C25" s="45">
        <f t="shared" si="26"/>
        <v>1</v>
      </c>
      <c r="D25" s="45">
        <v>5</v>
      </c>
      <c r="E25" s="45">
        <f ca="1" t="shared" si="24"/>
        <v>187</v>
      </c>
      <c r="F25" s="45">
        <f ca="1" t="shared" si="25"/>
        <v>3000</v>
      </c>
      <c r="K25" s="45">
        <f t="shared" si="27"/>
        <v>1</v>
      </c>
      <c r="L25" s="46" t="s">
        <v>613</v>
      </c>
      <c r="U25" s="54">
        <v>0.025</v>
      </c>
      <c r="V25" s="54">
        <v>0.15</v>
      </c>
      <c r="W25" s="54">
        <v>0.42</v>
      </c>
      <c r="X25" s="54">
        <v>0.29</v>
      </c>
      <c r="Y25" s="54">
        <v>0.095</v>
      </c>
      <c r="Z25" s="54">
        <v>0.02</v>
      </c>
      <c r="AA25" s="54">
        <v>0</v>
      </c>
      <c r="AB25" s="54">
        <v>0</v>
      </c>
      <c r="AL25" s="57"/>
    </row>
    <row r="26" spans="1:48">
      <c r="C26" s="45">
        <f t="shared" si="26"/>
        <v>1</v>
      </c>
      <c r="D26" s="45">
        <v>6</v>
      </c>
      <c r="E26" s="45">
        <f ca="1" t="shared" si="24"/>
        <v>0</v>
      </c>
      <c r="F26" s="45">
        <f ca="1" t="shared" si="25"/>
        <v>0</v>
      </c>
      <c r="K26" s="45">
        <f t="shared" si="27"/>
        <v>1</v>
      </c>
      <c r="L26" s="46" t="s">
        <v>614</v>
      </c>
      <c r="U26" s="54">
        <v>0</v>
      </c>
      <c r="V26" s="54">
        <v>0.125</v>
      </c>
      <c r="W26" s="54">
        <v>0.424</v>
      </c>
      <c r="X26" s="54">
        <v>0.3</v>
      </c>
      <c r="Y26" s="54">
        <v>0.118</v>
      </c>
      <c r="Z26" s="54">
        <v>0.033</v>
      </c>
      <c r="AA26" s="54">
        <v>0</v>
      </c>
      <c r="AB26" s="54">
        <v>0</v>
      </c>
      <c r="AL26" s="57"/>
    </row>
    <row r="27" spans="1:48">
      <c r="C27" s="45">
        <f t="shared" si="26"/>
        <v>1</v>
      </c>
      <c r="D27" s="45">
        <v>7</v>
      </c>
      <c r="E27" s="45">
        <f ca="1" t="shared" si="24"/>
        <v>0</v>
      </c>
      <c r="F27" s="45">
        <f ca="1" t="shared" si="25"/>
        <v>0</v>
      </c>
      <c r="K27" s="45">
        <f t="shared" si="27"/>
        <v>1</v>
      </c>
      <c r="L27" s="46" t="s">
        <v>615</v>
      </c>
      <c r="U27" s="54">
        <v>0</v>
      </c>
      <c r="V27" s="54">
        <v>0.075</v>
      </c>
      <c r="W27" s="54">
        <v>0.4</v>
      </c>
      <c r="X27" s="54">
        <v>0.266</v>
      </c>
      <c r="Y27" s="54">
        <v>0.177</v>
      </c>
      <c r="Z27" s="54">
        <v>0.072</v>
      </c>
      <c r="AA27" s="54">
        <v>0.01</v>
      </c>
      <c r="AB27" s="54">
        <v>0</v>
      </c>
      <c r="AL27" s="57"/>
    </row>
    <row r="28" spans="1:48">
      <c r="C28" s="45">
        <f t="shared" si="26"/>
        <v>1</v>
      </c>
      <c r="D28" s="45">
        <v>8</v>
      </c>
      <c r="E28" s="45">
        <f ca="1" t="shared" si="24"/>
        <v>0</v>
      </c>
      <c r="F28" s="45">
        <f ca="1" t="shared" si="25"/>
        <v>0</v>
      </c>
      <c r="K28" s="45">
        <f t="shared" si="27"/>
        <v>1</v>
      </c>
      <c r="L28" s="46" t="s">
        <v>616</v>
      </c>
      <c r="U28" s="54">
        <v>0</v>
      </c>
      <c r="V28" s="54">
        <v>0.035</v>
      </c>
      <c r="W28" s="54">
        <v>0.4</v>
      </c>
      <c r="X28" s="54">
        <v>0.2684</v>
      </c>
      <c r="Y28" s="54">
        <v>0.196</v>
      </c>
      <c r="Z28" s="54">
        <v>0.0846</v>
      </c>
      <c r="AA28" s="54">
        <v>0.016</v>
      </c>
      <c r="AB28" s="54">
        <v>0</v>
      </c>
      <c r="AL28" s="58"/>
      <c r="AM28" s="58"/>
      <c r="AN28" s="58"/>
      <c r="AO28" s="58"/>
      <c r="AP28" s="58"/>
      <c r="AQ28" s="58"/>
      <c r="AR28" s="58"/>
      <c r="AS28" s="58"/>
    </row>
    <row r="29" spans="1:48">
      <c r="C29" s="45">
        <f t="shared" si="26"/>
        <v>2</v>
      </c>
      <c r="D29" s="45">
        <f>D21</f>
        <v>1</v>
      </c>
      <c r="E29" s="45">
        <f ca="1" t="shared" si="24"/>
        <v>1041</v>
      </c>
      <c r="F29" s="45">
        <f ca="1" t="shared" si="25"/>
        <v>0</v>
      </c>
      <c r="K29" s="45">
        <f t="shared" si="27"/>
        <v>1</v>
      </c>
      <c r="L29" s="46" t="s">
        <v>617</v>
      </c>
      <c r="U29" s="54">
        <v>0</v>
      </c>
      <c r="V29" s="54">
        <v>0</v>
      </c>
      <c r="W29" s="54">
        <v>0.345</v>
      </c>
      <c r="X29" s="54">
        <v>0.3208</v>
      </c>
      <c r="Y29" s="54">
        <v>0.212</v>
      </c>
      <c r="Z29" s="54">
        <v>0.1002</v>
      </c>
      <c r="AA29" s="54">
        <v>0.022</v>
      </c>
      <c r="AB29" s="54">
        <v>0</v>
      </c>
      <c r="AK29" s="46"/>
    </row>
    <row r="30" spans="1:48">
      <c r="C30" s="45">
        <f t="shared" si="26"/>
        <v>2</v>
      </c>
      <c r="D30" s="45">
        <f t="shared" ref="D30:D93" si="28">D22</f>
        <v>2</v>
      </c>
      <c r="E30" s="45">
        <f ca="1" t="shared" si="24"/>
        <v>1979</v>
      </c>
      <c r="F30" s="45">
        <f ca="1" t="shared" si="25"/>
        <v>0</v>
      </c>
      <c r="K30" s="45">
        <f t="shared" si="27"/>
        <v>1</v>
      </c>
      <c r="L30" s="46" t="s">
        <v>618</v>
      </c>
      <c r="U30" s="54">
        <v>0</v>
      </c>
      <c r="V30" s="54">
        <v>0</v>
      </c>
      <c r="W30" s="54">
        <v>0.25</v>
      </c>
      <c r="X30" s="54">
        <v>0.3732</v>
      </c>
      <c r="Y30" s="54">
        <v>0.23</v>
      </c>
      <c r="Z30" s="54">
        <v>0.1138</v>
      </c>
      <c r="AA30" s="54">
        <v>0.033</v>
      </c>
      <c r="AB30" s="54">
        <v>0</v>
      </c>
      <c r="AK30" s="46"/>
    </row>
    <row r="31" spans="1:48">
      <c r="C31" s="45">
        <f t="shared" si="26"/>
        <v>2</v>
      </c>
      <c r="D31" s="45">
        <f t="shared" si="28"/>
        <v>3</v>
      </c>
      <c r="E31" s="45">
        <f ca="1" t="shared" si="24"/>
        <v>4583</v>
      </c>
      <c r="F31" s="45">
        <f ca="1" t="shared" si="25"/>
        <v>0</v>
      </c>
      <c r="K31" s="45">
        <f t="shared" si="27"/>
        <v>1</v>
      </c>
      <c r="L31" s="46" t="s">
        <v>619</v>
      </c>
      <c r="U31" s="54">
        <v>0</v>
      </c>
      <c r="V31" s="54">
        <v>0</v>
      </c>
      <c r="W31" s="54">
        <v>0.135</v>
      </c>
      <c r="X31" s="54">
        <v>0.4</v>
      </c>
      <c r="Y31" s="54">
        <v>0.2144</v>
      </c>
      <c r="Z31" s="54">
        <v>0.181</v>
      </c>
      <c r="AA31" s="54">
        <v>0.0636</v>
      </c>
      <c r="AB31" s="54">
        <v>0.006</v>
      </c>
      <c r="AK31" s="46"/>
    </row>
    <row r="32" spans="1:48">
      <c r="C32" s="45">
        <f t="shared" si="26"/>
        <v>2</v>
      </c>
      <c r="D32" s="45">
        <f t="shared" si="28"/>
        <v>4</v>
      </c>
      <c r="E32" s="45">
        <f ca="1" t="shared" si="24"/>
        <v>2020</v>
      </c>
      <c r="F32" s="45">
        <f ca="1" t="shared" si="25"/>
        <v>4000</v>
      </c>
      <c r="K32" s="45">
        <f t="shared" si="27"/>
        <v>1</v>
      </c>
      <c r="L32" s="46" t="s">
        <v>620</v>
      </c>
      <c r="U32" s="54">
        <v>0</v>
      </c>
      <c r="V32" s="54">
        <v>0</v>
      </c>
      <c r="W32" s="54">
        <v>0</v>
      </c>
      <c r="X32" s="54">
        <v>0.455</v>
      </c>
      <c r="Y32" s="54">
        <v>0.266</v>
      </c>
      <c r="Z32" s="54">
        <v>0.197</v>
      </c>
      <c r="AA32" s="54">
        <v>0.072</v>
      </c>
      <c r="AB32" s="54">
        <v>0.01</v>
      </c>
      <c r="AK32" s="46"/>
    </row>
    <row r="33" spans="3:45">
      <c r="C33" s="45">
        <f t="shared" si="26"/>
        <v>2</v>
      </c>
      <c r="D33" s="45">
        <f t="shared" si="28"/>
        <v>5</v>
      </c>
      <c r="E33" s="45">
        <f ca="1" t="shared" si="24"/>
        <v>375</v>
      </c>
      <c r="F33" s="45">
        <f ca="1" t="shared" si="25"/>
        <v>6000</v>
      </c>
      <c r="K33" s="45">
        <f t="shared" si="27"/>
        <v>1</v>
      </c>
      <c r="L33" s="46" t="s">
        <v>621</v>
      </c>
      <c r="U33" s="54">
        <v>0</v>
      </c>
      <c r="V33" s="54">
        <v>0</v>
      </c>
      <c r="W33" s="54">
        <v>0</v>
      </c>
      <c r="X33" s="54">
        <v>0.37</v>
      </c>
      <c r="Y33" s="54">
        <v>0.3176</v>
      </c>
      <c r="Z33" s="54">
        <v>0.216</v>
      </c>
      <c r="AA33" s="54">
        <v>0.0804</v>
      </c>
      <c r="AB33" s="54">
        <v>0.016</v>
      </c>
      <c r="AK33" s="46"/>
    </row>
    <row r="34" spans="3:45">
      <c r="C34" s="45">
        <f t="shared" si="26"/>
        <v>2</v>
      </c>
      <c r="D34" s="45">
        <f t="shared" si="28"/>
        <v>6</v>
      </c>
      <c r="E34" s="45">
        <f ca="1" t="shared" si="24"/>
        <v>0</v>
      </c>
      <c r="F34" s="45">
        <f ca="1" t="shared" si="25"/>
        <v>0</v>
      </c>
      <c r="K34" s="45">
        <f t="shared" si="27"/>
        <v>1</v>
      </c>
      <c r="L34" s="46" t="s">
        <v>622</v>
      </c>
      <c r="U34" s="54">
        <v>0</v>
      </c>
      <c r="V34" s="54">
        <v>0</v>
      </c>
      <c r="W34" s="54">
        <v>0</v>
      </c>
      <c r="X34" s="54">
        <v>0.295</v>
      </c>
      <c r="Y34" s="54">
        <v>0.3692</v>
      </c>
      <c r="Z34" s="54">
        <v>0.228</v>
      </c>
      <c r="AA34" s="54">
        <v>0.0898</v>
      </c>
      <c r="AB34" s="54">
        <v>0.018</v>
      </c>
      <c r="AK34" s="46"/>
    </row>
    <row r="35" spans="3:45">
      <c r="C35" s="45">
        <f t="shared" si="26"/>
        <v>2</v>
      </c>
      <c r="D35" s="45">
        <f t="shared" si="28"/>
        <v>7</v>
      </c>
      <c r="E35" s="45">
        <f ca="1" t="shared" si="24"/>
        <v>0</v>
      </c>
      <c r="F35" s="45">
        <f ca="1" t="shared" si="25"/>
        <v>0</v>
      </c>
      <c r="K35" s="45">
        <f t="shared" si="27"/>
        <v>1</v>
      </c>
      <c r="L35" s="46" t="s">
        <v>623</v>
      </c>
      <c r="U35" s="54">
        <v>0</v>
      </c>
      <c r="V35" s="54">
        <v>0</v>
      </c>
      <c r="W35" s="54">
        <v>0</v>
      </c>
      <c r="X35" s="54">
        <v>0.245</v>
      </c>
      <c r="Y35" s="54">
        <v>0.3958</v>
      </c>
      <c r="Z35" s="54">
        <v>0.24</v>
      </c>
      <c r="AA35" s="54">
        <v>0.0992</v>
      </c>
      <c r="AB35" s="54">
        <v>0.02</v>
      </c>
      <c r="AK35" s="46"/>
    </row>
    <row r="36" spans="3:45">
      <c r="C36" s="45">
        <f t="shared" si="26"/>
        <v>2</v>
      </c>
      <c r="D36" s="45">
        <f t="shared" si="28"/>
        <v>8</v>
      </c>
      <c r="E36" s="45">
        <f ca="1" t="shared" si="24"/>
        <v>0</v>
      </c>
      <c r="F36" s="45">
        <f ca="1" t="shared" si="25"/>
        <v>0</v>
      </c>
      <c r="K36" s="45">
        <f t="shared" si="27"/>
        <v>1</v>
      </c>
      <c r="L36" s="46" t="s">
        <v>624</v>
      </c>
      <c r="U36" s="54">
        <v>0</v>
      </c>
      <c r="V36" s="54">
        <v>0</v>
      </c>
      <c r="W36" s="54">
        <v>0</v>
      </c>
      <c r="X36" s="54">
        <v>0.2</v>
      </c>
      <c r="Y36" s="54">
        <v>0.4216</v>
      </c>
      <c r="Z36" s="54">
        <v>0.252</v>
      </c>
      <c r="AA36" s="54">
        <v>0.1044</v>
      </c>
      <c r="AB36" s="54">
        <v>0.022</v>
      </c>
      <c r="AK36" s="46"/>
    </row>
    <row r="37" spans="3:45">
      <c r="C37" s="45">
        <f t="shared" si="26"/>
        <v>3</v>
      </c>
      <c r="D37" s="45">
        <f t="shared" si="28"/>
        <v>1</v>
      </c>
      <c r="E37" s="45">
        <f ca="1" t="shared" si="24"/>
        <v>510</v>
      </c>
      <c r="F37" s="45">
        <f ca="1" t="shared" si="25"/>
        <v>0</v>
      </c>
      <c r="AK37" s="46"/>
    </row>
    <row r="38" spans="3:45">
      <c r="C38" s="45">
        <f t="shared" si="26"/>
        <v>3</v>
      </c>
      <c r="D38" s="45">
        <f t="shared" si="28"/>
        <v>2</v>
      </c>
      <c r="E38" s="45">
        <f ca="1" t="shared" si="24"/>
        <v>1530</v>
      </c>
      <c r="F38" s="45">
        <f ca="1" t="shared" si="25"/>
        <v>0</v>
      </c>
      <c r="AK38" s="46"/>
    </row>
    <row r="39" spans="3:45">
      <c r="C39" s="45">
        <f t="shared" si="26"/>
        <v>3</v>
      </c>
      <c r="D39" s="45">
        <f t="shared" si="28"/>
        <v>3</v>
      </c>
      <c r="E39" s="45">
        <f ca="1" t="shared" si="24"/>
        <v>4285</v>
      </c>
      <c r="F39" s="45">
        <f ca="1" t="shared" si="25"/>
        <v>0</v>
      </c>
      <c r="AI39" s="45">
        <f>AI44*4+AI61*5*20</f>
        <v>17.3833333333333</v>
      </c>
      <c r="AK39" s="46"/>
    </row>
    <row r="40" spans="3:45">
      <c r="C40" s="45">
        <f t="shared" si="26"/>
        <v>3</v>
      </c>
      <c r="D40" s="45">
        <f t="shared" si="28"/>
        <v>4</v>
      </c>
      <c r="E40" s="45">
        <f ca="1" t="shared" si="24"/>
        <v>2653</v>
      </c>
      <c r="F40" s="45">
        <f ca="1" t="shared" si="25"/>
        <v>0</v>
      </c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0"/>
      <c r="AI40" s="50"/>
      <c r="AK40" s="46"/>
    </row>
    <row r="41" spans="3:45">
      <c r="C41" s="45">
        <f t="shared" si="26"/>
        <v>3</v>
      </c>
      <c r="D41" s="45">
        <f t="shared" si="28"/>
        <v>5</v>
      </c>
      <c r="E41" s="45">
        <f ca="1" t="shared" si="24"/>
        <v>928</v>
      </c>
      <c r="F41" s="45">
        <f ca="1" t="shared" si="25"/>
        <v>3500</v>
      </c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F41" s="52"/>
      <c r="AG41" s="52"/>
      <c r="AH41" s="52"/>
      <c r="AI41" s="52"/>
      <c r="AK41" s="46"/>
    </row>
    <row r="42" spans="3:45">
      <c r="C42" s="45">
        <f t="shared" si="26"/>
        <v>3</v>
      </c>
      <c r="D42" s="45">
        <f t="shared" si="28"/>
        <v>6</v>
      </c>
      <c r="E42" s="45">
        <f ca="1" t="shared" si="24"/>
        <v>91</v>
      </c>
      <c r="F42" s="45">
        <f ca="1" t="shared" si="25"/>
        <v>1500</v>
      </c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9" t="s">
        <v>629</v>
      </c>
      <c r="AF42" s="52"/>
      <c r="AG42" s="52"/>
      <c r="AH42" s="52"/>
      <c r="AI42" s="52"/>
      <c r="AK42" s="46"/>
    </row>
    <row r="43" spans="3:45">
      <c r="C43" s="45">
        <f t="shared" si="26"/>
        <v>3</v>
      </c>
      <c r="D43" s="45">
        <f t="shared" si="28"/>
        <v>7</v>
      </c>
      <c r="E43" s="45">
        <f ca="1" t="shared" si="24"/>
        <v>0</v>
      </c>
      <c r="F43" s="45">
        <f ca="1" t="shared" si="25"/>
        <v>0</v>
      </c>
      <c r="M43" s="52"/>
      <c r="N43" s="52"/>
      <c r="O43" s="52"/>
      <c r="P43" s="52"/>
      <c r="Q43" s="52"/>
      <c r="R43" s="52"/>
      <c r="T43" s="52" t="s">
        <v>630</v>
      </c>
      <c r="U43" s="52" t="s">
        <v>631</v>
      </c>
      <c r="V43" s="52" t="s">
        <v>58</v>
      </c>
      <c r="W43" s="52" t="s">
        <v>59</v>
      </c>
      <c r="X43" s="52" t="s">
        <v>31</v>
      </c>
      <c r="Y43" s="52" t="s">
        <v>32</v>
      </c>
      <c r="Z43" s="52" t="s">
        <v>33</v>
      </c>
      <c r="AA43" s="52" t="s">
        <v>34</v>
      </c>
      <c r="AB43" s="52" t="s">
        <v>35</v>
      </c>
      <c r="AC43" s="52" t="s">
        <v>36</v>
      </c>
      <c r="AD43" s="52"/>
      <c r="AE43" s="52" t="s">
        <v>632</v>
      </c>
      <c r="AF43" s="52" t="s">
        <v>58</v>
      </c>
      <c r="AG43" s="52" t="s">
        <v>59</v>
      </c>
      <c r="AH43" s="52" t="s">
        <v>31</v>
      </c>
      <c r="AI43" s="52" t="s">
        <v>32</v>
      </c>
      <c r="AJ43" s="52" t="s">
        <v>33</v>
      </c>
      <c r="AK43" s="52" t="s">
        <v>34</v>
      </c>
      <c r="AL43" s="52" t="s">
        <v>35</v>
      </c>
      <c r="AM43" s="52" t="s">
        <v>36</v>
      </c>
      <c r="AN43" s="45" t="s">
        <v>633</v>
      </c>
      <c r="AO43" s="45" t="s">
        <v>634</v>
      </c>
      <c r="AP43" s="45" t="s">
        <v>635</v>
      </c>
    </row>
    <row r="44" spans="3:45">
      <c r="C44" s="45">
        <f t="shared" si="26"/>
        <v>3</v>
      </c>
      <c r="D44" s="45">
        <f t="shared" si="28"/>
        <v>8</v>
      </c>
      <c r="E44" s="45">
        <f ca="1" t="shared" si="24"/>
        <v>0</v>
      </c>
      <c r="F44" s="45">
        <f ca="1" t="shared" si="25"/>
        <v>0</v>
      </c>
      <c r="K44" s="46" t="s">
        <v>610</v>
      </c>
      <c r="N44" s="52"/>
      <c r="O44" s="52"/>
      <c r="P44" s="52"/>
      <c r="Q44" s="52"/>
      <c r="R44" s="52"/>
      <c r="T44" s="45">
        <v>5</v>
      </c>
      <c r="U44" s="46" t="s">
        <v>610</v>
      </c>
      <c r="V44" s="52"/>
      <c r="W44" s="52"/>
      <c r="X44" s="52"/>
      <c r="Y44" s="52">
        <f>MIN((E4*5*4+E4*5*16*0.5)*0.4,400%-Z44)</f>
        <v>2.8</v>
      </c>
      <c r="Z44" s="52">
        <f>(F4*5*4+F4*5*16*0.5)*0.4</f>
        <v>1.2</v>
      </c>
      <c r="AA44" s="52">
        <f t="shared" ref="W44:AC44" si="29">G4*5*0.4*20</f>
        <v>0</v>
      </c>
      <c r="AB44" s="52">
        <f t="shared" si="29"/>
        <v>0</v>
      </c>
      <c r="AC44" s="52">
        <f t="shared" si="29"/>
        <v>0</v>
      </c>
      <c r="AD44" s="52"/>
      <c r="AE44" s="46" t="s">
        <v>610</v>
      </c>
      <c r="AF44" s="52">
        <f>V44/SUM($V44:$AC44)/2</f>
        <v>0</v>
      </c>
      <c r="AG44" s="52">
        <f t="shared" ref="AG44:AM44" si="30">W44/SUM($V44:$AC44)/2</f>
        <v>0</v>
      </c>
      <c r="AH44" s="52">
        <f t="shared" si="30"/>
        <v>0</v>
      </c>
      <c r="AI44" s="52">
        <f>Y44/SUM($V44:$AC44)</f>
        <v>0.7</v>
      </c>
      <c r="AJ44" s="52">
        <f>Z44/SUM($V44:$AC44)</f>
        <v>0.3</v>
      </c>
      <c r="AK44" s="52">
        <f t="shared" si="30"/>
        <v>0</v>
      </c>
      <c r="AL44" s="52">
        <f t="shared" si="30"/>
        <v>0</v>
      </c>
      <c r="AM44" s="52">
        <f t="shared" si="30"/>
        <v>0</v>
      </c>
      <c r="AS44" s="45">
        <f>3.5*4</f>
        <v>14</v>
      </c>
    </row>
    <row r="45" spans="3:45">
      <c r="C45" s="45">
        <f t="shared" si="26"/>
        <v>4</v>
      </c>
      <c r="D45" s="45">
        <f t="shared" si="28"/>
        <v>1</v>
      </c>
      <c r="E45" s="45">
        <f ca="1" t="shared" si="24"/>
        <v>255</v>
      </c>
      <c r="F45" s="45">
        <f ca="1" t="shared" si="25"/>
        <v>0</v>
      </c>
      <c r="K45" s="46" t="s">
        <v>611</v>
      </c>
      <c r="T45" s="45">
        <v>5</v>
      </c>
      <c r="U45" s="46" t="s">
        <v>611</v>
      </c>
      <c r="V45" s="52"/>
      <c r="W45" s="52"/>
      <c r="X45" s="52"/>
      <c r="Y45" s="53">
        <f>MIN((E5*5*4+E5*5*16*0.5)*0.4,400%-Z45)</f>
        <v>1.6</v>
      </c>
      <c r="Z45" s="52">
        <f>(F5*5*4+F5*5*16*0.5)*0.4</f>
        <v>2.4</v>
      </c>
      <c r="AA45" s="52">
        <f>G5*5*0.4*20</f>
        <v>0</v>
      </c>
      <c r="AB45" s="52">
        <f>H5*5*0.4*20</f>
        <v>0</v>
      </c>
      <c r="AC45" s="52">
        <f t="shared" ref="AC45:AC58" si="31">I5*5*0.4*20</f>
        <v>0</v>
      </c>
      <c r="AE45" s="46" t="s">
        <v>611</v>
      </c>
      <c r="AF45" s="52">
        <f t="shared" ref="AF45:AF58" si="32">V45/SUM($V45:$AC45)/2</f>
        <v>0</v>
      </c>
      <c r="AG45" s="52">
        <f t="shared" ref="AG45:AG58" si="33">W45/SUM($V45:$AC45)/2</f>
        <v>0</v>
      </c>
      <c r="AH45" s="52">
        <f t="shared" ref="AH45:AH58" si="34">X45/SUM($V45:$AC45)/2</f>
        <v>0</v>
      </c>
      <c r="AI45" s="52">
        <f>Y45/SUM($V45:$AC45)</f>
        <v>0.4</v>
      </c>
      <c r="AJ45" s="52">
        <f>Z45/SUM($V45:$AC45)</f>
        <v>0.6</v>
      </c>
      <c r="AK45" s="52">
        <f t="shared" ref="AK45:AK58" si="35">AA45/SUM($V45:$AC45)/2</f>
        <v>0</v>
      </c>
      <c r="AL45" s="52">
        <f t="shared" ref="AL45:AL58" si="36">AB45/SUM($V45:$AC45)/2</f>
        <v>0</v>
      </c>
      <c r="AM45" s="52">
        <f t="shared" ref="AM45:AM58" si="37">AC45/SUM($V45:$AC45)/2</f>
        <v>0</v>
      </c>
      <c r="AS45" s="45">
        <v>16</v>
      </c>
    </row>
    <row r="46" spans="3:45">
      <c r="C46" s="45">
        <f t="shared" si="26"/>
        <v>4</v>
      </c>
      <c r="D46" s="45">
        <f t="shared" si="28"/>
        <v>2</v>
      </c>
      <c r="E46" s="45">
        <f ca="1" t="shared" si="24"/>
        <v>1530</v>
      </c>
      <c r="F46" s="45">
        <f ca="1" t="shared" si="25"/>
        <v>0</v>
      </c>
      <c r="K46" s="46" t="s">
        <v>612</v>
      </c>
      <c r="T46" s="45">
        <v>6</v>
      </c>
      <c r="U46" s="46" t="s">
        <v>612</v>
      </c>
      <c r="V46" s="52"/>
      <c r="W46" s="52"/>
      <c r="X46" s="52"/>
      <c r="Y46" s="52"/>
      <c r="Z46" s="53">
        <f>MIN((F6*5*4+F6*5*16*0.5)*0.4,200%-AA46)</f>
        <v>1.4</v>
      </c>
      <c r="AA46" s="52">
        <f>MIN((G6*5*4+G6*5*16*0.5)*0.4,120%)</f>
        <v>0.6</v>
      </c>
      <c r="AB46" s="52">
        <f>H6*5*0.4*20</f>
        <v>0</v>
      </c>
      <c r="AC46" s="52">
        <f t="shared" si="31"/>
        <v>0</v>
      </c>
      <c r="AE46" s="46" t="s">
        <v>612</v>
      </c>
      <c r="AF46" s="52">
        <f t="shared" si="32"/>
        <v>0</v>
      </c>
      <c r="AG46" s="52">
        <f t="shared" si="33"/>
        <v>0</v>
      </c>
      <c r="AH46" s="52">
        <f t="shared" si="34"/>
        <v>0</v>
      </c>
      <c r="AI46" s="52">
        <f t="shared" ref="AI45:AI58" si="38">Y46/SUM($V46:$AC46)/2</f>
        <v>0</v>
      </c>
      <c r="AJ46" s="52">
        <f t="shared" ref="AJ45:AJ58" si="39">Z46/SUM($V46:$AC46)/2</f>
        <v>0.35</v>
      </c>
      <c r="AK46" s="52">
        <f t="shared" si="35"/>
        <v>0.15</v>
      </c>
      <c r="AL46" s="52">
        <f t="shared" si="36"/>
        <v>0</v>
      </c>
      <c r="AM46" s="52">
        <f t="shared" si="37"/>
        <v>0</v>
      </c>
      <c r="AN46" s="47">
        <v>0.2</v>
      </c>
      <c r="AO46" s="47">
        <v>0.24</v>
      </c>
      <c r="AP46" s="47">
        <v>0.06</v>
      </c>
    </row>
    <row r="47" spans="3:45">
      <c r="C47" s="45">
        <f t="shared" si="26"/>
        <v>4</v>
      </c>
      <c r="D47" s="45">
        <f t="shared" si="28"/>
        <v>3</v>
      </c>
      <c r="E47" s="45">
        <f ca="1" t="shared" si="24"/>
        <v>4285</v>
      </c>
      <c r="F47" s="45">
        <f ca="1" t="shared" si="25"/>
        <v>0</v>
      </c>
      <c r="K47" s="46" t="s">
        <v>613</v>
      </c>
      <c r="T47" s="45">
        <v>6</v>
      </c>
      <c r="U47" s="46" t="s">
        <v>613</v>
      </c>
      <c r="V47" s="52"/>
      <c r="W47" s="52"/>
      <c r="X47" s="52"/>
      <c r="Y47" s="52"/>
      <c r="Z47" s="53">
        <f>MIN((F7*5*4+F7*5*16*0.5)*0.4,200%-AA47)</f>
        <v>0.8</v>
      </c>
      <c r="AA47" s="52">
        <f>MIN((G7*5*4+G7*5*16*0.5)*0.4,120%)</f>
        <v>1.2</v>
      </c>
      <c r="AB47" s="52">
        <f>H7*5*0.4*20</f>
        <v>0</v>
      </c>
      <c r="AC47" s="52">
        <f t="shared" si="31"/>
        <v>0</v>
      </c>
      <c r="AE47" s="46" t="s">
        <v>613</v>
      </c>
      <c r="AF47" s="52">
        <f t="shared" si="32"/>
        <v>0</v>
      </c>
      <c r="AG47" s="52">
        <f t="shared" si="33"/>
        <v>0</v>
      </c>
      <c r="AH47" s="52">
        <f t="shared" si="34"/>
        <v>0</v>
      </c>
      <c r="AI47" s="52">
        <f t="shared" si="38"/>
        <v>0</v>
      </c>
      <c r="AJ47" s="52">
        <f t="shared" si="39"/>
        <v>0.2</v>
      </c>
      <c r="AK47" s="52">
        <f t="shared" si="35"/>
        <v>0.3</v>
      </c>
      <c r="AL47" s="52">
        <f t="shared" si="36"/>
        <v>0</v>
      </c>
      <c r="AM47" s="52">
        <f t="shared" si="37"/>
        <v>0</v>
      </c>
      <c r="AN47" s="47">
        <v>0.2</v>
      </c>
      <c r="AO47" s="47">
        <v>0.24</v>
      </c>
      <c r="AP47" s="47">
        <v>0.06</v>
      </c>
    </row>
    <row r="48" spans="3:45">
      <c r="C48" s="45">
        <f t="shared" si="26"/>
        <v>4</v>
      </c>
      <c r="D48" s="45">
        <f t="shared" si="28"/>
        <v>4</v>
      </c>
      <c r="E48" s="45">
        <f ca="1" t="shared" si="24"/>
        <v>2755</v>
      </c>
      <c r="F48" s="45">
        <f ca="1" t="shared" si="25"/>
        <v>0</v>
      </c>
      <c r="K48" s="46" t="s">
        <v>614</v>
      </c>
      <c r="T48" s="45">
        <v>6</v>
      </c>
      <c r="U48" s="46" t="s">
        <v>614</v>
      </c>
      <c r="V48" s="52"/>
      <c r="W48" s="52"/>
      <c r="X48" s="52"/>
      <c r="Y48" s="52"/>
      <c r="Z48" s="53">
        <f>MIN((F8*5*4+F8*5*16*0.5)*0.4,200%-AA48)</f>
        <v>0.8</v>
      </c>
      <c r="AA48" s="52">
        <f>MIN((G8*5*4+G8*5*16*0.5)*0.4,120%)</f>
        <v>1.2</v>
      </c>
      <c r="AB48" s="52">
        <f>H8*5*0.4*20</f>
        <v>0</v>
      </c>
      <c r="AC48" s="52">
        <f t="shared" si="31"/>
        <v>0</v>
      </c>
      <c r="AE48" s="46" t="s">
        <v>614</v>
      </c>
      <c r="AF48" s="52">
        <f t="shared" si="32"/>
        <v>0</v>
      </c>
      <c r="AG48" s="52">
        <f t="shared" si="33"/>
        <v>0</v>
      </c>
      <c r="AH48" s="52">
        <f t="shared" si="34"/>
        <v>0</v>
      </c>
      <c r="AI48" s="52">
        <f t="shared" si="38"/>
        <v>0</v>
      </c>
      <c r="AJ48" s="52">
        <f t="shared" si="39"/>
        <v>0.2</v>
      </c>
      <c r="AK48" s="52">
        <f t="shared" si="35"/>
        <v>0.3</v>
      </c>
      <c r="AL48" s="52">
        <f t="shared" si="36"/>
        <v>0</v>
      </c>
      <c r="AM48" s="52">
        <f t="shared" si="37"/>
        <v>0</v>
      </c>
      <c r="AN48" s="47">
        <v>0.2</v>
      </c>
      <c r="AO48" s="47">
        <v>0.24</v>
      </c>
      <c r="AP48" s="47">
        <v>0.06</v>
      </c>
    </row>
    <row r="49" spans="3:42">
      <c r="C49" s="45">
        <f t="shared" si="26"/>
        <v>4</v>
      </c>
      <c r="D49" s="45">
        <f t="shared" si="28"/>
        <v>5</v>
      </c>
      <c r="E49" s="45">
        <f ca="1" t="shared" si="24"/>
        <v>989</v>
      </c>
      <c r="F49" s="45">
        <f ca="1" t="shared" si="25"/>
        <v>2000</v>
      </c>
      <c r="K49" s="46" t="s">
        <v>615</v>
      </c>
      <c r="T49" s="45">
        <v>7</v>
      </c>
      <c r="U49" s="46" t="s">
        <v>615</v>
      </c>
      <c r="V49" s="52"/>
      <c r="W49" s="52"/>
      <c r="X49" s="52"/>
      <c r="Y49" s="52"/>
      <c r="Z49" s="52"/>
      <c r="AA49" s="53">
        <f t="shared" ref="AA49:AA52" si="40">MIN((G9*5*4+G9*5*16*0.5)*0.4,200%-AB49)</f>
        <v>1.4</v>
      </c>
      <c r="AB49" s="52">
        <f>MIN((H9*5*4+H9*5*16*0.5)*0.4,120%)</f>
        <v>0.6</v>
      </c>
      <c r="AC49" s="52">
        <f t="shared" si="31"/>
        <v>0</v>
      </c>
      <c r="AE49" s="46" t="s">
        <v>615</v>
      </c>
      <c r="AF49" s="52">
        <f t="shared" si="32"/>
        <v>0</v>
      </c>
      <c r="AG49" s="52">
        <f t="shared" si="33"/>
        <v>0</v>
      </c>
      <c r="AH49" s="52">
        <f t="shared" si="34"/>
        <v>0</v>
      </c>
      <c r="AI49" s="52">
        <f t="shared" si="38"/>
        <v>0</v>
      </c>
      <c r="AJ49" s="52">
        <f t="shared" si="39"/>
        <v>0</v>
      </c>
      <c r="AK49" s="52">
        <f t="shared" si="35"/>
        <v>0.35</v>
      </c>
      <c r="AL49" s="52">
        <f t="shared" si="36"/>
        <v>0.15</v>
      </c>
      <c r="AM49" s="52">
        <f t="shared" si="37"/>
        <v>0</v>
      </c>
      <c r="AN49" s="47">
        <v>0.2</v>
      </c>
      <c r="AO49" s="47">
        <v>0.24</v>
      </c>
      <c r="AP49" s="47">
        <v>0.06</v>
      </c>
    </row>
    <row r="50" spans="3:42">
      <c r="C50" s="45">
        <f t="shared" si="26"/>
        <v>4</v>
      </c>
      <c r="D50" s="45">
        <f t="shared" si="28"/>
        <v>6</v>
      </c>
      <c r="E50" s="45">
        <f ca="1" t="shared" si="24"/>
        <v>183</v>
      </c>
      <c r="F50" s="45">
        <f ca="1" t="shared" si="25"/>
        <v>3000</v>
      </c>
      <c r="K50" s="46" t="s">
        <v>616</v>
      </c>
      <c r="T50" s="45">
        <v>7</v>
      </c>
      <c r="U50" s="46" t="s">
        <v>616</v>
      </c>
      <c r="V50" s="52"/>
      <c r="W50" s="52"/>
      <c r="X50" s="52"/>
      <c r="Y50" s="52"/>
      <c r="Z50" s="52"/>
      <c r="AA50" s="53">
        <f t="shared" si="40"/>
        <v>1.04</v>
      </c>
      <c r="AB50" s="52">
        <f>MIN((H10*5*4+H10*5*16*0.5)*0.4,120%)</f>
        <v>0.96</v>
      </c>
      <c r="AC50" s="52">
        <f t="shared" si="31"/>
        <v>0</v>
      </c>
      <c r="AE50" s="46" t="s">
        <v>616</v>
      </c>
      <c r="AF50" s="52">
        <f t="shared" si="32"/>
        <v>0</v>
      </c>
      <c r="AG50" s="52">
        <f t="shared" si="33"/>
        <v>0</v>
      </c>
      <c r="AH50" s="52">
        <f t="shared" si="34"/>
        <v>0</v>
      </c>
      <c r="AI50" s="52">
        <f t="shared" si="38"/>
        <v>0</v>
      </c>
      <c r="AJ50" s="52">
        <f t="shared" si="39"/>
        <v>0</v>
      </c>
      <c r="AK50" s="52">
        <f t="shared" si="35"/>
        <v>0.26</v>
      </c>
      <c r="AL50" s="52">
        <f t="shared" si="36"/>
        <v>0.24</v>
      </c>
      <c r="AM50" s="52">
        <f t="shared" si="37"/>
        <v>0</v>
      </c>
      <c r="AN50" s="47">
        <v>0.2</v>
      </c>
      <c r="AO50" s="47">
        <v>0.24</v>
      </c>
      <c r="AP50" s="47">
        <v>0.06</v>
      </c>
    </row>
    <row r="51" spans="3:42">
      <c r="C51" s="45">
        <f t="shared" si="26"/>
        <v>4</v>
      </c>
      <c r="D51" s="45">
        <f t="shared" si="28"/>
        <v>7</v>
      </c>
      <c r="E51" s="45">
        <f ca="1" t="shared" si="24"/>
        <v>0</v>
      </c>
      <c r="F51" s="45">
        <f ca="1" t="shared" si="25"/>
        <v>0</v>
      </c>
      <c r="K51" s="46" t="s">
        <v>617</v>
      </c>
      <c r="T51" s="45">
        <v>7</v>
      </c>
      <c r="U51" s="46" t="s">
        <v>617</v>
      </c>
      <c r="V51" s="52"/>
      <c r="W51" s="52"/>
      <c r="X51" s="52"/>
      <c r="Y51" s="52"/>
      <c r="Z51" s="52"/>
      <c r="AA51" s="53">
        <f t="shared" si="40"/>
        <v>0.8</v>
      </c>
      <c r="AB51" s="52">
        <f>MIN((H11*5*4+H11*5*16*0.5)*0.4,120%)</f>
        <v>1.2</v>
      </c>
      <c r="AC51" s="52">
        <f t="shared" si="31"/>
        <v>0</v>
      </c>
      <c r="AE51" s="46" t="s">
        <v>617</v>
      </c>
      <c r="AF51" s="52">
        <f t="shared" si="32"/>
        <v>0</v>
      </c>
      <c r="AG51" s="52">
        <f t="shared" si="33"/>
        <v>0</v>
      </c>
      <c r="AH51" s="52">
        <f t="shared" si="34"/>
        <v>0</v>
      </c>
      <c r="AI51" s="52">
        <f t="shared" si="38"/>
        <v>0</v>
      </c>
      <c r="AJ51" s="52">
        <f t="shared" si="39"/>
        <v>0</v>
      </c>
      <c r="AK51" s="52">
        <f t="shared" si="35"/>
        <v>0.2</v>
      </c>
      <c r="AL51" s="52">
        <f t="shared" si="36"/>
        <v>0.3</v>
      </c>
      <c r="AM51" s="52">
        <f t="shared" si="37"/>
        <v>0</v>
      </c>
      <c r="AN51" s="47">
        <v>0.2</v>
      </c>
      <c r="AO51" s="47">
        <v>0.24</v>
      </c>
      <c r="AP51" s="47">
        <v>0.06</v>
      </c>
    </row>
    <row r="52" spans="3:42">
      <c r="C52" s="45">
        <f t="shared" si="26"/>
        <v>4</v>
      </c>
      <c r="D52" s="45">
        <f t="shared" si="28"/>
        <v>8</v>
      </c>
      <c r="E52" s="45">
        <f ca="1" t="shared" si="24"/>
        <v>0</v>
      </c>
      <c r="F52" s="45">
        <f ca="1" t="shared" si="25"/>
        <v>0</v>
      </c>
      <c r="K52" s="46" t="s">
        <v>618</v>
      </c>
      <c r="T52" s="45">
        <v>7</v>
      </c>
      <c r="U52" s="46" t="s">
        <v>618</v>
      </c>
      <c r="V52" s="52"/>
      <c r="W52" s="52"/>
      <c r="X52" s="52"/>
      <c r="Y52" s="52"/>
      <c r="Z52" s="52"/>
      <c r="AA52" s="53">
        <f t="shared" si="40"/>
        <v>0.8</v>
      </c>
      <c r="AB52" s="52">
        <f>MIN((H12*5*4+H12*5*16*0.5)*0.4,120%)</f>
        <v>1.2</v>
      </c>
      <c r="AC52" s="52">
        <f t="shared" si="31"/>
        <v>0</v>
      </c>
      <c r="AE52" s="46" t="s">
        <v>618</v>
      </c>
      <c r="AF52" s="52">
        <f t="shared" si="32"/>
        <v>0</v>
      </c>
      <c r="AG52" s="52">
        <f t="shared" si="33"/>
        <v>0</v>
      </c>
      <c r="AH52" s="52">
        <f t="shared" si="34"/>
        <v>0</v>
      </c>
      <c r="AI52" s="52">
        <f t="shared" si="38"/>
        <v>0</v>
      </c>
      <c r="AJ52" s="52">
        <f t="shared" si="39"/>
        <v>0</v>
      </c>
      <c r="AK52" s="52">
        <f t="shared" si="35"/>
        <v>0.2</v>
      </c>
      <c r="AL52" s="52">
        <f t="shared" si="36"/>
        <v>0.3</v>
      </c>
      <c r="AM52" s="52">
        <f t="shared" si="37"/>
        <v>0</v>
      </c>
      <c r="AN52" s="47">
        <v>0.2</v>
      </c>
      <c r="AO52" s="47">
        <v>0.24</v>
      </c>
      <c r="AP52" s="47">
        <v>0.06</v>
      </c>
    </row>
    <row r="53" spans="3:42">
      <c r="C53" s="45">
        <f t="shared" si="26"/>
        <v>5</v>
      </c>
      <c r="D53" s="45">
        <f t="shared" si="28"/>
        <v>1</v>
      </c>
      <c r="E53" s="45">
        <f ca="1" t="shared" si="24"/>
        <v>0</v>
      </c>
      <c r="F53" s="45">
        <f ca="1" t="shared" si="25"/>
        <v>0</v>
      </c>
      <c r="K53" s="46" t="s">
        <v>619</v>
      </c>
      <c r="T53" s="45">
        <v>8</v>
      </c>
      <c r="U53" s="46" t="s">
        <v>619</v>
      </c>
      <c r="V53" s="52"/>
      <c r="W53" s="52"/>
      <c r="X53" s="52"/>
      <c r="Y53" s="52"/>
      <c r="Z53" s="52"/>
      <c r="AA53" s="52"/>
      <c r="AB53" s="53">
        <f t="shared" ref="AB53:AB58" si="41">MIN((H13*5*4+H13*5*16*0.5)*0.4,200%-AC53)</f>
        <v>1.64</v>
      </c>
      <c r="AC53" s="52">
        <f t="shared" ref="AC53:AC58" si="42">MIN((I13*5*4+I13*5*16*0.5)*0.4,120%)</f>
        <v>0.36</v>
      </c>
      <c r="AE53" s="46" t="s">
        <v>619</v>
      </c>
      <c r="AF53" s="52">
        <f t="shared" si="32"/>
        <v>0</v>
      </c>
      <c r="AG53" s="52">
        <f t="shared" si="33"/>
        <v>0</v>
      </c>
      <c r="AH53" s="52">
        <f t="shared" si="34"/>
        <v>0</v>
      </c>
      <c r="AI53" s="52">
        <f t="shared" si="38"/>
        <v>0</v>
      </c>
      <c r="AJ53" s="52">
        <f t="shared" si="39"/>
        <v>0</v>
      </c>
      <c r="AK53" s="52">
        <f t="shared" si="35"/>
        <v>0</v>
      </c>
      <c r="AL53" s="52">
        <f t="shared" si="36"/>
        <v>0.41</v>
      </c>
      <c r="AM53" s="52">
        <f t="shared" si="37"/>
        <v>0.09</v>
      </c>
      <c r="AN53" s="47">
        <v>0.2</v>
      </c>
      <c r="AO53" s="47">
        <v>0.24</v>
      </c>
      <c r="AP53" s="47">
        <v>0.06</v>
      </c>
    </row>
    <row r="54" spans="3:42">
      <c r="C54" s="45">
        <f t="shared" si="26"/>
        <v>5</v>
      </c>
      <c r="D54" s="45">
        <f t="shared" si="28"/>
        <v>2</v>
      </c>
      <c r="E54" s="45">
        <f ca="1" t="shared" si="24"/>
        <v>1275</v>
      </c>
      <c r="F54" s="45">
        <f ca="1" t="shared" si="25"/>
        <v>0</v>
      </c>
      <c r="K54" s="46" t="s">
        <v>620</v>
      </c>
      <c r="T54" s="45">
        <v>8</v>
      </c>
      <c r="U54" s="46" t="s">
        <v>620</v>
      </c>
      <c r="V54" s="52"/>
      <c r="W54" s="52"/>
      <c r="X54" s="52"/>
      <c r="Y54" s="52"/>
      <c r="Z54" s="52"/>
      <c r="AA54" s="52"/>
      <c r="AB54" s="53">
        <f t="shared" si="41"/>
        <v>1.4</v>
      </c>
      <c r="AC54" s="52">
        <f t="shared" si="42"/>
        <v>0.6</v>
      </c>
      <c r="AD54" s="52"/>
      <c r="AE54" s="46" t="s">
        <v>620</v>
      </c>
      <c r="AF54" s="52">
        <f t="shared" si="32"/>
        <v>0</v>
      </c>
      <c r="AG54" s="52">
        <f t="shared" si="33"/>
        <v>0</v>
      </c>
      <c r="AH54" s="52">
        <f t="shared" si="34"/>
        <v>0</v>
      </c>
      <c r="AI54" s="52">
        <f t="shared" si="38"/>
        <v>0</v>
      </c>
      <c r="AJ54" s="52">
        <f t="shared" si="39"/>
        <v>0</v>
      </c>
      <c r="AK54" s="52">
        <f t="shared" si="35"/>
        <v>0</v>
      </c>
      <c r="AL54" s="52">
        <f t="shared" si="36"/>
        <v>0.35</v>
      </c>
      <c r="AM54" s="52">
        <f t="shared" si="37"/>
        <v>0.15</v>
      </c>
      <c r="AN54" s="47">
        <v>0.2</v>
      </c>
      <c r="AO54" s="47">
        <v>0.24</v>
      </c>
      <c r="AP54" s="47">
        <v>0.06</v>
      </c>
    </row>
    <row r="55" spans="3:42">
      <c r="C55" s="45">
        <f t="shared" ref="C55:C86" si="43">IF(D54=8,C54+1,C54)</f>
        <v>5</v>
      </c>
      <c r="D55" s="45">
        <f t="shared" si="28"/>
        <v>3</v>
      </c>
      <c r="E55" s="45">
        <f ca="1" t="shared" si="24"/>
        <v>4326</v>
      </c>
      <c r="F55" s="45">
        <f ca="1" t="shared" si="25"/>
        <v>0</v>
      </c>
      <c r="K55" s="46" t="s">
        <v>621</v>
      </c>
      <c r="T55" s="45">
        <v>8</v>
      </c>
      <c r="U55" s="46" t="s">
        <v>621</v>
      </c>
      <c r="V55" s="52"/>
      <c r="W55" s="52"/>
      <c r="X55" s="52"/>
      <c r="Y55" s="52"/>
      <c r="Z55" s="52"/>
      <c r="AA55" s="52"/>
      <c r="AB55" s="53">
        <f t="shared" si="41"/>
        <v>1.04</v>
      </c>
      <c r="AC55" s="52">
        <f t="shared" si="42"/>
        <v>0.96</v>
      </c>
      <c r="AD55" s="52"/>
      <c r="AE55" s="46" t="s">
        <v>621</v>
      </c>
      <c r="AF55" s="52">
        <f t="shared" si="32"/>
        <v>0</v>
      </c>
      <c r="AG55" s="52">
        <f t="shared" si="33"/>
        <v>0</v>
      </c>
      <c r="AH55" s="52">
        <f t="shared" si="34"/>
        <v>0</v>
      </c>
      <c r="AI55" s="52">
        <f t="shared" si="38"/>
        <v>0</v>
      </c>
      <c r="AJ55" s="52">
        <f t="shared" si="39"/>
        <v>0</v>
      </c>
      <c r="AK55" s="52">
        <f t="shared" si="35"/>
        <v>0</v>
      </c>
      <c r="AL55" s="52">
        <f t="shared" si="36"/>
        <v>0.26</v>
      </c>
      <c r="AM55" s="52">
        <f t="shared" si="37"/>
        <v>0.24</v>
      </c>
      <c r="AN55" s="47">
        <v>0.2</v>
      </c>
      <c r="AO55" s="47">
        <v>0.24</v>
      </c>
      <c r="AP55" s="47">
        <v>0.06</v>
      </c>
    </row>
    <row r="56" spans="3:42">
      <c r="C56" s="45">
        <f t="shared" si="43"/>
        <v>5</v>
      </c>
      <c r="D56" s="45">
        <f t="shared" si="28"/>
        <v>4</v>
      </c>
      <c r="E56" s="45">
        <f ca="1" t="shared" si="24"/>
        <v>2857</v>
      </c>
      <c r="F56" s="45">
        <f ca="1" t="shared" si="25"/>
        <v>0</v>
      </c>
      <c r="K56" s="46" t="s">
        <v>622</v>
      </c>
      <c r="T56" s="45">
        <v>8</v>
      </c>
      <c r="U56" s="46" t="s">
        <v>622</v>
      </c>
      <c r="V56" s="52"/>
      <c r="W56" s="52"/>
      <c r="X56" s="52"/>
      <c r="Y56" s="52"/>
      <c r="Z56" s="52"/>
      <c r="AA56" s="52"/>
      <c r="AB56" s="53">
        <f t="shared" si="41"/>
        <v>0.92</v>
      </c>
      <c r="AC56" s="52">
        <f t="shared" si="42"/>
        <v>1.08</v>
      </c>
      <c r="AD56" s="52"/>
      <c r="AE56" s="46" t="s">
        <v>622</v>
      </c>
      <c r="AF56" s="52">
        <f t="shared" si="32"/>
        <v>0</v>
      </c>
      <c r="AG56" s="52">
        <f t="shared" si="33"/>
        <v>0</v>
      </c>
      <c r="AH56" s="52">
        <f t="shared" si="34"/>
        <v>0</v>
      </c>
      <c r="AI56" s="52">
        <f t="shared" si="38"/>
        <v>0</v>
      </c>
      <c r="AJ56" s="52">
        <f t="shared" si="39"/>
        <v>0</v>
      </c>
      <c r="AK56" s="52">
        <f t="shared" si="35"/>
        <v>0</v>
      </c>
      <c r="AL56" s="52">
        <f t="shared" si="36"/>
        <v>0.23</v>
      </c>
      <c r="AM56" s="52">
        <f t="shared" si="37"/>
        <v>0.27</v>
      </c>
      <c r="AN56" s="47">
        <v>0.2</v>
      </c>
      <c r="AO56" s="47">
        <v>0.24</v>
      </c>
      <c r="AP56" s="47">
        <v>0.06</v>
      </c>
    </row>
    <row r="57" spans="3:42">
      <c r="C57" s="45">
        <f t="shared" si="43"/>
        <v>5</v>
      </c>
      <c r="D57" s="45">
        <f t="shared" si="28"/>
        <v>5</v>
      </c>
      <c r="E57" s="45">
        <f ca="1" t="shared" si="24"/>
        <v>1204</v>
      </c>
      <c r="F57" s="45">
        <f ca="1" t="shared" si="25"/>
        <v>2000</v>
      </c>
      <c r="K57" s="46" t="s">
        <v>623</v>
      </c>
      <c r="T57" s="45">
        <v>8</v>
      </c>
      <c r="U57" s="46" t="s">
        <v>623</v>
      </c>
      <c r="V57" s="52"/>
      <c r="W57" s="52"/>
      <c r="X57" s="52"/>
      <c r="Y57" s="52"/>
      <c r="Z57" s="52"/>
      <c r="AA57" s="52"/>
      <c r="AB57" s="53">
        <f t="shared" si="41"/>
        <v>0.8</v>
      </c>
      <c r="AC57" s="52">
        <f t="shared" si="42"/>
        <v>1.2</v>
      </c>
      <c r="AD57" s="52"/>
      <c r="AE57" s="46" t="s">
        <v>623</v>
      </c>
      <c r="AF57" s="52">
        <f t="shared" si="32"/>
        <v>0</v>
      </c>
      <c r="AG57" s="52">
        <f t="shared" si="33"/>
        <v>0</v>
      </c>
      <c r="AH57" s="52">
        <f t="shared" si="34"/>
        <v>0</v>
      </c>
      <c r="AI57" s="52">
        <f t="shared" si="38"/>
        <v>0</v>
      </c>
      <c r="AJ57" s="52">
        <f t="shared" si="39"/>
        <v>0</v>
      </c>
      <c r="AK57" s="52">
        <f t="shared" si="35"/>
        <v>0</v>
      </c>
      <c r="AL57" s="52">
        <f t="shared" si="36"/>
        <v>0.2</v>
      </c>
      <c r="AM57" s="52">
        <f t="shared" si="37"/>
        <v>0.3</v>
      </c>
      <c r="AN57" s="47">
        <v>0.2</v>
      </c>
      <c r="AO57" s="47">
        <v>0.24</v>
      </c>
      <c r="AP57" s="47">
        <v>0.06</v>
      </c>
    </row>
    <row r="58" spans="3:42">
      <c r="C58" s="45">
        <f t="shared" si="43"/>
        <v>5</v>
      </c>
      <c r="D58" s="45">
        <f t="shared" si="28"/>
        <v>6</v>
      </c>
      <c r="E58" s="45">
        <f ca="1" t="shared" si="24"/>
        <v>336</v>
      </c>
      <c r="F58" s="45">
        <f ca="1" t="shared" si="25"/>
        <v>3000</v>
      </c>
      <c r="K58" s="46" t="s">
        <v>624</v>
      </c>
      <c r="T58" s="45">
        <v>8</v>
      </c>
      <c r="U58" s="46" t="s">
        <v>624</v>
      </c>
      <c r="V58" s="52"/>
      <c r="W58" s="52"/>
      <c r="X58" s="52"/>
      <c r="Y58" s="52"/>
      <c r="Z58" s="52"/>
      <c r="AA58" s="52"/>
      <c r="AB58" s="53">
        <f t="shared" si="41"/>
        <v>0.8</v>
      </c>
      <c r="AC58" s="52">
        <f t="shared" si="42"/>
        <v>1.2</v>
      </c>
      <c r="AE58" s="46" t="s">
        <v>624</v>
      </c>
      <c r="AF58" s="52">
        <f t="shared" si="32"/>
        <v>0</v>
      </c>
      <c r="AG58" s="52">
        <f t="shared" si="33"/>
        <v>0</v>
      </c>
      <c r="AH58" s="52">
        <f t="shared" si="34"/>
        <v>0</v>
      </c>
      <c r="AI58" s="52">
        <f t="shared" si="38"/>
        <v>0</v>
      </c>
      <c r="AJ58" s="52">
        <f t="shared" si="39"/>
        <v>0</v>
      </c>
      <c r="AK58" s="52">
        <f t="shared" si="35"/>
        <v>0</v>
      </c>
      <c r="AL58" s="52">
        <f t="shared" si="36"/>
        <v>0.2</v>
      </c>
      <c r="AM58" s="52">
        <f t="shared" si="37"/>
        <v>0.3</v>
      </c>
      <c r="AN58" s="47">
        <v>0.2</v>
      </c>
      <c r="AO58" s="47">
        <v>0.24</v>
      </c>
      <c r="AP58" s="47">
        <v>0.06</v>
      </c>
    </row>
    <row r="59" spans="3:42">
      <c r="C59" s="45">
        <f t="shared" si="43"/>
        <v>5</v>
      </c>
      <c r="D59" s="45">
        <f t="shared" si="28"/>
        <v>7</v>
      </c>
      <c r="E59" s="45">
        <f ca="1" t="shared" si="24"/>
        <v>0</v>
      </c>
      <c r="F59" s="45">
        <f ca="1" t="shared" si="25"/>
        <v>0</v>
      </c>
      <c r="AE59" s="52"/>
      <c r="AF59" s="52"/>
      <c r="AG59" s="52"/>
      <c r="AH59" s="52"/>
      <c r="AI59" s="52"/>
      <c r="AJ59" s="52"/>
      <c r="AK59" s="52"/>
      <c r="AL59" s="52"/>
      <c r="AM59" s="52"/>
    </row>
    <row r="60" spans="3:42">
      <c r="C60" s="45">
        <f t="shared" si="43"/>
        <v>5</v>
      </c>
      <c r="D60" s="45">
        <f t="shared" si="28"/>
        <v>8</v>
      </c>
      <c r="E60" s="45">
        <f ca="1" t="shared" si="24"/>
        <v>0</v>
      </c>
      <c r="F60" s="45">
        <f ca="1" t="shared" si="25"/>
        <v>0</v>
      </c>
      <c r="T60" s="45" t="s">
        <v>636</v>
      </c>
      <c r="U60" s="46" t="s">
        <v>610</v>
      </c>
      <c r="V60" s="52">
        <f>IFERROR(IF(MATCH(V$43,$V$43:$AC$43,0)=$T44,B4*5*4+B4*5*16/V76,B4*5*4+B4*5*16/V76),"")</f>
        <v>10</v>
      </c>
      <c r="W60" s="52">
        <f t="shared" ref="W60:AC60" si="44">IFERROR(IF(MATCH(W$43,$V$43:$AC$43,0)=$T44,C4*5*4+C4*5*16/W76,C4*5*4+C4*5*16/W76),"")</f>
        <v>38.2</v>
      </c>
      <c r="X60" s="52">
        <f t="shared" si="44"/>
        <v>32</v>
      </c>
      <c r="Y60" s="52">
        <f t="shared" si="44"/>
        <v>16.8</v>
      </c>
      <c r="Z60" s="52">
        <f t="shared" si="44"/>
        <v>3</v>
      </c>
      <c r="AA60" s="52" t="str">
        <f t="shared" si="44"/>
        <v/>
      </c>
      <c r="AB60" s="52" t="str">
        <f t="shared" si="44"/>
        <v/>
      </c>
      <c r="AC60" s="52" t="str">
        <f t="shared" si="44"/>
        <v/>
      </c>
      <c r="AE60" s="52" t="s">
        <v>637</v>
      </c>
      <c r="AF60" s="52" t="s">
        <v>58</v>
      </c>
      <c r="AG60" s="52" t="s">
        <v>59</v>
      </c>
      <c r="AH60" s="52" t="s">
        <v>31</v>
      </c>
      <c r="AI60" s="52" t="s">
        <v>32</v>
      </c>
      <c r="AJ60" s="52" t="s">
        <v>33</v>
      </c>
      <c r="AK60" s="52" t="s">
        <v>34</v>
      </c>
      <c r="AL60" s="52" t="s">
        <v>35</v>
      </c>
      <c r="AM60" s="52" t="s">
        <v>36</v>
      </c>
    </row>
    <row r="61" spans="3:42">
      <c r="C61" s="45">
        <f t="shared" si="43"/>
        <v>6</v>
      </c>
      <c r="D61" s="45">
        <f t="shared" si="28"/>
        <v>1</v>
      </c>
      <c r="E61" s="45">
        <f ca="1" t="shared" si="24"/>
        <v>0</v>
      </c>
      <c r="F61" s="45">
        <f ca="1" t="shared" si="25"/>
        <v>0</v>
      </c>
      <c r="U61" s="46" t="s">
        <v>611</v>
      </c>
      <c r="V61" s="52">
        <f t="shared" ref="V61:V74" si="45">IFERROR(IF(MATCH(V$43,$V$43:$AC$43,0)=$T45,B5*5*4+B5*5*16/V77,B5*5*4+B5*5*16/V77),"")</f>
        <v>10</v>
      </c>
      <c r="W61" s="52">
        <f t="shared" ref="W61:W74" si="46">IFERROR(IF(MATCH(W$43,$V$43:$AC$43,0)=$T45,C5*5*4+C5*5*16/W77,C5*5*4+C5*5*16/W77),"")</f>
        <v>19</v>
      </c>
      <c r="X61" s="52">
        <f t="shared" ref="X61:X74" si="47">IFERROR(IF(MATCH(X$43,$V$43:$AC$43,0)=$T45,D5*5*4+D5*5*16/X77,D5*5*4+D5*5*16/X77),"")</f>
        <v>44</v>
      </c>
      <c r="Y61" s="52">
        <f t="shared" ref="Y61:Y74" si="48">IFERROR(IF(MATCH(Y$43,$V$43:$AC$43,0)=$T45,E5*5*4+E5*5*16/Y77,E5*5*4+E5*5*16/Y77),"")</f>
        <v>21</v>
      </c>
      <c r="Z61" s="52">
        <f t="shared" ref="Z61:Z74" si="49">IFERROR(IF(MATCH(Z$43,$V$43:$AC$43,0)=$T45,F5*5*4+F5*5*16/Z77,F5*5*4+F5*5*16/Z77),"")</f>
        <v>6</v>
      </c>
      <c r="AA61" s="52" t="str">
        <f t="shared" ref="AA61:AA74" si="50">IFERROR(IF(MATCH(AA$43,$V$43:$AC$43,0)=$T45,G5*5*4+G5*5*16/AA77,G5*5*4+G5*5*16/AA77),"")</f>
        <v/>
      </c>
      <c r="AB61" s="52" t="str">
        <f t="shared" ref="AB61:AB74" si="51">IFERROR(IF(MATCH(AB$43,$V$43:$AC$43,0)=$T45,H5*5*4+H5*5*16/AB77,H5*5*4+H5*5*16/AB77),"")</f>
        <v/>
      </c>
      <c r="AC61" s="52" t="str">
        <f t="shared" ref="AC61:AC74" si="52">IFERROR(IF(MATCH(AC$43,$V$43:$AC$43,0)=$T45,I5*5*4+I5*5*16/AC77,I5*5*4+I5*5*16/AC77),"")</f>
        <v/>
      </c>
      <c r="AE61" s="46" t="s">
        <v>610</v>
      </c>
      <c r="AF61" s="52">
        <f>IFERROR((V60-V44)/(SUM($V60:$AC60)-SUM($V44:$AC44)),"")</f>
        <v>0.104166666666667</v>
      </c>
      <c r="AG61" s="52">
        <f t="shared" ref="AG61:AM61" si="53">IFERROR((W60-W44)/(SUM($V60:$AC60)-SUM($V44:$AC44)),"")</f>
        <v>0.397916666666667</v>
      </c>
      <c r="AH61" s="52">
        <f t="shared" si="53"/>
        <v>0.333333333333333</v>
      </c>
      <c r="AI61" s="52">
        <f t="shared" si="53"/>
        <v>0.145833333333333</v>
      </c>
      <c r="AJ61" s="52">
        <f t="shared" si="53"/>
        <v>0.01875</v>
      </c>
      <c r="AK61" s="52" t="str">
        <f t="shared" si="53"/>
        <v/>
      </c>
      <c r="AL61" s="52" t="str">
        <f t="shared" si="53"/>
        <v/>
      </c>
      <c r="AM61" s="52" t="str">
        <f t="shared" si="53"/>
        <v/>
      </c>
    </row>
    <row r="62" spans="3:42">
      <c r="C62" s="45">
        <f t="shared" si="43"/>
        <v>6</v>
      </c>
      <c r="D62" s="45">
        <f t="shared" si="28"/>
        <v>2</v>
      </c>
      <c r="E62" s="45">
        <f ca="1" t="shared" si="24"/>
        <v>765</v>
      </c>
      <c r="F62" s="45">
        <f ca="1" t="shared" si="25"/>
        <v>0</v>
      </c>
      <c r="U62" s="46" t="s">
        <v>612</v>
      </c>
      <c r="V62" s="52">
        <f t="shared" si="45"/>
        <v>5</v>
      </c>
      <c r="W62" s="52">
        <f t="shared" si="46"/>
        <v>15</v>
      </c>
      <c r="X62" s="52">
        <f t="shared" si="47"/>
        <v>42</v>
      </c>
      <c r="Y62" s="52">
        <f t="shared" si="48"/>
        <v>26</v>
      </c>
      <c r="Z62" s="52">
        <f t="shared" si="49"/>
        <v>10.5</v>
      </c>
      <c r="AA62" s="52">
        <f t="shared" si="50"/>
        <v>1.5</v>
      </c>
      <c r="AB62" s="52" t="str">
        <f t="shared" si="51"/>
        <v/>
      </c>
      <c r="AC62" s="52" t="str">
        <f t="shared" si="52"/>
        <v/>
      </c>
      <c r="AE62" s="46" t="s">
        <v>611</v>
      </c>
      <c r="AF62" s="52">
        <f t="shared" ref="AF62:AF75" si="54">IFERROR((V61-V45)/(SUM($V61:$AC61)-SUM($V45:$AC45)),"")</f>
        <v>0.104166666666667</v>
      </c>
      <c r="AG62" s="52">
        <f t="shared" ref="AG62:AG75" si="55">IFERROR((W61-W45)/(SUM($V61:$AC61)-SUM($V45:$AC45)),"")</f>
        <v>0.197916666666667</v>
      </c>
      <c r="AH62" s="52">
        <f t="shared" ref="AH62:AH75" si="56">IFERROR((X61-X45)/(SUM($V61:$AC61)-SUM($V45:$AC45)),"")</f>
        <v>0.458333333333333</v>
      </c>
      <c r="AI62" s="52">
        <f t="shared" ref="AI62:AI75" si="57">IFERROR((Y61-Y45)/(SUM($V61:$AC61)-SUM($V45:$AC45)),"")</f>
        <v>0.202083333333333</v>
      </c>
      <c r="AJ62" s="52">
        <f t="shared" ref="AJ62:AJ75" si="58">IFERROR((Z61-Z45)/(SUM($V61:$AC61)-SUM($V45:$AC45)),"")</f>
        <v>0.0375</v>
      </c>
      <c r="AK62" s="52" t="str">
        <f t="shared" ref="AK62:AK75" si="59">IFERROR((AA61-AA45)/(SUM($V61:$AC61)-SUM($V45:$AC45)),"")</f>
        <v/>
      </c>
      <c r="AL62" s="52" t="str">
        <f t="shared" ref="AL62:AL75" si="60">IFERROR((AB61-AB45)/(SUM($V61:$AC61)-SUM($V45:$AC45)),"")</f>
        <v/>
      </c>
      <c r="AM62" s="52" t="str">
        <f t="shared" ref="AM62:AM75" si="61">IFERROR((AC61-AC45)/(SUM($V61:$AC61)-SUM($V45:$AC45)),"")</f>
        <v/>
      </c>
    </row>
    <row r="63" spans="3:42">
      <c r="C63" s="45">
        <f t="shared" si="43"/>
        <v>6</v>
      </c>
      <c r="D63" s="45">
        <f t="shared" si="28"/>
        <v>3</v>
      </c>
      <c r="E63" s="45">
        <f ca="1" t="shared" si="24"/>
        <v>4081</v>
      </c>
      <c r="F63" s="45">
        <f ca="1" t="shared" si="25"/>
        <v>0</v>
      </c>
      <c r="U63" s="46" t="s">
        <v>613</v>
      </c>
      <c r="V63" s="52">
        <f t="shared" si="45"/>
        <v>2.5</v>
      </c>
      <c r="W63" s="52">
        <f t="shared" si="46"/>
        <v>15</v>
      </c>
      <c r="X63" s="52">
        <f t="shared" si="47"/>
        <v>42</v>
      </c>
      <c r="Y63" s="52">
        <f t="shared" si="48"/>
        <v>27</v>
      </c>
      <c r="Z63" s="52">
        <f t="shared" si="49"/>
        <v>10.5</v>
      </c>
      <c r="AA63" s="52">
        <f t="shared" si="50"/>
        <v>3</v>
      </c>
      <c r="AB63" s="52" t="str">
        <f t="shared" si="51"/>
        <v/>
      </c>
      <c r="AC63" s="52" t="str">
        <f t="shared" si="52"/>
        <v/>
      </c>
      <c r="AE63" s="46" t="s">
        <v>612</v>
      </c>
      <c r="AF63" s="52">
        <f t="shared" si="54"/>
        <v>0.0510204081632653</v>
      </c>
      <c r="AG63" s="52">
        <f t="shared" si="55"/>
        <v>0.153061224489796</v>
      </c>
      <c r="AH63" s="52">
        <f t="shared" si="56"/>
        <v>0.428571428571429</v>
      </c>
      <c r="AI63" s="52">
        <f t="shared" si="57"/>
        <v>0.26530612244898</v>
      </c>
      <c r="AJ63" s="52">
        <f t="shared" si="58"/>
        <v>0.0928571428571428</v>
      </c>
      <c r="AK63" s="52">
        <f t="shared" si="59"/>
        <v>0.00918367346938775</v>
      </c>
      <c r="AL63" s="52" t="str">
        <f t="shared" si="60"/>
        <v/>
      </c>
      <c r="AM63" s="52" t="str">
        <f t="shared" si="61"/>
        <v/>
      </c>
    </row>
    <row r="64" spans="3:42">
      <c r="C64" s="45">
        <f t="shared" si="43"/>
        <v>6</v>
      </c>
      <c r="D64" s="45">
        <f t="shared" si="28"/>
        <v>4</v>
      </c>
      <c r="E64" s="45">
        <f ca="1" t="shared" si="24"/>
        <v>2714</v>
      </c>
      <c r="F64" s="45">
        <f ca="1" t="shared" si="25"/>
        <v>0</v>
      </c>
      <c r="U64" s="46" t="s">
        <v>614</v>
      </c>
      <c r="V64" s="52" t="str">
        <f t="shared" si="45"/>
        <v/>
      </c>
      <c r="W64" s="52">
        <f t="shared" si="46"/>
        <v>12.5</v>
      </c>
      <c r="X64" s="52">
        <f t="shared" si="47"/>
        <v>42.4</v>
      </c>
      <c r="Y64" s="52">
        <f t="shared" si="48"/>
        <v>28</v>
      </c>
      <c r="Z64" s="52">
        <f t="shared" si="49"/>
        <v>12.6</v>
      </c>
      <c r="AA64" s="52">
        <f t="shared" si="50"/>
        <v>4.5</v>
      </c>
      <c r="AB64" s="52" t="str">
        <f t="shared" si="51"/>
        <v/>
      </c>
      <c r="AC64" s="52" t="str">
        <f t="shared" si="52"/>
        <v/>
      </c>
      <c r="AE64" s="46" t="s">
        <v>613</v>
      </c>
      <c r="AF64" s="52">
        <f t="shared" si="54"/>
        <v>0.0255102040816327</v>
      </c>
      <c r="AG64" s="52">
        <f t="shared" si="55"/>
        <v>0.153061224489796</v>
      </c>
      <c r="AH64" s="52">
        <f t="shared" si="56"/>
        <v>0.428571428571429</v>
      </c>
      <c r="AI64" s="52">
        <f t="shared" si="57"/>
        <v>0.275510204081633</v>
      </c>
      <c r="AJ64" s="52">
        <f t="shared" si="58"/>
        <v>0.0989795918367347</v>
      </c>
      <c r="AK64" s="52">
        <f t="shared" si="59"/>
        <v>0.0183673469387755</v>
      </c>
      <c r="AL64" s="52" t="str">
        <f t="shared" si="60"/>
        <v/>
      </c>
      <c r="AM64" s="52" t="str">
        <f t="shared" si="61"/>
        <v/>
      </c>
    </row>
    <row r="65" spans="3:39">
      <c r="C65" s="45">
        <f t="shared" si="43"/>
        <v>6</v>
      </c>
      <c r="D65" s="45">
        <f t="shared" si="28"/>
        <v>5</v>
      </c>
      <c r="E65" s="45">
        <f ca="1" t="shared" si="24"/>
        <v>1632</v>
      </c>
      <c r="F65" s="45">
        <f ca="1" t="shared" si="25"/>
        <v>0</v>
      </c>
      <c r="U65" s="46" t="s">
        <v>615</v>
      </c>
      <c r="V65" s="52" t="str">
        <f t="shared" si="45"/>
        <v/>
      </c>
      <c r="W65" s="52">
        <f t="shared" si="46"/>
        <v>7.5</v>
      </c>
      <c r="X65" s="52">
        <f t="shared" si="47"/>
        <v>40</v>
      </c>
      <c r="Y65" s="52">
        <f t="shared" si="48"/>
        <v>26.6</v>
      </c>
      <c r="Z65" s="52">
        <f t="shared" si="49"/>
        <v>16</v>
      </c>
      <c r="AA65" s="52">
        <f t="shared" si="50"/>
        <v>8.4</v>
      </c>
      <c r="AB65" s="52">
        <f t="shared" si="51"/>
        <v>1.5</v>
      </c>
      <c r="AC65" s="52" t="str">
        <f t="shared" si="52"/>
        <v/>
      </c>
      <c r="AE65" s="46" t="s">
        <v>614</v>
      </c>
      <c r="AF65" s="52" t="str">
        <f t="shared" si="54"/>
        <v/>
      </c>
      <c r="AG65" s="52">
        <f t="shared" si="55"/>
        <v>0.127551020408163</v>
      </c>
      <c r="AH65" s="52">
        <f t="shared" si="56"/>
        <v>0.43265306122449</v>
      </c>
      <c r="AI65" s="52">
        <f t="shared" si="57"/>
        <v>0.285714285714286</v>
      </c>
      <c r="AJ65" s="52">
        <f t="shared" si="58"/>
        <v>0.120408163265306</v>
      </c>
      <c r="AK65" s="52">
        <f t="shared" si="59"/>
        <v>0.0336734693877551</v>
      </c>
      <c r="AL65" s="52" t="str">
        <f t="shared" si="60"/>
        <v/>
      </c>
      <c r="AM65" s="52" t="str">
        <f t="shared" si="61"/>
        <v/>
      </c>
    </row>
    <row r="66" spans="3:39">
      <c r="C66" s="45">
        <f t="shared" si="43"/>
        <v>6</v>
      </c>
      <c r="D66" s="45">
        <f t="shared" si="28"/>
        <v>6</v>
      </c>
      <c r="E66" s="45">
        <f ca="1" t="shared" si="24"/>
        <v>714</v>
      </c>
      <c r="F66" s="45">
        <f ca="1" t="shared" si="25"/>
        <v>3500</v>
      </c>
      <c r="U66" s="46" t="s">
        <v>616</v>
      </c>
      <c r="V66" s="52" t="str">
        <f t="shared" si="45"/>
        <v/>
      </c>
      <c r="W66" s="52">
        <f t="shared" si="46"/>
        <v>3.5</v>
      </c>
      <c r="X66" s="52">
        <f t="shared" si="47"/>
        <v>40</v>
      </c>
      <c r="Y66" s="52">
        <f t="shared" si="48"/>
        <v>26.84</v>
      </c>
      <c r="Z66" s="52">
        <f t="shared" si="49"/>
        <v>17.6</v>
      </c>
      <c r="AA66" s="52">
        <f t="shared" si="50"/>
        <v>9.66</v>
      </c>
      <c r="AB66" s="52">
        <f t="shared" si="51"/>
        <v>2.4</v>
      </c>
      <c r="AC66" s="52" t="str">
        <f t="shared" si="52"/>
        <v/>
      </c>
      <c r="AE66" s="46" t="s">
        <v>615</v>
      </c>
      <c r="AF66" s="52" t="str">
        <f t="shared" si="54"/>
        <v/>
      </c>
      <c r="AG66" s="52">
        <f t="shared" si="55"/>
        <v>0.076530612244898</v>
      </c>
      <c r="AH66" s="52">
        <f t="shared" si="56"/>
        <v>0.408163265306122</v>
      </c>
      <c r="AI66" s="52">
        <f t="shared" si="57"/>
        <v>0.271428571428571</v>
      </c>
      <c r="AJ66" s="52">
        <f t="shared" si="58"/>
        <v>0.163265306122449</v>
      </c>
      <c r="AK66" s="52">
        <f t="shared" si="59"/>
        <v>0.0714285714285714</v>
      </c>
      <c r="AL66" s="52">
        <f t="shared" si="60"/>
        <v>0.00918367346938775</v>
      </c>
      <c r="AM66" s="52" t="str">
        <f t="shared" si="61"/>
        <v/>
      </c>
    </row>
    <row r="67" spans="3:39">
      <c r="C67" s="45">
        <f t="shared" si="43"/>
        <v>6</v>
      </c>
      <c r="D67" s="45">
        <f t="shared" si="28"/>
        <v>7</v>
      </c>
      <c r="E67" s="45">
        <f ca="1" t="shared" si="24"/>
        <v>91</v>
      </c>
      <c r="F67" s="45">
        <f ca="1" t="shared" si="25"/>
        <v>1500</v>
      </c>
      <c r="U67" s="46" t="s">
        <v>617</v>
      </c>
      <c r="V67" s="52" t="str">
        <f t="shared" si="45"/>
        <v/>
      </c>
      <c r="W67" s="52" t="str">
        <f t="shared" si="46"/>
        <v/>
      </c>
      <c r="X67" s="52">
        <f t="shared" si="47"/>
        <v>34.5</v>
      </c>
      <c r="Y67" s="52">
        <f t="shared" si="48"/>
        <v>32.08</v>
      </c>
      <c r="Z67" s="52">
        <f t="shared" si="49"/>
        <v>19.2</v>
      </c>
      <c r="AA67" s="52">
        <f t="shared" si="50"/>
        <v>10.92</v>
      </c>
      <c r="AB67" s="52">
        <f t="shared" si="51"/>
        <v>3.3</v>
      </c>
      <c r="AC67" s="52" t="str">
        <f t="shared" si="52"/>
        <v/>
      </c>
      <c r="AE67" s="46" t="s">
        <v>616</v>
      </c>
      <c r="AF67" s="52" t="str">
        <f t="shared" si="54"/>
        <v/>
      </c>
      <c r="AG67" s="52">
        <f t="shared" si="55"/>
        <v>0.0357142857142857</v>
      </c>
      <c r="AH67" s="52">
        <f t="shared" si="56"/>
        <v>0.408163265306122</v>
      </c>
      <c r="AI67" s="52">
        <f t="shared" si="57"/>
        <v>0.273877551020408</v>
      </c>
      <c r="AJ67" s="52">
        <f t="shared" si="58"/>
        <v>0.179591836734694</v>
      </c>
      <c r="AK67" s="52">
        <f t="shared" si="59"/>
        <v>0.0879591836734694</v>
      </c>
      <c r="AL67" s="52">
        <f t="shared" si="60"/>
        <v>0.0146938775510204</v>
      </c>
      <c r="AM67" s="52" t="str">
        <f t="shared" si="61"/>
        <v/>
      </c>
    </row>
    <row r="68" spans="3:39">
      <c r="C68" s="45">
        <f t="shared" si="43"/>
        <v>6</v>
      </c>
      <c r="D68" s="45">
        <f t="shared" si="28"/>
        <v>8</v>
      </c>
      <c r="E68" s="45">
        <f ca="1" t="shared" si="24"/>
        <v>0</v>
      </c>
      <c r="F68" s="45">
        <f ca="1" t="shared" si="25"/>
        <v>0</v>
      </c>
      <c r="U68" s="46" t="s">
        <v>618</v>
      </c>
      <c r="V68" s="52" t="str">
        <f t="shared" si="45"/>
        <v/>
      </c>
      <c r="W68" s="52" t="str">
        <f t="shared" si="46"/>
        <v/>
      </c>
      <c r="X68" s="52">
        <f t="shared" si="47"/>
        <v>25</v>
      </c>
      <c r="Y68" s="52">
        <f t="shared" si="48"/>
        <v>37.32</v>
      </c>
      <c r="Z68" s="52">
        <f t="shared" si="49"/>
        <v>21</v>
      </c>
      <c r="AA68" s="52">
        <f t="shared" si="50"/>
        <v>12.18</v>
      </c>
      <c r="AB68" s="52">
        <f t="shared" si="51"/>
        <v>4.5</v>
      </c>
      <c r="AC68" s="52" t="str">
        <f t="shared" si="52"/>
        <v/>
      </c>
      <c r="AE68" s="46" t="s">
        <v>617</v>
      </c>
      <c r="AF68" s="52" t="str">
        <f t="shared" si="54"/>
        <v/>
      </c>
      <c r="AG68" s="52" t="str">
        <f t="shared" si="55"/>
        <v/>
      </c>
      <c r="AH68" s="52">
        <f t="shared" si="56"/>
        <v>0.352040816326531</v>
      </c>
      <c r="AI68" s="52">
        <f t="shared" si="57"/>
        <v>0.32734693877551</v>
      </c>
      <c r="AJ68" s="52">
        <f t="shared" si="58"/>
        <v>0.195918367346939</v>
      </c>
      <c r="AK68" s="52">
        <f t="shared" si="59"/>
        <v>0.103265306122449</v>
      </c>
      <c r="AL68" s="52">
        <f t="shared" si="60"/>
        <v>0.0214285714285714</v>
      </c>
      <c r="AM68" s="52" t="str">
        <f t="shared" si="61"/>
        <v/>
      </c>
    </row>
    <row r="69" spans="3:39">
      <c r="C69" s="45">
        <f t="shared" si="43"/>
        <v>7</v>
      </c>
      <c r="D69" s="45">
        <f t="shared" si="28"/>
        <v>1</v>
      </c>
      <c r="E69" s="45">
        <f ca="1" t="shared" si="24"/>
        <v>0</v>
      </c>
      <c r="F69" s="45">
        <f ca="1" t="shared" si="25"/>
        <v>0</v>
      </c>
      <c r="U69" s="46" t="s">
        <v>619</v>
      </c>
      <c r="V69" s="52" t="str">
        <f t="shared" si="45"/>
        <v/>
      </c>
      <c r="W69" s="52" t="str">
        <f t="shared" si="46"/>
        <v/>
      </c>
      <c r="X69" s="52">
        <f t="shared" si="47"/>
        <v>13.5</v>
      </c>
      <c r="Y69" s="52">
        <f t="shared" si="48"/>
        <v>40</v>
      </c>
      <c r="Z69" s="52">
        <f t="shared" si="49"/>
        <v>21.44</v>
      </c>
      <c r="AA69" s="52">
        <f t="shared" si="50"/>
        <v>16.6</v>
      </c>
      <c r="AB69" s="52">
        <f t="shared" si="51"/>
        <v>7.56</v>
      </c>
      <c r="AC69" s="52">
        <f t="shared" si="52"/>
        <v>0.9</v>
      </c>
      <c r="AE69" s="46" t="s">
        <v>618</v>
      </c>
      <c r="AF69" s="52" t="str">
        <f t="shared" si="54"/>
        <v/>
      </c>
      <c r="AG69" s="52" t="str">
        <f t="shared" si="55"/>
        <v/>
      </c>
      <c r="AH69" s="52">
        <f t="shared" si="56"/>
        <v>0.255102040816327</v>
      </c>
      <c r="AI69" s="52">
        <f t="shared" si="57"/>
        <v>0.380816326530612</v>
      </c>
      <c r="AJ69" s="52">
        <f t="shared" si="58"/>
        <v>0.214285714285714</v>
      </c>
      <c r="AK69" s="52">
        <f t="shared" si="59"/>
        <v>0.116122448979592</v>
      </c>
      <c r="AL69" s="52">
        <f t="shared" si="60"/>
        <v>0.0336734693877551</v>
      </c>
      <c r="AM69" s="52" t="str">
        <f t="shared" si="61"/>
        <v/>
      </c>
    </row>
    <row r="70" spans="3:39">
      <c r="C70" s="45">
        <f t="shared" si="43"/>
        <v>7</v>
      </c>
      <c r="D70" s="45">
        <f t="shared" si="28"/>
        <v>2</v>
      </c>
      <c r="E70" s="45">
        <f ca="1" t="shared" si="24"/>
        <v>357</v>
      </c>
      <c r="F70" s="45">
        <f ca="1" t="shared" si="25"/>
        <v>0</v>
      </c>
      <c r="U70" s="46" t="s">
        <v>620</v>
      </c>
      <c r="V70" s="52" t="str">
        <f t="shared" si="45"/>
        <v/>
      </c>
      <c r="W70" s="52" t="str">
        <f t="shared" si="46"/>
        <v/>
      </c>
      <c r="X70" s="52" t="str">
        <f t="shared" si="47"/>
        <v/>
      </c>
      <c r="Y70" s="52">
        <f t="shared" si="48"/>
        <v>45.5</v>
      </c>
      <c r="Z70" s="52">
        <f t="shared" si="49"/>
        <v>26.6</v>
      </c>
      <c r="AA70" s="52">
        <f t="shared" si="50"/>
        <v>18</v>
      </c>
      <c r="AB70" s="52">
        <f t="shared" si="51"/>
        <v>8.4</v>
      </c>
      <c r="AC70" s="52">
        <f t="shared" si="52"/>
        <v>1.5</v>
      </c>
      <c r="AE70" s="46" t="s">
        <v>619</v>
      </c>
      <c r="AF70" s="52" t="str">
        <f t="shared" si="54"/>
        <v/>
      </c>
      <c r="AG70" s="52" t="str">
        <f t="shared" si="55"/>
        <v/>
      </c>
      <c r="AH70" s="52">
        <f t="shared" si="56"/>
        <v>0.137755102040816</v>
      </c>
      <c r="AI70" s="52">
        <f t="shared" si="57"/>
        <v>0.408163265306122</v>
      </c>
      <c r="AJ70" s="52">
        <f t="shared" si="58"/>
        <v>0.218775510204082</v>
      </c>
      <c r="AK70" s="52">
        <f t="shared" si="59"/>
        <v>0.169387755102041</v>
      </c>
      <c r="AL70" s="52">
        <f t="shared" si="60"/>
        <v>0.0604081632653061</v>
      </c>
      <c r="AM70" s="52">
        <f t="shared" si="61"/>
        <v>0.00551020408163265</v>
      </c>
    </row>
    <row r="71" spans="3:39">
      <c r="C71" s="45">
        <f t="shared" si="43"/>
        <v>7</v>
      </c>
      <c r="D71" s="45">
        <f t="shared" si="28"/>
        <v>3</v>
      </c>
      <c r="E71" s="45">
        <f ca="1" t="shared" si="24"/>
        <v>4081</v>
      </c>
      <c r="F71" s="45">
        <f ca="1" t="shared" si="25"/>
        <v>0</v>
      </c>
      <c r="U71" s="46" t="s">
        <v>621</v>
      </c>
      <c r="V71" s="52" t="str">
        <f t="shared" si="45"/>
        <v/>
      </c>
      <c r="W71" s="52" t="str">
        <f t="shared" si="46"/>
        <v/>
      </c>
      <c r="X71" s="52" t="str">
        <f t="shared" si="47"/>
        <v/>
      </c>
      <c r="Y71" s="52">
        <f t="shared" si="48"/>
        <v>37</v>
      </c>
      <c r="Z71" s="52">
        <f t="shared" si="49"/>
        <v>31.76</v>
      </c>
      <c r="AA71" s="52">
        <f t="shared" si="50"/>
        <v>19.6</v>
      </c>
      <c r="AB71" s="52">
        <f t="shared" si="51"/>
        <v>9.24</v>
      </c>
      <c r="AC71" s="52">
        <f t="shared" si="52"/>
        <v>2.4</v>
      </c>
      <c r="AE71" s="46" t="s">
        <v>620</v>
      </c>
      <c r="AF71" s="52" t="str">
        <f t="shared" si="54"/>
        <v/>
      </c>
      <c r="AG71" s="52" t="str">
        <f t="shared" si="55"/>
        <v/>
      </c>
      <c r="AH71" s="52" t="str">
        <f t="shared" si="56"/>
        <v/>
      </c>
      <c r="AI71" s="52">
        <f t="shared" si="57"/>
        <v>0.464285714285714</v>
      </c>
      <c r="AJ71" s="52">
        <f t="shared" si="58"/>
        <v>0.271428571428571</v>
      </c>
      <c r="AK71" s="52">
        <f t="shared" si="59"/>
        <v>0.183673469387755</v>
      </c>
      <c r="AL71" s="52">
        <f t="shared" si="60"/>
        <v>0.0714285714285714</v>
      </c>
      <c r="AM71" s="52">
        <f t="shared" si="61"/>
        <v>0.00918367346938775</v>
      </c>
    </row>
    <row r="72" spans="3:39">
      <c r="C72" s="45">
        <f t="shared" si="43"/>
        <v>7</v>
      </c>
      <c r="D72" s="45">
        <f t="shared" si="28"/>
        <v>4</v>
      </c>
      <c r="E72" s="45">
        <f ca="1" t="shared" si="24"/>
        <v>2738</v>
      </c>
      <c r="F72" s="45">
        <f ca="1" t="shared" si="25"/>
        <v>0</v>
      </c>
      <c r="U72" s="46" t="s">
        <v>622</v>
      </c>
      <c r="V72" s="52" t="str">
        <f t="shared" si="45"/>
        <v/>
      </c>
      <c r="W72" s="52" t="str">
        <f t="shared" si="46"/>
        <v/>
      </c>
      <c r="X72" s="52" t="str">
        <f t="shared" si="47"/>
        <v/>
      </c>
      <c r="Y72" s="52">
        <f t="shared" si="48"/>
        <v>29.5</v>
      </c>
      <c r="Z72" s="52">
        <f t="shared" si="49"/>
        <v>36.92</v>
      </c>
      <c r="AA72" s="52">
        <f t="shared" si="50"/>
        <v>20.8</v>
      </c>
      <c r="AB72" s="52">
        <f t="shared" si="51"/>
        <v>10.08</v>
      </c>
      <c r="AC72" s="52">
        <f t="shared" si="52"/>
        <v>2.7</v>
      </c>
      <c r="AE72" s="46" t="s">
        <v>621</v>
      </c>
      <c r="AF72" s="52" t="str">
        <f t="shared" si="54"/>
        <v/>
      </c>
      <c r="AG72" s="52" t="str">
        <f t="shared" si="55"/>
        <v/>
      </c>
      <c r="AH72" s="52" t="str">
        <f t="shared" si="56"/>
        <v/>
      </c>
      <c r="AI72" s="52">
        <f t="shared" si="57"/>
        <v>0.377551020408163</v>
      </c>
      <c r="AJ72" s="52">
        <f t="shared" si="58"/>
        <v>0.324081632653061</v>
      </c>
      <c r="AK72" s="52">
        <f t="shared" si="59"/>
        <v>0.2</v>
      </c>
      <c r="AL72" s="52">
        <f t="shared" si="60"/>
        <v>0.0836734693877551</v>
      </c>
      <c r="AM72" s="52">
        <f t="shared" si="61"/>
        <v>0.0146938775510204</v>
      </c>
    </row>
    <row r="73" spans="3:39">
      <c r="C73" s="45">
        <f t="shared" si="43"/>
        <v>7</v>
      </c>
      <c r="D73" s="45">
        <f t="shared" si="28"/>
        <v>5</v>
      </c>
      <c r="E73" s="45">
        <f ca="1" t="shared" si="24"/>
        <v>1795</v>
      </c>
      <c r="F73" s="45">
        <f ca="1" t="shared" si="25"/>
        <v>0</v>
      </c>
      <c r="U73" s="46" t="s">
        <v>623</v>
      </c>
      <c r="V73" s="52" t="str">
        <f t="shared" si="45"/>
        <v/>
      </c>
      <c r="W73" s="52" t="str">
        <f t="shared" si="46"/>
        <v/>
      </c>
      <c r="X73" s="52" t="str">
        <f t="shared" si="47"/>
        <v/>
      </c>
      <c r="Y73" s="52">
        <f t="shared" si="48"/>
        <v>24.5</v>
      </c>
      <c r="Z73" s="52">
        <f t="shared" si="49"/>
        <v>39.58</v>
      </c>
      <c r="AA73" s="52">
        <f t="shared" si="50"/>
        <v>22</v>
      </c>
      <c r="AB73" s="52">
        <f t="shared" si="51"/>
        <v>10.92</v>
      </c>
      <c r="AC73" s="52">
        <f t="shared" si="52"/>
        <v>3</v>
      </c>
      <c r="AE73" s="46" t="s">
        <v>622</v>
      </c>
      <c r="AF73" s="52" t="str">
        <f t="shared" si="54"/>
        <v/>
      </c>
      <c r="AG73" s="52" t="str">
        <f t="shared" si="55"/>
        <v/>
      </c>
      <c r="AH73" s="52" t="str">
        <f t="shared" si="56"/>
        <v/>
      </c>
      <c r="AI73" s="52">
        <f t="shared" si="57"/>
        <v>0.301020408163265</v>
      </c>
      <c r="AJ73" s="52">
        <f t="shared" si="58"/>
        <v>0.376734693877551</v>
      </c>
      <c r="AK73" s="52">
        <f t="shared" si="59"/>
        <v>0.212244897959184</v>
      </c>
      <c r="AL73" s="52">
        <f t="shared" si="60"/>
        <v>0.093469387755102</v>
      </c>
      <c r="AM73" s="52">
        <f t="shared" si="61"/>
        <v>0.016530612244898</v>
      </c>
    </row>
    <row r="74" spans="3:39">
      <c r="C74" s="45">
        <f t="shared" si="43"/>
        <v>7</v>
      </c>
      <c r="D74" s="45">
        <f t="shared" si="28"/>
        <v>6</v>
      </c>
      <c r="E74" s="45">
        <f ca="1" t="shared" si="24"/>
        <v>879</v>
      </c>
      <c r="F74" s="45">
        <f ca="1" t="shared" si="25"/>
        <v>2600</v>
      </c>
      <c r="U74" s="46" t="s">
        <v>624</v>
      </c>
      <c r="V74" s="52" t="str">
        <f t="shared" si="45"/>
        <v/>
      </c>
      <c r="W74" s="52" t="str">
        <f t="shared" si="46"/>
        <v/>
      </c>
      <c r="X74" s="52" t="str">
        <f t="shared" si="47"/>
        <v/>
      </c>
      <c r="Y74" s="52">
        <f t="shared" si="48"/>
        <v>20</v>
      </c>
      <c r="Z74" s="52">
        <f t="shared" si="49"/>
        <v>42.16</v>
      </c>
      <c r="AA74" s="52">
        <f t="shared" si="50"/>
        <v>23.2</v>
      </c>
      <c r="AB74" s="52">
        <f t="shared" si="51"/>
        <v>11.34</v>
      </c>
      <c r="AC74" s="52">
        <f t="shared" si="52"/>
        <v>3.3</v>
      </c>
      <c r="AE74" s="46" t="s">
        <v>623</v>
      </c>
      <c r="AF74" s="52" t="str">
        <f t="shared" si="54"/>
        <v/>
      </c>
      <c r="AG74" s="52" t="str">
        <f t="shared" si="55"/>
        <v/>
      </c>
      <c r="AH74" s="52" t="str">
        <f t="shared" si="56"/>
        <v/>
      </c>
      <c r="AI74" s="52">
        <f t="shared" si="57"/>
        <v>0.25</v>
      </c>
      <c r="AJ74" s="52">
        <f t="shared" si="58"/>
        <v>0.403877551020408</v>
      </c>
      <c r="AK74" s="52">
        <f t="shared" si="59"/>
        <v>0.224489795918367</v>
      </c>
      <c r="AL74" s="52">
        <f t="shared" si="60"/>
        <v>0.103265306122449</v>
      </c>
      <c r="AM74" s="52">
        <f t="shared" si="61"/>
        <v>0.0183673469387755</v>
      </c>
    </row>
    <row r="75" spans="3:39">
      <c r="C75" s="45">
        <f t="shared" si="43"/>
        <v>7</v>
      </c>
      <c r="D75" s="45">
        <f t="shared" si="28"/>
        <v>7</v>
      </c>
      <c r="E75" s="45">
        <f ca="1" t="shared" si="24"/>
        <v>146</v>
      </c>
      <c r="F75" s="45">
        <f ca="1" t="shared" si="25"/>
        <v>2400</v>
      </c>
      <c r="V75" s="52" t="s">
        <v>58</v>
      </c>
      <c r="W75" s="52" t="s">
        <v>59</v>
      </c>
      <c r="X75" s="52" t="s">
        <v>31</v>
      </c>
      <c r="Y75" s="52" t="s">
        <v>32</v>
      </c>
      <c r="Z75" s="52" t="s">
        <v>33</v>
      </c>
      <c r="AA75" s="52" t="s">
        <v>34</v>
      </c>
      <c r="AB75" s="52" t="s">
        <v>35</v>
      </c>
      <c r="AC75" s="52" t="s">
        <v>36</v>
      </c>
      <c r="AE75" s="46" t="s">
        <v>624</v>
      </c>
      <c r="AF75" s="52" t="str">
        <f t="shared" si="54"/>
        <v/>
      </c>
      <c r="AG75" s="52" t="str">
        <f t="shared" si="55"/>
        <v/>
      </c>
      <c r="AH75" s="52" t="str">
        <f t="shared" si="56"/>
        <v/>
      </c>
      <c r="AI75" s="52">
        <f t="shared" si="57"/>
        <v>0.204081632653061</v>
      </c>
      <c r="AJ75" s="52">
        <f t="shared" si="58"/>
        <v>0.430204081632653</v>
      </c>
      <c r="AK75" s="52">
        <f t="shared" si="59"/>
        <v>0.236734693877551</v>
      </c>
      <c r="AL75" s="52">
        <f t="shared" si="60"/>
        <v>0.107551020408163</v>
      </c>
      <c r="AM75" s="52">
        <f t="shared" si="61"/>
        <v>0.0214285714285714</v>
      </c>
    </row>
    <row r="76" spans="3:39">
      <c r="C76" s="45">
        <f t="shared" si="43"/>
        <v>7</v>
      </c>
      <c r="D76" s="45">
        <f t="shared" si="28"/>
        <v>8</v>
      </c>
      <c r="E76" s="45">
        <f ca="1" t="shared" si="24"/>
        <v>0</v>
      </c>
      <c r="F76" s="45">
        <f ca="1" t="shared" si="25"/>
        <v>0</v>
      </c>
      <c r="U76" s="46" t="s">
        <v>610</v>
      </c>
      <c r="V76" s="45">
        <v>1</v>
      </c>
      <c r="W76" s="45">
        <v>0.897435897435897</v>
      </c>
      <c r="X76" s="45">
        <v>0.923076923076923</v>
      </c>
      <c r="Y76" s="45">
        <v>1.25</v>
      </c>
      <c r="Z76" s="45">
        <v>2</v>
      </c>
      <c r="AA76" s="45" t="s">
        <v>638</v>
      </c>
      <c r="AB76" s="45" t="s">
        <v>638</v>
      </c>
      <c r="AC76" s="45" t="s">
        <v>638</v>
      </c>
    </row>
    <row r="77" spans="3:39">
      <c r="C77" s="45">
        <f t="shared" si="43"/>
        <v>8</v>
      </c>
      <c r="D77" s="45">
        <f t="shared" si="28"/>
        <v>1</v>
      </c>
      <c r="E77" s="45">
        <f ca="1" t="shared" si="24"/>
        <v>0</v>
      </c>
      <c r="F77" s="45">
        <f ca="1" t="shared" si="25"/>
        <v>0</v>
      </c>
      <c r="U77" s="46" t="s">
        <v>611</v>
      </c>
      <c r="V77" s="45">
        <v>1</v>
      </c>
      <c r="W77" s="45">
        <v>0.75</v>
      </c>
      <c r="X77" s="45">
        <v>0.888888888888889</v>
      </c>
      <c r="Y77" s="45">
        <v>1.25</v>
      </c>
      <c r="Z77" s="45">
        <v>2</v>
      </c>
      <c r="AA77" s="45" t="s">
        <v>638</v>
      </c>
      <c r="AB77" s="45" t="s">
        <v>638</v>
      </c>
      <c r="AC77" s="45" t="s">
        <v>638</v>
      </c>
      <c r="AE77" s="45" t="s">
        <v>639</v>
      </c>
    </row>
    <row r="78" spans="3:39">
      <c r="C78" s="45">
        <f t="shared" si="43"/>
        <v>8</v>
      </c>
      <c r="D78" s="45">
        <f t="shared" si="28"/>
        <v>2</v>
      </c>
      <c r="E78" s="45">
        <f ca="1" t="shared" si="24"/>
        <v>0</v>
      </c>
      <c r="F78" s="45">
        <f ca="1" t="shared" si="25"/>
        <v>0</v>
      </c>
      <c r="U78" s="46" t="s">
        <v>612</v>
      </c>
      <c r="V78" s="45">
        <v>1</v>
      </c>
      <c r="W78" s="45">
        <v>1</v>
      </c>
      <c r="X78" s="45">
        <v>0.941176470588235</v>
      </c>
      <c r="Y78" s="45">
        <v>0.952380952380952</v>
      </c>
      <c r="Z78" s="45">
        <v>1.25</v>
      </c>
      <c r="AA78" s="45">
        <v>2</v>
      </c>
      <c r="AB78" s="45" t="s">
        <v>638</v>
      </c>
      <c r="AC78" s="45" t="s">
        <v>638</v>
      </c>
      <c r="AE78" s="60" t="s">
        <v>640</v>
      </c>
    </row>
    <row r="79" spans="3:39">
      <c r="C79" s="45">
        <f t="shared" si="43"/>
        <v>8</v>
      </c>
      <c r="D79" s="45">
        <f t="shared" si="28"/>
        <v>3</v>
      </c>
      <c r="E79" s="45">
        <f ca="1" t="shared" si="24"/>
        <v>3520</v>
      </c>
      <c r="F79" s="45">
        <f ca="1" t="shared" si="25"/>
        <v>0</v>
      </c>
      <c r="U79" s="46" t="s">
        <v>613</v>
      </c>
      <c r="V79" s="45">
        <v>1</v>
      </c>
      <c r="W79" s="45">
        <v>1</v>
      </c>
      <c r="X79" s="45">
        <v>0.941176470588235</v>
      </c>
      <c r="Y79" s="45">
        <v>0.909090909090909</v>
      </c>
      <c r="Z79" s="45">
        <v>1.25</v>
      </c>
      <c r="AA79" s="45">
        <v>2</v>
      </c>
      <c r="AB79" s="45" t="s">
        <v>638</v>
      </c>
      <c r="AC79" s="45" t="s">
        <v>638</v>
      </c>
      <c r="AE79" s="60" t="s">
        <v>641</v>
      </c>
    </row>
    <row r="80" spans="3:39">
      <c r="C80" s="45">
        <f t="shared" si="43"/>
        <v>8</v>
      </c>
      <c r="D80" s="45">
        <f t="shared" si="28"/>
        <v>4</v>
      </c>
      <c r="E80" s="45">
        <f ca="1" t="shared" si="24"/>
        <v>3273</v>
      </c>
      <c r="F80" s="45">
        <f ca="1" t="shared" si="25"/>
        <v>0</v>
      </c>
      <c r="U80" s="46" t="s">
        <v>614</v>
      </c>
      <c r="V80" s="45" t="s">
        <v>638</v>
      </c>
      <c r="W80" s="45">
        <v>1</v>
      </c>
      <c r="X80" s="45">
        <v>0.930232558139535</v>
      </c>
      <c r="Y80" s="45">
        <v>0.869565217391304</v>
      </c>
      <c r="Z80" s="45">
        <v>1.25</v>
      </c>
      <c r="AA80" s="45">
        <v>2</v>
      </c>
      <c r="AB80" s="45" t="s">
        <v>638</v>
      </c>
      <c r="AC80" s="45" t="s">
        <v>638</v>
      </c>
    </row>
    <row r="81" spans="3:35">
      <c r="C81" s="45">
        <f t="shared" si="43"/>
        <v>8</v>
      </c>
      <c r="D81" s="45">
        <f t="shared" si="28"/>
        <v>5</v>
      </c>
      <c r="E81" s="45">
        <f ca="1" t="shared" si="24"/>
        <v>1959</v>
      </c>
      <c r="F81" s="45">
        <f ca="1" t="shared" si="25"/>
        <v>0</v>
      </c>
      <c r="U81" s="46" t="s">
        <v>615</v>
      </c>
      <c r="V81" s="45" t="s">
        <v>638</v>
      </c>
      <c r="W81" s="45">
        <v>1</v>
      </c>
      <c r="X81" s="45">
        <v>1</v>
      </c>
      <c r="Y81" s="45">
        <v>0.925925925925926</v>
      </c>
      <c r="Z81" s="45">
        <v>0.923076923076923</v>
      </c>
      <c r="AA81" s="45">
        <v>1.25</v>
      </c>
      <c r="AB81" s="45">
        <v>2</v>
      </c>
      <c r="AC81" s="45" t="s">
        <v>638</v>
      </c>
    </row>
    <row r="82" spans="3:35">
      <c r="C82" s="45">
        <f t="shared" si="43"/>
        <v>8</v>
      </c>
      <c r="D82" s="45">
        <f t="shared" si="28"/>
        <v>6</v>
      </c>
      <c r="E82" s="45">
        <f ca="1" t="shared" si="24"/>
        <v>1032</v>
      </c>
      <c r="F82" s="45">
        <f ca="1" t="shared" si="25"/>
        <v>2000</v>
      </c>
      <c r="U82" s="46" t="s">
        <v>616</v>
      </c>
      <c r="V82" s="45" t="s">
        <v>638</v>
      </c>
      <c r="W82" s="45">
        <v>1</v>
      </c>
      <c r="X82" s="45">
        <v>1</v>
      </c>
      <c r="Y82" s="45">
        <v>0.915750915750916</v>
      </c>
      <c r="Z82" s="45">
        <v>0.888888888888889</v>
      </c>
      <c r="AA82" s="45">
        <v>1.25</v>
      </c>
      <c r="AB82" s="45">
        <v>2</v>
      </c>
      <c r="AC82" s="45" t="s">
        <v>638</v>
      </c>
    </row>
    <row r="83" spans="3:35">
      <c r="C83" s="45">
        <f t="shared" si="43"/>
        <v>8</v>
      </c>
      <c r="D83" s="45">
        <f t="shared" si="28"/>
        <v>7</v>
      </c>
      <c r="E83" s="45">
        <f ca="1" t="shared" si="24"/>
        <v>214</v>
      </c>
      <c r="F83" s="45">
        <f ca="1" t="shared" si="25"/>
        <v>3000</v>
      </c>
      <c r="U83" s="46" t="s">
        <v>617</v>
      </c>
      <c r="V83" s="45" t="s">
        <v>638</v>
      </c>
      <c r="W83" s="45" t="s">
        <v>638</v>
      </c>
      <c r="X83" s="45">
        <v>1</v>
      </c>
      <c r="Y83" s="45">
        <v>0.920245398773006</v>
      </c>
      <c r="Z83" s="45">
        <v>0.860759493670886</v>
      </c>
      <c r="AA83" s="45">
        <v>1.25</v>
      </c>
      <c r="AB83" s="45">
        <v>2</v>
      </c>
      <c r="AC83" s="45" t="s">
        <v>638</v>
      </c>
    </row>
    <row r="84" spans="3:35">
      <c r="C84" s="45">
        <f t="shared" si="43"/>
        <v>8</v>
      </c>
      <c r="D84" s="45">
        <f t="shared" si="28"/>
        <v>8</v>
      </c>
      <c r="E84" s="45">
        <f ca="1" t="shared" si="24"/>
        <v>0</v>
      </c>
      <c r="F84" s="45">
        <f ca="1" t="shared" si="25"/>
        <v>0</v>
      </c>
      <c r="U84" s="46" t="s">
        <v>618</v>
      </c>
      <c r="V84" s="45" t="s">
        <v>638</v>
      </c>
      <c r="W84" s="45" t="s">
        <v>638</v>
      </c>
      <c r="X84" s="45">
        <v>1</v>
      </c>
      <c r="Y84" s="45">
        <v>0.923482849604222</v>
      </c>
      <c r="Z84" s="45">
        <v>0.827586206896552</v>
      </c>
      <c r="AA84" s="45">
        <v>1.25</v>
      </c>
      <c r="AB84" s="45">
        <v>2</v>
      </c>
      <c r="AC84" s="45" t="s">
        <v>638</v>
      </c>
    </row>
    <row r="85" spans="3:35">
      <c r="C85" s="45">
        <f t="shared" si="43"/>
        <v>9</v>
      </c>
      <c r="D85" s="45">
        <f t="shared" si="28"/>
        <v>1</v>
      </c>
      <c r="E85" s="45">
        <f ca="1" t="shared" si="24"/>
        <v>0</v>
      </c>
      <c r="F85" s="45">
        <f ca="1" t="shared" si="25"/>
        <v>0</v>
      </c>
      <c r="U85" s="46" t="s">
        <v>619</v>
      </c>
      <c r="V85" s="45" t="s">
        <v>638</v>
      </c>
      <c r="W85" s="45" t="s">
        <v>638</v>
      </c>
      <c r="X85" s="45">
        <v>1</v>
      </c>
      <c r="Y85" s="45">
        <v>1</v>
      </c>
      <c r="Z85" s="45">
        <v>0.91743119266055</v>
      </c>
      <c r="AA85" s="45">
        <v>0.955223880597015</v>
      </c>
      <c r="AB85" s="45">
        <v>1.25</v>
      </c>
      <c r="AC85" s="45">
        <v>2</v>
      </c>
    </row>
    <row r="86" spans="3:35">
      <c r="C86" s="45">
        <f t="shared" si="43"/>
        <v>9</v>
      </c>
      <c r="D86" s="45">
        <f t="shared" si="28"/>
        <v>2</v>
      </c>
      <c r="E86" s="45">
        <f ca="1" t="shared" ref="E86:E149" si="62">IFERROR(INT(OFFSET($AE$60,C86,D86)*10000),0)</f>
        <v>0</v>
      </c>
      <c r="F86" s="45">
        <f ca="1" t="shared" ref="F86:F149" si="63">IFERROR(INT(OFFSET($AE$43,C86,D86)*10000),0)</f>
        <v>0</v>
      </c>
      <c r="U86" s="46" t="s">
        <v>620</v>
      </c>
      <c r="V86" s="45" t="s">
        <v>638</v>
      </c>
      <c r="W86" s="45" t="s">
        <v>638</v>
      </c>
      <c r="X86" s="45" t="s">
        <v>638</v>
      </c>
      <c r="Y86" s="45">
        <v>1</v>
      </c>
      <c r="Z86" s="45">
        <v>0.925925925925926</v>
      </c>
      <c r="AA86" s="45">
        <v>0.931506849315069</v>
      </c>
      <c r="AB86" s="45">
        <v>1.25</v>
      </c>
      <c r="AC86" s="45">
        <v>2</v>
      </c>
    </row>
    <row r="87" spans="3:35">
      <c r="C87" s="45">
        <f t="shared" ref="C87:C118" si="64">IF(D86=8,C86+1,C86)</f>
        <v>9</v>
      </c>
      <c r="D87" s="45">
        <f t="shared" si="28"/>
        <v>3</v>
      </c>
      <c r="E87" s="45">
        <f ca="1" t="shared" si="62"/>
        <v>2551</v>
      </c>
      <c r="F87" s="45">
        <f ca="1" t="shared" si="63"/>
        <v>0</v>
      </c>
      <c r="U87" s="46" t="s">
        <v>621</v>
      </c>
      <c r="V87" s="45" t="s">
        <v>638</v>
      </c>
      <c r="W87" s="45" t="s">
        <v>638</v>
      </c>
      <c r="X87" s="45" t="s">
        <v>638</v>
      </c>
      <c r="Y87" s="45">
        <v>1</v>
      </c>
      <c r="Z87" s="45">
        <v>0.93167701863354</v>
      </c>
      <c r="AA87" s="45">
        <v>0.9</v>
      </c>
      <c r="AB87" s="45">
        <v>1.25</v>
      </c>
      <c r="AC87" s="45">
        <v>2</v>
      </c>
    </row>
    <row r="88" spans="3:35">
      <c r="C88" s="45">
        <f t="shared" si="64"/>
        <v>9</v>
      </c>
      <c r="D88" s="45">
        <f t="shared" si="28"/>
        <v>4</v>
      </c>
      <c r="E88" s="45">
        <f ca="1" t="shared" si="62"/>
        <v>3808</v>
      </c>
      <c r="F88" s="45">
        <f ca="1" t="shared" si="63"/>
        <v>0</v>
      </c>
      <c r="U88" s="46" t="s">
        <v>622</v>
      </c>
      <c r="X88" s="45" t="s">
        <v>638</v>
      </c>
      <c r="Y88" s="45">
        <v>1</v>
      </c>
      <c r="Z88" s="45">
        <v>0.935828877005348</v>
      </c>
      <c r="AA88" s="45">
        <v>0.894117647058823</v>
      </c>
      <c r="AB88" s="45">
        <v>1.25</v>
      </c>
      <c r="AC88" s="45">
        <v>2</v>
      </c>
    </row>
    <row r="89" spans="3:35">
      <c r="C89" s="45">
        <f t="shared" si="64"/>
        <v>9</v>
      </c>
      <c r="D89" s="45">
        <f t="shared" si="28"/>
        <v>5</v>
      </c>
      <c r="E89" s="45">
        <f ca="1" t="shared" si="62"/>
        <v>2142</v>
      </c>
      <c r="F89" s="45">
        <f ca="1" t="shared" si="63"/>
        <v>0</v>
      </c>
      <c r="U89" s="46" t="s">
        <v>623</v>
      </c>
      <c r="X89" s="45" t="s">
        <v>638</v>
      </c>
      <c r="Y89" s="45">
        <v>1</v>
      </c>
      <c r="Z89" s="45">
        <v>0.935162094763092</v>
      </c>
      <c r="AA89" s="45">
        <v>0.888888888888889</v>
      </c>
      <c r="AB89" s="45">
        <v>1.25</v>
      </c>
      <c r="AC89" s="45">
        <v>2</v>
      </c>
    </row>
    <row r="90" spans="3:35">
      <c r="C90" s="45">
        <f t="shared" si="64"/>
        <v>9</v>
      </c>
      <c r="D90" s="45">
        <f t="shared" si="28"/>
        <v>6</v>
      </c>
      <c r="E90" s="45">
        <f ca="1" t="shared" si="62"/>
        <v>1161</v>
      </c>
      <c r="F90" s="45">
        <f ca="1" t="shared" si="63"/>
        <v>2000</v>
      </c>
      <c r="U90" s="46" t="s">
        <v>624</v>
      </c>
      <c r="X90" s="45" t="s">
        <v>638</v>
      </c>
      <c r="Y90" s="45">
        <v>1</v>
      </c>
      <c r="Z90" s="45">
        <v>0.936768149882904</v>
      </c>
      <c r="AA90" s="45">
        <v>0.88421052631579</v>
      </c>
      <c r="AB90" s="45">
        <v>1.25</v>
      </c>
      <c r="AC90" s="45">
        <v>2</v>
      </c>
    </row>
    <row r="91" spans="3:35">
      <c r="C91" s="45">
        <f t="shared" si="64"/>
        <v>9</v>
      </c>
      <c r="D91" s="45">
        <f t="shared" si="28"/>
        <v>7</v>
      </c>
      <c r="E91" s="45">
        <f ca="1" t="shared" si="62"/>
        <v>336</v>
      </c>
      <c r="F91" s="45">
        <f ca="1" t="shared" si="63"/>
        <v>3000</v>
      </c>
      <c r="AH91" s="52"/>
      <c r="AI91" s="52"/>
    </row>
    <row r="92" spans="3:35">
      <c r="C92" s="45">
        <f t="shared" si="64"/>
        <v>9</v>
      </c>
      <c r="D92" s="45">
        <f t="shared" si="28"/>
        <v>8</v>
      </c>
      <c r="E92" s="45">
        <f ca="1" t="shared" si="62"/>
        <v>0</v>
      </c>
      <c r="F92" s="45">
        <f ca="1" t="shared" si="63"/>
        <v>0</v>
      </c>
      <c r="AH92" s="52"/>
      <c r="AI92" s="52"/>
    </row>
    <row r="93" spans="3:35">
      <c r="C93" s="45">
        <f t="shared" si="64"/>
        <v>10</v>
      </c>
      <c r="D93" s="45">
        <f t="shared" si="28"/>
        <v>1</v>
      </c>
      <c r="E93" s="45">
        <f ca="1" t="shared" si="62"/>
        <v>0</v>
      </c>
      <c r="F93" s="45">
        <f ca="1" t="shared" si="63"/>
        <v>0</v>
      </c>
      <c r="U93" s="45" t="s">
        <v>642</v>
      </c>
      <c r="V93" s="45" t="s">
        <v>643</v>
      </c>
      <c r="W93" s="45" t="s">
        <v>644</v>
      </c>
      <c r="X93" s="45" t="s">
        <v>645</v>
      </c>
      <c r="Y93" s="45" t="s">
        <v>646</v>
      </c>
      <c r="Z93" s="45" t="s">
        <v>647</v>
      </c>
      <c r="AB93" s="45" t="s">
        <v>648</v>
      </c>
      <c r="AC93" s="45" t="s">
        <v>649</v>
      </c>
      <c r="AH93" s="52"/>
      <c r="AI93" s="52"/>
    </row>
    <row r="94" spans="3:35">
      <c r="C94" s="45">
        <f t="shared" si="64"/>
        <v>10</v>
      </c>
      <c r="D94" s="45">
        <f t="shared" ref="D94:D140" si="65">D86</f>
        <v>2</v>
      </c>
      <c r="E94" s="45">
        <f ca="1" t="shared" si="62"/>
        <v>0</v>
      </c>
      <c r="F94" s="45">
        <f ca="1" t="shared" si="63"/>
        <v>0</v>
      </c>
      <c r="U94" s="46" t="s">
        <v>650</v>
      </c>
      <c r="W94" s="45">
        <v>1</v>
      </c>
      <c r="Z94" s="45">
        <v>120</v>
      </c>
      <c r="AB94" s="47">
        <v>0.7</v>
      </c>
      <c r="AC94" s="47">
        <f>1-AB94</f>
        <v>0.3</v>
      </c>
      <c r="AD94" s="47"/>
      <c r="AE94" s="47"/>
      <c r="AH94" s="52"/>
      <c r="AI94" s="52"/>
    </row>
    <row r="95" spans="3:35">
      <c r="C95" s="45">
        <f t="shared" si="64"/>
        <v>10</v>
      </c>
      <c r="D95" s="45">
        <f t="shared" si="65"/>
        <v>3</v>
      </c>
      <c r="E95" s="45">
        <f ca="1" t="shared" si="62"/>
        <v>1377</v>
      </c>
      <c r="F95" s="45">
        <f ca="1" t="shared" si="63"/>
        <v>0</v>
      </c>
      <c r="U95" s="46" t="s">
        <v>651</v>
      </c>
      <c r="W95" s="45">
        <v>2</v>
      </c>
      <c r="X95" s="61">
        <v>2</v>
      </c>
      <c r="Z95" s="45">
        <v>120</v>
      </c>
      <c r="AB95" s="47">
        <f t="shared" ref="AB95:AC98" si="66">AB94</f>
        <v>0.7</v>
      </c>
      <c r="AC95" s="47">
        <f t="shared" si="66"/>
        <v>0.3</v>
      </c>
      <c r="AD95" s="56"/>
      <c r="AE95" s="56"/>
      <c r="AH95" s="52"/>
      <c r="AI95" s="52"/>
    </row>
    <row r="96" spans="3:35">
      <c r="C96" s="45">
        <f t="shared" si="64"/>
        <v>10</v>
      </c>
      <c r="D96" s="45">
        <f t="shared" si="65"/>
        <v>4</v>
      </c>
      <c r="E96" s="45">
        <f ca="1" t="shared" si="62"/>
        <v>4081</v>
      </c>
      <c r="F96" s="45">
        <f ca="1" t="shared" si="63"/>
        <v>0</v>
      </c>
      <c r="U96" s="46" t="s">
        <v>652</v>
      </c>
      <c r="V96" s="61">
        <v>1</v>
      </c>
      <c r="W96" s="45">
        <v>2</v>
      </c>
      <c r="X96" s="45">
        <v>3</v>
      </c>
      <c r="Y96" s="45">
        <v>1</v>
      </c>
      <c r="Z96" s="45">
        <v>120</v>
      </c>
      <c r="AB96" s="47">
        <f t="shared" si="66"/>
        <v>0.7</v>
      </c>
      <c r="AC96" s="47">
        <f t="shared" si="66"/>
        <v>0.3</v>
      </c>
      <c r="AD96" s="56"/>
      <c r="AE96" s="56"/>
      <c r="AH96" s="52"/>
      <c r="AI96" s="52"/>
    </row>
    <row r="97" spans="3:35">
      <c r="C97" s="45">
        <f t="shared" si="64"/>
        <v>10</v>
      </c>
      <c r="D97" s="45">
        <f t="shared" si="65"/>
        <v>5</v>
      </c>
      <c r="E97" s="45">
        <f ca="1" t="shared" si="62"/>
        <v>2187</v>
      </c>
      <c r="F97" s="45">
        <f ca="1" t="shared" si="63"/>
        <v>0</v>
      </c>
      <c r="U97" s="46" t="s">
        <v>653</v>
      </c>
      <c r="V97" s="61">
        <v>2</v>
      </c>
      <c r="W97" s="45">
        <v>3</v>
      </c>
      <c r="X97" s="45">
        <v>4</v>
      </c>
      <c r="Y97" s="45">
        <v>2</v>
      </c>
      <c r="Z97" s="45">
        <v>120</v>
      </c>
      <c r="AB97" s="47">
        <f t="shared" si="66"/>
        <v>0.7</v>
      </c>
      <c r="AC97" s="47">
        <f t="shared" si="66"/>
        <v>0.3</v>
      </c>
      <c r="AD97" s="56"/>
      <c r="AE97" s="56"/>
      <c r="AH97" s="52"/>
      <c r="AI97" s="52"/>
    </row>
    <row r="98" spans="3:35">
      <c r="C98" s="45">
        <f t="shared" si="64"/>
        <v>10</v>
      </c>
      <c r="D98" s="45">
        <f t="shared" si="65"/>
        <v>6</v>
      </c>
      <c r="E98" s="45">
        <f ca="1" t="shared" si="62"/>
        <v>1693</v>
      </c>
      <c r="F98" s="45">
        <f ca="1" t="shared" si="63"/>
        <v>0</v>
      </c>
      <c r="U98" s="46" t="s">
        <v>654</v>
      </c>
      <c r="V98" s="45">
        <v>2</v>
      </c>
      <c r="W98" s="45">
        <v>3</v>
      </c>
      <c r="X98" s="45">
        <v>5</v>
      </c>
      <c r="Y98" s="45">
        <v>2</v>
      </c>
      <c r="Z98" s="45">
        <v>120</v>
      </c>
      <c r="AB98" s="47">
        <f t="shared" si="66"/>
        <v>0.7</v>
      </c>
      <c r="AC98" s="47">
        <f t="shared" si="66"/>
        <v>0.3</v>
      </c>
      <c r="AD98" s="56"/>
      <c r="AE98" s="56"/>
      <c r="AH98" s="52"/>
      <c r="AI98" s="52"/>
    </row>
    <row r="99" spans="3:35">
      <c r="C99" s="45">
        <f t="shared" si="64"/>
        <v>10</v>
      </c>
      <c r="D99" s="45">
        <f t="shared" si="65"/>
        <v>7</v>
      </c>
      <c r="E99" s="45">
        <f ca="1" t="shared" si="62"/>
        <v>604</v>
      </c>
      <c r="F99" s="45">
        <f ca="1" t="shared" si="63"/>
        <v>4100</v>
      </c>
      <c r="AH99" s="52"/>
      <c r="AI99" s="52"/>
    </row>
    <row r="100" spans="3:35">
      <c r="C100" s="45">
        <f t="shared" si="64"/>
        <v>10</v>
      </c>
      <c r="D100" s="45">
        <f t="shared" si="65"/>
        <v>8</v>
      </c>
      <c r="E100" s="45">
        <f ca="1" t="shared" si="62"/>
        <v>55</v>
      </c>
      <c r="F100" s="45">
        <f ca="1" t="shared" si="63"/>
        <v>900</v>
      </c>
      <c r="T100" s="45" t="s">
        <v>655</v>
      </c>
      <c r="U100" s="45" t="s">
        <v>642</v>
      </c>
      <c r="V100" s="52" t="s">
        <v>58</v>
      </c>
      <c r="W100" s="52" t="s">
        <v>59</v>
      </c>
      <c r="X100" s="52" t="s">
        <v>31</v>
      </c>
      <c r="Y100" s="52" t="s">
        <v>32</v>
      </c>
      <c r="Z100" s="52" t="s">
        <v>33</v>
      </c>
      <c r="AA100" s="52" t="s">
        <v>34</v>
      </c>
      <c r="AB100" s="52" t="s">
        <v>35</v>
      </c>
      <c r="AC100" s="52" t="s">
        <v>36</v>
      </c>
      <c r="AH100" s="52"/>
      <c r="AI100" s="52"/>
    </row>
    <row r="101" spans="3:35">
      <c r="C101" s="45">
        <f t="shared" si="64"/>
        <v>11</v>
      </c>
      <c r="D101" s="45">
        <f t="shared" si="65"/>
        <v>1</v>
      </c>
      <c r="E101" s="45">
        <f ca="1" t="shared" si="62"/>
        <v>0</v>
      </c>
      <c r="F101" s="45">
        <f ca="1" t="shared" si="63"/>
        <v>0</v>
      </c>
      <c r="U101" s="46" t="s">
        <v>650</v>
      </c>
      <c r="V101" s="62" t="e">
        <f>#REF!*$V94+#REF!*$W94</f>
        <v>#REF!</v>
      </c>
      <c r="W101" s="62" t="e">
        <f>#REF!*$V94+#REF!*$W94</f>
        <v>#REF!</v>
      </c>
      <c r="X101" s="62" t="e">
        <f>#REF!*$V94+#REF!*$W94</f>
        <v>#REF!</v>
      </c>
      <c r="Y101" s="62" t="e">
        <f>#REF!*$V94+#REF!*$W94</f>
        <v>#REF!</v>
      </c>
      <c r="Z101" s="62" t="e">
        <f>#REF!*$V94+#REF!*$W94</f>
        <v>#REF!</v>
      </c>
      <c r="AA101" s="52" t="e">
        <f>#REF!*$V94+#REF!*$W94</f>
        <v>#REF!</v>
      </c>
      <c r="AB101" s="52" t="e">
        <f>#REF!*$V94+#REF!*$W94</f>
        <v>#REF!</v>
      </c>
      <c r="AC101" s="52" t="e">
        <f>#REF!*$V94+#REF!*$W94</f>
        <v>#REF!</v>
      </c>
      <c r="AD101" s="47" t="e">
        <f>Z101/$Z$105</f>
        <v>#REF!</v>
      </c>
      <c r="AE101" s="47"/>
    </row>
    <row r="102" spans="3:35">
      <c r="C102" s="45">
        <f t="shared" si="64"/>
        <v>11</v>
      </c>
      <c r="D102" s="45">
        <f t="shared" si="65"/>
        <v>2</v>
      </c>
      <c r="E102" s="45">
        <f ca="1" t="shared" si="62"/>
        <v>0</v>
      </c>
      <c r="F102" s="45">
        <f ca="1" t="shared" si="63"/>
        <v>0</v>
      </c>
      <c r="U102" s="46" t="s">
        <v>651</v>
      </c>
      <c r="V102" s="62" t="e">
        <f>#REF!*$V95+#REF!*$W95</f>
        <v>#REF!</v>
      </c>
      <c r="W102" s="62" t="e">
        <f>#REF!*$V95+#REF!*$W95</f>
        <v>#REF!</v>
      </c>
      <c r="X102" s="62" t="e">
        <f>#REF!*$V95+#REF!*$W95</f>
        <v>#REF!</v>
      </c>
      <c r="Y102" s="62" t="e">
        <f>#REF!*$V95+#REF!*$W95</f>
        <v>#REF!</v>
      </c>
      <c r="Z102" s="62" t="e">
        <f>#REF!*$V95+#REF!*$W95</f>
        <v>#REF!</v>
      </c>
      <c r="AA102" s="52" t="e">
        <f>#REF!*$V95+#REF!*$W95</f>
        <v>#REF!</v>
      </c>
      <c r="AB102" s="52" t="e">
        <f>#REF!*$V95+#REF!*$W95</f>
        <v>#REF!</v>
      </c>
      <c r="AC102" s="52" t="e">
        <f>#REF!*$V95+#REF!*$W95</f>
        <v>#REF!</v>
      </c>
      <c r="AD102" s="47" t="e">
        <f>Z102/$Z$105</f>
        <v>#REF!</v>
      </c>
      <c r="AE102" s="56"/>
    </row>
    <row r="103" spans="3:35">
      <c r="C103" s="45">
        <f t="shared" si="64"/>
        <v>11</v>
      </c>
      <c r="D103" s="45">
        <f t="shared" si="65"/>
        <v>3</v>
      </c>
      <c r="E103" s="45">
        <f ca="1" t="shared" si="62"/>
        <v>0</v>
      </c>
      <c r="F103" s="45">
        <f ca="1" t="shared" si="63"/>
        <v>0</v>
      </c>
      <c r="U103" s="46" t="s">
        <v>652</v>
      </c>
      <c r="V103" s="62" t="e">
        <f>#REF!*$V96+#REF!*$W96</f>
        <v>#REF!</v>
      </c>
      <c r="W103" s="62" t="e">
        <f>#REF!*$V96+#REF!*$W96</f>
        <v>#REF!</v>
      </c>
      <c r="X103" s="62" t="e">
        <f>#REF!*$V96+#REF!*$W96</f>
        <v>#REF!</v>
      </c>
      <c r="Y103" s="62" t="e">
        <f>#REF!*$V96+#REF!*$W96</f>
        <v>#REF!</v>
      </c>
      <c r="Z103" s="62" t="e">
        <f>#REF!*$V96+#REF!*$W96</f>
        <v>#REF!</v>
      </c>
      <c r="AA103" s="52" t="e">
        <f>#REF!*$V96+#REF!*$W96</f>
        <v>#REF!</v>
      </c>
      <c r="AB103" s="52" t="e">
        <f>#REF!*$V96+#REF!*$W96</f>
        <v>#REF!</v>
      </c>
      <c r="AC103" s="52" t="e">
        <f>#REF!*$V96+#REF!*$W96</f>
        <v>#REF!</v>
      </c>
      <c r="AD103" s="47" t="e">
        <f>Z103/$Z$105</f>
        <v>#REF!</v>
      </c>
      <c r="AE103" s="56"/>
      <c r="AH103" s="50"/>
      <c r="AI103" s="50"/>
    </row>
    <row r="104" spans="3:35">
      <c r="C104" s="45">
        <f t="shared" si="64"/>
        <v>11</v>
      </c>
      <c r="D104" s="45">
        <f t="shared" si="65"/>
        <v>4</v>
      </c>
      <c r="E104" s="45">
        <f ca="1" t="shared" si="62"/>
        <v>4642</v>
      </c>
      <c r="F104" s="45">
        <f ca="1" t="shared" si="63"/>
        <v>0</v>
      </c>
      <c r="U104" s="46" t="s">
        <v>653</v>
      </c>
      <c r="V104" s="62" t="e">
        <f>#REF!*$V97+#REF!*$W97</f>
        <v>#REF!</v>
      </c>
      <c r="W104" s="62" t="e">
        <f>#REF!*$V97+#REF!*$W97</f>
        <v>#REF!</v>
      </c>
      <c r="X104" s="62" t="e">
        <f>#REF!*$V97+#REF!*$W97</f>
        <v>#REF!</v>
      </c>
      <c r="Y104" s="62" t="e">
        <f>#REF!*$V97+#REF!*$W97</f>
        <v>#REF!</v>
      </c>
      <c r="Z104" s="62" t="e">
        <f>#REF!*$V97+#REF!*$W97</f>
        <v>#REF!</v>
      </c>
      <c r="AA104" s="52" t="e">
        <f>#REF!*$V97+#REF!*$W97</f>
        <v>#REF!</v>
      </c>
      <c r="AB104" s="52" t="e">
        <f>#REF!*$V97+#REF!*$W97</f>
        <v>#REF!</v>
      </c>
      <c r="AC104" s="52" t="e">
        <f>#REF!*$V97+#REF!*$W97</f>
        <v>#REF!</v>
      </c>
      <c r="AD104" s="47" t="e">
        <f>Z104/$Z$105</f>
        <v>#REF!</v>
      </c>
      <c r="AE104" s="56"/>
      <c r="AH104" s="52"/>
      <c r="AI104" s="52"/>
    </row>
    <row r="105" spans="3:35">
      <c r="C105" s="45">
        <f t="shared" si="64"/>
        <v>11</v>
      </c>
      <c r="D105" s="45">
        <f t="shared" si="65"/>
        <v>5</v>
      </c>
      <c r="E105" s="45">
        <f ca="1" t="shared" si="62"/>
        <v>2714</v>
      </c>
      <c r="F105" s="45">
        <f ca="1" t="shared" si="63"/>
        <v>0</v>
      </c>
      <c r="U105" s="46" t="s">
        <v>654</v>
      </c>
      <c r="V105" s="62" t="e">
        <f>#REF!*$V98+#REF!*$W98</f>
        <v>#REF!</v>
      </c>
      <c r="W105" s="62" t="e">
        <f>#REF!*$V98+#REF!*$W98</f>
        <v>#REF!</v>
      </c>
      <c r="X105" s="62" t="e">
        <f>#REF!*$V98+#REF!*$W98</f>
        <v>#REF!</v>
      </c>
      <c r="Y105" s="62" t="e">
        <f>#REF!*$V98+#REF!*$W98</f>
        <v>#REF!</v>
      </c>
      <c r="Z105" s="62" t="e">
        <f>#REF!*$V98+#REF!*$W98</f>
        <v>#REF!</v>
      </c>
      <c r="AA105" s="52" t="e">
        <f>#REF!*$V98+#REF!*$W98</f>
        <v>#REF!</v>
      </c>
      <c r="AB105" s="52" t="e">
        <f>#REF!*$V98+#REF!*$W98</f>
        <v>#REF!</v>
      </c>
      <c r="AC105" s="52" t="e">
        <f>#REF!*$V98+#REF!*$W98</f>
        <v>#REF!</v>
      </c>
      <c r="AD105" s="47" t="e">
        <f>Z105/$Z$105</f>
        <v>#REF!</v>
      </c>
      <c r="AE105" s="56"/>
      <c r="AH105" s="52"/>
      <c r="AI105" s="52"/>
    </row>
    <row r="106" spans="3:35">
      <c r="C106" s="45">
        <f t="shared" si="64"/>
        <v>11</v>
      </c>
      <c r="D106" s="45">
        <f t="shared" si="65"/>
        <v>6</v>
      </c>
      <c r="E106" s="45">
        <f ca="1" t="shared" si="62"/>
        <v>1836</v>
      </c>
      <c r="F106" s="45">
        <f ca="1" t="shared" si="63"/>
        <v>0</v>
      </c>
      <c r="AH106" s="52"/>
      <c r="AI106" s="52"/>
    </row>
    <row r="107" spans="3:35">
      <c r="C107" s="45">
        <f t="shared" si="64"/>
        <v>11</v>
      </c>
      <c r="D107" s="45">
        <f t="shared" si="65"/>
        <v>7</v>
      </c>
      <c r="E107" s="45">
        <f ca="1" t="shared" si="62"/>
        <v>714</v>
      </c>
      <c r="F107" s="45">
        <f ca="1" t="shared" si="63"/>
        <v>3500</v>
      </c>
      <c r="U107" s="45" t="s">
        <v>642</v>
      </c>
      <c r="V107" s="45" t="s">
        <v>643</v>
      </c>
      <c r="W107" s="45" t="s">
        <v>644</v>
      </c>
      <c r="X107" s="45" t="s">
        <v>645</v>
      </c>
      <c r="Y107" s="45" t="s">
        <v>646</v>
      </c>
      <c r="Z107" s="45" t="s">
        <v>647</v>
      </c>
      <c r="AB107" s="45" t="s">
        <v>648</v>
      </c>
      <c r="AC107" s="45" t="s">
        <v>649</v>
      </c>
      <c r="AH107" s="52"/>
      <c r="AI107" s="52"/>
    </row>
    <row r="108" spans="3:35">
      <c r="C108" s="45">
        <f t="shared" si="64"/>
        <v>11</v>
      </c>
      <c r="D108" s="45">
        <f t="shared" si="65"/>
        <v>8</v>
      </c>
      <c r="E108" s="45">
        <f ca="1" t="shared" si="62"/>
        <v>91</v>
      </c>
      <c r="F108" s="45">
        <f ca="1" t="shared" si="63"/>
        <v>1500</v>
      </c>
      <c r="U108" s="46" t="s">
        <v>650</v>
      </c>
      <c r="W108" s="45">
        <v>1</v>
      </c>
      <c r="Z108" s="45">
        <v>120</v>
      </c>
      <c r="AB108" s="47">
        <v>0.7</v>
      </c>
      <c r="AC108" s="47">
        <f>1-AB108</f>
        <v>0.3</v>
      </c>
      <c r="AH108" s="52"/>
      <c r="AI108" s="52"/>
    </row>
    <row r="109" spans="3:35">
      <c r="C109" s="45">
        <f t="shared" si="64"/>
        <v>12</v>
      </c>
      <c r="D109" s="45">
        <f t="shared" si="65"/>
        <v>1</v>
      </c>
      <c r="E109" s="45">
        <f ca="1" t="shared" si="62"/>
        <v>0</v>
      </c>
      <c r="F109" s="45">
        <f ca="1" t="shared" si="63"/>
        <v>0</v>
      </c>
      <c r="U109" s="46" t="s">
        <v>651</v>
      </c>
      <c r="W109" s="45">
        <v>2</v>
      </c>
      <c r="X109" s="61">
        <v>2</v>
      </c>
      <c r="Z109" s="45">
        <v>120</v>
      </c>
      <c r="AB109" s="47">
        <f t="shared" ref="AB109:AB112" si="67">AB108</f>
        <v>0.7</v>
      </c>
      <c r="AC109" s="47">
        <f t="shared" ref="AC109:AC112" si="68">AC108</f>
        <v>0.3</v>
      </c>
      <c r="AH109" s="52"/>
      <c r="AI109" s="52"/>
    </row>
    <row r="110" spans="3:35">
      <c r="C110" s="45">
        <f t="shared" si="64"/>
        <v>12</v>
      </c>
      <c r="D110" s="45">
        <f t="shared" si="65"/>
        <v>2</v>
      </c>
      <c r="E110" s="45">
        <f ca="1" t="shared" si="62"/>
        <v>0</v>
      </c>
      <c r="F110" s="45">
        <f ca="1" t="shared" si="63"/>
        <v>0</v>
      </c>
      <c r="U110" s="46" t="s">
        <v>652</v>
      </c>
      <c r="V110" s="61">
        <v>1</v>
      </c>
      <c r="W110" s="45">
        <v>2</v>
      </c>
      <c r="X110" s="45">
        <v>3</v>
      </c>
      <c r="Y110" s="45">
        <v>1</v>
      </c>
      <c r="Z110" s="45">
        <v>120</v>
      </c>
      <c r="AB110" s="47">
        <f t="shared" si="67"/>
        <v>0.7</v>
      </c>
      <c r="AC110" s="47">
        <f t="shared" si="68"/>
        <v>0.3</v>
      </c>
      <c r="AH110" s="52"/>
      <c r="AI110" s="52"/>
    </row>
    <row r="111" spans="3:35">
      <c r="C111" s="45">
        <f t="shared" si="64"/>
        <v>12</v>
      </c>
      <c r="D111" s="45">
        <f t="shared" si="65"/>
        <v>3</v>
      </c>
      <c r="E111" s="45">
        <f ca="1" t="shared" si="62"/>
        <v>0</v>
      </c>
      <c r="F111" s="45">
        <f ca="1" t="shared" si="63"/>
        <v>0</v>
      </c>
      <c r="U111" s="46" t="s">
        <v>653</v>
      </c>
      <c r="V111" s="61">
        <v>2</v>
      </c>
      <c r="W111" s="45">
        <v>2</v>
      </c>
      <c r="X111" s="45">
        <v>4</v>
      </c>
      <c r="Y111" s="45">
        <v>2</v>
      </c>
      <c r="Z111" s="45">
        <v>120</v>
      </c>
      <c r="AB111" s="47">
        <f t="shared" si="67"/>
        <v>0.7</v>
      </c>
      <c r="AC111" s="47">
        <f t="shared" si="68"/>
        <v>0.3</v>
      </c>
      <c r="AH111" s="52"/>
      <c r="AI111" s="52"/>
    </row>
    <row r="112" spans="3:35">
      <c r="C112" s="45">
        <f t="shared" si="64"/>
        <v>12</v>
      </c>
      <c r="D112" s="45">
        <f t="shared" si="65"/>
        <v>4</v>
      </c>
      <c r="E112" s="45">
        <f ca="1" t="shared" si="62"/>
        <v>3775</v>
      </c>
      <c r="F112" s="45">
        <f ca="1" t="shared" si="63"/>
        <v>0</v>
      </c>
      <c r="U112" s="46" t="s">
        <v>654</v>
      </c>
      <c r="V112" s="45">
        <v>2</v>
      </c>
      <c r="W112" s="45">
        <v>3</v>
      </c>
      <c r="X112" s="45">
        <v>5</v>
      </c>
      <c r="Y112" s="45">
        <v>2</v>
      </c>
      <c r="Z112" s="45">
        <v>120</v>
      </c>
      <c r="AB112" s="47">
        <f t="shared" si="67"/>
        <v>0.7</v>
      </c>
      <c r="AC112" s="47">
        <f t="shared" si="68"/>
        <v>0.3</v>
      </c>
      <c r="AH112" s="52"/>
      <c r="AI112" s="52"/>
    </row>
    <row r="113" spans="3:49">
      <c r="C113" s="45">
        <f t="shared" si="64"/>
        <v>12</v>
      </c>
      <c r="D113" s="45">
        <f t="shared" si="65"/>
        <v>5</v>
      </c>
      <c r="E113" s="45">
        <f ca="1" t="shared" si="62"/>
        <v>3240</v>
      </c>
      <c r="F113" s="45">
        <f ca="1" t="shared" si="63"/>
        <v>0</v>
      </c>
      <c r="AH113" s="52"/>
      <c r="AI113" s="52"/>
    </row>
    <row r="114" spans="3:49">
      <c r="C114" s="45">
        <f t="shared" si="64"/>
        <v>12</v>
      </c>
      <c r="D114" s="45">
        <f t="shared" si="65"/>
        <v>6</v>
      </c>
      <c r="E114" s="45">
        <f ca="1" t="shared" si="62"/>
        <v>2000</v>
      </c>
      <c r="F114" s="45">
        <f ca="1" t="shared" si="63"/>
        <v>0</v>
      </c>
      <c r="T114" s="45" t="s">
        <v>656</v>
      </c>
      <c r="U114" s="45" t="s">
        <v>642</v>
      </c>
      <c r="V114" s="52" t="s">
        <v>58</v>
      </c>
      <c r="W114" s="52" t="s">
        <v>59</v>
      </c>
      <c r="X114" s="52" t="s">
        <v>31</v>
      </c>
      <c r="Y114" s="52" t="s">
        <v>32</v>
      </c>
      <c r="Z114" s="52" t="s">
        <v>33</v>
      </c>
      <c r="AA114" s="52" t="s">
        <v>34</v>
      </c>
      <c r="AB114" s="52" t="s">
        <v>35</v>
      </c>
      <c r="AC114" s="52" t="s">
        <v>36</v>
      </c>
      <c r="AH114" s="52"/>
      <c r="AI114" s="52"/>
    </row>
    <row r="115" spans="3:49">
      <c r="C115" s="45">
        <f t="shared" si="64"/>
        <v>12</v>
      </c>
      <c r="D115" s="45">
        <f t="shared" si="65"/>
        <v>7</v>
      </c>
      <c r="E115" s="45">
        <f ca="1" t="shared" si="62"/>
        <v>836</v>
      </c>
      <c r="F115" s="45">
        <f ca="1" t="shared" si="63"/>
        <v>2600</v>
      </c>
      <c r="U115" s="46" t="s">
        <v>650</v>
      </c>
      <c r="V115" s="62" t="e">
        <f>#REF!*$V94+#REF!*$W94</f>
        <v>#REF!</v>
      </c>
      <c r="W115" s="62" t="e">
        <f>#REF!*$V94+#REF!*$W94</f>
        <v>#REF!</v>
      </c>
      <c r="X115" s="62" t="e">
        <f>#REF!*$V94+#REF!*$W94</f>
        <v>#REF!</v>
      </c>
      <c r="Y115" s="62" t="e">
        <f>#REF!*$V94+#REF!*$W94</f>
        <v>#REF!</v>
      </c>
      <c r="Z115" s="62" t="e">
        <f>#REF!*$V94+#REF!*$W94</f>
        <v>#REF!</v>
      </c>
      <c r="AA115" s="62" t="e">
        <f>#REF!*$V94+#REF!*$W94</f>
        <v>#REF!</v>
      </c>
      <c r="AB115" s="52" t="e">
        <f>#REF!*$V108+#REF!*$W108</f>
        <v>#REF!</v>
      </c>
      <c r="AC115" s="52" t="e">
        <f>#REF!*$V108+#REF!*$W108</f>
        <v>#REF!</v>
      </c>
      <c r="AH115" s="52"/>
      <c r="AI115" s="52"/>
    </row>
    <row r="116" spans="3:49">
      <c r="C116" s="45">
        <f t="shared" si="64"/>
        <v>12</v>
      </c>
      <c r="D116" s="45">
        <f t="shared" si="65"/>
        <v>8</v>
      </c>
      <c r="E116" s="45">
        <f ca="1" t="shared" si="62"/>
        <v>146</v>
      </c>
      <c r="F116" s="45">
        <f ca="1" t="shared" si="63"/>
        <v>2400</v>
      </c>
      <c r="U116" s="46" t="s">
        <v>651</v>
      </c>
      <c r="V116" s="62" t="e">
        <f>#REF!*$V95+#REF!*$W95</f>
        <v>#REF!</v>
      </c>
      <c r="W116" s="62" t="e">
        <f>#REF!*$V95+#REF!*$W95</f>
        <v>#REF!</v>
      </c>
      <c r="X116" s="62" t="e">
        <f>#REF!*$V95+#REF!*$W95</f>
        <v>#REF!</v>
      </c>
      <c r="Y116" s="62" t="e">
        <f>#REF!*$V95+#REF!*$W95</f>
        <v>#REF!</v>
      </c>
      <c r="Z116" s="62" t="e">
        <f>#REF!*$V95+#REF!*$W95</f>
        <v>#REF!</v>
      </c>
      <c r="AA116" s="62" t="e">
        <f>#REF!*$V95+#REF!*$W95</f>
        <v>#REF!</v>
      </c>
      <c r="AB116" s="52" t="e">
        <f>#REF!*$V109+#REF!*$W109</f>
        <v>#REF!</v>
      </c>
      <c r="AC116" s="52" t="e">
        <f>#REF!*$V109+#REF!*$W109</f>
        <v>#REF!</v>
      </c>
      <c r="AH116" s="52"/>
      <c r="AI116" s="52"/>
    </row>
    <row r="117" spans="3:49">
      <c r="C117" s="45">
        <f t="shared" si="64"/>
        <v>13</v>
      </c>
      <c r="D117" s="45">
        <f t="shared" si="65"/>
        <v>1</v>
      </c>
      <c r="E117" s="45">
        <f ca="1" t="shared" si="62"/>
        <v>0</v>
      </c>
      <c r="F117" s="45">
        <f ca="1" t="shared" si="63"/>
        <v>0</v>
      </c>
      <c r="U117" s="46" t="s">
        <v>652</v>
      </c>
      <c r="V117" s="62" t="e">
        <f>#REF!*$V96+#REF!*$W96</f>
        <v>#REF!</v>
      </c>
      <c r="W117" s="62" t="e">
        <f>#REF!*$V96+#REF!*$W96</f>
        <v>#REF!</v>
      </c>
      <c r="X117" s="62" t="e">
        <f>#REF!*$V96+#REF!*$W96</f>
        <v>#REF!</v>
      </c>
      <c r="Y117" s="62" t="e">
        <f>#REF!*$V96+#REF!*$W96</f>
        <v>#REF!</v>
      </c>
      <c r="Z117" s="62" t="e">
        <f>#REF!*$V96+#REF!*$W96</f>
        <v>#REF!</v>
      </c>
      <c r="AA117" s="62" t="e">
        <f>#REF!*$V96+#REF!*$W96</f>
        <v>#REF!</v>
      </c>
      <c r="AB117" s="52" t="e">
        <f>#REF!*$V110+#REF!*$W110</f>
        <v>#REF!</v>
      </c>
      <c r="AC117" s="52" t="e">
        <f>#REF!*$V110+#REF!*$W110</f>
        <v>#REF!</v>
      </c>
      <c r="AH117" s="52"/>
      <c r="AI117" s="52"/>
    </row>
    <row r="118" spans="3:49">
      <c r="C118" s="45">
        <f t="shared" si="64"/>
        <v>13</v>
      </c>
      <c r="D118" s="45">
        <f t="shared" si="65"/>
        <v>2</v>
      </c>
      <c r="E118" s="45">
        <f ca="1" t="shared" si="62"/>
        <v>0</v>
      </c>
      <c r="F118" s="45">
        <f ca="1" t="shared" si="63"/>
        <v>0</v>
      </c>
      <c r="U118" s="46" t="s">
        <v>653</v>
      </c>
      <c r="V118" s="62" t="e">
        <f>#REF!*$V97+#REF!*$W97</f>
        <v>#REF!</v>
      </c>
      <c r="W118" s="62" t="e">
        <f>#REF!*$V97+#REF!*$W97</f>
        <v>#REF!</v>
      </c>
      <c r="X118" s="62" t="e">
        <f>#REF!*$V97+#REF!*$W97</f>
        <v>#REF!</v>
      </c>
      <c r="Y118" s="62" t="e">
        <f>#REF!*$V97+#REF!*$W97</f>
        <v>#REF!</v>
      </c>
      <c r="Z118" s="62" t="e">
        <f>#REF!*$V97+#REF!*$W97</f>
        <v>#REF!</v>
      </c>
      <c r="AA118" s="62" t="e">
        <f>#REF!*$V97+#REF!*$W97</f>
        <v>#REF!</v>
      </c>
      <c r="AB118" s="52" t="e">
        <f>#REF!*$V111+#REF!*$W111</f>
        <v>#REF!</v>
      </c>
      <c r="AC118" s="52" t="e">
        <f>#REF!*$V111+#REF!*$W111</f>
        <v>#REF!</v>
      </c>
      <c r="AH118" s="52"/>
      <c r="AI118" s="52"/>
    </row>
    <row r="119" spans="3:49">
      <c r="C119" s="45">
        <f t="shared" ref="C119:C140" si="69">IF(D118=8,C118+1,C118)</f>
        <v>13</v>
      </c>
      <c r="D119" s="45">
        <f t="shared" si="65"/>
        <v>3</v>
      </c>
      <c r="E119" s="45">
        <f ca="1" t="shared" si="62"/>
        <v>0</v>
      </c>
      <c r="F119" s="45">
        <f ca="1" t="shared" si="63"/>
        <v>0</v>
      </c>
      <c r="U119" s="46" t="s">
        <v>654</v>
      </c>
      <c r="V119" s="62" t="e">
        <f>#REF!*$V98+#REF!*$W98</f>
        <v>#REF!</v>
      </c>
      <c r="W119" s="62" t="e">
        <f>#REF!*$V98+#REF!*$W98</f>
        <v>#REF!</v>
      </c>
      <c r="X119" s="62" t="e">
        <f>#REF!*$V98+#REF!*$W98</f>
        <v>#REF!</v>
      </c>
      <c r="Y119" s="62" t="e">
        <f>#REF!*$V98+#REF!*$W98</f>
        <v>#REF!</v>
      </c>
      <c r="Z119" s="62" t="e">
        <f>#REF!*$V98+#REF!*$W98</f>
        <v>#REF!</v>
      </c>
      <c r="AA119" s="62" t="e">
        <f>#REF!*$V98+#REF!*$W98</f>
        <v>#REF!</v>
      </c>
      <c r="AB119" s="52" t="e">
        <f>#REF!*$V112+#REF!*$W112</f>
        <v>#REF!</v>
      </c>
      <c r="AC119" s="52" t="e">
        <f>#REF!*$V112+#REF!*$W112</f>
        <v>#REF!</v>
      </c>
      <c r="AH119" s="52"/>
      <c r="AI119" s="52"/>
    </row>
    <row r="120" spans="3:49">
      <c r="C120" s="45">
        <f t="shared" si="69"/>
        <v>13</v>
      </c>
      <c r="D120" s="45">
        <f t="shared" si="65"/>
        <v>4</v>
      </c>
      <c r="E120" s="45">
        <f ca="1" t="shared" si="62"/>
        <v>3010</v>
      </c>
      <c r="F120" s="45">
        <f ca="1" t="shared" si="63"/>
        <v>0</v>
      </c>
      <c r="AH120" s="52"/>
      <c r="AI120" s="52"/>
      <c r="AO120" s="58"/>
      <c r="AP120" s="58"/>
      <c r="AQ120" s="58"/>
      <c r="AR120" s="58"/>
      <c r="AS120" s="58"/>
      <c r="AT120" s="58"/>
      <c r="AU120" s="58"/>
      <c r="AV120" s="58"/>
      <c r="AW120" s="58"/>
    </row>
    <row r="121" spans="3:49">
      <c r="C121" s="45">
        <f t="shared" si="69"/>
        <v>13</v>
      </c>
      <c r="D121" s="45">
        <f t="shared" si="65"/>
        <v>5</v>
      </c>
      <c r="E121" s="45">
        <f ca="1" t="shared" si="62"/>
        <v>3767</v>
      </c>
      <c r="F121" s="45">
        <f ca="1" t="shared" si="63"/>
        <v>0</v>
      </c>
      <c r="T121" s="45" t="s">
        <v>657</v>
      </c>
      <c r="U121" s="45" t="s">
        <v>642</v>
      </c>
      <c r="V121" s="52" t="s">
        <v>58</v>
      </c>
      <c r="W121" s="52" t="s">
        <v>59</v>
      </c>
      <c r="X121" s="52" t="s">
        <v>31</v>
      </c>
      <c r="Y121" s="52" t="s">
        <v>32</v>
      </c>
      <c r="Z121" s="52" t="s">
        <v>33</v>
      </c>
      <c r="AA121" s="52" t="s">
        <v>34</v>
      </c>
      <c r="AB121" s="52" t="s">
        <v>35</v>
      </c>
      <c r="AC121" s="52" t="s">
        <v>36</v>
      </c>
      <c r="AH121" s="52"/>
      <c r="AI121" s="52"/>
      <c r="AJ121" s="52"/>
      <c r="AK121" s="52"/>
      <c r="AL121" s="52"/>
      <c r="AO121" s="63"/>
      <c r="AP121" s="58"/>
      <c r="AQ121" s="58"/>
      <c r="AR121" s="58"/>
      <c r="AS121" s="58"/>
      <c r="AT121" s="58"/>
      <c r="AU121" s="58"/>
      <c r="AV121" s="58"/>
      <c r="AW121" s="58"/>
    </row>
    <row r="122" spans="3:49">
      <c r="C122" s="45">
        <f t="shared" si="69"/>
        <v>13</v>
      </c>
      <c r="D122" s="45">
        <f t="shared" si="65"/>
        <v>6</v>
      </c>
      <c r="E122" s="45">
        <f ca="1" t="shared" si="62"/>
        <v>2122</v>
      </c>
      <c r="F122" s="45">
        <f ca="1" t="shared" si="63"/>
        <v>0</v>
      </c>
      <c r="U122" s="46" t="s">
        <v>650</v>
      </c>
      <c r="V122" s="62" t="e">
        <f>#REF!*$V108+#REF!*$W108</f>
        <v>#REF!</v>
      </c>
      <c r="W122" s="62" t="e">
        <f>#REF!*$V108+#REF!*$W108</f>
        <v>#REF!</v>
      </c>
      <c r="X122" s="62" t="e">
        <f>#REF!*$V108+#REF!*$W108</f>
        <v>#REF!</v>
      </c>
      <c r="Y122" s="62" t="e">
        <f>#REF!*$V108+#REF!*$W108</f>
        <v>#REF!</v>
      </c>
      <c r="Z122" s="62" t="e">
        <f>#REF!*$V108+#REF!*$W108</f>
        <v>#REF!</v>
      </c>
      <c r="AA122" s="62" t="e">
        <f>#REF!*$V108+#REF!*$W108</f>
        <v>#REF!</v>
      </c>
      <c r="AB122" s="52" t="e">
        <f>#REF!*$V115+#REF!*$W115</f>
        <v>#REF!</v>
      </c>
      <c r="AC122" s="52" t="e">
        <f>#REF!*$V115+#REF!*$W115</f>
        <v>#REF!</v>
      </c>
      <c r="AH122" s="52"/>
      <c r="AI122" s="52"/>
      <c r="AJ122" s="52"/>
      <c r="AK122" s="52"/>
      <c r="AL122" s="52"/>
      <c r="AO122" s="63"/>
      <c r="AP122" s="58"/>
      <c r="AQ122" s="58"/>
      <c r="AR122" s="58"/>
      <c r="AS122" s="58"/>
      <c r="AT122" s="58"/>
      <c r="AU122" s="58"/>
      <c r="AV122" s="58"/>
      <c r="AW122" s="58"/>
    </row>
    <row r="123" spans="3:49">
      <c r="C123" s="45">
        <f t="shared" si="69"/>
        <v>13</v>
      </c>
      <c r="D123" s="45">
        <f t="shared" si="65"/>
        <v>7</v>
      </c>
      <c r="E123" s="45">
        <f ca="1" t="shared" si="62"/>
        <v>934</v>
      </c>
      <c r="F123" s="45">
        <f ca="1" t="shared" si="63"/>
        <v>2300</v>
      </c>
      <c r="U123" s="46" t="s">
        <v>651</v>
      </c>
      <c r="V123" s="62" t="e">
        <f>#REF!*$V109+#REF!*$W109</f>
        <v>#REF!</v>
      </c>
      <c r="W123" s="62" t="e">
        <f>#REF!*$V109+#REF!*$W109</f>
        <v>#REF!</v>
      </c>
      <c r="X123" s="62" t="e">
        <f>#REF!*$V109+#REF!*$W109</f>
        <v>#REF!</v>
      </c>
      <c r="Y123" s="62" t="e">
        <f>#REF!*$V109+#REF!*$W109</f>
        <v>#REF!</v>
      </c>
      <c r="Z123" s="62" t="e">
        <f>#REF!*$V109+#REF!*$W109</f>
        <v>#REF!</v>
      </c>
      <c r="AA123" s="62" t="e">
        <f>#REF!*$V109+#REF!*$W109</f>
        <v>#REF!</v>
      </c>
      <c r="AB123" s="52" t="e">
        <f>#REF!*$V116+#REF!*$W116</f>
        <v>#REF!</v>
      </c>
      <c r="AC123" s="52" t="e">
        <f>#REF!*$V116+#REF!*$W116</f>
        <v>#REF!</v>
      </c>
      <c r="AH123" s="52"/>
      <c r="AI123" s="52"/>
      <c r="AJ123" s="52"/>
      <c r="AK123" s="52"/>
      <c r="AL123" s="52"/>
      <c r="AO123" s="63"/>
      <c r="AP123" s="58"/>
      <c r="AQ123" s="58"/>
      <c r="AR123" s="58"/>
      <c r="AS123" s="58"/>
      <c r="AT123" s="58"/>
      <c r="AU123" s="58"/>
      <c r="AV123" s="58"/>
      <c r="AW123" s="58"/>
    </row>
    <row r="124" spans="3:49">
      <c r="C124" s="45">
        <f t="shared" si="69"/>
        <v>13</v>
      </c>
      <c r="D124" s="45">
        <f t="shared" si="65"/>
        <v>8</v>
      </c>
      <c r="E124" s="45">
        <f ca="1" t="shared" si="62"/>
        <v>165</v>
      </c>
      <c r="F124" s="45">
        <f ca="1" t="shared" si="63"/>
        <v>2700</v>
      </c>
      <c r="U124" s="46" t="s">
        <v>652</v>
      </c>
      <c r="V124" s="62" t="e">
        <f>#REF!*$V110+#REF!*$W110</f>
        <v>#REF!</v>
      </c>
      <c r="W124" s="62" t="e">
        <f>#REF!*$V110+#REF!*$W110</f>
        <v>#REF!</v>
      </c>
      <c r="X124" s="62" t="e">
        <f>#REF!*$V110+#REF!*$W110</f>
        <v>#REF!</v>
      </c>
      <c r="Y124" s="62" t="e">
        <f>#REF!*$V110+#REF!*$W110</f>
        <v>#REF!</v>
      </c>
      <c r="Z124" s="62" t="e">
        <f>#REF!*$V110+#REF!*$W110</f>
        <v>#REF!</v>
      </c>
      <c r="AA124" s="62" t="e">
        <f>#REF!*$V110+#REF!*$W110</f>
        <v>#REF!</v>
      </c>
      <c r="AB124" s="52" t="e">
        <f>#REF!*$V117+#REF!*$W117</f>
        <v>#REF!</v>
      </c>
      <c r="AC124" s="52" t="e">
        <f>#REF!*$V117+#REF!*$W117</f>
        <v>#REF!</v>
      </c>
      <c r="AH124" s="52"/>
      <c r="AI124" s="52"/>
      <c r="AJ124" s="52"/>
      <c r="AK124" s="52"/>
      <c r="AL124" s="52"/>
      <c r="AO124" s="63"/>
      <c r="AP124" s="58"/>
      <c r="AQ124" s="58"/>
      <c r="AR124" s="58"/>
      <c r="AS124" s="58"/>
      <c r="AT124" s="58"/>
      <c r="AU124" s="58"/>
      <c r="AV124" s="58"/>
      <c r="AW124" s="58"/>
    </row>
    <row r="125" spans="3:49">
      <c r="C125" s="45">
        <f t="shared" si="69"/>
        <v>14</v>
      </c>
      <c r="D125" s="45">
        <f t="shared" si="65"/>
        <v>1</v>
      </c>
      <c r="E125" s="45">
        <f ca="1" t="shared" si="62"/>
        <v>0</v>
      </c>
      <c r="F125" s="45">
        <f ca="1" t="shared" si="63"/>
        <v>0</v>
      </c>
      <c r="U125" s="46" t="s">
        <v>653</v>
      </c>
      <c r="V125" s="62" t="e">
        <f>#REF!*$V111+#REF!*$W111</f>
        <v>#REF!</v>
      </c>
      <c r="W125" s="62" t="e">
        <f>#REF!*$V111+#REF!*$W111</f>
        <v>#REF!</v>
      </c>
      <c r="X125" s="62" t="e">
        <f>#REF!*$V111+#REF!*$W111</f>
        <v>#REF!</v>
      </c>
      <c r="Y125" s="62" t="e">
        <f>#REF!*$V111+#REF!*$W111</f>
        <v>#REF!</v>
      </c>
      <c r="Z125" s="62" t="e">
        <f>#REF!*$V111+#REF!*$W111</f>
        <v>#REF!</v>
      </c>
      <c r="AA125" s="62" t="e">
        <f>#REF!*$V111+#REF!*$W111</f>
        <v>#REF!</v>
      </c>
      <c r="AB125" s="52" t="e">
        <f>#REF!*$V118+#REF!*$W118</f>
        <v>#REF!</v>
      </c>
      <c r="AC125" s="52" t="e">
        <f>#REF!*$V118+#REF!*$W118</f>
        <v>#REF!</v>
      </c>
      <c r="AH125" s="52"/>
      <c r="AI125" s="52"/>
      <c r="AJ125" s="52"/>
      <c r="AK125" s="52"/>
      <c r="AL125" s="52"/>
      <c r="AO125" s="63"/>
      <c r="AP125" s="58"/>
      <c r="AQ125" s="58"/>
      <c r="AR125" s="58"/>
      <c r="AS125" s="58"/>
      <c r="AT125" s="58"/>
      <c r="AU125" s="58"/>
      <c r="AV125" s="58"/>
      <c r="AW125" s="58"/>
    </row>
    <row r="126" spans="3:49">
      <c r="C126" s="45">
        <f t="shared" si="69"/>
        <v>14</v>
      </c>
      <c r="D126" s="45">
        <f t="shared" si="65"/>
        <v>2</v>
      </c>
      <c r="E126" s="45">
        <f ca="1" t="shared" si="62"/>
        <v>0</v>
      </c>
      <c r="F126" s="45">
        <f ca="1" t="shared" si="63"/>
        <v>0</v>
      </c>
      <c r="U126" s="46" t="s">
        <v>654</v>
      </c>
      <c r="V126" s="62" t="e">
        <f>#REF!*$V112+#REF!*$W112</f>
        <v>#REF!</v>
      </c>
      <c r="W126" s="62" t="e">
        <f>#REF!*$V112+#REF!*$W112</f>
        <v>#REF!</v>
      </c>
      <c r="X126" s="62" t="e">
        <f>#REF!*$V112+#REF!*$W112</f>
        <v>#REF!</v>
      </c>
      <c r="Y126" s="62" t="e">
        <f>#REF!*$V112+#REF!*$W112</f>
        <v>#REF!</v>
      </c>
      <c r="Z126" s="62" t="e">
        <f>#REF!*$V112+#REF!*$W112</f>
        <v>#REF!</v>
      </c>
      <c r="AA126" s="62" t="e">
        <f>#REF!*$V112+#REF!*$W112</f>
        <v>#REF!</v>
      </c>
      <c r="AB126" s="52" t="e">
        <f>#REF!*$V119+#REF!*$W119</f>
        <v>#REF!</v>
      </c>
      <c r="AC126" s="52" t="e">
        <f>#REF!*$V119+#REF!*$W119</f>
        <v>#REF!</v>
      </c>
      <c r="AH126" s="52"/>
      <c r="AI126" s="52"/>
      <c r="AJ126" s="52"/>
      <c r="AK126" s="52"/>
      <c r="AL126" s="52"/>
      <c r="AO126" s="63"/>
      <c r="AP126" s="58"/>
      <c r="AQ126" s="58"/>
      <c r="AR126" s="58"/>
      <c r="AS126" s="58"/>
      <c r="AT126" s="58"/>
      <c r="AU126" s="58"/>
      <c r="AV126" s="58"/>
      <c r="AW126" s="58"/>
    </row>
    <row r="127" spans="3:49">
      <c r="C127" s="45">
        <f t="shared" si="69"/>
        <v>14</v>
      </c>
      <c r="D127" s="45">
        <f t="shared" si="65"/>
        <v>3</v>
      </c>
      <c r="E127" s="45">
        <f ca="1" t="shared" si="62"/>
        <v>0</v>
      </c>
      <c r="F127" s="45">
        <f ca="1" t="shared" si="63"/>
        <v>0</v>
      </c>
      <c r="AH127" s="52"/>
      <c r="AI127" s="52"/>
      <c r="AJ127" s="52"/>
      <c r="AK127" s="52"/>
      <c r="AL127" s="52"/>
      <c r="AO127" s="63"/>
      <c r="AP127" s="58"/>
      <c r="AQ127" s="58"/>
      <c r="AR127" s="58"/>
      <c r="AS127" s="58"/>
      <c r="AT127" s="58"/>
      <c r="AU127" s="58"/>
      <c r="AV127" s="58"/>
      <c r="AW127" s="58"/>
    </row>
    <row r="128" spans="3:49">
      <c r="C128" s="45">
        <f t="shared" si="69"/>
        <v>14</v>
      </c>
      <c r="D128" s="45">
        <f t="shared" si="65"/>
        <v>4</v>
      </c>
      <c r="E128" s="45">
        <f ca="1" t="shared" si="62"/>
        <v>2500</v>
      </c>
      <c r="F128" s="45">
        <f ca="1" t="shared" si="63"/>
        <v>0</v>
      </c>
      <c r="AH128" s="52"/>
      <c r="AI128" s="52"/>
      <c r="AJ128" s="52"/>
      <c r="AK128" s="52"/>
      <c r="AL128" s="52"/>
      <c r="AO128" s="63"/>
      <c r="AP128" s="58"/>
      <c r="AQ128" s="58"/>
      <c r="AR128" s="58"/>
      <c r="AS128" s="58"/>
      <c r="AT128" s="58"/>
      <c r="AU128" s="58"/>
      <c r="AV128" s="58"/>
      <c r="AW128" s="58"/>
    </row>
    <row r="129" spans="3:49">
      <c r="C129" s="45">
        <f t="shared" si="69"/>
        <v>14</v>
      </c>
      <c r="D129" s="45">
        <f t="shared" si="65"/>
        <v>5</v>
      </c>
      <c r="E129" s="45">
        <f ca="1" t="shared" si="62"/>
        <v>4038</v>
      </c>
      <c r="F129" s="45">
        <f ca="1" t="shared" si="63"/>
        <v>0</v>
      </c>
      <c r="AH129" s="52"/>
      <c r="AI129" s="52"/>
      <c r="AJ129" s="52"/>
      <c r="AK129" s="52"/>
      <c r="AL129" s="52"/>
      <c r="AO129" s="63"/>
      <c r="AP129" s="58"/>
      <c r="AQ129" s="58"/>
      <c r="AR129" s="58"/>
      <c r="AS129" s="58"/>
      <c r="AT129" s="58"/>
      <c r="AU129" s="58"/>
      <c r="AV129" s="58"/>
      <c r="AW129" s="58"/>
    </row>
    <row r="130" spans="3:49">
      <c r="C130" s="45">
        <f t="shared" si="69"/>
        <v>14</v>
      </c>
      <c r="D130" s="45">
        <f t="shared" si="65"/>
        <v>6</v>
      </c>
      <c r="E130" s="45">
        <f ca="1" t="shared" si="62"/>
        <v>2244</v>
      </c>
      <c r="F130" s="45">
        <f ca="1" t="shared" si="63"/>
        <v>0</v>
      </c>
      <c r="AH130" s="52"/>
      <c r="AI130" s="52"/>
      <c r="AJ130" s="52"/>
      <c r="AK130" s="52"/>
      <c r="AL130" s="52"/>
      <c r="AO130" s="63"/>
      <c r="AP130" s="58"/>
      <c r="AQ130" s="58"/>
      <c r="AR130" s="58"/>
      <c r="AS130" s="58"/>
      <c r="AT130" s="58"/>
      <c r="AU130" s="58"/>
      <c r="AV130" s="58"/>
      <c r="AW130" s="58"/>
    </row>
    <row r="131" spans="3:49">
      <c r="C131" s="45">
        <f t="shared" si="69"/>
        <v>14</v>
      </c>
      <c r="D131" s="45">
        <f t="shared" si="65"/>
        <v>7</v>
      </c>
      <c r="E131" s="45">
        <f ca="1" t="shared" si="62"/>
        <v>1032</v>
      </c>
      <c r="F131" s="45">
        <f ca="1" t="shared" si="63"/>
        <v>2000</v>
      </c>
      <c r="AH131" s="52"/>
      <c r="AI131" s="52"/>
      <c r="AJ131" s="52"/>
      <c r="AK131" s="52"/>
      <c r="AL131" s="52"/>
      <c r="AO131" s="63"/>
      <c r="AP131" s="58"/>
      <c r="AQ131" s="58"/>
      <c r="AR131" s="58"/>
      <c r="AS131" s="58"/>
      <c r="AT131" s="58"/>
      <c r="AU131" s="58"/>
      <c r="AV131" s="58"/>
      <c r="AW131" s="58"/>
    </row>
    <row r="132" spans="3:49">
      <c r="C132" s="45">
        <f t="shared" si="69"/>
        <v>14</v>
      </c>
      <c r="D132" s="45">
        <f t="shared" si="65"/>
        <v>8</v>
      </c>
      <c r="E132" s="45">
        <f ca="1" t="shared" si="62"/>
        <v>183</v>
      </c>
      <c r="F132" s="45">
        <f ca="1" t="shared" si="63"/>
        <v>3000</v>
      </c>
      <c r="AH132" s="52"/>
      <c r="AI132" s="52"/>
      <c r="AJ132" s="52"/>
      <c r="AK132" s="52"/>
      <c r="AL132" s="52"/>
      <c r="AO132" s="63"/>
      <c r="AP132" s="58"/>
      <c r="AQ132" s="58"/>
      <c r="AR132" s="58"/>
      <c r="AS132" s="58"/>
      <c r="AT132" s="58"/>
      <c r="AU132" s="58"/>
      <c r="AV132" s="58"/>
      <c r="AW132" s="58"/>
    </row>
    <row r="133" spans="3:49">
      <c r="C133" s="45">
        <f t="shared" si="69"/>
        <v>15</v>
      </c>
      <c r="D133" s="45">
        <f t="shared" si="65"/>
        <v>1</v>
      </c>
      <c r="E133" s="45">
        <f ca="1" t="shared" si="62"/>
        <v>0</v>
      </c>
      <c r="F133" s="45">
        <f ca="1" t="shared" si="63"/>
        <v>0</v>
      </c>
      <c r="AH133" s="52"/>
      <c r="AI133" s="52"/>
      <c r="AJ133" s="52"/>
      <c r="AK133" s="52"/>
      <c r="AL133" s="52"/>
      <c r="AO133" s="63"/>
      <c r="AP133" s="58"/>
      <c r="AQ133" s="58"/>
      <c r="AR133" s="58"/>
      <c r="AS133" s="58"/>
      <c r="AT133" s="58"/>
      <c r="AU133" s="58"/>
      <c r="AV133" s="58"/>
      <c r="AW133" s="58"/>
    </row>
    <row r="134" spans="3:49">
      <c r="C134" s="45">
        <f t="shared" si="69"/>
        <v>15</v>
      </c>
      <c r="D134" s="45">
        <f t="shared" si="65"/>
        <v>2</v>
      </c>
      <c r="E134" s="45">
        <f ca="1" t="shared" si="62"/>
        <v>0</v>
      </c>
      <c r="F134" s="45">
        <f ca="1" t="shared" si="63"/>
        <v>0</v>
      </c>
      <c r="AH134" s="52"/>
      <c r="AI134" s="52"/>
      <c r="AJ134" s="52"/>
      <c r="AK134" s="52"/>
      <c r="AL134" s="52"/>
      <c r="AO134" s="63"/>
      <c r="AP134" s="58"/>
      <c r="AQ134" s="58"/>
      <c r="AR134" s="58"/>
      <c r="AS134" s="58"/>
      <c r="AT134" s="58"/>
      <c r="AU134" s="58"/>
      <c r="AV134" s="58"/>
      <c r="AW134" s="58"/>
    </row>
    <row r="135" spans="3:49">
      <c r="C135" s="45">
        <f t="shared" si="69"/>
        <v>15</v>
      </c>
      <c r="D135" s="45">
        <f t="shared" si="65"/>
        <v>3</v>
      </c>
      <c r="E135" s="45">
        <f ca="1" t="shared" si="62"/>
        <v>0</v>
      </c>
      <c r="F135" s="45">
        <f ca="1" t="shared" si="63"/>
        <v>0</v>
      </c>
      <c r="AH135" s="52"/>
      <c r="AI135" s="52"/>
      <c r="AJ135" s="52"/>
      <c r="AK135" s="52"/>
      <c r="AL135" s="52"/>
      <c r="AO135" s="63"/>
      <c r="AP135" s="58"/>
      <c r="AQ135" s="58"/>
      <c r="AR135" s="58"/>
      <c r="AS135" s="58"/>
      <c r="AT135" s="58"/>
      <c r="AU135" s="58"/>
      <c r="AV135" s="58"/>
      <c r="AW135" s="58"/>
    </row>
    <row r="136" spans="3:49">
      <c r="C136" s="45">
        <f t="shared" si="69"/>
        <v>15</v>
      </c>
      <c r="D136" s="45">
        <f t="shared" si="65"/>
        <v>4</v>
      </c>
      <c r="E136" s="45">
        <f ca="1" t="shared" si="62"/>
        <v>2040</v>
      </c>
      <c r="F136" s="45">
        <f ca="1" t="shared" si="63"/>
        <v>0</v>
      </c>
      <c r="AH136" s="52"/>
      <c r="AI136" s="52"/>
      <c r="AJ136" s="52"/>
      <c r="AK136" s="52"/>
      <c r="AL136" s="52"/>
      <c r="AM136" s="52"/>
    </row>
    <row r="137" spans="3:49">
      <c r="C137" s="45">
        <f t="shared" si="69"/>
        <v>15</v>
      </c>
      <c r="D137" s="45">
        <f t="shared" si="65"/>
        <v>5</v>
      </c>
      <c r="E137" s="45">
        <f ca="1" t="shared" si="62"/>
        <v>4302</v>
      </c>
      <c r="F137" s="45">
        <f ca="1" t="shared" si="63"/>
        <v>0</v>
      </c>
      <c r="AH137" s="52"/>
      <c r="AI137" s="52"/>
      <c r="AJ137" s="52"/>
      <c r="AK137" s="52"/>
      <c r="AL137" s="52"/>
      <c r="AM137" s="52"/>
      <c r="AP137" s="58"/>
      <c r="AQ137" s="58"/>
      <c r="AR137" s="58"/>
      <c r="AS137" s="58"/>
      <c r="AT137" s="58"/>
      <c r="AU137" s="58"/>
      <c r="AV137" s="58"/>
      <c r="AW137" s="58"/>
    </row>
    <row r="138" spans="3:49">
      <c r="C138" s="45">
        <f t="shared" si="69"/>
        <v>15</v>
      </c>
      <c r="D138" s="45">
        <f t="shared" si="65"/>
        <v>6</v>
      </c>
      <c r="E138" s="45">
        <f ca="1" t="shared" si="62"/>
        <v>2367</v>
      </c>
      <c r="F138" s="45">
        <f ca="1" t="shared" si="63"/>
        <v>0</v>
      </c>
      <c r="AH138" s="52"/>
      <c r="AI138" s="52"/>
      <c r="AJ138" s="52"/>
      <c r="AK138" s="52"/>
      <c r="AL138" s="52"/>
      <c r="AM138" s="52"/>
      <c r="AP138" s="58"/>
      <c r="AQ138" s="58"/>
      <c r="AR138" s="58"/>
      <c r="AS138" s="58"/>
      <c r="AT138" s="58"/>
      <c r="AU138" s="58"/>
      <c r="AV138" s="58"/>
      <c r="AW138" s="58"/>
    </row>
    <row r="139" spans="3:49">
      <c r="C139" s="45">
        <f t="shared" si="69"/>
        <v>15</v>
      </c>
      <c r="D139" s="45">
        <f t="shared" si="65"/>
        <v>7</v>
      </c>
      <c r="E139" s="45">
        <f ca="1" t="shared" si="62"/>
        <v>1075</v>
      </c>
      <c r="F139" s="45">
        <f ca="1" t="shared" si="63"/>
        <v>2000</v>
      </c>
      <c r="AH139" s="52"/>
      <c r="AI139" s="52"/>
      <c r="AJ139" s="52"/>
      <c r="AK139" s="52"/>
      <c r="AL139" s="52"/>
      <c r="AM139" s="52"/>
      <c r="AP139" s="58"/>
      <c r="AQ139" s="58"/>
      <c r="AR139" s="58"/>
      <c r="AS139" s="58"/>
      <c r="AT139" s="58"/>
      <c r="AU139" s="58"/>
      <c r="AV139" s="58"/>
      <c r="AW139" s="58"/>
    </row>
    <row r="140" spans="3:49">
      <c r="C140" s="45">
        <f t="shared" si="69"/>
        <v>15</v>
      </c>
      <c r="D140" s="45">
        <f t="shared" si="65"/>
        <v>8</v>
      </c>
      <c r="E140" s="45">
        <f ca="1" t="shared" si="62"/>
        <v>214</v>
      </c>
      <c r="F140" s="45">
        <f ca="1" t="shared" si="63"/>
        <v>3000</v>
      </c>
      <c r="AH140" s="52"/>
      <c r="AI140" s="52"/>
      <c r="AJ140" s="52"/>
      <c r="AK140" s="52"/>
      <c r="AL140" s="52"/>
      <c r="AM140" s="52"/>
      <c r="AP140" s="58"/>
      <c r="AQ140" s="58"/>
      <c r="AR140" s="58"/>
      <c r="AS140" s="58"/>
      <c r="AT140" s="58"/>
      <c r="AU140" s="58"/>
      <c r="AV140" s="58"/>
      <c r="AW140" s="58"/>
    </row>
    <row r="141" spans="3:49">
      <c r="E141" s="45">
        <f ca="1" t="shared" si="62"/>
        <v>0</v>
      </c>
      <c r="F141" s="45">
        <f ca="1" t="shared" si="63"/>
        <v>0</v>
      </c>
      <c r="I141" s="45">
        <f>G21</f>
        <v>0</v>
      </c>
      <c r="AH141" s="52"/>
      <c r="AI141" s="52"/>
      <c r="AJ141" s="52"/>
      <c r="AK141" s="52"/>
      <c r="AL141" s="52"/>
      <c r="AM141" s="52"/>
      <c r="AP141" s="58"/>
      <c r="AQ141" s="58"/>
      <c r="AR141" s="58"/>
      <c r="AS141" s="58"/>
      <c r="AT141" s="58"/>
      <c r="AU141" s="58"/>
      <c r="AV141" s="58"/>
      <c r="AW141" s="58"/>
    </row>
    <row r="142" spans="3:49">
      <c r="E142" s="45">
        <f ca="1" t="shared" si="62"/>
        <v>0</v>
      </c>
      <c r="F142" s="45">
        <f ca="1" t="shared" si="63"/>
        <v>0</v>
      </c>
      <c r="I142" s="45">
        <f>G22</f>
        <v>0</v>
      </c>
      <c r="AH142" s="52"/>
      <c r="AI142" s="52"/>
      <c r="AJ142" s="52"/>
      <c r="AK142" s="52"/>
      <c r="AL142" s="52"/>
      <c r="AM142" s="52"/>
      <c r="AP142" s="58"/>
      <c r="AQ142" s="58"/>
      <c r="AR142" s="58"/>
      <c r="AS142" s="58"/>
      <c r="AT142" s="58"/>
      <c r="AU142" s="58"/>
      <c r="AV142" s="58"/>
      <c r="AW142" s="58"/>
    </row>
    <row r="143" spans="3:49">
      <c r="E143" s="45">
        <f ca="1" t="shared" si="62"/>
        <v>0</v>
      </c>
      <c r="F143" s="45">
        <f ca="1" t="shared" si="63"/>
        <v>0</v>
      </c>
      <c r="I143" s="45">
        <f t="shared" ref="I143:I173" si="70">G23</f>
        <v>0</v>
      </c>
      <c r="AH143" s="52"/>
      <c r="AI143" s="52"/>
      <c r="AJ143" s="52"/>
      <c r="AK143" s="52"/>
      <c r="AL143" s="52"/>
      <c r="AM143" s="52"/>
      <c r="AP143" s="58"/>
      <c r="AQ143" s="58"/>
      <c r="AR143" s="58"/>
      <c r="AS143" s="58"/>
      <c r="AT143" s="58"/>
      <c r="AU143" s="58"/>
      <c r="AV143" s="58"/>
      <c r="AW143" s="58"/>
    </row>
    <row r="144" spans="3:49">
      <c r="E144" s="45">
        <f ca="1" t="shared" si="62"/>
        <v>0</v>
      </c>
      <c r="F144" s="45">
        <f ca="1" t="shared" si="63"/>
        <v>0</v>
      </c>
      <c r="I144" s="45">
        <f t="shared" si="70"/>
        <v>0</v>
      </c>
      <c r="AH144" s="52"/>
      <c r="AI144" s="52"/>
      <c r="AJ144" s="52"/>
      <c r="AK144" s="52"/>
      <c r="AL144" s="52"/>
      <c r="AM144" s="52"/>
      <c r="AP144" s="58"/>
      <c r="AQ144" s="58"/>
      <c r="AR144" s="58"/>
      <c r="AS144" s="58"/>
      <c r="AT144" s="58"/>
      <c r="AU144" s="58"/>
      <c r="AV144" s="58"/>
      <c r="AW144" s="58"/>
    </row>
    <row r="145" spans="5:49">
      <c r="E145" s="45">
        <f ca="1" t="shared" si="62"/>
        <v>0</v>
      </c>
      <c r="F145" s="45">
        <f ca="1" t="shared" si="63"/>
        <v>0</v>
      </c>
      <c r="I145" s="45">
        <f t="shared" si="70"/>
        <v>0</v>
      </c>
      <c r="AH145" s="52"/>
      <c r="AI145" s="52"/>
      <c r="AJ145" s="52"/>
      <c r="AK145" s="52"/>
      <c r="AL145" s="52"/>
      <c r="AM145" s="52"/>
      <c r="AP145" s="58"/>
      <c r="AQ145" s="58"/>
      <c r="AR145" s="58"/>
      <c r="AS145" s="58"/>
      <c r="AT145" s="58"/>
      <c r="AU145" s="58"/>
      <c r="AV145" s="58"/>
      <c r="AW145" s="58"/>
    </row>
    <row r="146" spans="5:49">
      <c r="E146" s="45">
        <f ca="1" t="shared" si="62"/>
        <v>0</v>
      </c>
      <c r="F146" s="45">
        <f ca="1" t="shared" si="63"/>
        <v>0</v>
      </c>
      <c r="I146" s="45">
        <f t="shared" si="70"/>
        <v>0</v>
      </c>
      <c r="AH146" s="52"/>
      <c r="AI146" s="52"/>
      <c r="AJ146" s="52"/>
      <c r="AK146" s="52"/>
      <c r="AL146" s="52"/>
      <c r="AM146" s="52"/>
      <c r="AP146" s="58"/>
      <c r="AQ146" s="58"/>
      <c r="AR146" s="58"/>
      <c r="AS146" s="58"/>
      <c r="AT146" s="58"/>
      <c r="AU146" s="58"/>
      <c r="AV146" s="58"/>
      <c r="AW146" s="58"/>
    </row>
    <row r="147" spans="5:49">
      <c r="E147" s="45">
        <f ca="1" t="shared" si="62"/>
        <v>0</v>
      </c>
      <c r="F147" s="45">
        <f ca="1" t="shared" si="63"/>
        <v>0</v>
      </c>
      <c r="I147" s="45">
        <f t="shared" si="70"/>
        <v>0</v>
      </c>
      <c r="AH147" s="52"/>
      <c r="AI147" s="52"/>
      <c r="AJ147" s="52"/>
      <c r="AK147" s="52"/>
      <c r="AL147" s="52"/>
      <c r="AM147" s="52"/>
      <c r="AP147" s="58"/>
      <c r="AQ147" s="58"/>
      <c r="AR147" s="58"/>
      <c r="AS147" s="58"/>
      <c r="AT147" s="58"/>
      <c r="AU147" s="58"/>
      <c r="AV147" s="58"/>
      <c r="AW147" s="58"/>
    </row>
    <row r="148" spans="5:49">
      <c r="E148" s="45">
        <f ca="1" t="shared" si="62"/>
        <v>0</v>
      </c>
      <c r="F148" s="45">
        <f ca="1" t="shared" si="63"/>
        <v>0</v>
      </c>
      <c r="I148" s="45">
        <f t="shared" si="70"/>
        <v>0</v>
      </c>
      <c r="AH148" s="52"/>
      <c r="AI148" s="52"/>
      <c r="AJ148" s="52"/>
      <c r="AK148" s="52"/>
      <c r="AL148" s="52"/>
      <c r="AM148" s="52"/>
      <c r="AP148" s="58"/>
      <c r="AQ148" s="58"/>
      <c r="AR148" s="58"/>
      <c r="AS148" s="58"/>
      <c r="AT148" s="58"/>
      <c r="AU148" s="58"/>
      <c r="AV148" s="58"/>
      <c r="AW148" s="58"/>
    </row>
    <row r="149" spans="5:49">
      <c r="E149" s="45">
        <f ca="1" t="shared" si="62"/>
        <v>0</v>
      </c>
      <c r="F149" s="45">
        <f ca="1" t="shared" si="63"/>
        <v>0</v>
      </c>
      <c r="I149" s="45">
        <f t="shared" si="70"/>
        <v>0</v>
      </c>
      <c r="AH149" s="52"/>
      <c r="AI149" s="52"/>
      <c r="AJ149" s="52"/>
      <c r="AK149" s="52"/>
      <c r="AL149" s="52"/>
      <c r="AM149" s="52"/>
      <c r="AP149" s="58"/>
      <c r="AQ149" s="58"/>
      <c r="AR149" s="58"/>
      <c r="AS149" s="58"/>
      <c r="AT149" s="58"/>
      <c r="AU149" s="58"/>
      <c r="AV149" s="58"/>
      <c r="AW149" s="58"/>
    </row>
    <row r="150" spans="5:49">
      <c r="E150" s="45">
        <f ca="1" t="shared" ref="E150:E213" si="71">IFERROR(INT(OFFSET($AE$60,C150,D150)*10000),0)</f>
        <v>0</v>
      </c>
      <c r="F150" s="45">
        <f ca="1" t="shared" ref="F150:F213" si="72">IFERROR(INT(OFFSET($AE$43,C150,D150)*10000),0)</f>
        <v>0</v>
      </c>
      <c r="I150" s="45">
        <f t="shared" si="70"/>
        <v>0</v>
      </c>
      <c r="AH150" s="52"/>
      <c r="AI150" s="52"/>
      <c r="AJ150" s="52"/>
      <c r="AK150" s="52"/>
      <c r="AL150" s="52"/>
      <c r="AM150" s="52"/>
      <c r="AP150" s="58"/>
      <c r="AQ150" s="58"/>
      <c r="AR150" s="58"/>
      <c r="AS150" s="58"/>
      <c r="AT150" s="58"/>
      <c r="AU150" s="58"/>
      <c r="AV150" s="58"/>
      <c r="AW150" s="58"/>
    </row>
    <row r="151" spans="5:49">
      <c r="E151" s="45">
        <f ca="1" t="shared" si="71"/>
        <v>0</v>
      </c>
      <c r="F151" s="45">
        <f ca="1" t="shared" si="72"/>
        <v>0</v>
      </c>
      <c r="I151" s="45">
        <f t="shared" si="70"/>
        <v>0</v>
      </c>
      <c r="AH151" s="52"/>
      <c r="AI151" s="52"/>
      <c r="AJ151" s="52"/>
      <c r="AK151" s="52"/>
      <c r="AL151" s="52"/>
      <c r="AM151" s="52"/>
      <c r="AP151" s="58"/>
      <c r="AQ151" s="58"/>
      <c r="AR151" s="58"/>
      <c r="AS151" s="58"/>
      <c r="AT151" s="58"/>
      <c r="AU151" s="58"/>
      <c r="AV151" s="58"/>
      <c r="AW151" s="58"/>
    </row>
    <row r="152" spans="5:49">
      <c r="E152" s="45">
        <f ca="1" t="shared" si="71"/>
        <v>0</v>
      </c>
      <c r="F152" s="45">
        <f ca="1" t="shared" si="72"/>
        <v>0</v>
      </c>
      <c r="I152" s="45">
        <f t="shared" si="70"/>
        <v>0</v>
      </c>
      <c r="AH152" s="52"/>
      <c r="AI152" s="52"/>
      <c r="AJ152" s="52"/>
      <c r="AK152" s="52"/>
      <c r="AL152" s="52"/>
      <c r="AM152" s="52"/>
    </row>
    <row r="153" spans="5:49">
      <c r="E153" s="45">
        <f ca="1" t="shared" si="71"/>
        <v>0</v>
      </c>
      <c r="F153" s="45">
        <f ca="1" t="shared" si="72"/>
        <v>0</v>
      </c>
      <c r="I153" s="45">
        <f t="shared" si="70"/>
        <v>0</v>
      </c>
    </row>
    <row r="154" spans="5:49">
      <c r="E154" s="45">
        <f ca="1" t="shared" si="71"/>
        <v>0</v>
      </c>
      <c r="F154" s="45">
        <f ca="1" t="shared" si="72"/>
        <v>0</v>
      </c>
      <c r="I154" s="45">
        <f t="shared" si="70"/>
        <v>0</v>
      </c>
    </row>
    <row r="155" spans="5:49">
      <c r="E155" s="45">
        <f ca="1" t="shared" si="71"/>
        <v>0</v>
      </c>
      <c r="F155" s="45">
        <f ca="1" t="shared" si="72"/>
        <v>0</v>
      </c>
      <c r="I155" s="45">
        <f t="shared" si="70"/>
        <v>0</v>
      </c>
    </row>
    <row r="156" spans="5:49">
      <c r="E156" s="45">
        <f ca="1" t="shared" si="71"/>
        <v>0</v>
      </c>
      <c r="F156" s="45">
        <f ca="1" t="shared" si="72"/>
        <v>0</v>
      </c>
      <c r="I156" s="45">
        <f t="shared" si="70"/>
        <v>0</v>
      </c>
    </row>
    <row r="157" spans="5:49">
      <c r="E157" s="45">
        <f ca="1" t="shared" si="71"/>
        <v>0</v>
      </c>
      <c r="F157" s="45">
        <f ca="1" t="shared" si="72"/>
        <v>0</v>
      </c>
      <c r="I157" s="45">
        <f t="shared" si="70"/>
        <v>0</v>
      </c>
    </row>
    <row r="158" spans="5:49">
      <c r="E158" s="45">
        <f ca="1" t="shared" si="71"/>
        <v>0</v>
      </c>
      <c r="F158" s="45">
        <f ca="1" t="shared" si="72"/>
        <v>0</v>
      </c>
      <c r="I158" s="45">
        <f t="shared" si="70"/>
        <v>0</v>
      </c>
    </row>
    <row r="159" spans="5:49">
      <c r="E159" s="45">
        <f ca="1" t="shared" si="71"/>
        <v>0</v>
      </c>
      <c r="F159" s="45">
        <f ca="1" t="shared" si="72"/>
        <v>0</v>
      </c>
      <c r="I159" s="45">
        <f t="shared" si="70"/>
        <v>0</v>
      </c>
    </row>
    <row r="160" spans="5:49">
      <c r="E160" s="45">
        <f ca="1" t="shared" si="71"/>
        <v>0</v>
      </c>
      <c r="F160" s="45">
        <f ca="1" t="shared" si="72"/>
        <v>0</v>
      </c>
      <c r="I160" s="45">
        <f t="shared" si="70"/>
        <v>0</v>
      </c>
    </row>
    <row r="161" spans="5:9">
      <c r="E161" s="45">
        <f ca="1" t="shared" si="71"/>
        <v>0</v>
      </c>
      <c r="F161" s="45">
        <f ca="1" t="shared" si="72"/>
        <v>0</v>
      </c>
      <c r="I161" s="45">
        <f t="shared" si="70"/>
        <v>0</v>
      </c>
    </row>
    <row r="162" spans="5:9">
      <c r="E162" s="45">
        <f ca="1" t="shared" si="71"/>
        <v>0</v>
      </c>
      <c r="F162" s="45">
        <f ca="1" t="shared" si="72"/>
        <v>0</v>
      </c>
      <c r="I162" s="45">
        <f t="shared" si="70"/>
        <v>0</v>
      </c>
    </row>
    <row r="163" spans="5:9">
      <c r="E163" s="45">
        <f ca="1" t="shared" si="71"/>
        <v>0</v>
      </c>
      <c r="F163" s="45">
        <f ca="1" t="shared" si="72"/>
        <v>0</v>
      </c>
      <c r="I163" s="45">
        <f t="shared" si="70"/>
        <v>0</v>
      </c>
    </row>
    <row r="164" spans="5:9">
      <c r="E164" s="45">
        <f ca="1" t="shared" si="71"/>
        <v>0</v>
      </c>
      <c r="F164" s="45">
        <f ca="1" t="shared" si="72"/>
        <v>0</v>
      </c>
      <c r="I164" s="45">
        <f t="shared" si="70"/>
        <v>0</v>
      </c>
    </row>
    <row r="165" spans="5:9">
      <c r="E165" s="45">
        <f ca="1" t="shared" si="71"/>
        <v>0</v>
      </c>
      <c r="F165" s="45">
        <f ca="1" t="shared" si="72"/>
        <v>0</v>
      </c>
      <c r="I165" s="45">
        <f t="shared" si="70"/>
        <v>0</v>
      </c>
    </row>
    <row r="166" spans="5:9">
      <c r="E166" s="45">
        <f ca="1" t="shared" si="71"/>
        <v>0</v>
      </c>
      <c r="F166" s="45">
        <f ca="1" t="shared" si="72"/>
        <v>0</v>
      </c>
      <c r="I166" s="45">
        <f t="shared" si="70"/>
        <v>0</v>
      </c>
    </row>
    <row r="167" spans="5:9">
      <c r="E167" s="45">
        <f ca="1" t="shared" si="71"/>
        <v>0</v>
      </c>
      <c r="F167" s="45">
        <f ca="1" t="shared" si="72"/>
        <v>0</v>
      </c>
      <c r="I167" s="45">
        <f t="shared" si="70"/>
        <v>0</v>
      </c>
    </row>
    <row r="168" spans="5:9">
      <c r="E168" s="45">
        <f ca="1" t="shared" si="71"/>
        <v>0</v>
      </c>
      <c r="F168" s="45">
        <f ca="1" t="shared" si="72"/>
        <v>0</v>
      </c>
      <c r="I168" s="45">
        <f t="shared" si="70"/>
        <v>0</v>
      </c>
    </row>
    <row r="169" spans="5:9">
      <c r="E169" s="45">
        <f ca="1" t="shared" si="71"/>
        <v>0</v>
      </c>
      <c r="F169" s="45">
        <f ca="1" t="shared" si="72"/>
        <v>0</v>
      </c>
      <c r="I169" s="45">
        <f t="shared" si="70"/>
        <v>0</v>
      </c>
    </row>
    <row r="170" spans="5:9">
      <c r="E170" s="45">
        <f ca="1" t="shared" si="71"/>
        <v>0</v>
      </c>
      <c r="F170" s="45">
        <f ca="1" t="shared" si="72"/>
        <v>0</v>
      </c>
      <c r="I170" s="45">
        <f t="shared" si="70"/>
        <v>0</v>
      </c>
    </row>
    <row r="171" spans="5:9">
      <c r="E171" s="45">
        <f ca="1" t="shared" si="71"/>
        <v>0</v>
      </c>
      <c r="F171" s="45">
        <f ca="1" t="shared" si="72"/>
        <v>0</v>
      </c>
      <c r="I171" s="45">
        <f t="shared" si="70"/>
        <v>0</v>
      </c>
    </row>
    <row r="172" spans="5:9">
      <c r="E172" s="45">
        <f ca="1" t="shared" si="71"/>
        <v>0</v>
      </c>
      <c r="F172" s="45">
        <f ca="1" t="shared" si="72"/>
        <v>0</v>
      </c>
      <c r="I172" s="45">
        <f t="shared" si="70"/>
        <v>0</v>
      </c>
    </row>
    <row r="173" spans="5:9">
      <c r="E173" s="45">
        <f ca="1" t="shared" si="71"/>
        <v>0</v>
      </c>
      <c r="F173" s="45">
        <f ca="1" t="shared" si="72"/>
        <v>0</v>
      </c>
      <c r="I173" s="45">
        <f t="shared" si="70"/>
        <v>0</v>
      </c>
    </row>
    <row r="174" spans="5:9">
      <c r="E174" s="45">
        <f ca="1" t="shared" si="71"/>
        <v>0</v>
      </c>
      <c r="F174" s="45">
        <f ca="1" t="shared" si="72"/>
        <v>0</v>
      </c>
      <c r="I174" s="45">
        <f t="shared" ref="I174:I205" si="73">G54</f>
        <v>0</v>
      </c>
    </row>
    <row r="175" spans="5:9">
      <c r="E175" s="45">
        <f ca="1" t="shared" si="71"/>
        <v>0</v>
      </c>
      <c r="F175" s="45">
        <f ca="1" t="shared" si="72"/>
        <v>0</v>
      </c>
      <c r="I175" s="45">
        <f t="shared" si="73"/>
        <v>0</v>
      </c>
    </row>
    <row r="176" spans="5:9">
      <c r="E176" s="45">
        <f ca="1" t="shared" si="71"/>
        <v>0</v>
      </c>
      <c r="F176" s="45">
        <f ca="1" t="shared" si="72"/>
        <v>0</v>
      </c>
      <c r="I176" s="45">
        <f t="shared" si="73"/>
        <v>0</v>
      </c>
    </row>
    <row r="177" spans="5:9">
      <c r="E177" s="45">
        <f ca="1" t="shared" si="71"/>
        <v>0</v>
      </c>
      <c r="F177" s="45">
        <f ca="1" t="shared" si="72"/>
        <v>0</v>
      </c>
      <c r="I177" s="45">
        <f t="shared" si="73"/>
        <v>0</v>
      </c>
    </row>
    <row r="178" spans="5:9">
      <c r="E178" s="45">
        <f ca="1" t="shared" si="71"/>
        <v>0</v>
      </c>
      <c r="F178" s="45">
        <f ca="1" t="shared" si="72"/>
        <v>0</v>
      </c>
      <c r="I178" s="45">
        <f t="shared" si="73"/>
        <v>0</v>
      </c>
    </row>
    <row r="179" spans="5:9">
      <c r="E179" s="45">
        <f ca="1" t="shared" si="71"/>
        <v>0</v>
      </c>
      <c r="F179" s="45">
        <f ca="1" t="shared" si="72"/>
        <v>0</v>
      </c>
      <c r="I179" s="45">
        <f t="shared" si="73"/>
        <v>0</v>
      </c>
    </row>
    <row r="180" spans="5:9">
      <c r="E180" s="45">
        <f ca="1" t="shared" si="71"/>
        <v>0</v>
      </c>
      <c r="F180" s="45">
        <f ca="1" t="shared" si="72"/>
        <v>0</v>
      </c>
      <c r="I180" s="45">
        <f t="shared" si="73"/>
        <v>0</v>
      </c>
    </row>
    <row r="181" spans="5:9">
      <c r="E181" s="45">
        <f ca="1" t="shared" si="71"/>
        <v>0</v>
      </c>
      <c r="F181" s="45">
        <f ca="1" t="shared" si="72"/>
        <v>0</v>
      </c>
      <c r="I181" s="45">
        <f t="shared" si="73"/>
        <v>0</v>
      </c>
    </row>
    <row r="182" spans="5:9">
      <c r="E182" s="45">
        <f ca="1" t="shared" si="71"/>
        <v>0</v>
      </c>
      <c r="F182" s="45">
        <f ca="1" t="shared" si="72"/>
        <v>0</v>
      </c>
      <c r="I182" s="45">
        <f t="shared" si="73"/>
        <v>0</v>
      </c>
    </row>
    <row r="183" spans="5:9">
      <c r="E183" s="45">
        <f ca="1" t="shared" si="71"/>
        <v>0</v>
      </c>
      <c r="F183" s="45">
        <f ca="1" t="shared" si="72"/>
        <v>0</v>
      </c>
      <c r="I183" s="45">
        <f t="shared" si="73"/>
        <v>0</v>
      </c>
    </row>
    <row r="184" hidden="1" spans="5:9">
      <c r="E184" s="45">
        <f ca="1" t="shared" si="71"/>
        <v>0</v>
      </c>
      <c r="F184" s="45">
        <f ca="1" t="shared" si="72"/>
        <v>0</v>
      </c>
      <c r="I184" s="45">
        <f t="shared" si="73"/>
        <v>0</v>
      </c>
    </row>
    <row r="185" hidden="1" spans="5:9">
      <c r="E185" s="45">
        <f ca="1" t="shared" si="71"/>
        <v>0</v>
      </c>
      <c r="F185" s="45">
        <f ca="1" t="shared" si="72"/>
        <v>0</v>
      </c>
      <c r="I185" s="45">
        <f t="shared" si="73"/>
        <v>0</v>
      </c>
    </row>
    <row r="186" hidden="1" spans="5:9">
      <c r="E186" s="45">
        <f ca="1" t="shared" si="71"/>
        <v>0</v>
      </c>
      <c r="F186" s="45">
        <f ca="1" t="shared" si="72"/>
        <v>0</v>
      </c>
      <c r="I186" s="45">
        <f t="shared" si="73"/>
        <v>0</v>
      </c>
    </row>
    <row r="187" hidden="1" spans="5:9">
      <c r="E187" s="45">
        <f ca="1" t="shared" si="71"/>
        <v>0</v>
      </c>
      <c r="F187" s="45">
        <f ca="1" t="shared" si="72"/>
        <v>0</v>
      </c>
      <c r="I187" s="45">
        <f t="shared" si="73"/>
        <v>0</v>
      </c>
    </row>
    <row r="188" hidden="1" spans="5:9">
      <c r="E188" s="45">
        <f ca="1" t="shared" si="71"/>
        <v>0</v>
      </c>
      <c r="F188" s="45">
        <f ca="1" t="shared" si="72"/>
        <v>0</v>
      </c>
      <c r="I188" s="45">
        <f t="shared" si="73"/>
        <v>0</v>
      </c>
    </row>
    <row r="189" hidden="1" spans="5:9">
      <c r="E189" s="45">
        <f ca="1" t="shared" si="71"/>
        <v>0</v>
      </c>
      <c r="F189" s="45">
        <f ca="1" t="shared" si="72"/>
        <v>0</v>
      </c>
      <c r="I189" s="45">
        <f t="shared" si="73"/>
        <v>0</v>
      </c>
    </row>
    <row r="190" hidden="1" spans="5:9">
      <c r="E190" s="45">
        <f ca="1" t="shared" si="71"/>
        <v>0</v>
      </c>
      <c r="F190" s="45">
        <f ca="1" t="shared" si="72"/>
        <v>0</v>
      </c>
      <c r="I190" s="45">
        <f t="shared" si="73"/>
        <v>0</v>
      </c>
    </row>
    <row r="191" spans="5:9">
      <c r="E191" s="45">
        <f ca="1" t="shared" si="71"/>
        <v>0</v>
      </c>
      <c r="F191" s="45">
        <f ca="1" t="shared" si="72"/>
        <v>0</v>
      </c>
      <c r="I191" s="45">
        <f t="shared" si="73"/>
        <v>0</v>
      </c>
    </row>
    <row r="192" spans="5:9">
      <c r="E192" s="45">
        <f ca="1" t="shared" si="71"/>
        <v>0</v>
      </c>
      <c r="F192" s="45">
        <f ca="1" t="shared" si="72"/>
        <v>0</v>
      </c>
      <c r="I192" s="45">
        <f t="shared" si="73"/>
        <v>0</v>
      </c>
    </row>
    <row r="193" spans="5:9">
      <c r="E193" s="45">
        <f ca="1" t="shared" si="71"/>
        <v>0</v>
      </c>
      <c r="F193" s="45">
        <f ca="1" t="shared" si="72"/>
        <v>0</v>
      </c>
      <c r="I193" s="45">
        <f t="shared" si="73"/>
        <v>0</v>
      </c>
    </row>
    <row r="194" spans="5:9">
      <c r="E194" s="45">
        <f ca="1" t="shared" si="71"/>
        <v>0</v>
      </c>
      <c r="F194" s="45">
        <f ca="1" t="shared" si="72"/>
        <v>0</v>
      </c>
      <c r="I194" s="45">
        <f t="shared" si="73"/>
        <v>0</v>
      </c>
    </row>
    <row r="195" spans="5:9">
      <c r="E195" s="45">
        <f ca="1" t="shared" si="71"/>
        <v>0</v>
      </c>
      <c r="F195" s="45">
        <f ca="1" t="shared" si="72"/>
        <v>0</v>
      </c>
      <c r="I195" s="45">
        <f t="shared" si="73"/>
        <v>0</v>
      </c>
    </row>
    <row r="196" spans="5:9">
      <c r="E196" s="45">
        <f ca="1" t="shared" si="71"/>
        <v>0</v>
      </c>
      <c r="F196" s="45">
        <f ca="1" t="shared" si="72"/>
        <v>0</v>
      </c>
      <c r="I196" s="45">
        <f t="shared" si="73"/>
        <v>0</v>
      </c>
    </row>
    <row r="197" spans="5:9">
      <c r="E197" s="45">
        <f ca="1" t="shared" si="71"/>
        <v>0</v>
      </c>
      <c r="F197" s="45">
        <f ca="1" t="shared" si="72"/>
        <v>0</v>
      </c>
      <c r="I197" s="45">
        <f t="shared" si="73"/>
        <v>0</v>
      </c>
    </row>
    <row r="198" spans="5:9">
      <c r="E198" s="45">
        <f ca="1" t="shared" si="71"/>
        <v>0</v>
      </c>
      <c r="F198" s="45">
        <f ca="1" t="shared" si="72"/>
        <v>0</v>
      </c>
      <c r="I198" s="45">
        <f t="shared" si="73"/>
        <v>0</v>
      </c>
    </row>
    <row r="199" spans="5:9">
      <c r="E199" s="45">
        <f ca="1" t="shared" si="71"/>
        <v>0</v>
      </c>
      <c r="F199" s="45">
        <f ca="1" t="shared" si="72"/>
        <v>0</v>
      </c>
      <c r="I199" s="45">
        <f t="shared" si="73"/>
        <v>0</v>
      </c>
    </row>
    <row r="200" spans="5:9">
      <c r="E200" s="45">
        <f ca="1" t="shared" si="71"/>
        <v>0</v>
      </c>
      <c r="F200" s="45">
        <f ca="1" t="shared" si="72"/>
        <v>0</v>
      </c>
      <c r="I200" s="45">
        <f t="shared" si="73"/>
        <v>0</v>
      </c>
    </row>
    <row r="201" spans="5:9">
      <c r="E201" s="45">
        <f ca="1" t="shared" si="71"/>
        <v>0</v>
      </c>
      <c r="F201" s="45">
        <f ca="1" t="shared" si="72"/>
        <v>0</v>
      </c>
      <c r="I201" s="45">
        <f t="shared" si="73"/>
        <v>0</v>
      </c>
    </row>
    <row r="202" spans="5:9">
      <c r="E202" s="45">
        <f ca="1" t="shared" si="71"/>
        <v>0</v>
      </c>
      <c r="F202" s="45">
        <f ca="1" t="shared" si="72"/>
        <v>0</v>
      </c>
      <c r="I202" s="45">
        <f t="shared" si="73"/>
        <v>0</v>
      </c>
    </row>
    <row r="203" spans="5:9">
      <c r="E203" s="45">
        <f ca="1" t="shared" si="71"/>
        <v>0</v>
      </c>
      <c r="F203" s="45">
        <f ca="1" t="shared" si="72"/>
        <v>0</v>
      </c>
      <c r="I203" s="45">
        <f t="shared" si="73"/>
        <v>0</v>
      </c>
    </row>
    <row r="204" spans="5:9">
      <c r="E204" s="45">
        <f ca="1" t="shared" si="71"/>
        <v>0</v>
      </c>
      <c r="F204" s="45">
        <f ca="1" t="shared" si="72"/>
        <v>0</v>
      </c>
      <c r="I204" s="45">
        <f t="shared" si="73"/>
        <v>0</v>
      </c>
    </row>
    <row r="205" spans="5:9">
      <c r="E205" s="45">
        <f ca="1" t="shared" si="71"/>
        <v>0</v>
      </c>
      <c r="F205" s="45">
        <f ca="1" t="shared" si="72"/>
        <v>0</v>
      </c>
      <c r="I205" s="45">
        <f t="shared" si="73"/>
        <v>0</v>
      </c>
    </row>
    <row r="206" spans="5:9">
      <c r="E206" s="45">
        <f ca="1" t="shared" si="71"/>
        <v>0</v>
      </c>
      <c r="F206" s="45">
        <f ca="1" t="shared" si="72"/>
        <v>0</v>
      </c>
      <c r="I206" s="45">
        <f t="shared" ref="I206:I237" si="74">G86</f>
        <v>0</v>
      </c>
    </row>
    <row r="207" spans="5:9">
      <c r="E207" s="45">
        <f ca="1" t="shared" si="71"/>
        <v>0</v>
      </c>
      <c r="F207" s="45">
        <f ca="1" t="shared" si="72"/>
        <v>0</v>
      </c>
      <c r="I207" s="45">
        <f t="shared" si="74"/>
        <v>0</v>
      </c>
    </row>
    <row r="208" spans="5:9">
      <c r="E208" s="45">
        <f ca="1" t="shared" si="71"/>
        <v>0</v>
      </c>
      <c r="F208" s="45">
        <f ca="1" t="shared" si="72"/>
        <v>0</v>
      </c>
      <c r="I208" s="45">
        <f t="shared" si="74"/>
        <v>0</v>
      </c>
    </row>
    <row r="209" spans="5:24">
      <c r="E209" s="45">
        <f ca="1" t="shared" si="71"/>
        <v>0</v>
      </c>
      <c r="F209" s="45">
        <f ca="1" t="shared" si="72"/>
        <v>0</v>
      </c>
      <c r="I209" s="45">
        <f t="shared" si="74"/>
        <v>0</v>
      </c>
    </row>
    <row r="210" spans="5:24">
      <c r="E210" s="45">
        <f ca="1" t="shared" si="71"/>
        <v>0</v>
      </c>
      <c r="F210" s="45">
        <f ca="1" t="shared" si="72"/>
        <v>0</v>
      </c>
      <c r="I210" s="45">
        <f t="shared" si="74"/>
        <v>0</v>
      </c>
      <c r="U210" s="46"/>
      <c r="V210" s="64"/>
      <c r="X210" s="64"/>
    </row>
    <row r="211" spans="5:24">
      <c r="E211" s="45">
        <f ca="1" t="shared" si="71"/>
        <v>0</v>
      </c>
      <c r="F211" s="45">
        <f ca="1" t="shared" si="72"/>
        <v>0</v>
      </c>
      <c r="I211" s="45">
        <f t="shared" si="74"/>
        <v>0</v>
      </c>
      <c r="U211" s="46"/>
      <c r="V211" s="64"/>
    </row>
    <row r="212" spans="5:24">
      <c r="E212" s="45">
        <f ca="1" t="shared" si="71"/>
        <v>0</v>
      </c>
      <c r="F212" s="45">
        <f ca="1" t="shared" si="72"/>
        <v>0</v>
      </c>
      <c r="I212" s="45">
        <f t="shared" si="74"/>
        <v>0</v>
      </c>
      <c r="U212" s="46"/>
      <c r="V212" s="64"/>
    </row>
    <row r="213" spans="5:24">
      <c r="E213" s="45">
        <f ca="1" t="shared" si="71"/>
        <v>0</v>
      </c>
      <c r="F213" s="45">
        <f ca="1" t="shared" si="72"/>
        <v>0</v>
      </c>
      <c r="I213" s="45">
        <f t="shared" si="74"/>
        <v>0</v>
      </c>
      <c r="U213" s="61"/>
      <c r="V213" s="61"/>
    </row>
    <row r="214" spans="5:24">
      <c r="E214" s="45">
        <f ca="1" t="shared" ref="E214:E277" si="75">IFERROR(INT(OFFSET($AE$60,C214,D214)*10000),0)</f>
        <v>0</v>
      </c>
      <c r="F214" s="45">
        <f ca="1" t="shared" ref="F214:F277" si="76">IFERROR(INT(OFFSET($AE$43,C214,D214)*10000),0)</f>
        <v>0</v>
      </c>
      <c r="I214" s="45">
        <f t="shared" si="74"/>
        <v>0</v>
      </c>
      <c r="U214" s="46"/>
    </row>
    <row r="215" spans="5:24">
      <c r="E215" s="45">
        <f ca="1" t="shared" si="75"/>
        <v>0</v>
      </c>
      <c r="F215" s="45">
        <f ca="1" t="shared" si="76"/>
        <v>0</v>
      </c>
      <c r="I215" s="45">
        <f t="shared" si="74"/>
        <v>0</v>
      </c>
    </row>
    <row r="216" spans="5:24">
      <c r="E216" s="45">
        <f ca="1" t="shared" si="75"/>
        <v>0</v>
      </c>
      <c r="F216" s="45">
        <f ca="1" t="shared" si="76"/>
        <v>0</v>
      </c>
      <c r="I216" s="45">
        <f t="shared" si="74"/>
        <v>0</v>
      </c>
    </row>
    <row r="217" spans="5:24">
      <c r="E217" s="45">
        <f ca="1" t="shared" si="75"/>
        <v>0</v>
      </c>
      <c r="F217" s="45">
        <f ca="1" t="shared" si="76"/>
        <v>0</v>
      </c>
      <c r="I217" s="45">
        <f t="shared" si="74"/>
        <v>0</v>
      </c>
    </row>
    <row r="218" spans="5:24">
      <c r="E218" s="45">
        <f ca="1" t="shared" si="75"/>
        <v>0</v>
      </c>
      <c r="F218" s="45">
        <f ca="1" t="shared" si="76"/>
        <v>0</v>
      </c>
      <c r="I218" s="45">
        <f t="shared" si="74"/>
        <v>0</v>
      </c>
    </row>
    <row r="219" spans="5:24">
      <c r="E219" s="45">
        <f ca="1" t="shared" si="75"/>
        <v>0</v>
      </c>
      <c r="F219" s="45">
        <f ca="1" t="shared" si="76"/>
        <v>0</v>
      </c>
      <c r="I219" s="45">
        <f t="shared" si="74"/>
        <v>0</v>
      </c>
    </row>
    <row r="220" spans="5:24">
      <c r="E220" s="45">
        <f ca="1" t="shared" si="75"/>
        <v>0</v>
      </c>
      <c r="F220" s="45">
        <f ca="1" t="shared" si="76"/>
        <v>0</v>
      </c>
      <c r="I220" s="45">
        <f t="shared" si="74"/>
        <v>0</v>
      </c>
    </row>
    <row r="221" spans="5:24">
      <c r="E221" s="45">
        <f ca="1" t="shared" si="75"/>
        <v>0</v>
      </c>
      <c r="F221" s="45">
        <f ca="1" t="shared" si="76"/>
        <v>0</v>
      </c>
      <c r="I221" s="45">
        <f t="shared" si="74"/>
        <v>0</v>
      </c>
    </row>
    <row r="222" spans="5:24">
      <c r="E222" s="45">
        <f ca="1" t="shared" si="75"/>
        <v>0</v>
      </c>
      <c r="F222" s="45">
        <f ca="1" t="shared" si="76"/>
        <v>0</v>
      </c>
      <c r="I222" s="45">
        <f t="shared" si="74"/>
        <v>0</v>
      </c>
    </row>
    <row r="223" spans="5:24">
      <c r="E223" s="45">
        <f ca="1" t="shared" si="75"/>
        <v>0</v>
      </c>
      <c r="F223" s="45">
        <f ca="1" t="shared" si="76"/>
        <v>0</v>
      </c>
      <c r="I223" s="45">
        <f t="shared" si="74"/>
        <v>0</v>
      </c>
    </row>
    <row r="224" spans="5:24">
      <c r="E224" s="45">
        <f ca="1" t="shared" si="75"/>
        <v>0</v>
      </c>
      <c r="F224" s="45">
        <f ca="1" t="shared" si="76"/>
        <v>0</v>
      </c>
      <c r="I224" s="45">
        <f t="shared" si="74"/>
        <v>0</v>
      </c>
    </row>
    <row r="225" spans="5:9">
      <c r="E225" s="45">
        <f ca="1" t="shared" si="75"/>
        <v>0</v>
      </c>
      <c r="F225" s="45">
        <f ca="1" t="shared" si="76"/>
        <v>0</v>
      </c>
      <c r="I225" s="45">
        <f t="shared" si="74"/>
        <v>0</v>
      </c>
    </row>
    <row r="226" spans="5:9">
      <c r="E226" s="45">
        <f ca="1" t="shared" si="75"/>
        <v>0</v>
      </c>
      <c r="F226" s="45">
        <f ca="1" t="shared" si="76"/>
        <v>0</v>
      </c>
      <c r="I226" s="45">
        <f t="shared" si="74"/>
        <v>0</v>
      </c>
    </row>
    <row r="227" spans="5:9">
      <c r="E227" s="45">
        <f ca="1" t="shared" si="75"/>
        <v>0</v>
      </c>
      <c r="F227" s="45">
        <f ca="1" t="shared" si="76"/>
        <v>0</v>
      </c>
      <c r="I227" s="45">
        <f t="shared" si="74"/>
        <v>0</v>
      </c>
    </row>
    <row r="228" spans="5:9">
      <c r="E228" s="45">
        <f ca="1" t="shared" si="75"/>
        <v>0</v>
      </c>
      <c r="F228" s="45">
        <f ca="1" t="shared" si="76"/>
        <v>0</v>
      </c>
      <c r="I228" s="45">
        <f t="shared" si="74"/>
        <v>0</v>
      </c>
    </row>
    <row r="229" spans="5:9">
      <c r="E229" s="45">
        <f ca="1" t="shared" si="75"/>
        <v>0</v>
      </c>
      <c r="F229" s="45">
        <f ca="1" t="shared" si="76"/>
        <v>0</v>
      </c>
      <c r="I229" s="45">
        <f t="shared" si="74"/>
        <v>0</v>
      </c>
    </row>
    <row r="230" spans="5:9">
      <c r="E230" s="45">
        <f ca="1" t="shared" si="75"/>
        <v>0</v>
      </c>
      <c r="F230" s="45">
        <f ca="1" t="shared" si="76"/>
        <v>0</v>
      </c>
      <c r="I230" s="45">
        <f t="shared" si="74"/>
        <v>0</v>
      </c>
    </row>
    <row r="231" spans="5:9">
      <c r="E231" s="45">
        <f ca="1" t="shared" si="75"/>
        <v>0</v>
      </c>
      <c r="F231" s="45">
        <f ca="1" t="shared" si="76"/>
        <v>0</v>
      </c>
      <c r="I231" s="45">
        <f t="shared" si="74"/>
        <v>0</v>
      </c>
    </row>
    <row r="232" spans="5:9">
      <c r="E232" s="45">
        <f ca="1" t="shared" si="75"/>
        <v>0</v>
      </c>
      <c r="F232" s="45">
        <f ca="1" t="shared" si="76"/>
        <v>0</v>
      </c>
      <c r="I232" s="45">
        <f t="shared" si="74"/>
        <v>0</v>
      </c>
    </row>
    <row r="233" spans="5:9">
      <c r="E233" s="45">
        <f ca="1" t="shared" si="75"/>
        <v>0</v>
      </c>
      <c r="F233" s="45">
        <f ca="1" t="shared" si="76"/>
        <v>0</v>
      </c>
      <c r="I233" s="45">
        <f t="shared" si="74"/>
        <v>0</v>
      </c>
    </row>
    <row r="234" spans="5:9">
      <c r="E234" s="45">
        <f ca="1" t="shared" si="75"/>
        <v>0</v>
      </c>
      <c r="F234" s="45">
        <f ca="1" t="shared" si="76"/>
        <v>0</v>
      </c>
      <c r="I234" s="45">
        <f t="shared" si="74"/>
        <v>0</v>
      </c>
    </row>
    <row r="235" spans="5:9">
      <c r="E235" s="45">
        <f ca="1" t="shared" si="75"/>
        <v>0</v>
      </c>
      <c r="F235" s="45">
        <f ca="1" t="shared" si="76"/>
        <v>0</v>
      </c>
      <c r="I235" s="45">
        <f t="shared" si="74"/>
        <v>0</v>
      </c>
    </row>
    <row r="236" spans="5:9">
      <c r="E236" s="45">
        <f ca="1" t="shared" si="75"/>
        <v>0</v>
      </c>
      <c r="F236" s="45">
        <f ca="1" t="shared" si="76"/>
        <v>0</v>
      </c>
      <c r="I236" s="45">
        <f t="shared" si="74"/>
        <v>0</v>
      </c>
    </row>
    <row r="237" spans="5:9">
      <c r="E237" s="45">
        <f ca="1" t="shared" si="75"/>
        <v>0</v>
      </c>
      <c r="F237" s="45">
        <f ca="1" t="shared" si="76"/>
        <v>0</v>
      </c>
      <c r="I237" s="45">
        <f t="shared" si="74"/>
        <v>0</v>
      </c>
    </row>
    <row r="238" spans="5:9">
      <c r="E238" s="45">
        <f ca="1" t="shared" si="75"/>
        <v>0</v>
      </c>
      <c r="F238" s="45">
        <f ca="1" t="shared" si="76"/>
        <v>0</v>
      </c>
      <c r="I238" s="45">
        <f t="shared" ref="I238:I260" si="77">G118</f>
        <v>0</v>
      </c>
    </row>
    <row r="239" spans="5:9">
      <c r="E239" s="45">
        <f ca="1" t="shared" si="75"/>
        <v>0</v>
      </c>
      <c r="F239" s="45">
        <f ca="1" t="shared" si="76"/>
        <v>0</v>
      </c>
      <c r="I239" s="45">
        <f t="shared" si="77"/>
        <v>0</v>
      </c>
    </row>
    <row r="240" spans="5:9">
      <c r="E240" s="45">
        <f ca="1" t="shared" si="75"/>
        <v>0</v>
      </c>
      <c r="F240" s="45">
        <f ca="1" t="shared" si="76"/>
        <v>0</v>
      </c>
      <c r="I240" s="45">
        <f t="shared" si="77"/>
        <v>0</v>
      </c>
    </row>
    <row r="241" spans="5:9">
      <c r="E241" s="45">
        <f ca="1" t="shared" si="75"/>
        <v>0</v>
      </c>
      <c r="F241" s="45">
        <f ca="1" t="shared" si="76"/>
        <v>0</v>
      </c>
      <c r="I241" s="45">
        <f t="shared" si="77"/>
        <v>0</v>
      </c>
    </row>
    <row r="242" spans="5:9">
      <c r="E242" s="45">
        <f ca="1" t="shared" si="75"/>
        <v>0</v>
      </c>
      <c r="F242" s="45">
        <f ca="1" t="shared" si="76"/>
        <v>0</v>
      </c>
      <c r="I242" s="45">
        <f t="shared" si="77"/>
        <v>0</v>
      </c>
    </row>
    <row r="243" spans="5:9">
      <c r="E243" s="45">
        <f ca="1" t="shared" si="75"/>
        <v>0</v>
      </c>
      <c r="F243" s="45">
        <f ca="1" t="shared" si="76"/>
        <v>0</v>
      </c>
      <c r="I243" s="45">
        <f t="shared" si="77"/>
        <v>0</v>
      </c>
    </row>
    <row r="244" spans="5:9">
      <c r="E244" s="45">
        <f ca="1" t="shared" si="75"/>
        <v>0</v>
      </c>
      <c r="F244" s="45">
        <f ca="1" t="shared" si="76"/>
        <v>0</v>
      </c>
      <c r="I244" s="45">
        <f t="shared" si="77"/>
        <v>0</v>
      </c>
    </row>
    <row r="245" spans="5:9">
      <c r="E245" s="45">
        <f ca="1" t="shared" si="75"/>
        <v>0</v>
      </c>
      <c r="F245" s="45">
        <f ca="1" t="shared" si="76"/>
        <v>0</v>
      </c>
      <c r="I245" s="45">
        <f t="shared" si="77"/>
        <v>0</v>
      </c>
    </row>
    <row r="246" spans="5:9">
      <c r="E246" s="45">
        <f ca="1" t="shared" si="75"/>
        <v>0</v>
      </c>
      <c r="F246" s="45">
        <f ca="1" t="shared" si="76"/>
        <v>0</v>
      </c>
      <c r="I246" s="45">
        <f t="shared" si="77"/>
        <v>0</v>
      </c>
    </row>
    <row r="247" spans="5:9">
      <c r="E247" s="45">
        <f ca="1" t="shared" si="75"/>
        <v>0</v>
      </c>
      <c r="F247" s="45">
        <f ca="1" t="shared" si="76"/>
        <v>0</v>
      </c>
      <c r="I247" s="45">
        <f t="shared" si="77"/>
        <v>0</v>
      </c>
    </row>
    <row r="248" spans="5:9">
      <c r="E248" s="45">
        <f ca="1" t="shared" si="75"/>
        <v>0</v>
      </c>
      <c r="F248" s="45">
        <f ca="1" t="shared" si="76"/>
        <v>0</v>
      </c>
      <c r="I248" s="45">
        <f t="shared" si="77"/>
        <v>0</v>
      </c>
    </row>
    <row r="249" spans="5:9">
      <c r="E249" s="45">
        <f ca="1" t="shared" si="75"/>
        <v>0</v>
      </c>
      <c r="F249" s="45">
        <f ca="1" t="shared" si="76"/>
        <v>0</v>
      </c>
      <c r="I249" s="45">
        <f t="shared" si="77"/>
        <v>0</v>
      </c>
    </row>
    <row r="250" spans="5:9">
      <c r="E250" s="45">
        <f ca="1" t="shared" si="75"/>
        <v>0</v>
      </c>
      <c r="F250" s="45">
        <f ca="1" t="shared" si="76"/>
        <v>0</v>
      </c>
      <c r="I250" s="45">
        <f t="shared" si="77"/>
        <v>0</v>
      </c>
    </row>
    <row r="251" spans="5:9">
      <c r="E251" s="45">
        <f ca="1" t="shared" si="75"/>
        <v>0</v>
      </c>
      <c r="F251" s="45">
        <f ca="1" t="shared" si="76"/>
        <v>0</v>
      </c>
      <c r="I251" s="45">
        <f t="shared" si="77"/>
        <v>0</v>
      </c>
    </row>
    <row r="252" spans="5:9">
      <c r="E252" s="45">
        <f ca="1" t="shared" si="75"/>
        <v>0</v>
      </c>
      <c r="F252" s="45">
        <f ca="1" t="shared" si="76"/>
        <v>0</v>
      </c>
      <c r="I252" s="45">
        <f t="shared" si="77"/>
        <v>0</v>
      </c>
    </row>
    <row r="253" spans="5:9">
      <c r="E253" s="45">
        <f ca="1" t="shared" si="75"/>
        <v>0</v>
      </c>
      <c r="F253" s="45">
        <f ca="1" t="shared" si="76"/>
        <v>0</v>
      </c>
      <c r="I253" s="45">
        <f t="shared" si="77"/>
        <v>0</v>
      </c>
    </row>
    <row r="254" spans="5:9">
      <c r="E254" s="45">
        <f ca="1" t="shared" si="75"/>
        <v>0</v>
      </c>
      <c r="F254" s="45">
        <f ca="1" t="shared" si="76"/>
        <v>0</v>
      </c>
      <c r="I254" s="45">
        <f t="shared" si="77"/>
        <v>0</v>
      </c>
    </row>
    <row r="255" spans="5:9">
      <c r="E255" s="45">
        <f ca="1" t="shared" si="75"/>
        <v>0</v>
      </c>
      <c r="F255" s="45">
        <f ca="1" t="shared" si="76"/>
        <v>0</v>
      </c>
      <c r="I255" s="45">
        <f t="shared" si="77"/>
        <v>0</v>
      </c>
    </row>
    <row r="256" spans="5:9">
      <c r="E256" s="45">
        <f ca="1" t="shared" si="75"/>
        <v>0</v>
      </c>
      <c r="F256" s="45">
        <f ca="1" t="shared" si="76"/>
        <v>0</v>
      </c>
      <c r="I256" s="45">
        <f t="shared" si="77"/>
        <v>0</v>
      </c>
    </row>
    <row r="257" spans="5:9">
      <c r="E257" s="45">
        <f ca="1" t="shared" si="75"/>
        <v>0</v>
      </c>
      <c r="F257" s="45">
        <f ca="1" t="shared" si="76"/>
        <v>0</v>
      </c>
      <c r="I257" s="45">
        <f t="shared" si="77"/>
        <v>0</v>
      </c>
    </row>
    <row r="258" spans="5:9">
      <c r="E258" s="45">
        <f ca="1" t="shared" si="75"/>
        <v>0</v>
      </c>
      <c r="F258" s="45">
        <f ca="1" t="shared" si="76"/>
        <v>0</v>
      </c>
      <c r="I258" s="45">
        <f t="shared" si="77"/>
        <v>0</v>
      </c>
    </row>
    <row r="259" spans="5:9">
      <c r="E259" s="45">
        <f ca="1" t="shared" si="75"/>
        <v>0</v>
      </c>
      <c r="F259" s="45">
        <f ca="1" t="shared" si="76"/>
        <v>0</v>
      </c>
      <c r="I259" s="45">
        <f t="shared" si="77"/>
        <v>0</v>
      </c>
    </row>
    <row r="260" spans="5:9">
      <c r="E260" s="45">
        <f ca="1" t="shared" si="75"/>
        <v>0</v>
      </c>
      <c r="F260" s="45">
        <f ca="1" t="shared" si="76"/>
        <v>0</v>
      </c>
      <c r="I260" s="45">
        <f t="shared" si="77"/>
        <v>0</v>
      </c>
    </row>
    <row r="261" spans="5:9">
      <c r="E261" s="45">
        <f ca="1" t="shared" si="75"/>
        <v>0</v>
      </c>
      <c r="F261" s="45">
        <f ca="1" t="shared" si="76"/>
        <v>0</v>
      </c>
      <c r="I261" s="45">
        <f ca="1">F21</f>
        <v>0</v>
      </c>
    </row>
    <row r="262" spans="5:9">
      <c r="E262" s="45">
        <f ca="1" t="shared" si="75"/>
        <v>0</v>
      </c>
      <c r="F262" s="45">
        <f ca="1" t="shared" si="76"/>
        <v>0</v>
      </c>
      <c r="I262" s="45">
        <f ca="1" t="shared" ref="I262:I293" si="78">F22</f>
        <v>0</v>
      </c>
    </row>
    <row r="263" spans="5:9">
      <c r="E263" s="45">
        <f ca="1" t="shared" si="75"/>
        <v>0</v>
      </c>
      <c r="F263" s="45">
        <f ca="1" t="shared" si="76"/>
        <v>0</v>
      </c>
      <c r="I263" s="45">
        <f ca="1" t="shared" si="78"/>
        <v>0</v>
      </c>
    </row>
    <row r="264" spans="5:9">
      <c r="E264" s="45">
        <f ca="1" t="shared" si="75"/>
        <v>0</v>
      </c>
      <c r="F264" s="45">
        <f ca="1" t="shared" si="76"/>
        <v>0</v>
      </c>
      <c r="I264" s="45">
        <f ca="1" t="shared" si="78"/>
        <v>7000</v>
      </c>
    </row>
    <row r="265" spans="5:9">
      <c r="E265" s="45">
        <f ca="1" t="shared" si="75"/>
        <v>0</v>
      </c>
      <c r="F265" s="45">
        <f ca="1" t="shared" si="76"/>
        <v>0</v>
      </c>
      <c r="I265" s="45">
        <f ca="1" t="shared" si="78"/>
        <v>3000</v>
      </c>
    </row>
    <row r="266" spans="5:9">
      <c r="E266" s="45">
        <f ca="1" t="shared" si="75"/>
        <v>0</v>
      </c>
      <c r="F266" s="45">
        <f ca="1" t="shared" si="76"/>
        <v>0</v>
      </c>
      <c r="I266" s="45">
        <f ca="1" t="shared" si="78"/>
        <v>0</v>
      </c>
    </row>
    <row r="267" spans="5:9">
      <c r="E267" s="45">
        <f ca="1" t="shared" si="75"/>
        <v>0</v>
      </c>
      <c r="F267" s="45">
        <f ca="1" t="shared" si="76"/>
        <v>0</v>
      </c>
      <c r="I267" s="45">
        <f ca="1" t="shared" si="78"/>
        <v>0</v>
      </c>
    </row>
    <row r="268" spans="5:9">
      <c r="E268" s="45">
        <f ca="1" t="shared" si="75"/>
        <v>0</v>
      </c>
      <c r="F268" s="45">
        <f ca="1" t="shared" si="76"/>
        <v>0</v>
      </c>
      <c r="I268" s="45">
        <f ca="1" t="shared" si="78"/>
        <v>0</v>
      </c>
    </row>
    <row r="269" spans="5:9">
      <c r="E269" s="45">
        <f ca="1" t="shared" si="75"/>
        <v>0</v>
      </c>
      <c r="F269" s="45">
        <f ca="1" t="shared" si="76"/>
        <v>0</v>
      </c>
      <c r="I269" s="45">
        <f ca="1" t="shared" si="78"/>
        <v>0</v>
      </c>
    </row>
    <row r="270" spans="5:9">
      <c r="E270" s="45">
        <f ca="1" t="shared" si="75"/>
        <v>0</v>
      </c>
      <c r="F270" s="45">
        <f ca="1" t="shared" si="76"/>
        <v>0</v>
      </c>
      <c r="I270" s="45">
        <f ca="1" t="shared" si="78"/>
        <v>0</v>
      </c>
    </row>
    <row r="271" spans="5:9">
      <c r="E271" s="45">
        <f ca="1" t="shared" si="75"/>
        <v>0</v>
      </c>
      <c r="F271" s="45">
        <f ca="1" t="shared" si="76"/>
        <v>0</v>
      </c>
      <c r="I271" s="45">
        <f ca="1" t="shared" si="78"/>
        <v>0</v>
      </c>
    </row>
    <row r="272" spans="5:9">
      <c r="E272" s="45">
        <f ca="1" t="shared" si="75"/>
        <v>0</v>
      </c>
      <c r="F272" s="45">
        <f ca="1" t="shared" si="76"/>
        <v>0</v>
      </c>
      <c r="I272" s="45">
        <f ca="1" t="shared" si="78"/>
        <v>4000</v>
      </c>
    </row>
    <row r="273" spans="5:9">
      <c r="E273" s="45">
        <f ca="1" t="shared" si="75"/>
        <v>0</v>
      </c>
      <c r="F273" s="45">
        <f ca="1" t="shared" si="76"/>
        <v>0</v>
      </c>
      <c r="I273" s="45">
        <f ca="1" t="shared" si="78"/>
        <v>6000</v>
      </c>
    </row>
    <row r="274" spans="5:9">
      <c r="E274" s="45">
        <f ca="1" t="shared" si="75"/>
        <v>0</v>
      </c>
      <c r="F274" s="45">
        <f ca="1" t="shared" si="76"/>
        <v>0</v>
      </c>
      <c r="I274" s="45">
        <f ca="1" t="shared" si="78"/>
        <v>0</v>
      </c>
    </row>
    <row r="275" spans="5:9">
      <c r="E275" s="45">
        <f ca="1" t="shared" si="75"/>
        <v>0</v>
      </c>
      <c r="F275" s="45">
        <f ca="1" t="shared" si="76"/>
        <v>0</v>
      </c>
      <c r="I275" s="45">
        <f ca="1" t="shared" si="78"/>
        <v>0</v>
      </c>
    </row>
    <row r="276" spans="5:9">
      <c r="E276" s="45">
        <f ca="1" t="shared" si="75"/>
        <v>0</v>
      </c>
      <c r="F276" s="45">
        <f ca="1" t="shared" si="76"/>
        <v>0</v>
      </c>
      <c r="I276" s="45">
        <f ca="1" t="shared" si="78"/>
        <v>0</v>
      </c>
    </row>
    <row r="277" spans="5:9">
      <c r="E277" s="45">
        <f ca="1" t="shared" si="75"/>
        <v>0</v>
      </c>
      <c r="F277" s="45">
        <f ca="1" t="shared" si="76"/>
        <v>0</v>
      </c>
      <c r="I277" s="45">
        <f ca="1" t="shared" si="78"/>
        <v>0</v>
      </c>
    </row>
    <row r="278" spans="5:9">
      <c r="E278" s="45">
        <f ca="1" t="shared" ref="E278:E341" si="79">IFERROR(INT(OFFSET($AE$60,C278,D278)*10000),0)</f>
        <v>0</v>
      </c>
      <c r="F278" s="45">
        <f ca="1" t="shared" ref="F278:F341" si="80">IFERROR(INT(OFFSET($AE$43,C278,D278)*10000),0)</f>
        <v>0</v>
      </c>
      <c r="I278" s="45">
        <f ca="1" t="shared" si="78"/>
        <v>0</v>
      </c>
    </row>
    <row r="279" spans="5:9">
      <c r="E279" s="45">
        <f ca="1" t="shared" si="79"/>
        <v>0</v>
      </c>
      <c r="F279" s="45">
        <f ca="1" t="shared" si="80"/>
        <v>0</v>
      </c>
      <c r="I279" s="45">
        <f ca="1" t="shared" si="78"/>
        <v>0</v>
      </c>
    </row>
    <row r="280" spans="5:9">
      <c r="E280" s="45">
        <f ca="1" t="shared" si="79"/>
        <v>0</v>
      </c>
      <c r="F280" s="45">
        <f ca="1" t="shared" si="80"/>
        <v>0</v>
      </c>
      <c r="I280" s="45">
        <f ca="1" t="shared" si="78"/>
        <v>0</v>
      </c>
    </row>
    <row r="281" spans="5:9">
      <c r="E281" s="45">
        <f ca="1" t="shared" si="79"/>
        <v>0</v>
      </c>
      <c r="F281" s="45">
        <f ca="1" t="shared" si="80"/>
        <v>0</v>
      </c>
      <c r="I281" s="45">
        <f ca="1" t="shared" si="78"/>
        <v>3500</v>
      </c>
    </row>
    <row r="282" spans="5:9">
      <c r="E282" s="45">
        <f ca="1" t="shared" si="79"/>
        <v>0</v>
      </c>
      <c r="F282" s="45">
        <f ca="1" t="shared" si="80"/>
        <v>0</v>
      </c>
      <c r="I282" s="45">
        <f ca="1" t="shared" si="78"/>
        <v>1500</v>
      </c>
    </row>
    <row r="283" spans="5:9">
      <c r="E283" s="45">
        <f ca="1" t="shared" si="79"/>
        <v>0</v>
      </c>
      <c r="F283" s="45">
        <f ca="1" t="shared" si="80"/>
        <v>0</v>
      </c>
      <c r="I283" s="45">
        <f ca="1" t="shared" si="78"/>
        <v>0</v>
      </c>
    </row>
    <row r="284" spans="5:9">
      <c r="E284" s="45">
        <f ca="1" t="shared" si="79"/>
        <v>0</v>
      </c>
      <c r="F284" s="45">
        <f ca="1" t="shared" si="80"/>
        <v>0</v>
      </c>
      <c r="I284" s="45">
        <f ca="1" t="shared" si="78"/>
        <v>0</v>
      </c>
    </row>
    <row r="285" spans="5:9">
      <c r="E285" s="45">
        <f ca="1" t="shared" si="79"/>
        <v>0</v>
      </c>
      <c r="F285" s="45">
        <f ca="1" t="shared" si="80"/>
        <v>0</v>
      </c>
      <c r="I285" s="45">
        <f ca="1" t="shared" si="78"/>
        <v>0</v>
      </c>
    </row>
    <row r="286" spans="5:9">
      <c r="E286" s="45">
        <f ca="1" t="shared" si="79"/>
        <v>0</v>
      </c>
      <c r="F286" s="45">
        <f ca="1" t="shared" si="80"/>
        <v>0</v>
      </c>
      <c r="I286" s="45">
        <f ca="1" t="shared" si="78"/>
        <v>0</v>
      </c>
    </row>
    <row r="287" spans="5:9">
      <c r="E287" s="45">
        <f ca="1" t="shared" si="79"/>
        <v>0</v>
      </c>
      <c r="F287" s="45">
        <f ca="1" t="shared" si="80"/>
        <v>0</v>
      </c>
      <c r="I287" s="45">
        <f ca="1" t="shared" si="78"/>
        <v>0</v>
      </c>
    </row>
    <row r="288" spans="5:9">
      <c r="E288" s="45">
        <f ca="1" t="shared" si="79"/>
        <v>0</v>
      </c>
      <c r="F288" s="45">
        <f ca="1" t="shared" si="80"/>
        <v>0</v>
      </c>
      <c r="I288" s="45">
        <f ca="1" t="shared" si="78"/>
        <v>0</v>
      </c>
    </row>
    <row r="289" spans="5:9">
      <c r="E289" s="45">
        <f ca="1" t="shared" si="79"/>
        <v>0</v>
      </c>
      <c r="F289" s="45">
        <f ca="1" t="shared" si="80"/>
        <v>0</v>
      </c>
      <c r="I289" s="45">
        <f ca="1" t="shared" si="78"/>
        <v>2000</v>
      </c>
    </row>
    <row r="290" spans="5:9">
      <c r="E290" s="45">
        <f ca="1" t="shared" si="79"/>
        <v>0</v>
      </c>
      <c r="F290" s="45">
        <f ca="1" t="shared" si="80"/>
        <v>0</v>
      </c>
      <c r="I290" s="45">
        <f ca="1" t="shared" si="78"/>
        <v>3000</v>
      </c>
    </row>
    <row r="291" spans="5:9">
      <c r="E291" s="45">
        <f ca="1" t="shared" si="79"/>
        <v>0</v>
      </c>
      <c r="F291" s="45">
        <f ca="1" t="shared" si="80"/>
        <v>0</v>
      </c>
      <c r="I291" s="45">
        <f ca="1" t="shared" si="78"/>
        <v>0</v>
      </c>
    </row>
    <row r="292" spans="5:9">
      <c r="E292" s="45">
        <f ca="1" t="shared" si="79"/>
        <v>0</v>
      </c>
      <c r="F292" s="45">
        <f ca="1" t="shared" si="80"/>
        <v>0</v>
      </c>
      <c r="I292" s="45">
        <f ca="1" t="shared" si="78"/>
        <v>0</v>
      </c>
    </row>
    <row r="293" spans="5:9">
      <c r="E293" s="45">
        <f ca="1" t="shared" si="79"/>
        <v>0</v>
      </c>
      <c r="F293" s="45">
        <f ca="1" t="shared" si="80"/>
        <v>0</v>
      </c>
      <c r="I293" s="45">
        <f ca="1" t="shared" si="78"/>
        <v>0</v>
      </c>
    </row>
    <row r="294" spans="5:9">
      <c r="E294" s="45">
        <f ca="1" t="shared" si="79"/>
        <v>0</v>
      </c>
      <c r="F294" s="45">
        <f ca="1" t="shared" si="80"/>
        <v>0</v>
      </c>
      <c r="I294" s="45">
        <f ca="1" t="shared" ref="I294:I325" si="81">F54</f>
        <v>0</v>
      </c>
    </row>
    <row r="295" spans="5:9">
      <c r="E295" s="45">
        <f ca="1" t="shared" si="79"/>
        <v>0</v>
      </c>
      <c r="F295" s="45">
        <f ca="1" t="shared" si="80"/>
        <v>0</v>
      </c>
      <c r="I295" s="45">
        <f ca="1" t="shared" si="81"/>
        <v>0</v>
      </c>
    </row>
    <row r="296" spans="5:9">
      <c r="E296" s="45">
        <f ca="1" t="shared" si="79"/>
        <v>0</v>
      </c>
      <c r="F296" s="45">
        <f ca="1" t="shared" si="80"/>
        <v>0</v>
      </c>
      <c r="I296" s="45">
        <f ca="1" t="shared" si="81"/>
        <v>0</v>
      </c>
    </row>
    <row r="297" spans="5:9">
      <c r="E297" s="45">
        <f ca="1" t="shared" si="79"/>
        <v>0</v>
      </c>
      <c r="F297" s="45">
        <f ca="1" t="shared" si="80"/>
        <v>0</v>
      </c>
      <c r="I297" s="45">
        <f ca="1" t="shared" si="81"/>
        <v>2000</v>
      </c>
    </row>
    <row r="298" spans="5:9">
      <c r="E298" s="45">
        <f ca="1" t="shared" si="79"/>
        <v>0</v>
      </c>
      <c r="F298" s="45">
        <f ca="1" t="shared" si="80"/>
        <v>0</v>
      </c>
      <c r="I298" s="45">
        <f ca="1" t="shared" si="81"/>
        <v>3000</v>
      </c>
    </row>
    <row r="299" spans="5:9">
      <c r="E299" s="45">
        <f ca="1" t="shared" si="79"/>
        <v>0</v>
      </c>
      <c r="F299" s="45">
        <f ca="1" t="shared" si="80"/>
        <v>0</v>
      </c>
      <c r="I299" s="45">
        <f ca="1" t="shared" si="81"/>
        <v>0</v>
      </c>
    </row>
    <row r="300" spans="5:9">
      <c r="E300" s="45">
        <f ca="1" t="shared" si="79"/>
        <v>0</v>
      </c>
      <c r="F300" s="45">
        <f ca="1" t="shared" si="80"/>
        <v>0</v>
      </c>
      <c r="I300" s="45">
        <f ca="1" t="shared" si="81"/>
        <v>0</v>
      </c>
    </row>
    <row r="301" spans="5:9">
      <c r="E301" s="45">
        <f ca="1" t="shared" si="79"/>
        <v>0</v>
      </c>
      <c r="F301" s="45">
        <f ca="1" t="shared" si="80"/>
        <v>0</v>
      </c>
      <c r="I301" s="45">
        <f ca="1" t="shared" si="81"/>
        <v>0</v>
      </c>
    </row>
    <row r="302" spans="5:9">
      <c r="E302" s="45">
        <f ca="1" t="shared" si="79"/>
        <v>0</v>
      </c>
      <c r="F302" s="45">
        <f ca="1" t="shared" si="80"/>
        <v>0</v>
      </c>
      <c r="I302" s="45">
        <f ca="1" t="shared" si="81"/>
        <v>0</v>
      </c>
    </row>
    <row r="303" spans="5:9">
      <c r="E303" s="45">
        <f ca="1" t="shared" si="79"/>
        <v>0</v>
      </c>
      <c r="F303" s="45">
        <f ca="1" t="shared" si="80"/>
        <v>0</v>
      </c>
      <c r="I303" s="45">
        <f ca="1" t="shared" si="81"/>
        <v>0</v>
      </c>
    </row>
    <row r="304" spans="5:9">
      <c r="E304" s="45">
        <f ca="1" t="shared" si="79"/>
        <v>0</v>
      </c>
      <c r="F304" s="45">
        <f ca="1" t="shared" si="80"/>
        <v>0</v>
      </c>
      <c r="I304" s="45">
        <f ca="1" t="shared" si="81"/>
        <v>0</v>
      </c>
    </row>
    <row r="305" spans="5:9">
      <c r="E305" s="45">
        <f ca="1" t="shared" si="79"/>
        <v>0</v>
      </c>
      <c r="F305" s="45">
        <f ca="1" t="shared" si="80"/>
        <v>0</v>
      </c>
      <c r="I305" s="45">
        <f ca="1" t="shared" si="81"/>
        <v>0</v>
      </c>
    </row>
    <row r="306" spans="5:9">
      <c r="E306" s="45">
        <f ca="1" t="shared" si="79"/>
        <v>0</v>
      </c>
      <c r="F306" s="45">
        <f ca="1" t="shared" si="80"/>
        <v>0</v>
      </c>
      <c r="I306" s="45">
        <f ca="1" t="shared" si="81"/>
        <v>3500</v>
      </c>
    </row>
    <row r="307" spans="5:9">
      <c r="E307" s="45">
        <f ca="1" t="shared" si="79"/>
        <v>0</v>
      </c>
      <c r="F307" s="45">
        <f ca="1" t="shared" si="80"/>
        <v>0</v>
      </c>
      <c r="I307" s="45">
        <f ca="1" t="shared" si="81"/>
        <v>1500</v>
      </c>
    </row>
    <row r="308" spans="5:9">
      <c r="E308" s="45">
        <f ca="1" t="shared" si="79"/>
        <v>0</v>
      </c>
      <c r="F308" s="45">
        <f ca="1" t="shared" si="80"/>
        <v>0</v>
      </c>
      <c r="I308" s="45">
        <f ca="1" t="shared" si="81"/>
        <v>0</v>
      </c>
    </row>
    <row r="309" spans="5:9">
      <c r="E309" s="45">
        <f ca="1" t="shared" si="79"/>
        <v>0</v>
      </c>
      <c r="F309" s="45">
        <f ca="1" t="shared" si="80"/>
        <v>0</v>
      </c>
      <c r="I309" s="45">
        <f ca="1" t="shared" si="81"/>
        <v>0</v>
      </c>
    </row>
    <row r="310" spans="5:9">
      <c r="E310" s="45">
        <f ca="1" t="shared" si="79"/>
        <v>0</v>
      </c>
      <c r="F310" s="45">
        <f ca="1" t="shared" si="80"/>
        <v>0</v>
      </c>
      <c r="I310" s="45">
        <f ca="1" t="shared" si="81"/>
        <v>0</v>
      </c>
    </row>
    <row r="311" spans="5:9">
      <c r="E311" s="45">
        <f ca="1" t="shared" si="79"/>
        <v>0</v>
      </c>
      <c r="F311" s="45">
        <f ca="1" t="shared" si="80"/>
        <v>0</v>
      </c>
      <c r="I311" s="45">
        <f ca="1" t="shared" si="81"/>
        <v>0</v>
      </c>
    </row>
    <row r="312" spans="5:9">
      <c r="E312" s="45">
        <f ca="1" t="shared" si="79"/>
        <v>0</v>
      </c>
      <c r="F312" s="45">
        <f ca="1" t="shared" si="80"/>
        <v>0</v>
      </c>
      <c r="I312" s="45">
        <f ca="1" t="shared" si="81"/>
        <v>0</v>
      </c>
    </row>
    <row r="313" spans="5:9">
      <c r="E313" s="45">
        <f ca="1" t="shared" si="79"/>
        <v>0</v>
      </c>
      <c r="F313" s="45">
        <f ca="1" t="shared" si="80"/>
        <v>0</v>
      </c>
      <c r="I313" s="45">
        <f ca="1" t="shared" si="81"/>
        <v>0</v>
      </c>
    </row>
    <row r="314" spans="5:9">
      <c r="E314" s="45">
        <f ca="1" t="shared" si="79"/>
        <v>0</v>
      </c>
      <c r="F314" s="45">
        <f ca="1" t="shared" si="80"/>
        <v>0</v>
      </c>
      <c r="I314" s="45">
        <f ca="1" t="shared" si="81"/>
        <v>2600</v>
      </c>
    </row>
    <row r="315" spans="5:9">
      <c r="E315" s="45">
        <f ca="1" t="shared" si="79"/>
        <v>0</v>
      </c>
      <c r="F315" s="45">
        <f ca="1" t="shared" si="80"/>
        <v>0</v>
      </c>
      <c r="I315" s="45">
        <f ca="1" t="shared" si="81"/>
        <v>2400</v>
      </c>
    </row>
    <row r="316" spans="5:9">
      <c r="E316" s="45">
        <f ca="1" t="shared" si="79"/>
        <v>0</v>
      </c>
      <c r="F316" s="45">
        <f ca="1" t="shared" si="80"/>
        <v>0</v>
      </c>
      <c r="I316" s="45">
        <f ca="1" t="shared" si="81"/>
        <v>0</v>
      </c>
    </row>
    <row r="317" spans="5:9">
      <c r="E317" s="45">
        <f ca="1" t="shared" si="79"/>
        <v>0</v>
      </c>
      <c r="F317" s="45">
        <f ca="1" t="shared" si="80"/>
        <v>0</v>
      </c>
      <c r="I317" s="45">
        <f ca="1" t="shared" si="81"/>
        <v>0</v>
      </c>
    </row>
    <row r="318" spans="5:9">
      <c r="E318" s="45">
        <f ca="1" t="shared" si="79"/>
        <v>0</v>
      </c>
      <c r="F318" s="45">
        <f ca="1" t="shared" si="80"/>
        <v>0</v>
      </c>
      <c r="I318" s="45">
        <f ca="1" t="shared" si="81"/>
        <v>0</v>
      </c>
    </row>
    <row r="319" spans="5:9">
      <c r="E319" s="45">
        <f ca="1" t="shared" si="79"/>
        <v>0</v>
      </c>
      <c r="F319" s="45">
        <f ca="1" t="shared" si="80"/>
        <v>0</v>
      </c>
      <c r="I319" s="45">
        <f ca="1" t="shared" si="81"/>
        <v>0</v>
      </c>
    </row>
    <row r="320" spans="5:9">
      <c r="E320" s="45">
        <f ca="1" t="shared" si="79"/>
        <v>0</v>
      </c>
      <c r="F320" s="45">
        <f ca="1" t="shared" si="80"/>
        <v>0</v>
      </c>
      <c r="I320" s="45">
        <f ca="1" t="shared" si="81"/>
        <v>0</v>
      </c>
    </row>
    <row r="321" spans="5:9">
      <c r="E321" s="45">
        <f ca="1" t="shared" si="79"/>
        <v>0</v>
      </c>
      <c r="F321" s="45">
        <f ca="1" t="shared" si="80"/>
        <v>0</v>
      </c>
      <c r="I321" s="45">
        <f ca="1" t="shared" si="81"/>
        <v>0</v>
      </c>
    </row>
    <row r="322" spans="5:9">
      <c r="E322" s="45">
        <f ca="1" t="shared" si="79"/>
        <v>0</v>
      </c>
      <c r="F322" s="45">
        <f ca="1" t="shared" si="80"/>
        <v>0</v>
      </c>
      <c r="I322" s="45">
        <f ca="1" t="shared" si="81"/>
        <v>2000</v>
      </c>
    </row>
    <row r="323" spans="5:9">
      <c r="E323" s="45">
        <f ca="1" t="shared" si="79"/>
        <v>0</v>
      </c>
      <c r="F323" s="45">
        <f ca="1" t="shared" si="80"/>
        <v>0</v>
      </c>
      <c r="I323" s="45">
        <f ca="1" t="shared" si="81"/>
        <v>3000</v>
      </c>
    </row>
    <row r="324" spans="5:9">
      <c r="E324" s="45">
        <f ca="1" t="shared" si="79"/>
        <v>0</v>
      </c>
      <c r="F324" s="45">
        <f ca="1" t="shared" si="80"/>
        <v>0</v>
      </c>
      <c r="I324" s="45">
        <f ca="1" t="shared" si="81"/>
        <v>0</v>
      </c>
    </row>
    <row r="325" spans="5:9">
      <c r="E325" s="45">
        <f ca="1" t="shared" si="79"/>
        <v>0</v>
      </c>
      <c r="F325" s="45">
        <f ca="1" t="shared" si="80"/>
        <v>0</v>
      </c>
      <c r="I325" s="45">
        <f ca="1" t="shared" si="81"/>
        <v>0</v>
      </c>
    </row>
    <row r="326" spans="5:9">
      <c r="E326" s="45">
        <f ca="1" t="shared" si="79"/>
        <v>0</v>
      </c>
      <c r="F326" s="45">
        <f ca="1" t="shared" si="80"/>
        <v>0</v>
      </c>
      <c r="I326" s="45">
        <f ca="1" t="shared" ref="I326:I357" si="82">F86</f>
        <v>0</v>
      </c>
    </row>
    <row r="327" spans="5:9">
      <c r="E327" s="45">
        <f ca="1" t="shared" si="79"/>
        <v>0</v>
      </c>
      <c r="F327" s="45">
        <f ca="1" t="shared" si="80"/>
        <v>0</v>
      </c>
      <c r="I327" s="45">
        <f ca="1" t="shared" si="82"/>
        <v>0</v>
      </c>
    </row>
    <row r="328" spans="5:9">
      <c r="E328" s="45">
        <f ca="1" t="shared" si="79"/>
        <v>0</v>
      </c>
      <c r="F328" s="45">
        <f ca="1" t="shared" si="80"/>
        <v>0</v>
      </c>
      <c r="I328" s="45">
        <f ca="1" t="shared" si="82"/>
        <v>0</v>
      </c>
    </row>
    <row r="329" spans="5:9">
      <c r="E329" s="45">
        <f ca="1" t="shared" si="79"/>
        <v>0</v>
      </c>
      <c r="F329" s="45">
        <f ca="1" t="shared" si="80"/>
        <v>0</v>
      </c>
      <c r="I329" s="45">
        <f ca="1" t="shared" si="82"/>
        <v>0</v>
      </c>
    </row>
    <row r="330" spans="5:9">
      <c r="E330" s="45">
        <f ca="1" t="shared" si="79"/>
        <v>0</v>
      </c>
      <c r="F330" s="45">
        <f ca="1" t="shared" si="80"/>
        <v>0</v>
      </c>
      <c r="I330" s="45">
        <f ca="1" t="shared" si="82"/>
        <v>2000</v>
      </c>
    </row>
    <row r="331" spans="5:9">
      <c r="E331" s="45">
        <f ca="1" t="shared" si="79"/>
        <v>0</v>
      </c>
      <c r="F331" s="45">
        <f ca="1" t="shared" si="80"/>
        <v>0</v>
      </c>
      <c r="I331" s="45">
        <f ca="1" t="shared" si="82"/>
        <v>3000</v>
      </c>
    </row>
    <row r="332" spans="5:9">
      <c r="E332" s="45">
        <f ca="1" t="shared" si="79"/>
        <v>0</v>
      </c>
      <c r="F332" s="45">
        <f ca="1" t="shared" si="80"/>
        <v>0</v>
      </c>
      <c r="I332" s="45">
        <f ca="1" t="shared" si="82"/>
        <v>0</v>
      </c>
    </row>
    <row r="333" spans="5:9">
      <c r="E333" s="45">
        <f ca="1" t="shared" si="79"/>
        <v>0</v>
      </c>
      <c r="F333" s="45">
        <f ca="1" t="shared" si="80"/>
        <v>0</v>
      </c>
      <c r="I333" s="45">
        <f ca="1" t="shared" si="82"/>
        <v>0</v>
      </c>
    </row>
    <row r="334" spans="5:9">
      <c r="E334" s="45">
        <f ca="1" t="shared" si="79"/>
        <v>0</v>
      </c>
      <c r="F334" s="45">
        <f ca="1" t="shared" si="80"/>
        <v>0</v>
      </c>
      <c r="I334" s="45">
        <f ca="1" t="shared" si="82"/>
        <v>0</v>
      </c>
    </row>
    <row r="335" spans="5:9">
      <c r="E335" s="45">
        <f ca="1" t="shared" si="79"/>
        <v>0</v>
      </c>
      <c r="F335" s="45">
        <f ca="1" t="shared" si="80"/>
        <v>0</v>
      </c>
      <c r="I335" s="45">
        <f ca="1" t="shared" si="82"/>
        <v>0</v>
      </c>
    </row>
    <row r="336" spans="5:9">
      <c r="E336" s="45">
        <f ca="1" t="shared" si="79"/>
        <v>0</v>
      </c>
      <c r="F336" s="45">
        <f ca="1" t="shared" si="80"/>
        <v>0</v>
      </c>
      <c r="I336" s="45">
        <f ca="1" t="shared" si="82"/>
        <v>0</v>
      </c>
    </row>
    <row r="337" spans="5:9">
      <c r="E337" s="45">
        <f ca="1" t="shared" si="79"/>
        <v>0</v>
      </c>
      <c r="F337" s="45">
        <f ca="1" t="shared" si="80"/>
        <v>0</v>
      </c>
      <c r="I337" s="45">
        <f ca="1" t="shared" si="82"/>
        <v>0</v>
      </c>
    </row>
    <row r="338" spans="5:9">
      <c r="E338" s="45">
        <f ca="1" t="shared" si="79"/>
        <v>0</v>
      </c>
      <c r="F338" s="45">
        <f ca="1" t="shared" si="80"/>
        <v>0</v>
      </c>
      <c r="I338" s="45">
        <f ca="1" t="shared" si="82"/>
        <v>0</v>
      </c>
    </row>
    <row r="339" spans="5:9">
      <c r="E339" s="45">
        <f ca="1" t="shared" si="79"/>
        <v>0</v>
      </c>
      <c r="F339" s="45">
        <f ca="1" t="shared" si="80"/>
        <v>0</v>
      </c>
      <c r="I339" s="45">
        <f ca="1" t="shared" si="82"/>
        <v>4100</v>
      </c>
    </row>
    <row r="340" spans="5:9">
      <c r="E340" s="45">
        <f ca="1" t="shared" si="79"/>
        <v>0</v>
      </c>
      <c r="F340" s="45">
        <f ca="1" t="shared" si="80"/>
        <v>0</v>
      </c>
      <c r="I340" s="45">
        <f ca="1" t="shared" si="82"/>
        <v>900</v>
      </c>
    </row>
    <row r="341" spans="5:9">
      <c r="E341" s="45">
        <f ca="1" t="shared" si="79"/>
        <v>0</v>
      </c>
      <c r="F341" s="45">
        <f ca="1" t="shared" si="80"/>
        <v>0</v>
      </c>
      <c r="I341" s="45">
        <f ca="1" t="shared" si="82"/>
        <v>0</v>
      </c>
    </row>
    <row r="342" spans="5:9">
      <c r="E342" s="45">
        <f ca="1" t="shared" ref="E342:E405" si="83">IFERROR(INT(OFFSET($AE$60,C342,D342)*10000),0)</f>
        <v>0</v>
      </c>
      <c r="F342" s="45">
        <f ca="1" t="shared" ref="F342:F405" si="84">IFERROR(INT(OFFSET($AE$43,C342,D342)*10000),0)</f>
        <v>0</v>
      </c>
      <c r="I342" s="45">
        <f ca="1" t="shared" si="82"/>
        <v>0</v>
      </c>
    </row>
    <row r="343" spans="5:9">
      <c r="E343" s="45">
        <f ca="1" t="shared" si="83"/>
        <v>0</v>
      </c>
      <c r="F343" s="45">
        <f ca="1" t="shared" si="84"/>
        <v>0</v>
      </c>
      <c r="I343" s="45">
        <f ca="1" t="shared" si="82"/>
        <v>0</v>
      </c>
    </row>
    <row r="344" spans="5:9">
      <c r="E344" s="45">
        <f ca="1" t="shared" si="83"/>
        <v>0</v>
      </c>
      <c r="F344" s="45">
        <f ca="1" t="shared" si="84"/>
        <v>0</v>
      </c>
      <c r="I344" s="45">
        <f ca="1" t="shared" si="82"/>
        <v>0</v>
      </c>
    </row>
    <row r="345" spans="5:9">
      <c r="E345" s="45">
        <f ca="1" t="shared" si="83"/>
        <v>0</v>
      </c>
      <c r="F345" s="45">
        <f ca="1" t="shared" si="84"/>
        <v>0</v>
      </c>
      <c r="I345" s="45">
        <f ca="1" t="shared" si="82"/>
        <v>0</v>
      </c>
    </row>
    <row r="346" spans="5:9">
      <c r="E346" s="45">
        <f ca="1" t="shared" si="83"/>
        <v>0</v>
      </c>
      <c r="F346" s="45">
        <f ca="1" t="shared" si="84"/>
        <v>0</v>
      </c>
      <c r="I346" s="45">
        <f ca="1" t="shared" si="82"/>
        <v>0</v>
      </c>
    </row>
    <row r="347" spans="5:9">
      <c r="E347" s="45">
        <f ca="1" t="shared" si="83"/>
        <v>0</v>
      </c>
      <c r="F347" s="45">
        <f ca="1" t="shared" si="84"/>
        <v>0</v>
      </c>
      <c r="I347" s="45">
        <f ca="1" t="shared" si="82"/>
        <v>3500</v>
      </c>
    </row>
    <row r="348" spans="5:9">
      <c r="E348" s="45">
        <f ca="1" t="shared" si="83"/>
        <v>0</v>
      </c>
      <c r="F348" s="45">
        <f ca="1" t="shared" si="84"/>
        <v>0</v>
      </c>
      <c r="I348" s="45">
        <f ca="1" t="shared" si="82"/>
        <v>1500</v>
      </c>
    </row>
    <row r="349" spans="5:9">
      <c r="E349" s="45">
        <f ca="1" t="shared" si="83"/>
        <v>0</v>
      </c>
      <c r="F349" s="45">
        <f ca="1" t="shared" si="84"/>
        <v>0</v>
      </c>
      <c r="I349" s="45">
        <f ca="1" t="shared" si="82"/>
        <v>0</v>
      </c>
    </row>
    <row r="350" spans="5:9">
      <c r="E350" s="45">
        <f ca="1" t="shared" si="83"/>
        <v>0</v>
      </c>
      <c r="F350" s="45">
        <f ca="1" t="shared" si="84"/>
        <v>0</v>
      </c>
      <c r="I350" s="45">
        <f ca="1" t="shared" si="82"/>
        <v>0</v>
      </c>
    </row>
    <row r="351" spans="5:9">
      <c r="E351" s="45">
        <f ca="1" t="shared" si="83"/>
        <v>0</v>
      </c>
      <c r="F351" s="45">
        <f ca="1" t="shared" si="84"/>
        <v>0</v>
      </c>
      <c r="I351" s="45">
        <f ca="1" t="shared" si="82"/>
        <v>0</v>
      </c>
    </row>
    <row r="352" spans="5:9">
      <c r="E352" s="45">
        <f ca="1" t="shared" si="83"/>
        <v>0</v>
      </c>
      <c r="F352" s="45">
        <f ca="1" t="shared" si="84"/>
        <v>0</v>
      </c>
      <c r="I352" s="45">
        <f ca="1" t="shared" si="82"/>
        <v>0</v>
      </c>
    </row>
    <row r="353" spans="5:9">
      <c r="E353" s="45">
        <f ca="1" t="shared" si="83"/>
        <v>0</v>
      </c>
      <c r="F353" s="45">
        <f ca="1" t="shared" si="84"/>
        <v>0</v>
      </c>
      <c r="I353" s="45">
        <f ca="1" t="shared" si="82"/>
        <v>0</v>
      </c>
    </row>
    <row r="354" spans="5:9">
      <c r="E354" s="45">
        <f ca="1" t="shared" si="83"/>
        <v>0</v>
      </c>
      <c r="F354" s="45">
        <f ca="1" t="shared" si="84"/>
        <v>0</v>
      </c>
      <c r="I354" s="45">
        <f ca="1" t="shared" si="82"/>
        <v>0</v>
      </c>
    </row>
    <row r="355" spans="5:9">
      <c r="E355" s="45">
        <f ca="1" t="shared" si="83"/>
        <v>0</v>
      </c>
      <c r="F355" s="45">
        <f ca="1" t="shared" si="84"/>
        <v>0</v>
      </c>
      <c r="I355" s="45">
        <f ca="1" t="shared" si="82"/>
        <v>2600</v>
      </c>
    </row>
    <row r="356" spans="5:9">
      <c r="E356" s="45">
        <f ca="1" t="shared" si="83"/>
        <v>0</v>
      </c>
      <c r="F356" s="45">
        <f ca="1" t="shared" si="84"/>
        <v>0</v>
      </c>
      <c r="I356" s="45">
        <f ca="1" t="shared" si="82"/>
        <v>2400</v>
      </c>
    </row>
    <row r="357" spans="5:9">
      <c r="E357" s="45">
        <f ca="1" t="shared" si="83"/>
        <v>0</v>
      </c>
      <c r="F357" s="45">
        <f ca="1" t="shared" si="84"/>
        <v>0</v>
      </c>
      <c r="I357" s="45">
        <f ca="1" t="shared" si="82"/>
        <v>0</v>
      </c>
    </row>
    <row r="358" spans="5:9">
      <c r="E358" s="45">
        <f ca="1" t="shared" si="83"/>
        <v>0</v>
      </c>
      <c r="F358" s="45">
        <f ca="1" t="shared" si="84"/>
        <v>0</v>
      </c>
      <c r="I358" s="45">
        <f ca="1" t="shared" ref="I358:I380" si="85">F118</f>
        <v>0</v>
      </c>
    </row>
    <row r="359" spans="5:9">
      <c r="E359" s="45">
        <f ca="1" t="shared" si="83"/>
        <v>0</v>
      </c>
      <c r="F359" s="45">
        <f ca="1" t="shared" si="84"/>
        <v>0</v>
      </c>
      <c r="I359" s="45">
        <f ca="1" t="shared" si="85"/>
        <v>0</v>
      </c>
    </row>
    <row r="360" spans="5:9">
      <c r="E360" s="45">
        <f ca="1" t="shared" si="83"/>
        <v>0</v>
      </c>
      <c r="F360" s="45">
        <f ca="1" t="shared" si="84"/>
        <v>0</v>
      </c>
      <c r="I360" s="45">
        <f ca="1" t="shared" si="85"/>
        <v>0</v>
      </c>
    </row>
    <row r="361" spans="5:9">
      <c r="E361" s="45">
        <f ca="1" t="shared" si="83"/>
        <v>0</v>
      </c>
      <c r="F361" s="45">
        <f ca="1" t="shared" si="84"/>
        <v>0</v>
      </c>
      <c r="I361" s="45">
        <f ca="1" t="shared" si="85"/>
        <v>0</v>
      </c>
    </row>
    <row r="362" spans="5:9">
      <c r="E362" s="45">
        <f ca="1" t="shared" si="83"/>
        <v>0</v>
      </c>
      <c r="F362" s="45">
        <f ca="1" t="shared" si="84"/>
        <v>0</v>
      </c>
      <c r="I362" s="45">
        <f ca="1" t="shared" si="85"/>
        <v>0</v>
      </c>
    </row>
    <row r="363" spans="5:9">
      <c r="E363" s="45">
        <f ca="1" t="shared" si="83"/>
        <v>0</v>
      </c>
      <c r="F363" s="45">
        <f ca="1" t="shared" si="84"/>
        <v>0</v>
      </c>
      <c r="I363" s="45">
        <f ca="1" t="shared" si="85"/>
        <v>2300</v>
      </c>
    </row>
    <row r="364" spans="5:9">
      <c r="E364" s="45">
        <f ca="1" t="shared" si="83"/>
        <v>0</v>
      </c>
      <c r="F364" s="45">
        <f ca="1" t="shared" si="84"/>
        <v>0</v>
      </c>
      <c r="I364" s="45">
        <f ca="1" t="shared" si="85"/>
        <v>2700</v>
      </c>
    </row>
    <row r="365" spans="5:9">
      <c r="E365" s="45">
        <f ca="1" t="shared" si="83"/>
        <v>0</v>
      </c>
      <c r="F365" s="45">
        <f ca="1" t="shared" si="84"/>
        <v>0</v>
      </c>
      <c r="I365" s="45">
        <f ca="1" t="shared" si="85"/>
        <v>0</v>
      </c>
    </row>
    <row r="366" spans="5:9">
      <c r="E366" s="45">
        <f ca="1" t="shared" si="83"/>
        <v>0</v>
      </c>
      <c r="F366" s="45">
        <f ca="1" t="shared" si="84"/>
        <v>0</v>
      </c>
      <c r="I366" s="45">
        <f ca="1" t="shared" si="85"/>
        <v>0</v>
      </c>
    </row>
    <row r="367" spans="5:9">
      <c r="E367" s="45">
        <f ca="1" t="shared" si="83"/>
        <v>0</v>
      </c>
      <c r="F367" s="45">
        <f ca="1" t="shared" si="84"/>
        <v>0</v>
      </c>
      <c r="I367" s="45">
        <f ca="1" t="shared" si="85"/>
        <v>0</v>
      </c>
    </row>
    <row r="368" spans="5:9">
      <c r="E368" s="45">
        <f ca="1" t="shared" si="83"/>
        <v>0</v>
      </c>
      <c r="F368" s="45">
        <f ca="1" t="shared" si="84"/>
        <v>0</v>
      </c>
      <c r="I368" s="45">
        <f ca="1" t="shared" si="85"/>
        <v>0</v>
      </c>
    </row>
    <row r="369" spans="5:9">
      <c r="E369" s="45">
        <f ca="1" t="shared" si="83"/>
        <v>0</v>
      </c>
      <c r="F369" s="45">
        <f ca="1" t="shared" si="84"/>
        <v>0</v>
      </c>
      <c r="I369" s="45">
        <f ca="1" t="shared" si="85"/>
        <v>0</v>
      </c>
    </row>
    <row r="370" spans="5:9">
      <c r="E370" s="45">
        <f ca="1" t="shared" si="83"/>
        <v>0</v>
      </c>
      <c r="F370" s="45">
        <f ca="1" t="shared" si="84"/>
        <v>0</v>
      </c>
      <c r="I370" s="45">
        <f ca="1" t="shared" si="85"/>
        <v>0</v>
      </c>
    </row>
    <row r="371" spans="5:9">
      <c r="E371" s="45">
        <f ca="1" t="shared" si="83"/>
        <v>0</v>
      </c>
      <c r="F371" s="45">
        <f ca="1" t="shared" si="84"/>
        <v>0</v>
      </c>
      <c r="I371" s="45">
        <f ca="1" t="shared" si="85"/>
        <v>2000</v>
      </c>
    </row>
    <row r="372" spans="5:9">
      <c r="E372" s="45">
        <f ca="1" t="shared" si="83"/>
        <v>0</v>
      </c>
      <c r="F372" s="45">
        <f ca="1" t="shared" si="84"/>
        <v>0</v>
      </c>
      <c r="I372" s="45">
        <f ca="1" t="shared" si="85"/>
        <v>3000</v>
      </c>
    </row>
    <row r="373" spans="5:9">
      <c r="E373" s="45">
        <f ca="1" t="shared" si="83"/>
        <v>0</v>
      </c>
      <c r="F373" s="45">
        <f ca="1" t="shared" si="84"/>
        <v>0</v>
      </c>
      <c r="I373" s="45">
        <f ca="1" t="shared" si="85"/>
        <v>0</v>
      </c>
    </row>
    <row r="374" spans="5:9">
      <c r="E374" s="45">
        <f ca="1" t="shared" si="83"/>
        <v>0</v>
      </c>
      <c r="F374" s="45">
        <f ca="1" t="shared" si="84"/>
        <v>0</v>
      </c>
      <c r="I374" s="45">
        <f ca="1" t="shared" si="85"/>
        <v>0</v>
      </c>
    </row>
    <row r="375" spans="5:9">
      <c r="E375" s="45">
        <f ca="1" t="shared" si="83"/>
        <v>0</v>
      </c>
      <c r="F375" s="45">
        <f ca="1" t="shared" si="84"/>
        <v>0</v>
      </c>
      <c r="I375" s="45">
        <f ca="1" t="shared" si="85"/>
        <v>0</v>
      </c>
    </row>
    <row r="376" spans="5:9">
      <c r="E376" s="45">
        <f ca="1" t="shared" si="83"/>
        <v>0</v>
      </c>
      <c r="F376" s="45">
        <f ca="1" t="shared" si="84"/>
        <v>0</v>
      </c>
      <c r="I376" s="45">
        <f ca="1" t="shared" si="85"/>
        <v>0</v>
      </c>
    </row>
    <row r="377" spans="5:9">
      <c r="E377" s="45">
        <f ca="1" t="shared" si="83"/>
        <v>0</v>
      </c>
      <c r="F377" s="45">
        <f ca="1" t="shared" si="84"/>
        <v>0</v>
      </c>
      <c r="I377" s="45">
        <f ca="1" t="shared" si="85"/>
        <v>0</v>
      </c>
    </row>
    <row r="378" spans="5:9">
      <c r="E378" s="45">
        <f ca="1" t="shared" si="83"/>
        <v>0</v>
      </c>
      <c r="F378" s="45">
        <f ca="1" t="shared" si="84"/>
        <v>0</v>
      </c>
      <c r="I378" s="45">
        <f ca="1" t="shared" si="85"/>
        <v>0</v>
      </c>
    </row>
    <row r="379" spans="5:9">
      <c r="E379" s="45">
        <f ca="1" t="shared" si="83"/>
        <v>0</v>
      </c>
      <c r="F379" s="45">
        <f ca="1" t="shared" si="84"/>
        <v>0</v>
      </c>
      <c r="I379" s="45">
        <f ca="1" t="shared" si="85"/>
        <v>2000</v>
      </c>
    </row>
    <row r="380" spans="5:9">
      <c r="E380" s="45">
        <f ca="1" t="shared" si="83"/>
        <v>0</v>
      </c>
      <c r="F380" s="45">
        <f ca="1" t="shared" si="84"/>
        <v>0</v>
      </c>
      <c r="I380" s="45">
        <f ca="1" t="shared" si="85"/>
        <v>3000</v>
      </c>
    </row>
    <row r="381" spans="5:9">
      <c r="E381" s="45">
        <f ca="1" t="shared" si="83"/>
        <v>0</v>
      </c>
      <c r="F381" s="45">
        <f ca="1" t="shared" si="84"/>
        <v>0</v>
      </c>
      <c r="I381" s="45">
        <f>H21</f>
        <v>0</v>
      </c>
    </row>
    <row r="382" spans="5:9">
      <c r="E382" s="45">
        <f ca="1" t="shared" si="83"/>
        <v>0</v>
      </c>
      <c r="F382" s="45">
        <f ca="1" t="shared" si="84"/>
        <v>0</v>
      </c>
      <c r="I382" s="45">
        <f t="shared" ref="I382:I413" si="86">H22</f>
        <v>0</v>
      </c>
    </row>
    <row r="383" spans="5:9">
      <c r="E383" s="45">
        <f ca="1" t="shared" si="83"/>
        <v>0</v>
      </c>
      <c r="F383" s="45">
        <f ca="1" t="shared" si="84"/>
        <v>0</v>
      </c>
      <c r="I383" s="45">
        <f t="shared" si="86"/>
        <v>0</v>
      </c>
    </row>
    <row r="384" spans="5:9">
      <c r="E384" s="45">
        <f ca="1" t="shared" si="83"/>
        <v>0</v>
      </c>
      <c r="F384" s="45">
        <f ca="1" t="shared" si="84"/>
        <v>0</v>
      </c>
      <c r="I384" s="45">
        <f t="shared" si="86"/>
        <v>0</v>
      </c>
    </row>
    <row r="385" spans="5:9">
      <c r="E385" s="45">
        <f ca="1" t="shared" si="83"/>
        <v>0</v>
      </c>
      <c r="F385" s="45">
        <f ca="1" t="shared" si="84"/>
        <v>0</v>
      </c>
      <c r="I385" s="45">
        <f t="shared" si="86"/>
        <v>0</v>
      </c>
    </row>
    <row r="386" spans="5:9">
      <c r="E386" s="45">
        <f ca="1" t="shared" si="83"/>
        <v>0</v>
      </c>
      <c r="F386" s="45">
        <f ca="1" t="shared" si="84"/>
        <v>0</v>
      </c>
      <c r="I386" s="45">
        <f t="shared" si="86"/>
        <v>0</v>
      </c>
    </row>
    <row r="387" spans="5:9">
      <c r="E387" s="45">
        <f ca="1" t="shared" si="83"/>
        <v>0</v>
      </c>
      <c r="F387" s="45">
        <f ca="1" t="shared" si="84"/>
        <v>0</v>
      </c>
      <c r="I387" s="45">
        <f t="shared" si="86"/>
        <v>0</v>
      </c>
    </row>
    <row r="388" spans="5:9">
      <c r="E388" s="45">
        <f ca="1" t="shared" si="83"/>
        <v>0</v>
      </c>
      <c r="F388" s="45">
        <f ca="1" t="shared" si="84"/>
        <v>0</v>
      </c>
      <c r="I388" s="45">
        <f t="shared" si="86"/>
        <v>0</v>
      </c>
    </row>
    <row r="389" spans="5:9">
      <c r="E389" s="45">
        <f ca="1" t="shared" si="83"/>
        <v>0</v>
      </c>
      <c r="F389" s="45">
        <f ca="1" t="shared" si="84"/>
        <v>0</v>
      </c>
      <c r="I389" s="45">
        <f t="shared" si="86"/>
        <v>0</v>
      </c>
    </row>
    <row r="390" spans="5:9">
      <c r="E390" s="45">
        <f ca="1" t="shared" si="83"/>
        <v>0</v>
      </c>
      <c r="F390" s="45">
        <f ca="1" t="shared" si="84"/>
        <v>0</v>
      </c>
      <c r="I390" s="45">
        <f t="shared" si="86"/>
        <v>0</v>
      </c>
    </row>
    <row r="391" spans="5:9">
      <c r="E391" s="45">
        <f ca="1" t="shared" si="83"/>
        <v>0</v>
      </c>
      <c r="F391" s="45">
        <f ca="1" t="shared" si="84"/>
        <v>0</v>
      </c>
      <c r="I391" s="45">
        <f t="shared" si="86"/>
        <v>0</v>
      </c>
    </row>
    <row r="392" spans="5:9">
      <c r="E392" s="45">
        <f ca="1" t="shared" si="83"/>
        <v>0</v>
      </c>
      <c r="F392" s="45">
        <f ca="1" t="shared" si="84"/>
        <v>0</v>
      </c>
      <c r="I392" s="45">
        <f t="shared" si="86"/>
        <v>0</v>
      </c>
    </row>
    <row r="393" spans="5:9">
      <c r="E393" s="45">
        <f ca="1" t="shared" si="83"/>
        <v>0</v>
      </c>
      <c r="F393" s="45">
        <f ca="1" t="shared" si="84"/>
        <v>0</v>
      </c>
      <c r="I393" s="45">
        <f t="shared" si="86"/>
        <v>0</v>
      </c>
    </row>
    <row r="394" spans="5:9">
      <c r="E394" s="45">
        <f ca="1" t="shared" si="83"/>
        <v>0</v>
      </c>
      <c r="F394" s="45">
        <f ca="1" t="shared" si="84"/>
        <v>0</v>
      </c>
      <c r="I394" s="45">
        <f t="shared" si="86"/>
        <v>0</v>
      </c>
    </row>
    <row r="395" spans="5:9">
      <c r="E395" s="45">
        <f ca="1" t="shared" si="83"/>
        <v>0</v>
      </c>
      <c r="F395" s="45">
        <f ca="1" t="shared" si="84"/>
        <v>0</v>
      </c>
      <c r="I395" s="45">
        <f t="shared" si="86"/>
        <v>0</v>
      </c>
    </row>
    <row r="396" spans="5:9">
      <c r="E396" s="45">
        <f ca="1" t="shared" si="83"/>
        <v>0</v>
      </c>
      <c r="F396" s="45">
        <f ca="1" t="shared" si="84"/>
        <v>0</v>
      </c>
      <c r="I396" s="45">
        <f t="shared" si="86"/>
        <v>0</v>
      </c>
    </row>
    <row r="397" spans="5:9">
      <c r="E397" s="45">
        <f ca="1" t="shared" si="83"/>
        <v>0</v>
      </c>
      <c r="F397" s="45">
        <f ca="1" t="shared" si="84"/>
        <v>0</v>
      </c>
      <c r="I397" s="45">
        <f t="shared" si="86"/>
        <v>0</v>
      </c>
    </row>
    <row r="398" spans="5:9">
      <c r="E398" s="45">
        <f ca="1" t="shared" si="83"/>
        <v>0</v>
      </c>
      <c r="F398" s="45">
        <f ca="1" t="shared" si="84"/>
        <v>0</v>
      </c>
      <c r="I398" s="45">
        <f t="shared" si="86"/>
        <v>0</v>
      </c>
    </row>
    <row r="399" spans="5:9">
      <c r="E399" s="45">
        <f ca="1" t="shared" si="83"/>
        <v>0</v>
      </c>
      <c r="F399" s="45">
        <f ca="1" t="shared" si="84"/>
        <v>0</v>
      </c>
      <c r="I399" s="45">
        <f t="shared" si="86"/>
        <v>0</v>
      </c>
    </row>
    <row r="400" spans="5:9">
      <c r="E400" s="45">
        <f ca="1" t="shared" si="83"/>
        <v>0</v>
      </c>
      <c r="F400" s="45">
        <f ca="1" t="shared" si="84"/>
        <v>0</v>
      </c>
      <c r="I400" s="45">
        <f t="shared" si="86"/>
        <v>0</v>
      </c>
    </row>
    <row r="401" spans="5:9">
      <c r="E401" s="45">
        <f ca="1" t="shared" si="83"/>
        <v>0</v>
      </c>
      <c r="F401" s="45">
        <f ca="1" t="shared" si="84"/>
        <v>0</v>
      </c>
      <c r="I401" s="45">
        <f t="shared" si="86"/>
        <v>0</v>
      </c>
    </row>
    <row r="402" spans="5:9">
      <c r="E402" s="45">
        <f ca="1" t="shared" si="83"/>
        <v>0</v>
      </c>
      <c r="F402" s="45">
        <f ca="1" t="shared" si="84"/>
        <v>0</v>
      </c>
      <c r="I402" s="45">
        <f t="shared" si="86"/>
        <v>0</v>
      </c>
    </row>
    <row r="403" spans="5:9">
      <c r="E403" s="45">
        <f ca="1" t="shared" si="83"/>
        <v>0</v>
      </c>
      <c r="F403" s="45">
        <f ca="1" t="shared" si="84"/>
        <v>0</v>
      </c>
      <c r="I403" s="45">
        <f t="shared" si="86"/>
        <v>0</v>
      </c>
    </row>
    <row r="404" spans="5:9">
      <c r="E404" s="45">
        <f ca="1" t="shared" si="83"/>
        <v>0</v>
      </c>
      <c r="F404" s="45">
        <f ca="1" t="shared" si="84"/>
        <v>0</v>
      </c>
      <c r="I404" s="45">
        <f t="shared" si="86"/>
        <v>0</v>
      </c>
    </row>
    <row r="405" spans="5:9">
      <c r="E405" s="45">
        <f ca="1" t="shared" si="83"/>
        <v>0</v>
      </c>
      <c r="F405" s="45">
        <f ca="1" t="shared" si="84"/>
        <v>0</v>
      </c>
      <c r="I405" s="45">
        <f t="shared" si="86"/>
        <v>0</v>
      </c>
    </row>
    <row r="406" spans="5:9">
      <c r="E406" s="45">
        <f ca="1" t="shared" ref="E406:E469" si="87">IFERROR(INT(OFFSET($AE$60,C406,D406)*10000),0)</f>
        <v>0</v>
      </c>
      <c r="F406" s="45">
        <f ca="1" t="shared" ref="F406:F469" si="88">IFERROR(INT(OFFSET($AE$43,C406,D406)*10000),0)</f>
        <v>0</v>
      </c>
      <c r="I406" s="45">
        <f t="shared" si="86"/>
        <v>0</v>
      </c>
    </row>
    <row r="407" spans="5:9">
      <c r="E407" s="45">
        <f ca="1" t="shared" si="87"/>
        <v>0</v>
      </c>
      <c r="F407" s="45">
        <f ca="1" t="shared" si="88"/>
        <v>0</v>
      </c>
      <c r="I407" s="45">
        <f t="shared" si="86"/>
        <v>0</v>
      </c>
    </row>
    <row r="408" spans="5:9">
      <c r="E408" s="45">
        <f ca="1" t="shared" si="87"/>
        <v>0</v>
      </c>
      <c r="F408" s="45">
        <f ca="1" t="shared" si="88"/>
        <v>0</v>
      </c>
      <c r="I408" s="45">
        <f t="shared" si="86"/>
        <v>0</v>
      </c>
    </row>
    <row r="409" spans="5:9">
      <c r="E409" s="45">
        <f ca="1" t="shared" si="87"/>
        <v>0</v>
      </c>
      <c r="F409" s="45">
        <f ca="1" t="shared" si="88"/>
        <v>0</v>
      </c>
      <c r="I409" s="45">
        <f t="shared" si="86"/>
        <v>0</v>
      </c>
    </row>
    <row r="410" spans="5:9">
      <c r="E410" s="45">
        <f ca="1" t="shared" si="87"/>
        <v>0</v>
      </c>
      <c r="F410" s="45">
        <f ca="1" t="shared" si="88"/>
        <v>0</v>
      </c>
      <c r="I410" s="45">
        <f t="shared" si="86"/>
        <v>0</v>
      </c>
    </row>
    <row r="411" spans="5:9">
      <c r="E411" s="45">
        <f ca="1" t="shared" si="87"/>
        <v>0</v>
      </c>
      <c r="F411" s="45">
        <f ca="1" t="shared" si="88"/>
        <v>0</v>
      </c>
      <c r="I411" s="45">
        <f t="shared" si="86"/>
        <v>0</v>
      </c>
    </row>
    <row r="412" spans="5:9">
      <c r="E412" s="45">
        <f ca="1" t="shared" si="87"/>
        <v>0</v>
      </c>
      <c r="F412" s="45">
        <f ca="1" t="shared" si="88"/>
        <v>0</v>
      </c>
      <c r="I412" s="45">
        <f t="shared" si="86"/>
        <v>0</v>
      </c>
    </row>
    <row r="413" spans="5:9">
      <c r="E413" s="45">
        <f ca="1" t="shared" si="87"/>
        <v>0</v>
      </c>
      <c r="F413" s="45">
        <f ca="1" t="shared" si="88"/>
        <v>0</v>
      </c>
      <c r="I413" s="45">
        <f t="shared" si="86"/>
        <v>0</v>
      </c>
    </row>
    <row r="414" spans="5:9">
      <c r="E414" s="45">
        <f ca="1" t="shared" si="87"/>
        <v>0</v>
      </c>
      <c r="F414" s="45">
        <f ca="1" t="shared" si="88"/>
        <v>0</v>
      </c>
      <c r="I414" s="45">
        <f t="shared" ref="I414:I445" si="89">H54</f>
        <v>0</v>
      </c>
    </row>
    <row r="415" spans="5:9">
      <c r="E415" s="45">
        <f ca="1" t="shared" si="87"/>
        <v>0</v>
      </c>
      <c r="F415" s="45">
        <f ca="1" t="shared" si="88"/>
        <v>0</v>
      </c>
      <c r="I415" s="45">
        <f t="shared" si="89"/>
        <v>0</v>
      </c>
    </row>
    <row r="416" spans="5:9">
      <c r="E416" s="45">
        <f ca="1" t="shared" si="87"/>
        <v>0</v>
      </c>
      <c r="F416" s="45">
        <f ca="1" t="shared" si="88"/>
        <v>0</v>
      </c>
      <c r="I416" s="45">
        <f t="shared" si="89"/>
        <v>0</v>
      </c>
    </row>
    <row r="417" spans="5:9">
      <c r="E417" s="45">
        <f ca="1" t="shared" si="87"/>
        <v>0</v>
      </c>
      <c r="F417" s="45">
        <f ca="1" t="shared" si="88"/>
        <v>0</v>
      </c>
      <c r="I417" s="45">
        <f t="shared" si="89"/>
        <v>0</v>
      </c>
    </row>
    <row r="418" spans="5:9">
      <c r="E418" s="45">
        <f ca="1" t="shared" si="87"/>
        <v>0</v>
      </c>
      <c r="F418" s="45">
        <f ca="1" t="shared" si="88"/>
        <v>0</v>
      </c>
      <c r="I418" s="45">
        <f t="shared" si="89"/>
        <v>0</v>
      </c>
    </row>
    <row r="419" spans="5:9">
      <c r="E419" s="45">
        <f ca="1" t="shared" si="87"/>
        <v>0</v>
      </c>
      <c r="F419" s="45">
        <f ca="1" t="shared" si="88"/>
        <v>0</v>
      </c>
      <c r="I419" s="45">
        <f t="shared" si="89"/>
        <v>0</v>
      </c>
    </row>
    <row r="420" spans="5:9">
      <c r="E420" s="45">
        <f ca="1" t="shared" si="87"/>
        <v>0</v>
      </c>
      <c r="F420" s="45">
        <f ca="1" t="shared" si="88"/>
        <v>0</v>
      </c>
      <c r="I420" s="45">
        <f t="shared" si="89"/>
        <v>0</v>
      </c>
    </row>
    <row r="421" spans="5:9">
      <c r="E421" s="45">
        <f ca="1" t="shared" si="87"/>
        <v>0</v>
      </c>
      <c r="F421" s="45">
        <f ca="1" t="shared" si="88"/>
        <v>0</v>
      </c>
      <c r="I421" s="45">
        <f t="shared" si="89"/>
        <v>0</v>
      </c>
    </row>
    <row r="422" spans="5:9">
      <c r="E422" s="45">
        <f ca="1" t="shared" si="87"/>
        <v>0</v>
      </c>
      <c r="F422" s="45">
        <f ca="1" t="shared" si="88"/>
        <v>0</v>
      </c>
      <c r="I422" s="45">
        <f t="shared" si="89"/>
        <v>0</v>
      </c>
    </row>
    <row r="423" spans="5:9">
      <c r="E423" s="45">
        <f ca="1" t="shared" si="87"/>
        <v>0</v>
      </c>
      <c r="F423" s="45">
        <f ca="1" t="shared" si="88"/>
        <v>0</v>
      </c>
      <c r="I423" s="45">
        <f t="shared" si="89"/>
        <v>0</v>
      </c>
    </row>
    <row r="424" spans="5:9">
      <c r="E424" s="45">
        <f ca="1" t="shared" si="87"/>
        <v>0</v>
      </c>
      <c r="F424" s="45">
        <f ca="1" t="shared" si="88"/>
        <v>0</v>
      </c>
      <c r="I424" s="45">
        <f t="shared" si="89"/>
        <v>0</v>
      </c>
    </row>
    <row r="425" spans="5:9">
      <c r="E425" s="45">
        <f ca="1" t="shared" si="87"/>
        <v>0</v>
      </c>
      <c r="F425" s="45">
        <f ca="1" t="shared" si="88"/>
        <v>0</v>
      </c>
      <c r="I425" s="45">
        <f t="shared" si="89"/>
        <v>0</v>
      </c>
    </row>
    <row r="426" spans="5:9">
      <c r="E426" s="45">
        <f ca="1" t="shared" si="87"/>
        <v>0</v>
      </c>
      <c r="F426" s="45">
        <f ca="1" t="shared" si="88"/>
        <v>0</v>
      </c>
      <c r="I426" s="45">
        <f t="shared" si="89"/>
        <v>0</v>
      </c>
    </row>
    <row r="427" spans="5:9">
      <c r="E427" s="45">
        <f ca="1" t="shared" si="87"/>
        <v>0</v>
      </c>
      <c r="F427" s="45">
        <f ca="1" t="shared" si="88"/>
        <v>0</v>
      </c>
      <c r="I427" s="45">
        <f t="shared" si="89"/>
        <v>0</v>
      </c>
    </row>
    <row r="428" spans="5:9">
      <c r="E428" s="45">
        <f ca="1" t="shared" si="87"/>
        <v>0</v>
      </c>
      <c r="F428" s="45">
        <f ca="1" t="shared" si="88"/>
        <v>0</v>
      </c>
      <c r="I428" s="45">
        <f t="shared" si="89"/>
        <v>0</v>
      </c>
    </row>
    <row r="429" spans="5:9">
      <c r="E429" s="45">
        <f ca="1" t="shared" si="87"/>
        <v>0</v>
      </c>
      <c r="F429" s="45">
        <f ca="1" t="shared" si="88"/>
        <v>0</v>
      </c>
      <c r="I429" s="45">
        <f t="shared" si="89"/>
        <v>0</v>
      </c>
    </row>
    <row r="430" spans="5:9">
      <c r="E430" s="45">
        <f ca="1" t="shared" si="87"/>
        <v>0</v>
      </c>
      <c r="F430" s="45">
        <f ca="1" t="shared" si="88"/>
        <v>0</v>
      </c>
      <c r="I430" s="45">
        <f t="shared" si="89"/>
        <v>0</v>
      </c>
    </row>
    <row r="431" spans="5:9">
      <c r="E431" s="45">
        <f ca="1" t="shared" si="87"/>
        <v>0</v>
      </c>
      <c r="F431" s="45">
        <f ca="1" t="shared" si="88"/>
        <v>0</v>
      </c>
      <c r="I431" s="45">
        <f t="shared" si="89"/>
        <v>0</v>
      </c>
    </row>
    <row r="432" spans="5:9">
      <c r="E432" s="45">
        <f ca="1" t="shared" si="87"/>
        <v>0</v>
      </c>
      <c r="F432" s="45">
        <f ca="1" t="shared" si="88"/>
        <v>0</v>
      </c>
      <c r="I432" s="45">
        <f t="shared" si="89"/>
        <v>0</v>
      </c>
    </row>
    <row r="433" spans="5:9">
      <c r="E433" s="45">
        <f ca="1" t="shared" si="87"/>
        <v>0</v>
      </c>
      <c r="F433" s="45">
        <f ca="1" t="shared" si="88"/>
        <v>0</v>
      </c>
      <c r="I433" s="45">
        <f t="shared" si="89"/>
        <v>0</v>
      </c>
    </row>
    <row r="434" spans="5:9">
      <c r="E434" s="45">
        <f ca="1" t="shared" si="87"/>
        <v>0</v>
      </c>
      <c r="F434" s="45">
        <f ca="1" t="shared" si="88"/>
        <v>0</v>
      </c>
      <c r="I434" s="45">
        <f t="shared" si="89"/>
        <v>0</v>
      </c>
    </row>
    <row r="435" spans="5:9">
      <c r="E435" s="45">
        <f ca="1" t="shared" si="87"/>
        <v>0</v>
      </c>
      <c r="F435" s="45">
        <f ca="1" t="shared" si="88"/>
        <v>0</v>
      </c>
      <c r="I435" s="45">
        <f t="shared" si="89"/>
        <v>0</v>
      </c>
    </row>
    <row r="436" spans="5:9">
      <c r="E436" s="45">
        <f ca="1" t="shared" si="87"/>
        <v>0</v>
      </c>
      <c r="F436" s="45">
        <f ca="1" t="shared" si="88"/>
        <v>0</v>
      </c>
      <c r="I436" s="45">
        <f t="shared" si="89"/>
        <v>0</v>
      </c>
    </row>
    <row r="437" spans="5:9">
      <c r="E437" s="45">
        <f ca="1" t="shared" si="87"/>
        <v>0</v>
      </c>
      <c r="F437" s="45">
        <f ca="1" t="shared" si="88"/>
        <v>0</v>
      </c>
      <c r="I437" s="45">
        <f t="shared" si="89"/>
        <v>0</v>
      </c>
    </row>
    <row r="438" spans="5:9">
      <c r="E438" s="45">
        <f ca="1" t="shared" si="87"/>
        <v>0</v>
      </c>
      <c r="F438" s="45">
        <f ca="1" t="shared" si="88"/>
        <v>0</v>
      </c>
      <c r="I438" s="45">
        <f t="shared" si="89"/>
        <v>0</v>
      </c>
    </row>
    <row r="439" spans="5:9">
      <c r="E439" s="45">
        <f ca="1" t="shared" si="87"/>
        <v>0</v>
      </c>
      <c r="F439" s="45">
        <f ca="1" t="shared" si="88"/>
        <v>0</v>
      </c>
      <c r="I439" s="45">
        <f t="shared" si="89"/>
        <v>0</v>
      </c>
    </row>
    <row r="440" spans="5:9">
      <c r="E440" s="45">
        <f ca="1" t="shared" si="87"/>
        <v>0</v>
      </c>
      <c r="F440" s="45">
        <f ca="1" t="shared" si="88"/>
        <v>0</v>
      </c>
      <c r="I440" s="45">
        <f t="shared" si="89"/>
        <v>0</v>
      </c>
    </row>
    <row r="441" spans="5:9">
      <c r="E441" s="45">
        <f ca="1" t="shared" si="87"/>
        <v>0</v>
      </c>
      <c r="F441" s="45">
        <f ca="1" t="shared" si="88"/>
        <v>0</v>
      </c>
      <c r="I441" s="45">
        <f t="shared" si="89"/>
        <v>0</v>
      </c>
    </row>
    <row r="442" spans="5:9">
      <c r="E442" s="45">
        <f ca="1" t="shared" si="87"/>
        <v>0</v>
      </c>
      <c r="F442" s="45">
        <f ca="1" t="shared" si="88"/>
        <v>0</v>
      </c>
      <c r="I442" s="45">
        <f t="shared" si="89"/>
        <v>0</v>
      </c>
    </row>
    <row r="443" spans="5:9">
      <c r="E443" s="45">
        <f ca="1" t="shared" si="87"/>
        <v>0</v>
      </c>
      <c r="F443" s="45">
        <f ca="1" t="shared" si="88"/>
        <v>0</v>
      </c>
      <c r="I443" s="45">
        <f t="shared" si="89"/>
        <v>0</v>
      </c>
    </row>
    <row r="444" spans="5:9">
      <c r="E444" s="45">
        <f ca="1" t="shared" si="87"/>
        <v>0</v>
      </c>
      <c r="F444" s="45">
        <f ca="1" t="shared" si="88"/>
        <v>0</v>
      </c>
      <c r="I444" s="45">
        <f t="shared" si="89"/>
        <v>0</v>
      </c>
    </row>
    <row r="445" spans="5:9">
      <c r="E445" s="45">
        <f ca="1" t="shared" si="87"/>
        <v>0</v>
      </c>
      <c r="F445" s="45">
        <f ca="1" t="shared" si="88"/>
        <v>0</v>
      </c>
      <c r="I445" s="45">
        <f t="shared" si="89"/>
        <v>0</v>
      </c>
    </row>
    <row r="446" spans="5:9">
      <c r="E446" s="45">
        <f ca="1" t="shared" si="87"/>
        <v>0</v>
      </c>
      <c r="F446" s="45">
        <f ca="1" t="shared" si="88"/>
        <v>0</v>
      </c>
      <c r="I446" s="45">
        <f t="shared" ref="I446:I477" si="90">H86</f>
        <v>0</v>
      </c>
    </row>
    <row r="447" spans="5:9">
      <c r="E447" s="45">
        <f ca="1" t="shared" si="87"/>
        <v>0</v>
      </c>
      <c r="F447" s="45">
        <f ca="1" t="shared" si="88"/>
        <v>0</v>
      </c>
      <c r="I447" s="45">
        <f t="shared" si="90"/>
        <v>0</v>
      </c>
    </row>
    <row r="448" spans="5:9">
      <c r="E448" s="45">
        <f ca="1" t="shared" si="87"/>
        <v>0</v>
      </c>
      <c r="F448" s="45">
        <f ca="1" t="shared" si="88"/>
        <v>0</v>
      </c>
      <c r="I448" s="45">
        <f t="shared" si="90"/>
        <v>0</v>
      </c>
    </row>
    <row r="449" spans="5:9">
      <c r="E449" s="45">
        <f ca="1" t="shared" si="87"/>
        <v>0</v>
      </c>
      <c r="F449" s="45">
        <f ca="1" t="shared" si="88"/>
        <v>0</v>
      </c>
      <c r="I449" s="45">
        <f t="shared" si="90"/>
        <v>0</v>
      </c>
    </row>
    <row r="450" spans="5:9">
      <c r="E450" s="45">
        <f ca="1" t="shared" si="87"/>
        <v>0</v>
      </c>
      <c r="F450" s="45">
        <f ca="1" t="shared" si="88"/>
        <v>0</v>
      </c>
      <c r="I450" s="45">
        <f t="shared" si="90"/>
        <v>0</v>
      </c>
    </row>
    <row r="451" spans="5:9">
      <c r="E451" s="45">
        <f ca="1" t="shared" si="87"/>
        <v>0</v>
      </c>
      <c r="F451" s="45">
        <f ca="1" t="shared" si="88"/>
        <v>0</v>
      </c>
      <c r="I451" s="45">
        <f t="shared" si="90"/>
        <v>0</v>
      </c>
    </row>
    <row r="452" spans="5:9">
      <c r="E452" s="45">
        <f ca="1" t="shared" si="87"/>
        <v>0</v>
      </c>
      <c r="F452" s="45">
        <f ca="1" t="shared" si="88"/>
        <v>0</v>
      </c>
      <c r="I452" s="45">
        <f t="shared" si="90"/>
        <v>0</v>
      </c>
    </row>
    <row r="453" spans="5:9">
      <c r="E453" s="45">
        <f ca="1" t="shared" si="87"/>
        <v>0</v>
      </c>
      <c r="F453" s="45">
        <f ca="1" t="shared" si="88"/>
        <v>0</v>
      </c>
      <c r="I453" s="45">
        <f t="shared" si="90"/>
        <v>0</v>
      </c>
    </row>
    <row r="454" spans="5:9">
      <c r="E454" s="45">
        <f ca="1" t="shared" si="87"/>
        <v>0</v>
      </c>
      <c r="F454" s="45">
        <f ca="1" t="shared" si="88"/>
        <v>0</v>
      </c>
      <c r="I454" s="45">
        <f t="shared" si="90"/>
        <v>0</v>
      </c>
    </row>
    <row r="455" spans="5:9">
      <c r="E455" s="45">
        <f ca="1" t="shared" si="87"/>
        <v>0</v>
      </c>
      <c r="F455" s="45">
        <f ca="1" t="shared" si="88"/>
        <v>0</v>
      </c>
      <c r="I455" s="45">
        <f t="shared" si="90"/>
        <v>0</v>
      </c>
    </row>
    <row r="456" spans="5:9">
      <c r="E456" s="45">
        <f ca="1" t="shared" si="87"/>
        <v>0</v>
      </c>
      <c r="F456" s="45">
        <f ca="1" t="shared" si="88"/>
        <v>0</v>
      </c>
      <c r="I456" s="45">
        <f t="shared" si="90"/>
        <v>0</v>
      </c>
    </row>
    <row r="457" spans="5:9">
      <c r="E457" s="45">
        <f ca="1" t="shared" si="87"/>
        <v>0</v>
      </c>
      <c r="F457" s="45">
        <f ca="1" t="shared" si="88"/>
        <v>0</v>
      </c>
      <c r="I457" s="45">
        <f t="shared" si="90"/>
        <v>0</v>
      </c>
    </row>
    <row r="458" spans="5:9">
      <c r="E458" s="45">
        <f ca="1" t="shared" si="87"/>
        <v>0</v>
      </c>
      <c r="F458" s="45">
        <f ca="1" t="shared" si="88"/>
        <v>0</v>
      </c>
      <c r="I458" s="45">
        <f t="shared" si="90"/>
        <v>0</v>
      </c>
    </row>
    <row r="459" spans="5:9">
      <c r="E459" s="45">
        <f ca="1" t="shared" si="87"/>
        <v>0</v>
      </c>
      <c r="F459" s="45">
        <f ca="1" t="shared" si="88"/>
        <v>0</v>
      </c>
      <c r="I459" s="45">
        <f t="shared" si="90"/>
        <v>0</v>
      </c>
    </row>
    <row r="460" spans="5:9">
      <c r="E460" s="45">
        <f ca="1" t="shared" si="87"/>
        <v>0</v>
      </c>
      <c r="F460" s="45">
        <f ca="1" t="shared" si="88"/>
        <v>0</v>
      </c>
      <c r="I460" s="45">
        <f t="shared" si="90"/>
        <v>0</v>
      </c>
    </row>
    <row r="461" spans="5:9">
      <c r="E461" s="45">
        <f ca="1" t="shared" si="87"/>
        <v>0</v>
      </c>
      <c r="F461" s="45">
        <f ca="1" t="shared" si="88"/>
        <v>0</v>
      </c>
      <c r="I461" s="45">
        <f t="shared" si="90"/>
        <v>0</v>
      </c>
    </row>
    <row r="462" spans="5:9">
      <c r="E462" s="45">
        <f ca="1" t="shared" si="87"/>
        <v>0</v>
      </c>
      <c r="F462" s="45">
        <f ca="1" t="shared" si="88"/>
        <v>0</v>
      </c>
      <c r="I462" s="45">
        <f t="shared" si="90"/>
        <v>0</v>
      </c>
    </row>
    <row r="463" spans="5:9">
      <c r="E463" s="45">
        <f ca="1" t="shared" si="87"/>
        <v>0</v>
      </c>
      <c r="F463" s="45">
        <f ca="1" t="shared" si="88"/>
        <v>0</v>
      </c>
      <c r="I463" s="45">
        <f t="shared" si="90"/>
        <v>0</v>
      </c>
    </row>
    <row r="464" spans="5:9">
      <c r="E464" s="45">
        <f ca="1" t="shared" si="87"/>
        <v>0</v>
      </c>
      <c r="F464" s="45">
        <f ca="1" t="shared" si="88"/>
        <v>0</v>
      </c>
      <c r="I464" s="45">
        <f t="shared" si="90"/>
        <v>0</v>
      </c>
    </row>
    <row r="465" spans="5:9">
      <c r="E465" s="45">
        <f ca="1" t="shared" si="87"/>
        <v>0</v>
      </c>
      <c r="F465" s="45">
        <f ca="1" t="shared" si="88"/>
        <v>0</v>
      </c>
      <c r="I465" s="45">
        <f t="shared" si="90"/>
        <v>0</v>
      </c>
    </row>
    <row r="466" spans="5:9">
      <c r="E466" s="45">
        <f ca="1" t="shared" si="87"/>
        <v>0</v>
      </c>
      <c r="F466" s="45">
        <f ca="1" t="shared" si="88"/>
        <v>0</v>
      </c>
      <c r="I466" s="45">
        <f t="shared" si="90"/>
        <v>0</v>
      </c>
    </row>
    <row r="467" spans="5:9">
      <c r="E467" s="45">
        <f ca="1" t="shared" si="87"/>
        <v>0</v>
      </c>
      <c r="F467" s="45">
        <f ca="1" t="shared" si="88"/>
        <v>0</v>
      </c>
      <c r="I467" s="45">
        <f t="shared" si="90"/>
        <v>0</v>
      </c>
    </row>
    <row r="468" spans="5:9">
      <c r="E468" s="45">
        <f ca="1" t="shared" si="87"/>
        <v>0</v>
      </c>
      <c r="F468" s="45">
        <f ca="1" t="shared" si="88"/>
        <v>0</v>
      </c>
      <c r="I468" s="45">
        <f t="shared" si="90"/>
        <v>0</v>
      </c>
    </row>
    <row r="469" spans="5:9">
      <c r="E469" s="45">
        <f ca="1" t="shared" si="87"/>
        <v>0</v>
      </c>
      <c r="F469" s="45">
        <f ca="1" t="shared" si="88"/>
        <v>0</v>
      </c>
      <c r="I469" s="45">
        <f t="shared" si="90"/>
        <v>0</v>
      </c>
    </row>
    <row r="470" spans="5:9">
      <c r="E470" s="45">
        <f ca="1" t="shared" ref="E470:E500" si="91">IFERROR(INT(OFFSET($AE$60,C470,D470)*10000),0)</f>
        <v>0</v>
      </c>
      <c r="F470" s="45">
        <f ca="1" t="shared" ref="F470:F500" si="92">IFERROR(INT(OFFSET($AE$43,C470,D470)*10000),0)</f>
        <v>0</v>
      </c>
      <c r="I470" s="45">
        <f t="shared" si="90"/>
        <v>0</v>
      </c>
    </row>
    <row r="471" spans="5:9">
      <c r="E471" s="45">
        <f ca="1" t="shared" si="91"/>
        <v>0</v>
      </c>
      <c r="F471" s="45">
        <f ca="1" t="shared" si="92"/>
        <v>0</v>
      </c>
      <c r="I471" s="45">
        <f t="shared" si="90"/>
        <v>0</v>
      </c>
    </row>
    <row r="472" spans="5:9">
      <c r="E472" s="45">
        <f ca="1" t="shared" si="91"/>
        <v>0</v>
      </c>
      <c r="F472" s="45">
        <f ca="1" t="shared" si="92"/>
        <v>0</v>
      </c>
      <c r="I472" s="45">
        <f t="shared" si="90"/>
        <v>0</v>
      </c>
    </row>
    <row r="473" spans="5:9">
      <c r="E473" s="45">
        <f ca="1" t="shared" si="91"/>
        <v>0</v>
      </c>
      <c r="F473" s="45">
        <f ca="1" t="shared" si="92"/>
        <v>0</v>
      </c>
      <c r="I473" s="45">
        <f t="shared" si="90"/>
        <v>0</v>
      </c>
    </row>
    <row r="474" spans="5:9">
      <c r="E474" s="45">
        <f ca="1" t="shared" si="91"/>
        <v>0</v>
      </c>
      <c r="F474" s="45">
        <f ca="1" t="shared" si="92"/>
        <v>0</v>
      </c>
      <c r="I474" s="45">
        <f t="shared" si="90"/>
        <v>0</v>
      </c>
    </row>
    <row r="475" spans="5:9">
      <c r="E475" s="45">
        <f ca="1" t="shared" si="91"/>
        <v>0</v>
      </c>
      <c r="F475" s="45">
        <f ca="1" t="shared" si="92"/>
        <v>0</v>
      </c>
      <c r="I475" s="45">
        <f t="shared" si="90"/>
        <v>0</v>
      </c>
    </row>
    <row r="476" spans="5:9">
      <c r="E476" s="45">
        <f ca="1" t="shared" si="91"/>
        <v>0</v>
      </c>
      <c r="F476" s="45">
        <f ca="1" t="shared" si="92"/>
        <v>0</v>
      </c>
      <c r="I476" s="45">
        <f t="shared" si="90"/>
        <v>0</v>
      </c>
    </row>
    <row r="477" spans="5:9">
      <c r="E477" s="45">
        <f ca="1" t="shared" si="91"/>
        <v>0</v>
      </c>
      <c r="F477" s="45">
        <f ca="1" t="shared" si="92"/>
        <v>0</v>
      </c>
      <c r="I477" s="45">
        <f t="shared" si="90"/>
        <v>0</v>
      </c>
    </row>
    <row r="478" spans="5:9">
      <c r="E478" s="45">
        <f ca="1" t="shared" si="91"/>
        <v>0</v>
      </c>
      <c r="F478" s="45">
        <f ca="1" t="shared" si="92"/>
        <v>0</v>
      </c>
      <c r="I478" s="45">
        <f t="shared" ref="I478:I500" si="93">H118</f>
        <v>0</v>
      </c>
    </row>
    <row r="479" spans="5:9">
      <c r="E479" s="45">
        <f ca="1" t="shared" si="91"/>
        <v>0</v>
      </c>
      <c r="F479" s="45">
        <f ca="1" t="shared" si="92"/>
        <v>0</v>
      </c>
      <c r="I479" s="45">
        <f t="shared" si="93"/>
        <v>0</v>
      </c>
    </row>
    <row r="480" spans="5:9">
      <c r="E480" s="45">
        <f ca="1" t="shared" si="91"/>
        <v>0</v>
      </c>
      <c r="F480" s="45">
        <f ca="1" t="shared" si="92"/>
        <v>0</v>
      </c>
      <c r="I480" s="45">
        <f t="shared" si="93"/>
        <v>0</v>
      </c>
    </row>
    <row r="481" spans="5:9">
      <c r="E481" s="45">
        <f ca="1" t="shared" si="91"/>
        <v>0</v>
      </c>
      <c r="F481" s="45">
        <f ca="1" t="shared" si="92"/>
        <v>0</v>
      </c>
      <c r="I481" s="45">
        <f t="shared" si="93"/>
        <v>0</v>
      </c>
    </row>
    <row r="482" spans="5:9">
      <c r="E482" s="45">
        <f ca="1" t="shared" si="91"/>
        <v>0</v>
      </c>
      <c r="F482" s="45">
        <f ca="1" t="shared" si="92"/>
        <v>0</v>
      </c>
      <c r="I482" s="45">
        <f t="shared" si="93"/>
        <v>0</v>
      </c>
    </row>
    <row r="483" spans="5:9">
      <c r="E483" s="45">
        <f ca="1" t="shared" si="91"/>
        <v>0</v>
      </c>
      <c r="F483" s="45">
        <f ca="1" t="shared" si="92"/>
        <v>0</v>
      </c>
      <c r="I483" s="45">
        <f t="shared" si="93"/>
        <v>0</v>
      </c>
    </row>
    <row r="484" spans="5:9">
      <c r="E484" s="45">
        <f ca="1" t="shared" si="91"/>
        <v>0</v>
      </c>
      <c r="F484" s="45">
        <f ca="1" t="shared" si="92"/>
        <v>0</v>
      </c>
      <c r="I484" s="45">
        <f t="shared" si="93"/>
        <v>0</v>
      </c>
    </row>
    <row r="485" spans="5:9">
      <c r="E485" s="45">
        <f ca="1" t="shared" si="91"/>
        <v>0</v>
      </c>
      <c r="F485" s="45">
        <f ca="1" t="shared" si="92"/>
        <v>0</v>
      </c>
      <c r="I485" s="45">
        <f t="shared" si="93"/>
        <v>0</v>
      </c>
    </row>
    <row r="486" spans="5:9">
      <c r="E486" s="45">
        <f ca="1" t="shared" si="91"/>
        <v>0</v>
      </c>
      <c r="F486" s="45">
        <f ca="1" t="shared" si="92"/>
        <v>0</v>
      </c>
      <c r="I486" s="45">
        <f t="shared" si="93"/>
        <v>0</v>
      </c>
    </row>
    <row r="487" spans="5:9">
      <c r="E487" s="45">
        <f ca="1" t="shared" si="91"/>
        <v>0</v>
      </c>
      <c r="F487" s="45">
        <f ca="1" t="shared" si="92"/>
        <v>0</v>
      </c>
      <c r="I487" s="45">
        <f t="shared" si="93"/>
        <v>0</v>
      </c>
    </row>
    <row r="488" spans="5:9">
      <c r="E488" s="45">
        <f ca="1" t="shared" si="91"/>
        <v>0</v>
      </c>
      <c r="F488" s="45">
        <f ca="1" t="shared" si="92"/>
        <v>0</v>
      </c>
      <c r="I488" s="45">
        <f t="shared" si="93"/>
        <v>0</v>
      </c>
    </row>
    <row r="489" spans="5:9">
      <c r="E489" s="45">
        <f ca="1" t="shared" si="91"/>
        <v>0</v>
      </c>
      <c r="F489" s="45">
        <f ca="1" t="shared" si="92"/>
        <v>0</v>
      </c>
      <c r="I489" s="45">
        <f t="shared" si="93"/>
        <v>0</v>
      </c>
    </row>
    <row r="490" spans="5:9">
      <c r="E490" s="45">
        <f ca="1" t="shared" si="91"/>
        <v>0</v>
      </c>
      <c r="F490" s="45">
        <f ca="1" t="shared" si="92"/>
        <v>0</v>
      </c>
      <c r="I490" s="45">
        <f t="shared" si="93"/>
        <v>0</v>
      </c>
    </row>
    <row r="491" spans="5:9">
      <c r="E491" s="45">
        <f ca="1" t="shared" si="91"/>
        <v>0</v>
      </c>
      <c r="F491" s="45">
        <f ca="1" t="shared" si="92"/>
        <v>0</v>
      </c>
      <c r="I491" s="45">
        <f t="shared" si="93"/>
        <v>0</v>
      </c>
    </row>
    <row r="492" spans="5:9">
      <c r="E492" s="45">
        <f ca="1" t="shared" si="91"/>
        <v>0</v>
      </c>
      <c r="F492" s="45">
        <f ca="1" t="shared" si="92"/>
        <v>0</v>
      </c>
      <c r="I492" s="45">
        <f t="shared" si="93"/>
        <v>0</v>
      </c>
    </row>
    <row r="493" spans="5:9">
      <c r="E493" s="45">
        <f ca="1" t="shared" si="91"/>
        <v>0</v>
      </c>
      <c r="F493" s="45">
        <f ca="1" t="shared" si="92"/>
        <v>0</v>
      </c>
      <c r="I493" s="45">
        <f t="shared" si="93"/>
        <v>0</v>
      </c>
    </row>
    <row r="494" spans="5:9">
      <c r="E494" s="45">
        <f ca="1" t="shared" si="91"/>
        <v>0</v>
      </c>
      <c r="F494" s="45">
        <f ca="1" t="shared" si="92"/>
        <v>0</v>
      </c>
      <c r="I494" s="45">
        <f t="shared" si="93"/>
        <v>0</v>
      </c>
    </row>
    <row r="495" spans="5:9">
      <c r="E495" s="45">
        <f ca="1" t="shared" si="91"/>
        <v>0</v>
      </c>
      <c r="F495" s="45">
        <f ca="1" t="shared" si="92"/>
        <v>0</v>
      </c>
      <c r="I495" s="45">
        <f t="shared" si="93"/>
        <v>0</v>
      </c>
    </row>
    <row r="496" spans="5:9">
      <c r="E496" s="45">
        <f ca="1" t="shared" si="91"/>
        <v>0</v>
      </c>
      <c r="F496" s="45">
        <f ca="1" t="shared" si="92"/>
        <v>0</v>
      </c>
      <c r="I496" s="45">
        <f t="shared" si="93"/>
        <v>0</v>
      </c>
    </row>
    <row r="497" spans="5:9">
      <c r="E497" s="45">
        <f ca="1" t="shared" si="91"/>
        <v>0</v>
      </c>
      <c r="F497" s="45">
        <f ca="1" t="shared" si="92"/>
        <v>0</v>
      </c>
      <c r="I497" s="45">
        <f t="shared" si="93"/>
        <v>0</v>
      </c>
    </row>
    <row r="498" spans="5:9">
      <c r="E498" s="45">
        <f ca="1" t="shared" si="91"/>
        <v>0</v>
      </c>
      <c r="F498" s="45">
        <f ca="1" t="shared" si="92"/>
        <v>0</v>
      </c>
      <c r="I498" s="45">
        <f t="shared" si="93"/>
        <v>0</v>
      </c>
    </row>
    <row r="499" spans="5:9">
      <c r="E499" s="45">
        <f ca="1" t="shared" si="91"/>
        <v>0</v>
      </c>
      <c r="F499" s="45">
        <f ca="1" t="shared" si="92"/>
        <v>0</v>
      </c>
      <c r="I499" s="45">
        <f t="shared" si="93"/>
        <v>0</v>
      </c>
    </row>
    <row r="500" spans="5:9">
      <c r="E500" s="45">
        <f ca="1" t="shared" si="91"/>
        <v>0</v>
      </c>
      <c r="F500" s="45">
        <f ca="1" t="shared" si="92"/>
        <v>0</v>
      </c>
      <c r="I500" s="45">
        <f t="shared" si="93"/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K34"/>
  <sheetViews>
    <sheetView zoomScale="85" zoomScaleNormal="85" workbookViewId="0">
      <selection activeCell="E34" sqref="E34"/>
    </sheetView>
  </sheetViews>
  <sheetFormatPr defaultColWidth="9.14285714285714" defaultRowHeight="12.75"/>
  <cols>
    <col min="1" max="1" width="14"/>
    <col min="8" max="8" width="9.28571428571429"/>
    <col min="10" max="10" width="14.5714285714286"/>
    <col min="12" max="12" width="8.28571428571429" customWidth="1"/>
    <col min="13" max="13" width="8.71428571428571" customWidth="1"/>
    <col min="14" max="14" width="9.42857142857143" customWidth="1"/>
    <col min="15" max="15" width="9.28571428571429" customWidth="1"/>
    <col min="16" max="18" width="9.42857142857143" customWidth="1"/>
    <col min="19" max="19" width="10.4285714285714" customWidth="1"/>
    <col min="23" max="23" width="8.71428571428571" customWidth="1"/>
    <col min="24" max="24" width="7.85714285714286" customWidth="1"/>
    <col min="25" max="25" width="8.42857142857143" customWidth="1"/>
    <col min="27" max="27" width="10.2857142857143" customWidth="1"/>
    <col min="28" max="28" width="10.4285714285714" customWidth="1"/>
    <col min="29" max="29" width="9.71428571428571" customWidth="1"/>
    <col min="30" max="30" width="10.4285714285714" customWidth="1"/>
    <col min="31" max="31" width="11.4285714285714" customWidth="1"/>
    <col min="33" max="33" width="8" customWidth="1"/>
  </cols>
  <sheetData>
    <row r="1" ht="14.25" spans="1:33">
      <c r="H1" s="2"/>
      <c r="I1" s="2"/>
      <c r="J1" s="2" t="s">
        <v>159</v>
      </c>
      <c r="K1" s="36" t="s">
        <v>158</v>
      </c>
      <c r="L1" s="2">
        <v>1</v>
      </c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</row>
    <row r="2" ht="12.95" customHeight="1" spans="1:33">
      <c r="B2" s="37" t="s">
        <v>23</v>
      </c>
      <c r="C2" s="37" t="s">
        <v>27</v>
      </c>
      <c r="D2" s="37" t="s">
        <v>27</v>
      </c>
      <c r="E2" s="37" t="s">
        <v>25</v>
      </c>
      <c r="F2" s="37" t="s">
        <v>658</v>
      </c>
      <c r="G2" s="37" t="s">
        <v>659</v>
      </c>
      <c r="H2" s="37" t="s">
        <v>30</v>
      </c>
      <c r="I2" s="37" t="s">
        <v>30</v>
      </c>
      <c r="J2" s="37" t="s">
        <v>660</v>
      </c>
      <c r="K2" s="37" t="s">
        <v>165</v>
      </c>
      <c r="L2" s="38" t="s">
        <v>661</v>
      </c>
      <c r="M2" s="39"/>
      <c r="N2" s="39"/>
      <c r="O2" s="39"/>
      <c r="P2" s="39"/>
      <c r="Q2" s="39"/>
      <c r="R2" s="40"/>
      <c r="S2" s="37" t="s">
        <v>28</v>
      </c>
      <c r="T2" s="37" t="s">
        <v>29</v>
      </c>
      <c r="U2" s="37" t="s">
        <v>30</v>
      </c>
      <c r="V2" t="s">
        <v>662</v>
      </c>
      <c r="W2" s="37" t="s">
        <v>663</v>
      </c>
      <c r="X2" s="37"/>
      <c r="Y2" s="37"/>
      <c r="AA2" s="37" t="s">
        <v>664</v>
      </c>
      <c r="AB2" s="37"/>
      <c r="AC2" s="37"/>
      <c r="AD2" s="37" t="s">
        <v>665</v>
      </c>
    </row>
    <row r="3" ht="16.5" spans="1:33">
      <c r="A3" s="41">
        <f ca="1">AD3</f>
        <v>-0.211111111111111</v>
      </c>
      <c r="B3" s="42">
        <v>1</v>
      </c>
      <c r="C3" s="42">
        <v>4</v>
      </c>
      <c r="D3" s="42" t="str">
        <f>SUBSTITUTE(养成规划!H6,"","彩")</f>
        <v>蓝</v>
      </c>
      <c r="E3" s="42">
        <f>INT(养成规划!F6)</f>
        <v>10</v>
      </c>
      <c r="F3" s="42">
        <v>2</v>
      </c>
      <c r="G3" s="42">
        <f>INT(养成规划!G6)</f>
        <v>10</v>
      </c>
      <c r="H3" s="42">
        <v>0</v>
      </c>
      <c r="I3" s="42">
        <f>INT(SUMIFS(装备属性!$R$919:$R$955,装备属性!$P$919:$P$955,$D3,装备属性!$N$919:$N$955,$E3)*0)</f>
        <v>0</v>
      </c>
      <c r="J3" s="42">
        <f>H3+I3</f>
        <v>0</v>
      </c>
      <c r="K3" s="42"/>
      <c r="L3" s="42" t="str">
        <f>"["&amp;_xlfn.TEXTJOIN(",",1,M3:R3)&amp;"]"</f>
        <v>[{1,4,10,10,[{hunter_atk,0}],[]},{2,4,10,10,[{hunter_atk,0}],[]},{3,3,10,10,[{hunter_atk,0}],[]},{4,3,10,10,[{mage_atk,0}],[]},{5,3,10,10,[{mage_atk,0}],[]},{6,3,10,10,[{mage_atk,0}],[]}]</v>
      </c>
      <c r="M3" s="42" t="str">
        <f>"{"&amp;M$1&amp;","&amp;IF($F3&gt;=M$1,$C3,$C3-1)&amp;","&amp;$E3&amp;","&amp;$G3&amp;","&amp;"[{"&amp;$J$1&amp;","&amp;$J3&amp;"}]"&amp;IF($K3="",",[]",","&amp;"["&amp;$K3+MIN(M$1-1,4)*100000&amp;"]")&amp;"}"</f>
        <v>{1,4,10,10,[{hunter_atk,0}],[]}</v>
      </c>
      <c r="N3" s="42" t="str">
        <f>"{"&amp;N$1&amp;","&amp;IF($F3&gt;=N$1,$C3,$C3-1)&amp;","&amp;$E3&amp;","&amp;$G3&amp;","&amp;"[{"&amp;$J$1&amp;","&amp;$J3&amp;"}]"&amp;IF($K3="",",[]",","&amp;"["&amp;$K3+MIN(N$1-1,4)*100000&amp;"]")&amp;"}"</f>
        <v>{2,4,10,10,[{hunter_atk,0}],[]}</v>
      </c>
      <c r="O3" s="42" t="str">
        <f>"{"&amp;O$1&amp;","&amp;IF($F3&gt;=O$1,$C3,$C3-1)&amp;","&amp;$E3&amp;","&amp;$G3&amp;","&amp;"[{"&amp;$J$1&amp;","&amp;$J3&amp;"}]"&amp;IF($K3="",",[]",","&amp;"["&amp;$K3+MIN(O$1-1,4)*100000&amp;"]")&amp;"}"</f>
        <v>{3,3,10,10,[{hunter_atk,0}],[]}</v>
      </c>
      <c r="P3" s="42" t="str">
        <f>"{"&amp;P$1&amp;","&amp;IF($F3&gt;=P$1,$C3,$C3-1)&amp;","&amp;$E3&amp;","&amp;$G3&amp;","&amp;"[{"&amp;$K$1&amp;","&amp;$J3&amp;"}]"&amp;IF($K3="",",[]",","&amp;"["&amp;$K3+MIN(P$1-1,4)*100000&amp;"]")&amp;"}"</f>
        <v>{4,3,10,10,[{mage_atk,0}],[]}</v>
      </c>
      <c r="Q3" s="42" t="str">
        <f>"{"&amp;Q$1&amp;","&amp;IF($F3&gt;=Q$1,$C3,$C3-1)&amp;","&amp;$E3&amp;","&amp;$G3&amp;","&amp;"[{"&amp;$K$1&amp;","&amp;$J3&amp;"}]"&amp;IF($K3="",",[]",","&amp;"["&amp;$K3+MIN(Q$1-1,4)*100000&amp;"]")&amp;"}"</f>
        <v>{5,3,10,10,[{mage_atk,0}],[]}</v>
      </c>
      <c r="R3" s="42" t="str">
        <f>"{"&amp;R$1&amp;","&amp;IF($F3&gt;=R$1,$C3,$C3-1)&amp;","&amp;$E3&amp;","&amp;$G3&amp;","&amp;"[{"&amp;$K$1&amp;","&amp;$J3&amp;"}]"&amp;IF($K3="",",[]",","&amp;"["&amp;$K3+MIN(R$1-1,4)*100000&amp;"]")&amp;"}"</f>
        <v>{6,3,10,10,[{mage_atk,0}],[]}</v>
      </c>
      <c r="S3" s="43">
        <f ca="1">SUMIFS(装备属性!$I$90:$I$305,装备属性!$E$90:$E$305,E3,装备属性!$G$90:$G$305,D3)*(F3*OFFSET(装备属性!$E$65,MATCH(D3,装备属性!$D$66:$D$73,0),0)+(6-F3)*OFFSET(装备属性!$E$65,MATCH(D3,装备属性!$D$66:$D$73,0)-1,0))/(6*OFFSET(装备属性!$E$65,MATCH(D3,装备属性!$D$66:$D$73,0),0))*6</f>
        <v>240</v>
      </c>
      <c r="T3" s="42">
        <f>_xlfn.XLOOKUP(G3,装备属性!$D$520:$D$819,装备属性!$I$520:$I$819)*6</f>
        <v>186</v>
      </c>
      <c r="U3" s="42">
        <f>J3*6</f>
        <v>0</v>
      </c>
      <c r="W3" s="42">
        <f>INT(养成规划!I6)</f>
        <v>270</v>
      </c>
      <c r="X3" s="42">
        <f>INT(养成规划!J6)</f>
        <v>180</v>
      </c>
      <c r="Y3" s="42">
        <f>INT(养成规划!K6)</f>
        <v>90</v>
      </c>
      <c r="AA3" s="44">
        <f ca="1">S3/W3-1</f>
        <v>-0.111111111111111</v>
      </c>
      <c r="AB3" s="44">
        <f>T3/X3-1</f>
        <v>0.0333333333333334</v>
      </c>
      <c r="AC3" s="44">
        <f>U3/Y3-1</f>
        <v>-1</v>
      </c>
      <c r="AD3" s="44">
        <f ca="1">(SUM(S3:U3)-SUM(W3:Y3))/SUM(W3:Y3)</f>
        <v>-0.211111111111111</v>
      </c>
      <c r="AF3">
        <f>SUM(W3:Y3)</f>
        <v>540</v>
      </c>
      <c r="AG3">
        <f ca="1">AF3-S3-T3-U3</f>
        <v>114</v>
      </c>
    </row>
    <row r="4" ht="16.5" spans="1:33">
      <c r="A4" s="41">
        <f ca="1" t="shared" ref="A4:A34" si="0">AD4</f>
        <v>-0.191127694859038</v>
      </c>
      <c r="B4" s="42">
        <v>2</v>
      </c>
      <c r="C4" s="42">
        <v>5</v>
      </c>
      <c r="D4" s="42" t="str">
        <f>SUBSTITUTE(养成规划!H7,"","彩")</f>
        <v>紫</v>
      </c>
      <c r="E4" s="42">
        <f>INT(养成规划!F7)</f>
        <v>20</v>
      </c>
      <c r="F4" s="42">
        <v>1</v>
      </c>
      <c r="G4" s="42">
        <f>INT(养成规划!G7)</f>
        <v>16</v>
      </c>
      <c r="H4" s="42">
        <f>INT(SUMIFS(装备属性!$R$919:$R$955,装备属性!$P$919:$P$955,$D4,装备属性!$N$919:$N$955,$E4)*0.5)</f>
        <v>0</v>
      </c>
      <c r="I4" s="42">
        <f>INT(SUMIFS(装备属性!$R$919:$R$955,装备属性!$P$919:$P$955,$D4,装备属性!$N$919:$N$955,$E4)*0)</f>
        <v>0</v>
      </c>
      <c r="J4" s="42">
        <f t="shared" ref="J4:J34" si="1">H4+I4</f>
        <v>0</v>
      </c>
      <c r="K4" s="42">
        <v>100101</v>
      </c>
      <c r="L4" s="42" t="str">
        <f>"["&amp;_xlfn.TEXTJOIN(",",1,M4:R4)&amp;"]"</f>
        <v>[{1,5,20,16,[{hunter_atk,0}],[100101]},{2,4,20,16,[{hunter_atk,0}],[200101]},{3,4,20,16,[{hunter_atk,0}],[300101]},{4,4,20,16,[{mage_atk,0}],[400101]},{5,4,20,16,[{mage_atk,0}],[500101]},{6,4,20,16,[{mage_atk,0}],[500101]}]</v>
      </c>
      <c r="M4" s="42" t="str">
        <f t="shared" ref="M4:M34" si="2">"{"&amp;M$1&amp;","&amp;IF($F4&gt;=M$1,$C4,$C4-1)&amp;","&amp;$E4&amp;","&amp;$G4&amp;","&amp;"[{"&amp;$J$1&amp;","&amp;$J4&amp;"}]"&amp;IF($K4="",",[]",","&amp;"["&amp;$K4+MIN(M$1-1,4)*100000&amp;"]")&amp;"}"</f>
        <v>{1,5,20,16,[{hunter_atk,0}],[100101]}</v>
      </c>
      <c r="N4" s="42" t="str">
        <f t="shared" ref="N4:N34" si="3">"{"&amp;N$1&amp;","&amp;IF($F4&gt;=N$1,$C4,$C4-1)&amp;","&amp;$E4&amp;","&amp;$G4&amp;","&amp;"[{"&amp;$J$1&amp;","&amp;$J4&amp;"}]"&amp;IF($K4="",",[]",","&amp;"["&amp;$K4+MIN(N$1-1,4)*100000&amp;"]")&amp;"}"</f>
        <v>{2,4,20,16,[{hunter_atk,0}],[200101]}</v>
      </c>
      <c r="O4" s="42" t="str">
        <f t="shared" ref="O4:O34" si="4">"{"&amp;O$1&amp;","&amp;IF($F4&gt;=O$1,$C4,$C4-1)&amp;","&amp;$E4&amp;","&amp;$G4&amp;","&amp;"[{"&amp;$J$1&amp;","&amp;$J4&amp;"}]"&amp;IF($K4="",",[]",","&amp;"["&amp;$K4+MIN(O$1-1,4)*100000&amp;"]")&amp;"}"</f>
        <v>{3,4,20,16,[{hunter_atk,0}],[300101]}</v>
      </c>
      <c r="P4" s="42" t="str">
        <f t="shared" ref="P4:P34" si="5">"{"&amp;P$1&amp;","&amp;IF($F4&gt;=P$1,$C4,$C4-1)&amp;","&amp;$E4&amp;","&amp;$G4&amp;","&amp;"[{"&amp;$K$1&amp;","&amp;$J4&amp;"}]"&amp;IF($K4="",",[]",","&amp;"["&amp;$K4+MIN(P$1-1,4)*100000&amp;"]")&amp;"}"</f>
        <v>{4,4,20,16,[{mage_atk,0}],[400101]}</v>
      </c>
      <c r="Q4" s="42" t="str">
        <f t="shared" ref="Q4:Q34" si="6">"{"&amp;Q$1&amp;","&amp;IF($F4&gt;=Q$1,$C4,$C4-1)&amp;","&amp;$E4&amp;","&amp;$G4&amp;","&amp;"[{"&amp;$K$1&amp;","&amp;$J4&amp;"}]"&amp;IF($K4="",",[]",","&amp;"["&amp;$K4+MIN(Q$1-1,4)*100000&amp;"]")&amp;"}"</f>
        <v>{5,4,20,16,[{mage_atk,0}],[500101]}</v>
      </c>
      <c r="R4" s="42" t="str">
        <f t="shared" ref="R4:R34" si="7">"{"&amp;R$1&amp;","&amp;IF($F4&gt;=R$1,$C4,$C4-1)&amp;","&amp;$E4&amp;","&amp;$G4&amp;","&amp;"[{"&amp;$K$1&amp;","&amp;$J4&amp;"}]"&amp;IF($K4="",",[]",","&amp;"["&amp;$K4+MIN(R$1-1,4)*100000&amp;"]")&amp;"}"</f>
        <v>{6,4,20,16,[{mage_atk,0}],[500101]}</v>
      </c>
      <c r="S4" s="43">
        <f ca="1">SUMIFS(装备属性!$I$90:$I$305,装备属性!$E$90:$E$305,E4,装备属性!$G$90:$G$305,D4)*(F4*OFFSET(装备属性!$E$65,MATCH(D4,装备属性!$D$66:$D$73,0),0)+(6-F4)*OFFSET(装备属性!$E$65,MATCH(D4,装备属性!$D$66:$D$73,0)-1,0))/(6*OFFSET(装备属性!$E$65,MATCH(D4,装备属性!$D$66:$D$73,0),0))*6</f>
        <v>320.333333333333</v>
      </c>
      <c r="T4" s="42">
        <f>_xlfn.XLOOKUP(G4,装备属性!$D$520:$D$819,装备属性!$I$520:$I$819)*6</f>
        <v>330</v>
      </c>
      <c r="U4" s="42">
        <f>J4*6</f>
        <v>0</v>
      </c>
      <c r="W4" s="42">
        <f>INT(养成规划!I7)</f>
        <v>372</v>
      </c>
      <c r="X4" s="42">
        <f>INT(养成规划!J7)</f>
        <v>324</v>
      </c>
      <c r="Y4" s="42">
        <f>INT(养成规划!K7)</f>
        <v>108</v>
      </c>
      <c r="AA4" s="44">
        <f ca="1" t="shared" ref="AA4:AA34" si="8">S4/W4-1</f>
        <v>-0.138888888888889</v>
      </c>
      <c r="AB4" s="44">
        <f>T4/X4-1</f>
        <v>0.0185185185185186</v>
      </c>
      <c r="AC4" s="44">
        <f t="shared" ref="AC4:AC34" si="9">U4/Y4-1</f>
        <v>-1</v>
      </c>
      <c r="AD4" s="44">
        <f ca="1" t="shared" ref="AD4:AD34" si="10">(SUM(S4:U4)-SUM(W4:Y4))/SUM(W4:Y4)</f>
        <v>-0.191127694859038</v>
      </c>
      <c r="AF4">
        <f t="shared" ref="AF4:AF34" si="11">SUM(W4:Y4)</f>
        <v>804</v>
      </c>
      <c r="AG4">
        <f ca="1" t="shared" ref="AG4:AG34" si="12">AF4-S4-T4-U4</f>
        <v>153.666666666667</v>
      </c>
    </row>
    <row r="5" ht="16.5" spans="1:33">
      <c r="A5" s="41">
        <f ca="1" t="shared" si="0"/>
        <v>-0.179534750963322</v>
      </c>
      <c r="B5" s="42">
        <v>3</v>
      </c>
      <c r="C5" s="42">
        <v>5</v>
      </c>
      <c r="D5" s="42" t="str">
        <f>SUBSTITUTE(养成规划!H8,"","彩")</f>
        <v>橙</v>
      </c>
      <c r="E5" s="42">
        <f>INT(养成规划!F8)</f>
        <v>30</v>
      </c>
      <c r="F5" s="42">
        <v>2</v>
      </c>
      <c r="G5" s="42">
        <f>INT(养成规划!G8)</f>
        <v>20</v>
      </c>
      <c r="H5" s="42">
        <f>INT(SUMIFS(装备属性!$R$919:$R$955,装备属性!$P$919:$P$955,$D5,装备属性!$N$919:$N$955,$E5)*0.5)</f>
        <v>0</v>
      </c>
      <c r="I5" s="42">
        <f>INT(SUMIFS(装备属性!$R$919:$R$955,装备属性!$P$919:$P$955,$D5,装备属性!$N$919:$N$955,$E5)*0)</f>
        <v>0</v>
      </c>
      <c r="J5" s="42">
        <f t="shared" si="1"/>
        <v>0</v>
      </c>
      <c r="K5" s="42">
        <v>100101</v>
      </c>
      <c r="L5" s="42" t="str">
        <f t="shared" ref="L5:L34" si="13">"["&amp;_xlfn.TEXTJOIN(",",1,M5:R5)&amp;"]"</f>
        <v>[{1,5,30,20,[{hunter_atk,0}],[100101]},{2,5,30,20,[{hunter_atk,0}],[200101]},{3,4,30,20,[{hunter_atk,0}],[300101]},{4,4,30,20,[{mage_atk,0}],[400101]},{5,4,30,20,[{mage_atk,0}],[500101]},{6,4,30,20,[{mage_atk,0}],[500101]}]</v>
      </c>
      <c r="M5" s="42" t="str">
        <f t="shared" si="2"/>
        <v>{1,5,30,20,[{hunter_atk,0}],[100101]}</v>
      </c>
      <c r="N5" s="42" t="str">
        <f t="shared" si="3"/>
        <v>{2,5,30,20,[{hunter_atk,0}],[200101]}</v>
      </c>
      <c r="O5" s="42" t="str">
        <f t="shared" si="4"/>
        <v>{3,4,30,20,[{hunter_atk,0}],[300101]}</v>
      </c>
      <c r="P5" s="42" t="str">
        <f t="shared" si="5"/>
        <v>{4,4,30,20,[{mage_atk,0}],[400101]}</v>
      </c>
      <c r="Q5" s="42" t="str">
        <f t="shared" si="6"/>
        <v>{5,4,30,20,[{mage_atk,0}],[500101]}</v>
      </c>
      <c r="R5" s="42" t="str">
        <f t="shared" si="7"/>
        <v>{6,4,30,20,[{mage_atk,0}],[500101]}</v>
      </c>
      <c r="S5" s="43">
        <f ca="1">SUMIFS(装备属性!$I$90:$I$305,装备属性!$E$90:$E$305,E5,装备属性!$G$90:$G$305,D5)*(F5*OFFSET(装备属性!$E$65,MATCH(D5,装备属性!$D$66:$D$73,0),0)+(6-F5)*OFFSET(装备属性!$E$65,MATCH(D5,装备属性!$D$66:$D$73,0)-1,0))/(6*OFFSET(装备属性!$E$65,MATCH(D5,装备属性!$D$66:$D$73,0),0))*6</f>
        <v>452.461538461538</v>
      </c>
      <c r="T5" s="42">
        <f>_xlfn.XLOOKUP(G5,装备属性!$D$520:$D$819,装备属性!$I$520:$I$819)*6</f>
        <v>432</v>
      </c>
      <c r="U5" s="42">
        <f t="shared" ref="U5:U34" si="14">J5*6</f>
        <v>0</v>
      </c>
      <c r="W5" s="42">
        <f>INT(养成规划!I8)</f>
        <v>514</v>
      </c>
      <c r="X5" s="42">
        <f>INT(养成规划!J8)</f>
        <v>420</v>
      </c>
      <c r="Y5" s="42">
        <f>INT(养成规划!K8)</f>
        <v>144</v>
      </c>
      <c r="AA5" s="44">
        <f ca="1" t="shared" si="8"/>
        <v>-0.11972463334331</v>
      </c>
      <c r="AB5" s="44">
        <f t="shared" ref="AB5:AB34" si="15">T5/X5-1</f>
        <v>0.0285714285714285</v>
      </c>
      <c r="AC5" s="44">
        <f t="shared" si="9"/>
        <v>-1</v>
      </c>
      <c r="AD5" s="44">
        <f ca="1" t="shared" si="10"/>
        <v>-0.179534750963322</v>
      </c>
      <c r="AF5">
        <f t="shared" si="11"/>
        <v>1078</v>
      </c>
      <c r="AG5">
        <f ca="1" t="shared" si="12"/>
        <v>193.538461538462</v>
      </c>
    </row>
    <row r="6" ht="16.5" spans="1:33">
      <c r="A6" s="41">
        <f ca="1" t="shared" si="0"/>
        <v>-0.158606865447256</v>
      </c>
      <c r="B6" s="42">
        <v>4</v>
      </c>
      <c r="C6" s="42">
        <v>5</v>
      </c>
      <c r="D6" s="42" t="str">
        <f>SUBSTITUTE(养成规划!H9,"","彩")</f>
        <v>橙</v>
      </c>
      <c r="E6" s="42">
        <f>INT(养成规划!F9)</f>
        <v>30</v>
      </c>
      <c r="F6" s="42">
        <v>4</v>
      </c>
      <c r="G6" s="42">
        <f>INT(养成规划!G9)</f>
        <v>24</v>
      </c>
      <c r="H6" s="42">
        <f>INT(SUMIFS(装备属性!$R$919:$R$955,装备属性!$P$919:$P$955,$D6,装备属性!$N$919:$N$955,$E6)*0.5)</f>
        <v>0</v>
      </c>
      <c r="I6" s="42">
        <f>INT(SUMIFS(装备属性!$R$919:$R$955,装备属性!$P$919:$P$955,$D6,装备属性!$N$919:$N$955,$E6)*0)</f>
        <v>0</v>
      </c>
      <c r="J6" s="42">
        <f t="shared" si="1"/>
        <v>0</v>
      </c>
      <c r="K6" s="42">
        <v>100201</v>
      </c>
      <c r="L6" s="42" t="str">
        <f t="shared" si="13"/>
        <v>[{1,5,30,24,[{hunter_atk,0}],[100201]},{2,5,30,24,[{hunter_atk,0}],[200201]},{3,5,30,24,[{hunter_atk,0}],[300201]},{4,5,30,24,[{mage_atk,0}],[400201]},{5,4,30,24,[{mage_atk,0}],[500201]},{6,4,30,24,[{mage_atk,0}],[500201]}]</v>
      </c>
      <c r="M6" s="42" t="str">
        <f t="shared" si="2"/>
        <v>{1,5,30,24,[{hunter_atk,0}],[100201]}</v>
      </c>
      <c r="N6" s="42" t="str">
        <f t="shared" si="3"/>
        <v>{2,5,30,24,[{hunter_atk,0}],[200201]}</v>
      </c>
      <c r="O6" s="42" t="str">
        <f t="shared" si="4"/>
        <v>{3,5,30,24,[{hunter_atk,0}],[300201]}</v>
      </c>
      <c r="P6" s="42" t="str">
        <f t="shared" si="5"/>
        <v>{4,5,30,24,[{mage_atk,0}],[400201]}</v>
      </c>
      <c r="Q6" s="42" t="str">
        <f t="shared" si="6"/>
        <v>{5,4,30,24,[{mage_atk,0}],[500201]}</v>
      </c>
      <c r="R6" s="42" t="str">
        <f t="shared" si="7"/>
        <v>{6,4,30,24,[{mage_atk,0}],[500201]}</v>
      </c>
      <c r="S6" s="43">
        <f ca="1">SUMIFS(装备属性!$I$90:$I$305,装备属性!$E$90:$E$305,E6,装备属性!$G$90:$G$305,D6)*(F6*OFFSET(装备属性!$E$65,MATCH(D6,装备属性!$D$66:$D$73,0),0)+(6-F6)*OFFSET(装备属性!$E$65,MATCH(D6,装备属性!$D$66:$D$73,0)-1,0))/(6*OFFSET(装备属性!$E$65,MATCH(D6,装备属性!$D$66:$D$73,0),0))*6</f>
        <v>481.230769230769</v>
      </c>
      <c r="T6" s="42">
        <f>_xlfn.XLOOKUP(G6,装备属性!$D$520:$D$819,装备属性!$I$520:$I$819)*6</f>
        <v>552</v>
      </c>
      <c r="U6" s="42">
        <f t="shared" si="14"/>
        <v>0</v>
      </c>
      <c r="W6" s="42">
        <f>INT(养成规划!I9)</f>
        <v>514</v>
      </c>
      <c r="X6" s="42">
        <f>INT(养成规划!J9)</f>
        <v>540</v>
      </c>
      <c r="Y6" s="42">
        <f>INT(养成规划!K9)</f>
        <v>174</v>
      </c>
      <c r="AA6" s="44">
        <f ca="1" t="shared" si="8"/>
        <v>-0.0637533672553128</v>
      </c>
      <c r="AB6" s="44">
        <f t="shared" si="15"/>
        <v>0.0222222222222221</v>
      </c>
      <c r="AC6" s="44">
        <f t="shared" si="9"/>
        <v>-1</v>
      </c>
      <c r="AD6" s="44">
        <f ca="1" t="shared" si="10"/>
        <v>-0.158606865447256</v>
      </c>
      <c r="AF6">
        <f t="shared" si="11"/>
        <v>1228</v>
      </c>
      <c r="AG6">
        <f ca="1" t="shared" si="12"/>
        <v>194.769230769231</v>
      </c>
    </row>
    <row r="7" ht="16.5" spans="1:33">
      <c r="A7" s="41">
        <f ca="1" t="shared" si="0"/>
        <v>-0.205760857429943</v>
      </c>
      <c r="B7" s="42">
        <v>5</v>
      </c>
      <c r="C7" s="42">
        <v>6</v>
      </c>
      <c r="D7" s="42" t="str">
        <f>SUBSTITUTE(养成规划!H10,"","彩")</f>
        <v>橙</v>
      </c>
      <c r="E7" s="42">
        <f>INT(养成规划!F10)</f>
        <v>30</v>
      </c>
      <c r="F7" s="42">
        <v>2</v>
      </c>
      <c r="G7" s="42">
        <f>INT(养成规划!G10)</f>
        <v>27</v>
      </c>
      <c r="H7" s="42">
        <f>INT(SUMIFS(装备属性!$R$919:$R$955,装备属性!$P$919:$P$955,$D7,装备属性!$N$919:$N$955,$E7)*0.5)</f>
        <v>0</v>
      </c>
      <c r="I7" s="42">
        <f>INT(SUMIFS(装备属性!$R$919:$R$955,装备属性!$P$919:$P$955,$D7,装备属性!$N$919:$N$955,$E7)*0)</f>
        <v>0</v>
      </c>
      <c r="J7" s="42">
        <f t="shared" si="1"/>
        <v>0</v>
      </c>
      <c r="K7" s="42">
        <v>100201</v>
      </c>
      <c r="L7" s="42" t="str">
        <f t="shared" si="13"/>
        <v>[{1,6,30,27,[{hunter_atk,0}],[100201]},{2,6,30,27,[{hunter_atk,0}],[200201]},{3,5,30,27,[{hunter_atk,0}],[300201]},{4,5,30,27,[{mage_atk,0}],[400201]},{5,5,30,27,[{mage_atk,0}],[500201]},{6,5,30,27,[{mage_atk,0}],[500201]}]</v>
      </c>
      <c r="M7" s="42" t="str">
        <f t="shared" si="2"/>
        <v>{1,6,30,27,[{hunter_atk,0}],[100201]}</v>
      </c>
      <c r="N7" s="42" t="str">
        <f t="shared" si="3"/>
        <v>{2,6,30,27,[{hunter_atk,0}],[200201]}</v>
      </c>
      <c r="O7" s="42" t="str">
        <f t="shared" si="4"/>
        <v>{3,5,30,27,[{hunter_atk,0}],[300201]}</v>
      </c>
      <c r="P7" s="42" t="str">
        <f t="shared" si="5"/>
        <v>{4,5,30,27,[{mage_atk,0}],[400201]}</v>
      </c>
      <c r="Q7" s="42" t="str">
        <f t="shared" si="6"/>
        <v>{5,5,30,27,[{mage_atk,0}],[500201]}</v>
      </c>
      <c r="R7" s="42" t="str">
        <f t="shared" si="7"/>
        <v>{6,5,30,27,[{mage_atk,0}],[500201]}</v>
      </c>
      <c r="S7" s="43">
        <f ca="1">SUMIFS(装备属性!$I$90:$I$305,装备属性!$E$90:$E$305,E7,装备属性!$G$90:$G$305,D7)*(F7*OFFSET(装备属性!$E$65,MATCH(D7,装备属性!$D$66:$D$73,0),0)+(6-F7)*OFFSET(装备属性!$E$65,MATCH(D7,装备属性!$D$66:$D$73,0)-1,0))/(6*OFFSET(装备属性!$E$65,MATCH(D7,装备属性!$D$66:$D$73,0),0))*6</f>
        <v>452.461538461538</v>
      </c>
      <c r="T7" s="42">
        <f>_xlfn.XLOOKUP(G7,装备属性!$D$520:$D$819,装备属性!$I$520:$I$819)*6</f>
        <v>642</v>
      </c>
      <c r="U7" s="42">
        <f t="shared" si="14"/>
        <v>0</v>
      </c>
      <c r="W7" s="42">
        <f>INT(养成规划!I10)</f>
        <v>514</v>
      </c>
      <c r="X7" s="42">
        <f>INT(养成规划!J10)</f>
        <v>630</v>
      </c>
      <c r="Y7" s="42">
        <f>INT(养成规划!K10)</f>
        <v>234</v>
      </c>
      <c r="AA7" s="44">
        <f ca="1" t="shared" si="8"/>
        <v>-0.11972463334331</v>
      </c>
      <c r="AB7" s="44">
        <f t="shared" si="15"/>
        <v>0.019047619047619</v>
      </c>
      <c r="AC7" s="44">
        <f t="shared" si="9"/>
        <v>-1</v>
      </c>
      <c r="AD7" s="44">
        <f ca="1" t="shared" si="10"/>
        <v>-0.205760857429943</v>
      </c>
      <c r="AF7">
        <f t="shared" si="11"/>
        <v>1378</v>
      </c>
      <c r="AG7">
        <f ca="1" t="shared" si="12"/>
        <v>283.538461538462</v>
      </c>
    </row>
    <row r="8" ht="16.5" spans="1:33">
      <c r="A8" s="41">
        <f ca="1" t="shared" si="0"/>
        <v>-0.210043138965634</v>
      </c>
      <c r="B8" s="42">
        <v>6</v>
      </c>
      <c r="C8" s="42">
        <v>6</v>
      </c>
      <c r="D8" s="42" t="str">
        <f>SUBSTITUTE(养成规划!H11,"","彩")</f>
        <v>橙</v>
      </c>
      <c r="E8" s="42">
        <f>INT(养成规划!F11)</f>
        <v>40</v>
      </c>
      <c r="F8" s="42">
        <v>2</v>
      </c>
      <c r="G8" s="42">
        <f>INT(养成规划!G11)</f>
        <v>30</v>
      </c>
      <c r="H8" s="42">
        <f>INT(SUMIFS(装备属性!$R$919:$R$955,装备属性!$P$919:$P$955,$D8,装备属性!$N$919:$N$955,$E8)*0.5)</f>
        <v>0</v>
      </c>
      <c r="I8" s="42">
        <f>INT(SUMIFS(装备属性!$R$919:$R$955,装备属性!$P$919:$P$955,$D8,装备属性!$N$919:$N$955,$E8)*0)</f>
        <v>0</v>
      </c>
      <c r="J8" s="42">
        <f t="shared" si="1"/>
        <v>0</v>
      </c>
      <c r="K8" s="42">
        <v>100201</v>
      </c>
      <c r="L8" s="42" t="str">
        <f t="shared" si="13"/>
        <v>[{1,6,40,30,[{hunter_atk,0}],[100201]},{2,6,40,30,[{hunter_atk,0}],[200201]},{3,5,40,30,[{hunter_atk,0}],[300201]},{4,5,40,30,[{mage_atk,0}],[400201]},{5,5,40,30,[{mage_atk,0}],[500201]},{6,5,40,30,[{mage_atk,0}],[500201]}]</v>
      </c>
      <c r="M8" s="42" t="str">
        <f t="shared" si="2"/>
        <v>{1,6,40,30,[{hunter_atk,0}],[100201]}</v>
      </c>
      <c r="N8" s="42" t="str">
        <f t="shared" si="3"/>
        <v>{2,6,40,30,[{hunter_atk,0}],[200201]}</v>
      </c>
      <c r="O8" s="42" t="str">
        <f t="shared" si="4"/>
        <v>{3,5,40,30,[{hunter_atk,0}],[300201]}</v>
      </c>
      <c r="P8" s="42" t="str">
        <f t="shared" si="5"/>
        <v>{4,5,40,30,[{mage_atk,0}],[400201]}</v>
      </c>
      <c r="Q8" s="42" t="str">
        <f t="shared" si="6"/>
        <v>{5,5,40,30,[{mage_atk,0}],[500201]}</v>
      </c>
      <c r="R8" s="42" t="str">
        <f t="shared" si="7"/>
        <v>{6,5,40,30,[{mage_atk,0}],[500201]}</v>
      </c>
      <c r="S8" s="43">
        <f ca="1">SUMIFS(装备属性!$I$90:$I$305,装备属性!$E$90:$E$305,E8,装备属性!$G$90:$G$305,D8)*(F8*OFFSET(装备属性!$E$65,MATCH(D8,装备属性!$D$66:$D$73,0),0)+(6-F8)*OFFSET(装备属性!$E$65,MATCH(D8,装备属性!$D$66:$D$73,0)-1,0))/(6*OFFSET(装备属性!$E$65,MATCH(D8,装备属性!$D$66:$D$73,0),0))*6</f>
        <v>521.661538461538</v>
      </c>
      <c r="T8" s="42">
        <f>_xlfn.XLOOKUP(G8,装备属性!$D$520:$D$819,装备属性!$I$520:$I$819)*6</f>
        <v>732</v>
      </c>
      <c r="U8" s="42">
        <f t="shared" si="14"/>
        <v>0</v>
      </c>
      <c r="W8" s="42">
        <f>INT(养成规划!I11)</f>
        <v>591</v>
      </c>
      <c r="X8" s="42">
        <f>INT(养成规划!J11)</f>
        <v>756</v>
      </c>
      <c r="Y8" s="42">
        <f>INT(养成规划!K11)</f>
        <v>240</v>
      </c>
      <c r="AA8" s="44">
        <f ca="1" t="shared" si="8"/>
        <v>-0.117323961994013</v>
      </c>
      <c r="AB8" s="44">
        <f t="shared" si="15"/>
        <v>-0.0317460317460317</v>
      </c>
      <c r="AC8" s="44">
        <f t="shared" si="9"/>
        <v>-1</v>
      </c>
      <c r="AD8" s="44">
        <f ca="1" t="shared" si="10"/>
        <v>-0.210043138965634</v>
      </c>
      <c r="AF8">
        <f t="shared" si="11"/>
        <v>1587</v>
      </c>
      <c r="AG8">
        <f ca="1" t="shared" si="12"/>
        <v>333.338461538462</v>
      </c>
    </row>
    <row r="9" ht="16.5" spans="1:33">
      <c r="A9" s="41">
        <f ca="1" t="shared" si="0"/>
        <v>-0.23579898867857</v>
      </c>
      <c r="B9" s="42">
        <v>7</v>
      </c>
      <c r="C9" s="42">
        <v>6</v>
      </c>
      <c r="D9" s="42" t="str">
        <f>SUBSTITUTE(养成规划!H12,"","彩")</f>
        <v>橙</v>
      </c>
      <c r="E9" s="42">
        <f>INT(养成规划!F12)</f>
        <v>40</v>
      </c>
      <c r="F9" s="42">
        <v>2</v>
      </c>
      <c r="G9" s="42">
        <f>INT(养成规划!G12)</f>
        <v>32</v>
      </c>
      <c r="H9" s="42">
        <f>INT(SUMIFS(装备属性!$R$919:$R$955,装备属性!$P$919:$P$955,$D9,装备属性!$N$919:$N$955,$E9)*0.5)</f>
        <v>0</v>
      </c>
      <c r="I9" s="42">
        <f>INT(SUMIFS(装备属性!$R$919:$R$955,装备属性!$P$919:$P$955,$D9,装备属性!$N$919:$N$955,$E9)*0)</f>
        <v>0</v>
      </c>
      <c r="J9" s="42">
        <f t="shared" si="1"/>
        <v>0</v>
      </c>
      <c r="K9" s="42">
        <v>100201</v>
      </c>
      <c r="L9" s="42" t="str">
        <f t="shared" si="13"/>
        <v>[{1,6,40,32,[{hunter_atk,0}],[100201]},{2,6,40,32,[{hunter_atk,0}],[200201]},{3,5,40,32,[{hunter_atk,0}],[300201]},{4,5,40,32,[{mage_atk,0}],[400201]},{5,5,40,32,[{mage_atk,0}],[500201]},{6,5,40,32,[{mage_atk,0}],[500201]}]</v>
      </c>
      <c r="M9" s="42" t="str">
        <f t="shared" si="2"/>
        <v>{1,6,40,32,[{hunter_atk,0}],[100201]}</v>
      </c>
      <c r="N9" s="42" t="str">
        <f t="shared" si="3"/>
        <v>{2,6,40,32,[{hunter_atk,0}],[200201]}</v>
      </c>
      <c r="O9" s="42" t="str">
        <f t="shared" si="4"/>
        <v>{3,5,40,32,[{hunter_atk,0}],[300201]}</v>
      </c>
      <c r="P9" s="42" t="str">
        <f t="shared" si="5"/>
        <v>{4,5,40,32,[{mage_atk,0}],[400201]}</v>
      </c>
      <c r="Q9" s="42" t="str">
        <f t="shared" si="6"/>
        <v>{5,5,40,32,[{mage_atk,0}],[500201]}</v>
      </c>
      <c r="R9" s="42" t="str">
        <f t="shared" si="7"/>
        <v>{6,5,40,32,[{mage_atk,0}],[500201]}</v>
      </c>
      <c r="S9" s="43">
        <f ca="1">SUMIFS(装备属性!$I$90:$I$305,装备属性!$E$90:$E$305,E9,装备属性!$G$90:$G$305,D9)*(F9*OFFSET(装备属性!$E$65,MATCH(D9,装备属性!$D$66:$D$73,0),0)+(6-F9)*OFFSET(装备属性!$E$65,MATCH(D9,装备属性!$D$66:$D$73,0)-1,0))/(6*OFFSET(装备属性!$E$65,MATCH(D9,装备属性!$D$66:$D$73,0),0))*6</f>
        <v>521.661538461538</v>
      </c>
      <c r="T9" s="42">
        <f>_xlfn.XLOOKUP(G9,装备属性!$D$520:$D$819,装备属性!$I$520:$I$819)*6</f>
        <v>792</v>
      </c>
      <c r="U9" s="42">
        <f t="shared" si="14"/>
        <v>0</v>
      </c>
      <c r="W9" s="42">
        <f>INT(养成规划!I12)</f>
        <v>591</v>
      </c>
      <c r="X9" s="42">
        <f>INT(养成规划!J12)</f>
        <v>840</v>
      </c>
      <c r="Y9" s="42">
        <f>INT(养成规划!K12)</f>
        <v>288</v>
      </c>
      <c r="AA9" s="44">
        <f ca="1" t="shared" si="8"/>
        <v>-0.117323961994013</v>
      </c>
      <c r="AB9" s="44">
        <f t="shared" si="15"/>
        <v>-0.0571428571428572</v>
      </c>
      <c r="AC9" s="44">
        <f t="shared" si="9"/>
        <v>-1</v>
      </c>
      <c r="AD9" s="44">
        <f ca="1" t="shared" si="10"/>
        <v>-0.23579898867857</v>
      </c>
      <c r="AF9">
        <f t="shared" si="11"/>
        <v>1719</v>
      </c>
      <c r="AG9">
        <f ca="1" t="shared" si="12"/>
        <v>405.338461538462</v>
      </c>
    </row>
    <row r="10" ht="16.5" spans="1:33">
      <c r="A10" s="41">
        <f ca="1" t="shared" si="0"/>
        <v>-0.249534045725646</v>
      </c>
      <c r="B10" s="42">
        <v>8</v>
      </c>
      <c r="C10" s="42">
        <v>6</v>
      </c>
      <c r="D10" s="42" t="str">
        <f>SUBSTITUTE(养成规划!H13,"","彩")</f>
        <v>红</v>
      </c>
      <c r="E10" s="42">
        <f>INT(养成规划!F13)</f>
        <v>40</v>
      </c>
      <c r="F10" s="42">
        <v>3</v>
      </c>
      <c r="G10" s="42">
        <f>INT(养成规划!G13)</f>
        <v>34</v>
      </c>
      <c r="H10" s="42">
        <f>INT(SUMIFS(装备属性!$R$919:$R$955,装备属性!$P$919:$P$955,$D10,装备属性!$N$919:$N$955,$E10)*0.5)</f>
        <v>0</v>
      </c>
      <c r="I10" s="42">
        <f>INT(SUMIFS(装备属性!$R$919:$R$955,装备属性!$P$919:$P$955,$D10,装备属性!$N$919:$N$955,$E10)*0)</f>
        <v>0</v>
      </c>
      <c r="J10" s="42">
        <f t="shared" si="1"/>
        <v>0</v>
      </c>
      <c r="K10" s="42">
        <v>100201</v>
      </c>
      <c r="L10" s="42" t="str">
        <f t="shared" si="13"/>
        <v>[{1,6,40,34,[{hunter_atk,0}],[100201]},{2,6,40,34,[{hunter_atk,0}],[200201]},{3,6,40,34,[{hunter_atk,0}],[300201]},{4,5,40,34,[{mage_atk,0}],[400201]},{5,5,40,34,[{mage_atk,0}],[500201]},{6,5,40,34,[{mage_atk,0}],[500201]}]</v>
      </c>
      <c r="M10" s="42" t="str">
        <f t="shared" si="2"/>
        <v>{1,6,40,34,[{hunter_atk,0}],[100201]}</v>
      </c>
      <c r="N10" s="42" t="str">
        <f t="shared" si="3"/>
        <v>{2,6,40,34,[{hunter_atk,0}],[200201]}</v>
      </c>
      <c r="O10" s="42" t="str">
        <f t="shared" si="4"/>
        <v>{3,6,40,34,[{hunter_atk,0}],[300201]}</v>
      </c>
      <c r="P10" s="42" t="str">
        <f t="shared" si="5"/>
        <v>{4,5,40,34,[{mage_atk,0}],[400201]}</v>
      </c>
      <c r="Q10" s="42" t="str">
        <f t="shared" si="6"/>
        <v>{5,5,40,34,[{mage_atk,0}],[500201]}</v>
      </c>
      <c r="R10" s="42" t="str">
        <f t="shared" si="7"/>
        <v>{6,5,40,34,[{mage_atk,0}],[500201]}</v>
      </c>
      <c r="S10" s="43">
        <f ca="1">SUMIFS(装备属性!$I$90:$I$305,装备属性!$E$90:$E$305,E10,装备属性!$G$90:$G$305,D10)*(F10*OFFSET(装备属性!$E$65,MATCH(D10,装备属性!$D$66:$D$73,0),0)+(6-F10)*OFFSET(装备属性!$E$65,MATCH(D10,装备属性!$D$66:$D$73,0)-1,0))/(6*OFFSET(装备属性!$E$65,MATCH(D10,装备属性!$D$66:$D$73,0),0))*6</f>
        <v>657.9375</v>
      </c>
      <c r="T10" s="42">
        <f>_xlfn.XLOOKUP(G10,装备属性!$D$520:$D$819,装备属性!$I$520:$I$819)*6</f>
        <v>852</v>
      </c>
      <c r="U10" s="42">
        <f t="shared" si="14"/>
        <v>0</v>
      </c>
      <c r="W10" s="42">
        <f>INT(养成规划!I13)</f>
        <v>728</v>
      </c>
      <c r="X10" s="42">
        <f>INT(养成规划!J13)</f>
        <v>924</v>
      </c>
      <c r="Y10" s="42">
        <f>INT(养成规划!K13)</f>
        <v>360</v>
      </c>
      <c r="AA10" s="44">
        <f ca="1" t="shared" si="8"/>
        <v>-0.096239697802198</v>
      </c>
      <c r="AB10" s="44">
        <f t="shared" si="15"/>
        <v>-0.0779220779220779</v>
      </c>
      <c r="AC10" s="44">
        <f t="shared" si="9"/>
        <v>-1</v>
      </c>
      <c r="AD10" s="44">
        <f ca="1" t="shared" si="10"/>
        <v>-0.249534045725646</v>
      </c>
      <c r="AF10">
        <f t="shared" si="11"/>
        <v>2012</v>
      </c>
      <c r="AG10">
        <f ca="1" t="shared" si="12"/>
        <v>502.0625</v>
      </c>
    </row>
    <row r="11" ht="16.5" spans="1:33">
      <c r="A11" s="41">
        <f ca="1" t="shared" si="0"/>
        <v>-0.266262755102041</v>
      </c>
      <c r="B11" s="42">
        <v>9</v>
      </c>
      <c r="C11" s="42">
        <v>6</v>
      </c>
      <c r="D11" s="42" t="str">
        <f>SUBSTITUTE(养成规划!H14,"","彩")</f>
        <v>红</v>
      </c>
      <c r="E11" s="42">
        <f>INT(养成规划!F14)</f>
        <v>40</v>
      </c>
      <c r="F11" s="42">
        <v>3</v>
      </c>
      <c r="G11" s="42">
        <f>INT(养成规划!G14)</f>
        <v>36</v>
      </c>
      <c r="H11" s="42">
        <f>INT(SUMIFS(装备属性!$R$919:$R$955,装备属性!$P$919:$P$955,$D11,装备属性!$N$919:$N$955,$E11)*0.5)</f>
        <v>0</v>
      </c>
      <c r="I11" s="42">
        <f>INT(SUMIFS(装备属性!$R$919:$R$955,装备属性!$P$919:$P$955,$D11,装备属性!$N$919:$N$955,$E11)*0)</f>
        <v>0</v>
      </c>
      <c r="J11" s="42">
        <f t="shared" si="1"/>
        <v>0</v>
      </c>
      <c r="K11" s="42">
        <v>100201</v>
      </c>
      <c r="L11" s="42" t="str">
        <f t="shared" si="13"/>
        <v>[{1,6,40,36,[{hunter_atk,0}],[100201]},{2,6,40,36,[{hunter_atk,0}],[200201]},{3,6,40,36,[{hunter_atk,0}],[300201]},{4,5,40,36,[{mage_atk,0}],[400201]},{5,5,40,36,[{mage_atk,0}],[500201]},{6,5,40,36,[{mage_atk,0}],[500201]}]</v>
      </c>
      <c r="M11" s="42" t="str">
        <f t="shared" si="2"/>
        <v>{1,6,40,36,[{hunter_atk,0}],[100201]}</v>
      </c>
      <c r="N11" s="42" t="str">
        <f t="shared" si="3"/>
        <v>{2,6,40,36,[{hunter_atk,0}],[200201]}</v>
      </c>
      <c r="O11" s="42" t="str">
        <f t="shared" si="4"/>
        <v>{3,6,40,36,[{hunter_atk,0}],[300201]}</v>
      </c>
      <c r="P11" s="42" t="str">
        <f t="shared" si="5"/>
        <v>{4,5,40,36,[{mage_atk,0}],[400201]}</v>
      </c>
      <c r="Q11" s="42" t="str">
        <f t="shared" si="6"/>
        <v>{5,5,40,36,[{mage_atk,0}],[500201]}</v>
      </c>
      <c r="R11" s="42" t="str">
        <f t="shared" si="7"/>
        <v>{6,5,40,36,[{mage_atk,0}],[500201]}</v>
      </c>
      <c r="S11" s="43">
        <f ca="1">SUMIFS(装备属性!$I$90:$I$305,装备属性!$E$90:$E$305,E11,装备属性!$G$90:$G$305,D11)*(F11*OFFSET(装备属性!$E$65,MATCH(D11,装备属性!$D$66:$D$73,0),0)+(6-F11)*OFFSET(装备属性!$E$65,MATCH(D11,装备属性!$D$66:$D$73,0)-1,0))/(6*OFFSET(装备属性!$E$65,MATCH(D11,装备属性!$D$66:$D$73,0),0))*6</f>
        <v>657.9375</v>
      </c>
      <c r="T11" s="42">
        <f>_xlfn.XLOOKUP(G11,装备属性!$D$520:$D$819,装备属性!$I$520:$I$819)*6</f>
        <v>924</v>
      </c>
      <c r="U11" s="42">
        <f t="shared" si="14"/>
        <v>0</v>
      </c>
      <c r="W11" s="42">
        <f>INT(养成规划!I14)</f>
        <v>728</v>
      </c>
      <c r="X11" s="42">
        <f>INT(养成规划!J14)</f>
        <v>1008</v>
      </c>
      <c r="Y11" s="42">
        <f>INT(养成规划!K14)</f>
        <v>420</v>
      </c>
      <c r="AA11" s="44">
        <f ca="1" t="shared" si="8"/>
        <v>-0.096239697802198</v>
      </c>
      <c r="AB11" s="44">
        <f t="shared" si="15"/>
        <v>-0.0833333333333334</v>
      </c>
      <c r="AC11" s="44">
        <f t="shared" si="9"/>
        <v>-1</v>
      </c>
      <c r="AD11" s="44">
        <f ca="1" t="shared" si="10"/>
        <v>-0.266262755102041</v>
      </c>
      <c r="AF11">
        <f t="shared" si="11"/>
        <v>2156</v>
      </c>
      <c r="AG11">
        <f ca="1" t="shared" si="12"/>
        <v>574.0625</v>
      </c>
    </row>
    <row r="12" ht="16.5" spans="1:33">
      <c r="A12" s="41">
        <f ca="1" t="shared" si="0"/>
        <v>-0.282767779705117</v>
      </c>
      <c r="B12" s="42">
        <v>10</v>
      </c>
      <c r="C12" s="42">
        <v>6</v>
      </c>
      <c r="D12" s="42" t="str">
        <f>SUBSTITUTE(养成规划!H15,"","彩")</f>
        <v>红</v>
      </c>
      <c r="E12" s="42">
        <f>INT(养成规划!F15)</f>
        <v>40</v>
      </c>
      <c r="F12" s="42">
        <v>3</v>
      </c>
      <c r="G12" s="42">
        <f>INT(养成规划!G15)</f>
        <v>38</v>
      </c>
      <c r="H12" s="42">
        <f>INT(SUMIFS(装备属性!$R$919:$R$955,装备属性!$P$919:$P$955,$D12,装备属性!$N$919:$N$955,$E12)*0.5)</f>
        <v>0</v>
      </c>
      <c r="I12" s="42">
        <f>INT(SUMIFS(装备属性!$R$919:$R$955,装备属性!$P$919:$P$955,$D12,装备属性!$N$919:$N$955,$E12)*0)</f>
        <v>0</v>
      </c>
      <c r="J12" s="42">
        <f t="shared" si="1"/>
        <v>0</v>
      </c>
      <c r="K12" s="42">
        <v>100201</v>
      </c>
      <c r="L12" s="42" t="str">
        <f t="shared" si="13"/>
        <v>[{1,6,40,38,[{hunter_atk,0}],[100201]},{2,6,40,38,[{hunter_atk,0}],[200201]},{3,6,40,38,[{hunter_atk,0}],[300201]},{4,5,40,38,[{mage_atk,0}],[400201]},{5,5,40,38,[{mage_atk,0}],[500201]},{6,5,40,38,[{mage_atk,0}],[500201]}]</v>
      </c>
      <c r="M12" s="42" t="str">
        <f t="shared" si="2"/>
        <v>{1,6,40,38,[{hunter_atk,0}],[100201]}</v>
      </c>
      <c r="N12" s="42" t="str">
        <f t="shared" si="3"/>
        <v>{2,6,40,38,[{hunter_atk,0}],[200201]}</v>
      </c>
      <c r="O12" s="42" t="str">
        <f t="shared" si="4"/>
        <v>{3,6,40,38,[{hunter_atk,0}],[300201]}</v>
      </c>
      <c r="P12" s="42" t="str">
        <f t="shared" si="5"/>
        <v>{4,5,40,38,[{mage_atk,0}],[400201]}</v>
      </c>
      <c r="Q12" s="42" t="str">
        <f t="shared" si="6"/>
        <v>{5,5,40,38,[{mage_atk,0}],[500201]}</v>
      </c>
      <c r="R12" s="42" t="str">
        <f t="shared" si="7"/>
        <v>{6,5,40,38,[{mage_atk,0}],[500201]}</v>
      </c>
      <c r="S12" s="43">
        <f ca="1">SUMIFS(装备属性!$I$90:$I$305,装备属性!$E$90:$E$305,E12,装备属性!$G$90:$G$305,D12)*(F12*OFFSET(装备属性!$E$65,MATCH(D12,装备属性!$D$66:$D$73,0),0)+(6-F12)*OFFSET(装备属性!$E$65,MATCH(D12,装备属性!$D$66:$D$73,0)-1,0))/(6*OFFSET(装备属性!$E$65,MATCH(D12,装备属性!$D$66:$D$73,0),0))*6</f>
        <v>657.9375</v>
      </c>
      <c r="T12" s="42">
        <f>_xlfn.XLOOKUP(G12,装备属性!$D$520:$D$819,装备属性!$I$520:$I$819)*6</f>
        <v>996</v>
      </c>
      <c r="U12" s="42">
        <f t="shared" si="14"/>
        <v>0</v>
      </c>
      <c r="W12" s="42">
        <f>INT(养成规划!I15)</f>
        <v>728</v>
      </c>
      <c r="X12" s="42">
        <f>INT(养成规划!J15)</f>
        <v>1092</v>
      </c>
      <c r="Y12" s="42">
        <f>INT(养成规划!K15)</f>
        <v>486</v>
      </c>
      <c r="AA12" s="44">
        <f ca="1" t="shared" si="8"/>
        <v>-0.096239697802198</v>
      </c>
      <c r="AB12" s="44">
        <f t="shared" si="15"/>
        <v>-0.0879120879120879</v>
      </c>
      <c r="AC12" s="44">
        <f t="shared" si="9"/>
        <v>-1</v>
      </c>
      <c r="AD12" s="44">
        <f ca="1" t="shared" si="10"/>
        <v>-0.282767779705117</v>
      </c>
      <c r="AF12">
        <f t="shared" si="11"/>
        <v>2306</v>
      </c>
      <c r="AG12">
        <f ca="1" t="shared" si="12"/>
        <v>652.0625</v>
      </c>
    </row>
    <row r="13" ht="16.5" spans="1:33">
      <c r="A13" s="41">
        <f ca="1" t="shared" si="0"/>
        <v>-0.291319713400465</v>
      </c>
      <c r="B13" s="42">
        <v>11</v>
      </c>
      <c r="C13" s="42">
        <v>6</v>
      </c>
      <c r="D13" s="42" t="str">
        <f>SUBSTITUTE(养成规划!H16,"","彩")</f>
        <v>红</v>
      </c>
      <c r="E13" s="42">
        <f>INT(养成规划!F16)</f>
        <v>50</v>
      </c>
      <c r="F13" s="42">
        <v>3</v>
      </c>
      <c r="G13" s="42">
        <f>INT(养成规划!G16)</f>
        <v>40</v>
      </c>
      <c r="H13" s="42">
        <f>INT(SUMIFS(装备属性!$R$919:$R$955,装备属性!$P$919:$P$955,$D13,装备属性!$N$919:$N$955,$E13)*0.5)</f>
        <v>0</v>
      </c>
      <c r="I13" s="42">
        <f>INT(SUMIFS(装备属性!$R$919:$R$955,装备属性!$P$919:$P$955,$D13,装备属性!$N$919:$N$955,$E13)*0)</f>
        <v>0</v>
      </c>
      <c r="J13" s="42">
        <f t="shared" si="1"/>
        <v>0</v>
      </c>
      <c r="K13" s="42">
        <v>100201</v>
      </c>
      <c r="L13" s="42" t="str">
        <f t="shared" si="13"/>
        <v>[{1,6,50,40,[{hunter_atk,0}],[100201]},{2,6,50,40,[{hunter_atk,0}],[200201]},{3,6,50,40,[{hunter_atk,0}],[300201]},{4,5,50,40,[{mage_atk,0}],[400201]},{5,5,50,40,[{mage_atk,0}],[500201]},{6,5,50,40,[{mage_atk,0}],[500201]}]</v>
      </c>
      <c r="M13" s="42" t="str">
        <f t="shared" si="2"/>
        <v>{1,6,50,40,[{hunter_atk,0}],[100201]}</v>
      </c>
      <c r="N13" s="42" t="str">
        <f t="shared" si="3"/>
        <v>{2,6,50,40,[{hunter_atk,0}],[200201]}</v>
      </c>
      <c r="O13" s="42" t="str">
        <f t="shared" si="4"/>
        <v>{3,6,50,40,[{hunter_atk,0}],[300201]}</v>
      </c>
      <c r="P13" s="42" t="str">
        <f t="shared" si="5"/>
        <v>{4,5,50,40,[{mage_atk,0}],[400201]}</v>
      </c>
      <c r="Q13" s="42" t="str">
        <f t="shared" si="6"/>
        <v>{5,5,50,40,[{mage_atk,0}],[500201]}</v>
      </c>
      <c r="R13" s="42" t="str">
        <f t="shared" si="7"/>
        <v>{6,5,50,40,[{mage_atk,0}],[500201]}</v>
      </c>
      <c r="S13" s="43">
        <f ca="1">SUMIFS(装备属性!$I$90:$I$305,装备属性!$E$90:$E$305,E13,装备属性!$G$90:$G$305,D13)*(F13*OFFSET(装备属性!$E$65,MATCH(D13,装备属性!$D$66:$D$73,0),0)+(6-F13)*OFFSET(装备属性!$E$65,MATCH(D13,装备属性!$D$66:$D$73,0)-1,0))/(6*OFFSET(装备属性!$E$65,MATCH(D13,装备属性!$D$66:$D$73,0),0))*6</f>
        <v>755.8125</v>
      </c>
      <c r="T13" s="42">
        <f>_xlfn.XLOOKUP(G13,装备属性!$D$520:$D$819,装备属性!$I$520:$I$819)*6</f>
        <v>1074</v>
      </c>
      <c r="U13" s="42">
        <f t="shared" si="14"/>
        <v>0</v>
      </c>
      <c r="W13" s="42">
        <f>INT(养成规划!I16)</f>
        <v>836</v>
      </c>
      <c r="X13" s="42">
        <f>INT(养成规划!J16)</f>
        <v>1188</v>
      </c>
      <c r="Y13" s="42">
        <f>INT(养成规划!K16)</f>
        <v>558</v>
      </c>
      <c r="AA13" s="44">
        <f ca="1" t="shared" si="8"/>
        <v>-0.0959180622009569</v>
      </c>
      <c r="AB13" s="44">
        <f t="shared" si="15"/>
        <v>-0.0959595959595959</v>
      </c>
      <c r="AC13" s="44">
        <f t="shared" si="9"/>
        <v>-1</v>
      </c>
      <c r="AD13" s="44">
        <f ca="1" t="shared" si="10"/>
        <v>-0.291319713400465</v>
      </c>
      <c r="AF13">
        <f t="shared" si="11"/>
        <v>2582</v>
      </c>
      <c r="AG13">
        <f ca="1" t="shared" si="12"/>
        <v>752.1875</v>
      </c>
    </row>
    <row r="14" ht="16.5" spans="1:33">
      <c r="A14" s="41">
        <f ca="1" t="shared" si="0"/>
        <v>-0.333834134615385</v>
      </c>
      <c r="B14" s="42">
        <v>12</v>
      </c>
      <c r="C14" s="42">
        <v>6</v>
      </c>
      <c r="D14" s="42" t="str">
        <f>SUBSTITUTE(养成规划!H17,"","彩")</f>
        <v>红</v>
      </c>
      <c r="E14" s="42">
        <f>INT(养成规划!F17)</f>
        <v>50</v>
      </c>
      <c r="F14" s="42">
        <v>4</v>
      </c>
      <c r="G14" s="42">
        <f>INT(养成规划!G17)</f>
        <v>42</v>
      </c>
      <c r="H14" s="42">
        <f>INT(SUMIFS(装备属性!$R$919:$R$955,装备属性!$P$919:$P$955,$D14,装备属性!$N$919:$N$955,$E14)*0.5)</f>
        <v>0</v>
      </c>
      <c r="I14" s="42">
        <f>INT(SUMIFS(装备属性!$R$919:$R$955,装备属性!$P$919:$P$955,$D14,装备属性!$N$919:$N$955,$E14)*0)</f>
        <v>0</v>
      </c>
      <c r="J14" s="42">
        <f t="shared" si="1"/>
        <v>0</v>
      </c>
      <c r="K14" s="42">
        <v>100201</v>
      </c>
      <c r="L14" s="42" t="str">
        <f t="shared" si="13"/>
        <v>[{1,6,50,42,[{hunter_atk,0}],[100201]},{2,6,50,42,[{hunter_atk,0}],[200201]},{3,6,50,42,[{hunter_atk,0}],[300201]},{4,6,50,42,[{mage_atk,0}],[400201]},{5,5,50,42,[{mage_atk,0}],[500201]},{6,5,50,42,[{mage_atk,0}],[500201]}]</v>
      </c>
      <c r="M14" s="42" t="str">
        <f t="shared" si="2"/>
        <v>{1,6,50,42,[{hunter_atk,0}],[100201]}</v>
      </c>
      <c r="N14" s="42" t="str">
        <f t="shared" si="3"/>
        <v>{2,6,50,42,[{hunter_atk,0}],[200201]}</v>
      </c>
      <c r="O14" s="42" t="str">
        <f t="shared" si="4"/>
        <v>{3,6,50,42,[{hunter_atk,0}],[300201]}</v>
      </c>
      <c r="P14" s="42" t="str">
        <f t="shared" si="5"/>
        <v>{4,6,50,42,[{mage_atk,0}],[400201]}</v>
      </c>
      <c r="Q14" s="42" t="str">
        <f t="shared" si="6"/>
        <v>{5,5,50,42,[{mage_atk,0}],[500201]}</v>
      </c>
      <c r="R14" s="42" t="str">
        <f t="shared" si="7"/>
        <v>{6,5,50,42,[{mage_atk,0}],[500201]}</v>
      </c>
      <c r="S14" s="43">
        <f ca="1">SUMIFS(装备属性!$I$90:$I$305,装备属性!$E$90:$E$305,E14,装备属性!$G$90:$G$305,D14)*(F14*OFFSET(装备属性!$E$65,MATCH(D14,装备属性!$D$66:$D$73,0),0)+(6-F14)*OFFSET(装备属性!$E$65,MATCH(D14,装备属性!$D$66:$D$73,0)-1,0))/(6*OFFSET(装备属性!$E$65,MATCH(D14,装备属性!$D$66:$D$73,0),0))*6</f>
        <v>781.875</v>
      </c>
      <c r="T14" s="42">
        <f>_xlfn.XLOOKUP(G14,装备属性!$D$520:$D$819,装备属性!$I$520:$I$819)*6</f>
        <v>1158</v>
      </c>
      <c r="U14" s="42">
        <f t="shared" si="14"/>
        <v>0</v>
      </c>
      <c r="W14" s="42">
        <f>INT(养成规划!I17)</f>
        <v>836</v>
      </c>
      <c r="X14" s="42">
        <f>INT(养成规划!J17)</f>
        <v>1284</v>
      </c>
      <c r="Y14" s="42">
        <f>INT(养成规划!K17)</f>
        <v>792</v>
      </c>
      <c r="AA14" s="44">
        <f ca="1" t="shared" si="8"/>
        <v>-0.0647428229665075</v>
      </c>
      <c r="AB14" s="44">
        <f t="shared" si="15"/>
        <v>-0.0981308411214953</v>
      </c>
      <c r="AC14" s="44">
        <f t="shared" si="9"/>
        <v>-1</v>
      </c>
      <c r="AD14" s="44">
        <f ca="1" t="shared" si="10"/>
        <v>-0.333834134615385</v>
      </c>
      <c r="AF14">
        <f t="shared" si="11"/>
        <v>2912</v>
      </c>
      <c r="AG14">
        <f ca="1" t="shared" si="12"/>
        <v>972.125</v>
      </c>
    </row>
    <row r="15" ht="16.5" spans="1:33">
      <c r="A15" s="41">
        <f ca="1" t="shared" si="0"/>
        <v>-0.360593418590143</v>
      </c>
      <c r="B15" s="42">
        <v>13</v>
      </c>
      <c r="C15" s="42">
        <v>6</v>
      </c>
      <c r="D15" s="42" t="str">
        <f>SUBSTITUTE(养成规划!H18,"","彩")</f>
        <v>红</v>
      </c>
      <c r="E15" s="42">
        <f>INT(养成规划!F18)</f>
        <v>50</v>
      </c>
      <c r="F15" s="42">
        <v>5</v>
      </c>
      <c r="G15" s="42">
        <f>INT(养成规划!G18)</f>
        <v>44</v>
      </c>
      <c r="H15" s="42">
        <f>INT(SUMIFS(装备属性!$R$919:$R$955,装备属性!$P$919:$P$955,$D15,装备属性!$N$919:$N$955,$E15)*0.5)</f>
        <v>0</v>
      </c>
      <c r="I15" s="42">
        <f>INT(SUMIFS(装备属性!$R$919:$R$955,装备属性!$P$919:$P$955,$D15,装备属性!$N$919:$N$955,$E15)*0)</f>
        <v>0</v>
      </c>
      <c r="J15" s="42">
        <f t="shared" si="1"/>
        <v>0</v>
      </c>
      <c r="K15" s="42">
        <v>100201</v>
      </c>
      <c r="L15" s="42" t="str">
        <f t="shared" si="13"/>
        <v>[{1,6,50,44,[{hunter_atk,0}],[100201]},{2,6,50,44,[{hunter_atk,0}],[200201]},{3,6,50,44,[{hunter_atk,0}],[300201]},{4,6,50,44,[{mage_atk,0}],[400201]},{5,6,50,44,[{mage_atk,0}],[500201]},{6,5,50,44,[{mage_atk,0}],[500201]}]</v>
      </c>
      <c r="M15" s="42" t="str">
        <f t="shared" si="2"/>
        <v>{1,6,50,44,[{hunter_atk,0}],[100201]}</v>
      </c>
      <c r="N15" s="42" t="str">
        <f t="shared" si="3"/>
        <v>{2,6,50,44,[{hunter_atk,0}],[200201]}</v>
      </c>
      <c r="O15" s="42" t="str">
        <f t="shared" si="4"/>
        <v>{3,6,50,44,[{hunter_atk,0}],[300201]}</v>
      </c>
      <c r="P15" s="42" t="str">
        <f t="shared" si="5"/>
        <v>{4,6,50,44,[{mage_atk,0}],[400201]}</v>
      </c>
      <c r="Q15" s="42" t="str">
        <f t="shared" si="6"/>
        <v>{5,6,50,44,[{mage_atk,0}],[500201]}</v>
      </c>
      <c r="R15" s="42" t="str">
        <f t="shared" si="7"/>
        <v>{6,5,50,44,[{mage_atk,0}],[500201]}</v>
      </c>
      <c r="S15" s="43">
        <f ca="1">SUMIFS(装备属性!$I$90:$I$305,装备属性!$E$90:$E$305,E15,装备属性!$G$90:$G$305,D15)*(F15*OFFSET(装备属性!$E$65,MATCH(D15,装备属性!$D$66:$D$73,0),0)+(6-F15)*OFFSET(装备属性!$E$65,MATCH(D15,装备属性!$D$66:$D$73,0)-1,0))/(6*OFFSET(装备属性!$E$65,MATCH(D15,装备属性!$D$66:$D$73,0),0))*6</f>
        <v>807.9375</v>
      </c>
      <c r="T15" s="42">
        <f>_xlfn.XLOOKUP(G15,装备属性!$D$520:$D$819,装备属性!$I$520:$I$819)*6</f>
        <v>1242</v>
      </c>
      <c r="U15" s="42">
        <f t="shared" si="14"/>
        <v>0</v>
      </c>
      <c r="W15" s="42">
        <f>INT(养成规划!I18)</f>
        <v>836</v>
      </c>
      <c r="X15" s="42">
        <f>INT(养成规划!J18)</f>
        <v>1380</v>
      </c>
      <c r="Y15" s="42">
        <f>INT(养成规划!K18)</f>
        <v>990</v>
      </c>
      <c r="AA15" s="44">
        <f ca="1" t="shared" si="8"/>
        <v>-0.0335675837320577</v>
      </c>
      <c r="AB15" s="44">
        <f t="shared" si="15"/>
        <v>-0.1</v>
      </c>
      <c r="AC15" s="44">
        <f t="shared" si="9"/>
        <v>-1</v>
      </c>
      <c r="AD15" s="44">
        <f ca="1" t="shared" si="10"/>
        <v>-0.360593418590143</v>
      </c>
      <c r="AF15">
        <f t="shared" si="11"/>
        <v>3206</v>
      </c>
      <c r="AG15">
        <f ca="1" t="shared" si="12"/>
        <v>1156.0625</v>
      </c>
    </row>
    <row r="16" ht="16.5" spans="1:33">
      <c r="A16" s="41">
        <f ca="1" t="shared" si="0"/>
        <v>-0.397843516726569</v>
      </c>
      <c r="B16" s="42">
        <v>14</v>
      </c>
      <c r="C16" s="42">
        <v>6</v>
      </c>
      <c r="D16" s="42" t="str">
        <f>SUBSTITUTE(养成规划!H19,"","彩")</f>
        <v>红</v>
      </c>
      <c r="E16" s="42">
        <f>INT(养成规划!F19)</f>
        <v>55</v>
      </c>
      <c r="F16" s="42">
        <v>6</v>
      </c>
      <c r="G16" s="42">
        <f>INT(养成规划!G19)</f>
        <v>45</v>
      </c>
      <c r="H16" s="42">
        <f>INT(SUMIFS(装备属性!$R$919:$R$955,装备属性!$P$919:$P$955,$D16,装备属性!$N$919:$N$955,$E16)*0.5)</f>
        <v>0</v>
      </c>
      <c r="I16" s="42">
        <f>INT(SUMIFS(装备属性!$R$919:$R$955,装备属性!$P$919:$P$955,$D16,装备属性!$N$919:$N$955,$E16)*0)</f>
        <v>0</v>
      </c>
      <c r="J16" s="42">
        <f t="shared" si="1"/>
        <v>0</v>
      </c>
      <c r="K16" s="42">
        <v>100201</v>
      </c>
      <c r="L16" s="42" t="str">
        <f t="shared" si="13"/>
        <v>[{1,6,55,45,[{hunter_atk,0}],[100201]},{2,6,55,45,[{hunter_atk,0}],[200201]},{3,6,55,45,[{hunter_atk,0}],[300201]},{4,6,55,45,[{mage_atk,0}],[400201]},{5,6,55,45,[{mage_atk,0}],[500201]},{6,6,55,45,[{mage_atk,0}],[500201]}]</v>
      </c>
      <c r="M16" s="42" t="str">
        <f t="shared" si="2"/>
        <v>{1,6,55,45,[{hunter_atk,0}],[100201]}</v>
      </c>
      <c r="N16" s="42" t="str">
        <f t="shared" si="3"/>
        <v>{2,6,55,45,[{hunter_atk,0}],[200201]}</v>
      </c>
      <c r="O16" s="42" t="str">
        <f t="shared" si="4"/>
        <v>{3,6,55,45,[{hunter_atk,0}],[300201]}</v>
      </c>
      <c r="P16" s="42" t="str">
        <f t="shared" si="5"/>
        <v>{4,6,55,45,[{mage_atk,0}],[400201]}</v>
      </c>
      <c r="Q16" s="42" t="str">
        <f t="shared" si="6"/>
        <v>{5,6,55,45,[{mage_atk,0}],[500201]}</v>
      </c>
      <c r="R16" s="42" t="str">
        <f t="shared" si="7"/>
        <v>{6,6,55,45,[{mage_atk,0}],[500201]}</v>
      </c>
      <c r="S16" s="43">
        <f ca="1">SUMIFS(装备属性!$I$90:$I$305,装备属性!$E$90:$E$305,E16,装备属性!$G$90:$G$305,D16)*(F16*OFFSET(装备属性!$E$65,MATCH(D16,装备属性!$D$66:$D$73,0),0)+(6-F16)*OFFSET(装备属性!$E$65,MATCH(D16,装备属性!$D$66:$D$73,0)-1,0))/(6*OFFSET(装备属性!$E$65,MATCH(D16,装备属性!$D$66:$D$73,0),0))*6</f>
        <v>894</v>
      </c>
      <c r="T16" s="42">
        <f>_xlfn.XLOOKUP(G16,装备属性!$D$520:$D$819,装备属性!$I$520:$I$819)*6</f>
        <v>1284</v>
      </c>
      <c r="U16" s="42">
        <f t="shared" si="14"/>
        <v>0</v>
      </c>
      <c r="W16" s="42">
        <f>INT(养成规划!I19)</f>
        <v>899</v>
      </c>
      <c r="X16" s="42">
        <f>INT(养成规划!J19)</f>
        <v>1428</v>
      </c>
      <c r="Y16" s="42">
        <f>INT(养成规划!K19)</f>
        <v>1290</v>
      </c>
      <c r="AA16" s="44">
        <f ca="1" t="shared" si="8"/>
        <v>-0.00556173526140158</v>
      </c>
      <c r="AB16" s="44">
        <f t="shared" si="15"/>
        <v>-0.100840336134454</v>
      </c>
      <c r="AC16" s="44">
        <f t="shared" si="9"/>
        <v>-1</v>
      </c>
      <c r="AD16" s="44">
        <f ca="1" t="shared" si="10"/>
        <v>-0.397843516726569</v>
      </c>
      <c r="AF16">
        <f t="shared" si="11"/>
        <v>3617</v>
      </c>
      <c r="AG16">
        <f ca="1" t="shared" si="12"/>
        <v>1439</v>
      </c>
    </row>
    <row r="17" ht="16.5" spans="1:37">
      <c r="A17" s="41">
        <f ca="1" t="shared" si="0"/>
        <v>-0.455017627801561</v>
      </c>
      <c r="B17" s="42">
        <v>15</v>
      </c>
      <c r="C17" s="42">
        <v>6</v>
      </c>
      <c r="D17" s="42" t="str">
        <f>SUBSTITUTE(养成规划!H20,"","彩")</f>
        <v>红</v>
      </c>
      <c r="E17" s="42">
        <f>INT(养成规划!F20)</f>
        <v>55</v>
      </c>
      <c r="F17" s="42">
        <v>4</v>
      </c>
      <c r="G17" s="42">
        <f>INT(养成规划!G20)</f>
        <v>46</v>
      </c>
      <c r="H17" s="42">
        <f>INT(SUMIFS(装备属性!$R$919:$R$955,装备属性!$P$919:$P$955,$D17,装备属性!$N$919:$N$955,$E17)*0.5)</f>
        <v>0</v>
      </c>
      <c r="I17" s="42">
        <f>INT(SUMIFS(装备属性!$R$919:$R$955,装备属性!$P$919:$P$955,$D17,装备属性!$N$919:$N$955,$E17)*0)</f>
        <v>0</v>
      </c>
      <c r="J17" s="42">
        <f t="shared" si="1"/>
        <v>0</v>
      </c>
      <c r="K17" s="42">
        <v>100201</v>
      </c>
      <c r="L17" s="42" t="str">
        <f t="shared" si="13"/>
        <v>[{1,6,55,46,[{hunter_atk,0}],[100201]},{2,6,55,46,[{hunter_atk,0}],[200201]},{3,6,55,46,[{hunter_atk,0}],[300201]},{4,6,55,46,[{mage_atk,0}],[400201]},{5,5,55,46,[{mage_atk,0}],[500201]},{6,5,55,46,[{mage_atk,0}],[500201]}]</v>
      </c>
      <c r="M17" s="42" t="str">
        <f t="shared" si="2"/>
        <v>{1,6,55,46,[{hunter_atk,0}],[100201]}</v>
      </c>
      <c r="N17" s="42" t="str">
        <f t="shared" si="3"/>
        <v>{2,6,55,46,[{hunter_atk,0}],[200201]}</v>
      </c>
      <c r="O17" s="42" t="str">
        <f t="shared" si="4"/>
        <v>{3,6,55,46,[{hunter_atk,0}],[300201]}</v>
      </c>
      <c r="P17" s="42" t="str">
        <f t="shared" si="5"/>
        <v>{4,6,55,46,[{mage_atk,0}],[400201]}</v>
      </c>
      <c r="Q17" s="42" t="str">
        <f t="shared" si="6"/>
        <v>{5,5,55,46,[{mage_atk,0}],[500201]}</v>
      </c>
      <c r="R17" s="42" t="str">
        <f t="shared" si="7"/>
        <v>{6,5,55,46,[{mage_atk,0}],[500201]}</v>
      </c>
      <c r="S17" s="43">
        <f ca="1">SUMIFS(装备属性!$I$90:$I$305,装备属性!$E$90:$E$305,E17,装备属性!$G$90:$G$305,D17)*(F17*OFFSET(装备属性!$E$65,MATCH(D17,装备属性!$D$66:$D$73,0),0)+(6-F17)*OFFSET(装备属性!$E$65,MATCH(D17,装备属性!$D$66:$D$73,0)-1,0))/(6*OFFSET(装备属性!$E$65,MATCH(D17,装备属性!$D$66:$D$73,0),0))*6</f>
        <v>838.125</v>
      </c>
      <c r="T17" s="42">
        <f>_xlfn.XLOOKUP(G17,装备属性!$D$520:$D$819,装备属性!$I$520:$I$819)*6</f>
        <v>1326</v>
      </c>
      <c r="U17" s="42">
        <f t="shared" si="14"/>
        <v>0</v>
      </c>
      <c r="W17" s="42">
        <f>INT(养成规划!I20)</f>
        <v>899</v>
      </c>
      <c r="X17" s="42">
        <f>INT(养成规划!J20)</f>
        <v>1476</v>
      </c>
      <c r="Y17" s="42">
        <f>INT(养成规划!K20)</f>
        <v>1596</v>
      </c>
      <c r="AA17" s="44">
        <f ca="1" t="shared" si="8"/>
        <v>-0.0677141268075642</v>
      </c>
      <c r="AB17" s="44">
        <f t="shared" si="15"/>
        <v>-0.101626016260163</v>
      </c>
      <c r="AC17" s="44">
        <f t="shared" si="9"/>
        <v>-1</v>
      </c>
      <c r="AD17" s="44">
        <f ca="1" t="shared" si="10"/>
        <v>-0.455017627801561</v>
      </c>
      <c r="AF17">
        <f t="shared" si="11"/>
        <v>3971</v>
      </c>
      <c r="AG17">
        <f ca="1" t="shared" si="12"/>
        <v>1806.875</v>
      </c>
    </row>
    <row r="18" ht="16.5" spans="1:37">
      <c r="A18" s="41">
        <f ca="1" t="shared" si="0"/>
        <v>-0.482736165779116</v>
      </c>
      <c r="B18" s="42">
        <v>16</v>
      </c>
      <c r="C18" s="42">
        <v>6</v>
      </c>
      <c r="D18" s="42" t="str">
        <f>SUBSTITUTE(养成规划!H21,"","彩")</f>
        <v>红</v>
      </c>
      <c r="E18" s="42">
        <f>INT(养成规划!F21)</f>
        <v>55</v>
      </c>
      <c r="F18" s="42">
        <v>5</v>
      </c>
      <c r="G18" s="42">
        <f>INT(养成规划!G21)</f>
        <v>47</v>
      </c>
      <c r="H18" s="42">
        <f>INT(SUMIFS(装备属性!$R$919:$R$955,装备属性!$P$919:$P$955,$D18,装备属性!$N$919:$N$955,$E18)*0.5)</f>
        <v>0</v>
      </c>
      <c r="I18" s="42">
        <f>INT(SUMIFS(装备属性!$R$919:$R$955,装备属性!$P$919:$P$955,$D18,装备属性!$N$919:$N$955,$E18)*0)</f>
        <v>0</v>
      </c>
      <c r="J18" s="42">
        <f t="shared" si="1"/>
        <v>0</v>
      </c>
      <c r="K18" s="42">
        <v>100301</v>
      </c>
      <c r="L18" s="42" t="str">
        <f t="shared" si="13"/>
        <v>[{1,6,55,47,[{hunter_atk,0}],[100301]},{2,6,55,47,[{hunter_atk,0}],[200301]},{3,6,55,47,[{hunter_atk,0}],[300301]},{4,6,55,47,[{mage_atk,0}],[400301]},{5,6,55,47,[{mage_atk,0}],[500301]},{6,5,55,47,[{mage_atk,0}],[500301]}]</v>
      </c>
      <c r="M18" s="42" t="str">
        <f t="shared" si="2"/>
        <v>{1,6,55,47,[{hunter_atk,0}],[100301]}</v>
      </c>
      <c r="N18" s="42" t="str">
        <f t="shared" si="3"/>
        <v>{2,6,55,47,[{hunter_atk,0}],[200301]}</v>
      </c>
      <c r="O18" s="42" t="str">
        <f t="shared" si="4"/>
        <v>{3,6,55,47,[{hunter_atk,0}],[300301]}</v>
      </c>
      <c r="P18" s="42" t="str">
        <f t="shared" si="5"/>
        <v>{4,6,55,47,[{mage_atk,0}],[400301]}</v>
      </c>
      <c r="Q18" s="42" t="str">
        <f t="shared" si="6"/>
        <v>{5,6,55,47,[{mage_atk,0}],[500301]}</v>
      </c>
      <c r="R18" s="42" t="str">
        <f t="shared" si="7"/>
        <v>{6,5,55,47,[{mage_atk,0}],[500301]}</v>
      </c>
      <c r="S18" s="43">
        <f ca="1">SUMIFS(装备属性!$I$90:$I$305,装备属性!$E$90:$E$305,E18,装备属性!$G$90:$G$305,D18)*(F18*OFFSET(装备属性!$E$65,MATCH(D18,装备属性!$D$66:$D$73,0),0)+(6-F18)*OFFSET(装备属性!$E$65,MATCH(D18,装备属性!$D$66:$D$73,0)-1,0))/(6*OFFSET(装备属性!$E$65,MATCH(D18,装备属性!$D$66:$D$73,0),0))*6</f>
        <v>866.0625</v>
      </c>
      <c r="T18" s="42">
        <f>_xlfn.XLOOKUP(G18,装备属性!$D$520:$D$819,装备属性!$I$520:$I$819)*6</f>
        <v>1368</v>
      </c>
      <c r="U18" s="42">
        <f t="shared" si="14"/>
        <v>0</v>
      </c>
      <c r="W18" s="42">
        <f>INT(养成规划!I21)</f>
        <v>899</v>
      </c>
      <c r="X18" s="42">
        <f>INT(养成规划!J21)</f>
        <v>1524</v>
      </c>
      <c r="Y18" s="42">
        <f>INT(养成规划!K21)</f>
        <v>1896</v>
      </c>
      <c r="AA18" s="44">
        <f ca="1" t="shared" si="8"/>
        <v>-0.036637931034483</v>
      </c>
      <c r="AB18" s="44">
        <f t="shared" si="15"/>
        <v>-0.102362204724409</v>
      </c>
      <c r="AC18" s="44">
        <f t="shared" si="9"/>
        <v>-1</v>
      </c>
      <c r="AD18" s="44">
        <f ca="1" t="shared" si="10"/>
        <v>-0.482736165779116</v>
      </c>
      <c r="AF18">
        <f t="shared" si="11"/>
        <v>4319</v>
      </c>
      <c r="AG18">
        <f ca="1" t="shared" si="12"/>
        <v>2084.9375</v>
      </c>
    </row>
    <row r="19" ht="16.5" spans="1:37">
      <c r="A19" s="41">
        <f ca="1" t="shared" si="0"/>
        <v>-0.48599269183922</v>
      </c>
      <c r="B19" s="42">
        <v>20</v>
      </c>
      <c r="C19" s="42">
        <v>6</v>
      </c>
      <c r="D19" s="42" t="str">
        <f>SUBSTITUTE(养成规划!H22,"","彩")</f>
        <v>红</v>
      </c>
      <c r="E19" s="42">
        <f>INT(养成规划!F22)</f>
        <v>60</v>
      </c>
      <c r="F19" s="42">
        <v>6</v>
      </c>
      <c r="G19" s="42">
        <f>INT(养成规划!G22)</f>
        <v>51</v>
      </c>
      <c r="H19" s="42">
        <f>INT(SUMIFS(装备属性!$R$919:$R$955,装备属性!$P$919:$P$955,$D19,装备属性!$N$919:$N$955,$E19)*0.5)</f>
        <v>0</v>
      </c>
      <c r="I19" s="42">
        <f>INT(SUMIFS(装备属性!$R$919:$R$955,装备属性!$P$919:$P$955,$D19,装备属性!$N$919:$N$955,$E19)*0)</f>
        <v>0</v>
      </c>
      <c r="J19" s="42">
        <f t="shared" si="1"/>
        <v>0</v>
      </c>
      <c r="K19" s="42">
        <v>100301</v>
      </c>
      <c r="L19" s="42" t="str">
        <f t="shared" si="13"/>
        <v>[{1,6,60,51,[{hunter_atk,0}],[100301]},{2,6,60,51,[{hunter_atk,0}],[200301]},{3,6,60,51,[{hunter_atk,0}],[300301]},{4,6,60,51,[{mage_atk,0}],[400301]},{5,6,60,51,[{mage_atk,0}],[500301]},{6,6,60,51,[{mage_atk,0}],[500301]}]</v>
      </c>
      <c r="M19" s="42" t="str">
        <f t="shared" si="2"/>
        <v>{1,6,60,51,[{hunter_atk,0}],[100301]}</v>
      </c>
      <c r="N19" s="42" t="str">
        <f t="shared" si="3"/>
        <v>{2,6,60,51,[{hunter_atk,0}],[200301]}</v>
      </c>
      <c r="O19" s="42" t="str">
        <f t="shared" si="4"/>
        <v>{3,6,60,51,[{hunter_atk,0}],[300301]}</v>
      </c>
      <c r="P19" s="42" t="str">
        <f t="shared" si="5"/>
        <v>{4,6,60,51,[{mage_atk,0}],[400301]}</v>
      </c>
      <c r="Q19" s="42" t="str">
        <f t="shared" si="6"/>
        <v>{5,6,60,51,[{mage_atk,0}],[500301]}</v>
      </c>
      <c r="R19" s="42" t="str">
        <f t="shared" si="7"/>
        <v>{6,6,60,51,[{mage_atk,0}],[500301]}</v>
      </c>
      <c r="S19" s="43">
        <f ca="1">SUMIFS(装备属性!$I$90:$I$305,装备属性!$E$90:$E$305,E19,装备属性!$G$90:$G$305,D19)*(F19*OFFSET(装备属性!$E$65,MATCH(D19,装备属性!$D$66:$D$73,0),0)+(6-F19)*OFFSET(装备属性!$E$65,MATCH(D19,装备属性!$D$66:$D$73,0)-1,0))/(6*OFFSET(装备属性!$E$65,MATCH(D19,装备属性!$D$66:$D$73,0),0))*6</f>
        <v>960</v>
      </c>
      <c r="T19" s="42">
        <f>_xlfn.XLOOKUP(G19,装备属性!$D$520:$D$819,装备属性!$I$520:$I$819)*6</f>
        <v>1572</v>
      </c>
      <c r="U19" s="42">
        <f t="shared" si="14"/>
        <v>0</v>
      </c>
      <c r="W19" s="42">
        <f>INT(养成规划!I22)</f>
        <v>966</v>
      </c>
      <c r="X19" s="42">
        <f>INT(养成规划!J22)</f>
        <v>1764</v>
      </c>
      <c r="Y19" s="42">
        <f>INT(养成规划!K22)</f>
        <v>2196</v>
      </c>
      <c r="AA19" s="44">
        <f ca="1" t="shared" si="8"/>
        <v>-0.00621118012422361</v>
      </c>
      <c r="AB19" s="44">
        <f t="shared" si="15"/>
        <v>-0.108843537414966</v>
      </c>
      <c r="AC19" s="44">
        <f t="shared" si="9"/>
        <v>-1</v>
      </c>
      <c r="AD19" s="44">
        <f ca="1" t="shared" si="10"/>
        <v>-0.48599269183922</v>
      </c>
      <c r="AF19">
        <f t="shared" si="11"/>
        <v>4926</v>
      </c>
      <c r="AG19">
        <f ca="1" t="shared" si="12"/>
        <v>2394</v>
      </c>
      <c r="AI19">
        <f>351*2+221*4</f>
        <v>1586</v>
      </c>
      <c r="AJ19">
        <f>315*6</f>
        <v>1890</v>
      </c>
      <c r="AK19">
        <f>108*6</f>
        <v>648</v>
      </c>
    </row>
    <row r="20" ht="16.5" spans="1:37">
      <c r="A20" s="41">
        <f ca="1" t="shared" si="0"/>
        <v>-0.465373034459686</v>
      </c>
      <c r="B20" s="42">
        <f t="shared" ref="B20:B25" si="16">B19+7</f>
        <v>27</v>
      </c>
      <c r="C20" s="42">
        <v>7</v>
      </c>
      <c r="D20" s="42" t="str">
        <f>SUBSTITUTE(养成规划!H23,"","彩")</f>
        <v>粉</v>
      </c>
      <c r="E20" s="42">
        <f>INT(养成规划!F23)</f>
        <v>65</v>
      </c>
      <c r="F20" s="42">
        <v>4</v>
      </c>
      <c r="G20" s="42">
        <f>INT(养成规划!G23)</f>
        <v>58</v>
      </c>
      <c r="H20" s="42">
        <f>INT(SUMIFS(装备属性!$R$919:$R$955,装备属性!$P$919:$P$955,$D20,装备属性!$N$919:$N$955,$E20)*0.5)</f>
        <v>0</v>
      </c>
      <c r="I20" s="42">
        <f>INT(SUMIFS(装备属性!$R$919:$R$955,装备属性!$P$919:$P$955,$D20,装备属性!$N$919:$N$955,$E20)*0)</f>
        <v>0</v>
      </c>
      <c r="J20" s="42">
        <f t="shared" si="1"/>
        <v>0</v>
      </c>
      <c r="K20" s="42">
        <v>100301</v>
      </c>
      <c r="L20" s="42" t="str">
        <f t="shared" si="13"/>
        <v>[{1,7,65,58,[{hunter_atk,0}],[100301]},{2,7,65,58,[{hunter_atk,0}],[200301]},{3,7,65,58,[{hunter_atk,0}],[300301]},{4,7,65,58,[{mage_atk,0}],[400301]},{5,6,65,58,[{mage_atk,0}],[500301]},{6,6,65,58,[{mage_atk,0}],[500301]}]</v>
      </c>
      <c r="M20" s="42" t="str">
        <f t="shared" si="2"/>
        <v>{1,7,65,58,[{hunter_atk,0}],[100301]}</v>
      </c>
      <c r="N20" s="42" t="str">
        <f t="shared" si="3"/>
        <v>{2,7,65,58,[{hunter_atk,0}],[200301]}</v>
      </c>
      <c r="O20" s="42" t="str">
        <f t="shared" si="4"/>
        <v>{3,7,65,58,[{hunter_atk,0}],[300301]}</v>
      </c>
      <c r="P20" s="42" t="str">
        <f t="shared" si="5"/>
        <v>{4,7,65,58,[{mage_atk,0}],[400301]}</v>
      </c>
      <c r="Q20" s="42" t="str">
        <f t="shared" si="6"/>
        <v>{5,6,65,58,[{mage_atk,0}],[500301]}</v>
      </c>
      <c r="R20" s="42" t="str">
        <f t="shared" si="7"/>
        <v>{6,6,65,58,[{mage_atk,0}],[500301]}</v>
      </c>
      <c r="S20" s="43">
        <f ca="1">SUMIFS(装备属性!$I$90:$I$305,装备属性!$E$90:$E$305,E20,装备属性!$G$90:$G$305,D20)*(F20*OFFSET(装备属性!$E$65,MATCH(D20,装备属性!$D$66:$D$73,0),0)+(6-F20)*OFFSET(装备属性!$E$65,MATCH(D20,装备属性!$D$66:$D$73,0)-1,0))/(6*OFFSET(装备属性!$E$65,MATCH(D20,装备属性!$D$66:$D$73,0),0))*6</f>
        <v>1204</v>
      </c>
      <c r="T20" s="42">
        <f>_xlfn.XLOOKUP(G20,装备属性!$D$520:$D$819,装备属性!$I$520:$I$819)*6</f>
        <v>1992</v>
      </c>
      <c r="U20" s="42">
        <f t="shared" si="14"/>
        <v>0</v>
      </c>
      <c r="W20" s="42">
        <f>INT(养成规划!I23)</f>
        <v>1298</v>
      </c>
      <c r="X20" s="42">
        <f>INT(养成规划!J23)</f>
        <v>2184</v>
      </c>
      <c r="Y20" s="42">
        <f>INT(养成规划!K23)</f>
        <v>2496</v>
      </c>
      <c r="AA20" s="44">
        <f ca="1" t="shared" si="8"/>
        <v>-0.0724191063174114</v>
      </c>
      <c r="AB20" s="44">
        <f t="shared" si="15"/>
        <v>-0.0879120879120879</v>
      </c>
      <c r="AC20" s="44">
        <f t="shared" si="9"/>
        <v>-1</v>
      </c>
      <c r="AD20" s="44">
        <f ca="1" t="shared" si="10"/>
        <v>-0.465373034459686</v>
      </c>
      <c r="AF20">
        <f t="shared" si="11"/>
        <v>5978</v>
      </c>
      <c r="AG20">
        <f ca="1" t="shared" si="12"/>
        <v>2782</v>
      </c>
    </row>
    <row r="21" ht="16.5" spans="1:37">
      <c r="A21" s="41">
        <f ca="1" t="shared" si="0"/>
        <v>-0.457331730769231</v>
      </c>
      <c r="B21" s="42">
        <f t="shared" si="16"/>
        <v>34</v>
      </c>
      <c r="C21" s="42">
        <v>7</v>
      </c>
      <c r="D21" s="42" t="str">
        <f>SUBSTITUTE(养成规划!H24,"","彩")</f>
        <v>粉</v>
      </c>
      <c r="E21" s="42">
        <f>INT(养成规划!F24)</f>
        <v>70</v>
      </c>
      <c r="F21" s="42">
        <v>6</v>
      </c>
      <c r="G21" s="42">
        <f>INT(养成规划!G24)</f>
        <v>62</v>
      </c>
      <c r="H21" s="42">
        <f>INT(SUMIFS(装备属性!$R$919:$R$955,装备属性!$P$919:$P$955,$D21,装备属性!$N$919:$N$955,$E21)*0.5)</f>
        <v>0</v>
      </c>
      <c r="I21" s="42">
        <f>INT(SUMIFS(装备属性!$R$919:$R$955,装备属性!$P$919:$P$955,$D21,装备属性!$N$919:$N$955,$E21)*0)</f>
        <v>0</v>
      </c>
      <c r="J21" s="42">
        <f t="shared" si="1"/>
        <v>0</v>
      </c>
      <c r="K21" s="42">
        <v>100301</v>
      </c>
      <c r="L21" s="42" t="str">
        <f t="shared" si="13"/>
        <v>[{1,7,70,62,[{hunter_atk,0}],[100301]},{2,7,70,62,[{hunter_atk,0}],[200301]},{3,7,70,62,[{hunter_atk,0}],[300301]},{4,7,70,62,[{mage_atk,0}],[400301]},{5,7,70,62,[{mage_atk,0}],[500301]},{6,7,70,62,[{mage_atk,0}],[500301]}]</v>
      </c>
      <c r="M21" s="42" t="str">
        <f t="shared" si="2"/>
        <v>{1,7,70,62,[{hunter_atk,0}],[100301]}</v>
      </c>
      <c r="N21" s="42" t="str">
        <f t="shared" si="3"/>
        <v>{2,7,70,62,[{hunter_atk,0}],[200301]}</v>
      </c>
      <c r="O21" s="42" t="str">
        <f t="shared" si="4"/>
        <v>{3,7,70,62,[{hunter_atk,0}],[300301]}</v>
      </c>
      <c r="P21" s="42" t="str">
        <f t="shared" si="5"/>
        <v>{4,7,70,62,[{mage_atk,0}],[400301]}</v>
      </c>
      <c r="Q21" s="42" t="str">
        <f t="shared" si="6"/>
        <v>{5,7,70,62,[{mage_atk,0}],[500301]}</v>
      </c>
      <c r="R21" s="42" t="str">
        <f t="shared" si="7"/>
        <v>{6,7,70,62,[{mage_atk,0}],[500301]}</v>
      </c>
      <c r="S21" s="43">
        <f ca="1">SUMIFS(装备属性!$I$90:$I$305,装备属性!$E$90:$E$305,E21,装备属性!$G$90:$G$305,D21)*(F21*OFFSET(装备属性!$E$65,MATCH(D21,装备属性!$D$66:$D$73,0),0)+(6-F21)*OFFSET(装备属性!$E$65,MATCH(D21,装备属性!$D$66:$D$73,0)-1,0))/(6*OFFSET(装备属性!$E$65,MATCH(D21,装备属性!$D$66:$D$73,0),0))*6</f>
        <v>1380</v>
      </c>
      <c r="T21" s="42">
        <f>_xlfn.XLOOKUP(G21,装备属性!$D$520:$D$819,装备属性!$I$520:$I$819)*6</f>
        <v>2232</v>
      </c>
      <c r="U21" s="42">
        <f t="shared" si="14"/>
        <v>0</v>
      </c>
      <c r="W21" s="42">
        <f>INT(养成规划!I24)</f>
        <v>1394</v>
      </c>
      <c r="X21" s="42">
        <f>INT(养成规划!J24)</f>
        <v>2478</v>
      </c>
      <c r="Y21" s="42">
        <f>INT(养成规划!K24)</f>
        <v>2784</v>
      </c>
      <c r="AA21" s="44">
        <f ca="1" t="shared" si="8"/>
        <v>-0.0100430416068866</v>
      </c>
      <c r="AB21" s="44">
        <f t="shared" si="15"/>
        <v>-0.0992736077481841</v>
      </c>
      <c r="AC21" s="44">
        <f t="shared" si="9"/>
        <v>-1</v>
      </c>
      <c r="AD21" s="44">
        <f ca="1" t="shared" si="10"/>
        <v>-0.457331730769231</v>
      </c>
      <c r="AF21">
        <f t="shared" si="11"/>
        <v>6656</v>
      </c>
      <c r="AG21">
        <f ca="1" t="shared" si="12"/>
        <v>3044</v>
      </c>
    </row>
    <row r="22" ht="16.5" spans="1:37">
      <c r="A22" s="41">
        <f ca="1" t="shared" si="0"/>
        <v>-0.472771343926744</v>
      </c>
      <c r="B22" s="42">
        <f t="shared" si="16"/>
        <v>41</v>
      </c>
      <c r="C22" s="42">
        <v>7</v>
      </c>
      <c r="D22" s="42" t="str">
        <f>SUBSTITUTE(养成规划!H25,"","彩")</f>
        <v>粉</v>
      </c>
      <c r="E22" s="42">
        <f>INT(养成规划!F25)</f>
        <v>75</v>
      </c>
      <c r="F22" s="42">
        <v>4</v>
      </c>
      <c r="G22" s="42">
        <f>INT(养成规划!G25)</f>
        <v>67</v>
      </c>
      <c r="H22" s="42">
        <f>INT(SUMIFS(装备属性!$R$919:$R$955,装备属性!$P$919:$P$955,$D22,装备属性!$N$919:$N$955,$E22)*0.5)</f>
        <v>0</v>
      </c>
      <c r="I22" s="42">
        <f>INT(SUMIFS(装备属性!$R$919:$R$955,装备属性!$P$919:$P$955,$D22,装备属性!$N$919:$N$955,$E22)*0)</f>
        <v>0</v>
      </c>
      <c r="J22" s="42">
        <f t="shared" si="1"/>
        <v>0</v>
      </c>
      <c r="K22" s="42">
        <v>100301</v>
      </c>
      <c r="L22" s="42" t="str">
        <f t="shared" si="13"/>
        <v>[{1,7,75,67,[{hunter_atk,0}],[100301]},{2,7,75,67,[{hunter_atk,0}],[200301]},{3,7,75,67,[{hunter_atk,0}],[300301]},{4,7,75,67,[{mage_atk,0}],[400301]},{5,6,75,67,[{mage_atk,0}],[500301]},{6,6,75,67,[{mage_atk,0}],[500301]}]</v>
      </c>
      <c r="M22" s="42" t="str">
        <f t="shared" si="2"/>
        <v>{1,7,75,67,[{hunter_atk,0}],[100301]}</v>
      </c>
      <c r="N22" s="42" t="str">
        <f t="shared" si="3"/>
        <v>{2,7,75,67,[{hunter_atk,0}],[200301]}</v>
      </c>
      <c r="O22" s="42" t="str">
        <f t="shared" si="4"/>
        <v>{3,7,75,67,[{hunter_atk,0}],[300301]}</v>
      </c>
      <c r="P22" s="42" t="str">
        <f t="shared" si="5"/>
        <v>{4,7,75,67,[{mage_atk,0}],[400301]}</v>
      </c>
      <c r="Q22" s="42" t="str">
        <f t="shared" si="6"/>
        <v>{5,6,75,67,[{mage_atk,0}],[500301]}</v>
      </c>
      <c r="R22" s="42" t="str">
        <f t="shared" si="7"/>
        <v>{6,6,75,67,[{mage_atk,0}],[500301]}</v>
      </c>
      <c r="S22" s="43">
        <f ca="1">SUMIFS(装备属性!$I$90:$I$305,装备属性!$E$90:$E$305,E22,装备属性!$G$90:$G$305,D22)*(F22*OFFSET(装备属性!$E$65,MATCH(D22,装备属性!$D$66:$D$73,0),0)+(6-F22)*OFFSET(装备属性!$E$65,MATCH(D22,装备属性!$D$66:$D$73,0)-1,0))/(6*OFFSET(装备属性!$E$65,MATCH(D22,装备属性!$D$66:$D$73,0),0))*6</f>
        <v>1383.2</v>
      </c>
      <c r="T22" s="42">
        <f>_xlfn.XLOOKUP(G22,装备属性!$D$520:$D$819,装备属性!$I$520:$I$819)*6</f>
        <v>2532</v>
      </c>
      <c r="U22" s="42">
        <f t="shared" si="14"/>
        <v>0</v>
      </c>
      <c r="W22" s="42">
        <f>INT(养成规划!I25)</f>
        <v>1498</v>
      </c>
      <c r="X22" s="42">
        <f>INT(养成规划!J25)</f>
        <v>2772</v>
      </c>
      <c r="Y22" s="42">
        <f>INT(养成规划!K25)</f>
        <v>3156</v>
      </c>
      <c r="AA22" s="44">
        <f ca="1" t="shared" si="8"/>
        <v>-0.0766355140186917</v>
      </c>
      <c r="AB22" s="44">
        <f t="shared" si="15"/>
        <v>-0.0865800865800865</v>
      </c>
      <c r="AC22" s="44">
        <f t="shared" si="9"/>
        <v>-1</v>
      </c>
      <c r="AD22" s="44">
        <f ca="1" t="shared" si="10"/>
        <v>-0.472771343926744</v>
      </c>
      <c r="AF22">
        <f t="shared" si="11"/>
        <v>7426</v>
      </c>
      <c r="AG22">
        <f ca="1" t="shared" si="12"/>
        <v>3510.8</v>
      </c>
    </row>
    <row r="23" ht="16.5" spans="1:37">
      <c r="A23" s="41">
        <f ca="1" t="shared" si="0"/>
        <v>-0.45654296875</v>
      </c>
      <c r="B23" s="42">
        <f t="shared" si="16"/>
        <v>48</v>
      </c>
      <c r="C23" s="42">
        <v>7</v>
      </c>
      <c r="D23" s="42" t="str">
        <f>SUBSTITUTE(养成规划!H26,"","彩")</f>
        <v>粉</v>
      </c>
      <c r="E23" s="42">
        <f>INT(养成规划!F26)</f>
        <v>80</v>
      </c>
      <c r="F23" s="42">
        <v>6</v>
      </c>
      <c r="G23" s="42">
        <f>INT(养成规划!G26)</f>
        <v>72</v>
      </c>
      <c r="H23" s="42">
        <f>INT(SUMIFS(装备属性!$R$919:$R$955,装备属性!$P$919:$P$955,$D23,装备属性!$N$919:$N$955,$E23)*0.5)</f>
        <v>0</v>
      </c>
      <c r="I23" s="42">
        <f>INT(SUMIFS(装备属性!$R$919:$R$955,装备属性!$P$919:$P$955,$D23,装备属性!$N$919:$N$955,$E23)*0)</f>
        <v>0</v>
      </c>
      <c r="J23" s="42">
        <f t="shared" si="1"/>
        <v>0</v>
      </c>
      <c r="K23" s="42">
        <v>100301</v>
      </c>
      <c r="L23" s="42" t="str">
        <f t="shared" si="13"/>
        <v>[{1,7,80,72,[{hunter_atk,0}],[100301]},{2,7,80,72,[{hunter_atk,0}],[200301]},{3,7,80,72,[{hunter_atk,0}],[300301]},{4,7,80,72,[{mage_atk,0}],[400301]},{5,7,80,72,[{mage_atk,0}],[500301]},{6,7,80,72,[{mage_atk,0}],[500301]}]</v>
      </c>
      <c r="M23" s="42" t="str">
        <f t="shared" si="2"/>
        <v>{1,7,80,72,[{hunter_atk,0}],[100301]}</v>
      </c>
      <c r="N23" s="42" t="str">
        <f t="shared" si="3"/>
        <v>{2,7,80,72,[{hunter_atk,0}],[200301]}</v>
      </c>
      <c r="O23" s="42" t="str">
        <f t="shared" si="4"/>
        <v>{3,7,80,72,[{hunter_atk,0}],[300301]}</v>
      </c>
      <c r="P23" s="42" t="str">
        <f t="shared" si="5"/>
        <v>{4,7,80,72,[{mage_atk,0}],[400301]}</v>
      </c>
      <c r="Q23" s="42" t="str">
        <f t="shared" si="6"/>
        <v>{5,7,80,72,[{mage_atk,0}],[500301]}</v>
      </c>
      <c r="R23" s="42" t="str">
        <f t="shared" si="7"/>
        <v>{6,7,80,72,[{mage_atk,0}],[500301]}</v>
      </c>
      <c r="S23" s="43">
        <f ca="1">SUMIFS(装备属性!$I$90:$I$305,装备属性!$E$90:$E$305,E23,装备属性!$G$90:$G$305,D23)*(F23*OFFSET(装备属性!$E$65,MATCH(D23,装备属性!$D$66:$D$73,0),0)+(6-F23)*OFFSET(装备属性!$E$65,MATCH(D23,装备属性!$D$66:$D$73,0)-1,0))/(6*OFFSET(装备属性!$E$65,MATCH(D23,装备属性!$D$66:$D$73,0),0))*6</f>
        <v>1584</v>
      </c>
      <c r="T23" s="42">
        <f>_xlfn.XLOOKUP(G23,装备属性!$D$520:$D$819,装备属性!$I$520:$I$819)*6</f>
        <v>2868</v>
      </c>
      <c r="U23" s="42">
        <f t="shared" si="14"/>
        <v>0</v>
      </c>
      <c r="W23" s="42">
        <f>INT(养成规划!I26)</f>
        <v>1610</v>
      </c>
      <c r="X23" s="42">
        <f>INT(养成规划!J26)</f>
        <v>3066</v>
      </c>
      <c r="Y23" s="42">
        <f>INT(养成规划!K26)</f>
        <v>3516</v>
      </c>
      <c r="AA23" s="44">
        <f ca="1" t="shared" si="8"/>
        <v>-0.0161490683229814</v>
      </c>
      <c r="AB23" s="44">
        <f t="shared" si="15"/>
        <v>-0.0645792563600783</v>
      </c>
      <c r="AC23" s="44">
        <f t="shared" si="9"/>
        <v>-1</v>
      </c>
      <c r="AD23" s="44">
        <f ca="1" t="shared" si="10"/>
        <v>-0.45654296875</v>
      </c>
      <c r="AF23">
        <f t="shared" si="11"/>
        <v>8192</v>
      </c>
      <c r="AG23">
        <f ca="1" t="shared" si="12"/>
        <v>3740</v>
      </c>
    </row>
    <row r="24" ht="16.5" spans="1:37">
      <c r="A24" s="41">
        <f ca="1" t="shared" si="0"/>
        <v>-0.476368491321762</v>
      </c>
      <c r="B24" s="42">
        <f t="shared" si="16"/>
        <v>55</v>
      </c>
      <c r="C24" s="42">
        <v>7</v>
      </c>
      <c r="D24" s="42" t="str">
        <f>SUBSTITUTE(养成规划!H27,"","彩")</f>
        <v>粉</v>
      </c>
      <c r="E24" s="42">
        <f>INT(养成规划!F27)</f>
        <v>80</v>
      </c>
      <c r="F24" s="42">
        <v>4</v>
      </c>
      <c r="G24" s="42">
        <f>INT(养成规划!G27)</f>
        <v>77</v>
      </c>
      <c r="H24" s="42">
        <f>INT(SUMIFS(装备属性!$R$919:$R$955,装备属性!$P$919:$P$955,$D24,装备属性!$N$919:$N$955,$E24)*0.5)</f>
        <v>0</v>
      </c>
      <c r="I24" s="42">
        <f>INT(SUMIFS(装备属性!$R$919:$R$955,装备属性!$P$919:$P$955,$D24,装备属性!$N$919:$N$955,$E24)*0)</f>
        <v>0</v>
      </c>
      <c r="J24" s="42">
        <f t="shared" si="1"/>
        <v>0</v>
      </c>
      <c r="K24" s="42">
        <v>100301</v>
      </c>
      <c r="L24" s="42" t="str">
        <f t="shared" si="13"/>
        <v>[{1,7,80,77,[{hunter_atk,0}],[100301]},{2,7,80,77,[{hunter_atk,0}],[200301]},{3,7,80,77,[{hunter_atk,0}],[300301]},{4,7,80,77,[{mage_atk,0}],[400301]},{5,6,80,77,[{mage_atk,0}],[500301]},{6,6,80,77,[{mage_atk,0}],[500301]}]</v>
      </c>
      <c r="M24" s="42" t="str">
        <f t="shared" si="2"/>
        <v>{1,7,80,77,[{hunter_atk,0}],[100301]}</v>
      </c>
      <c r="N24" s="42" t="str">
        <f t="shared" si="3"/>
        <v>{2,7,80,77,[{hunter_atk,0}],[200301]}</v>
      </c>
      <c r="O24" s="42" t="str">
        <f t="shared" si="4"/>
        <v>{3,7,80,77,[{hunter_atk,0}],[300301]}</v>
      </c>
      <c r="P24" s="42" t="str">
        <f t="shared" si="5"/>
        <v>{4,7,80,77,[{mage_atk,0}],[400301]}</v>
      </c>
      <c r="Q24" s="42" t="str">
        <f t="shared" si="6"/>
        <v>{5,6,80,77,[{mage_atk,0}],[500301]}</v>
      </c>
      <c r="R24" s="42" t="str">
        <f t="shared" si="7"/>
        <v>{6,6,80,77,[{mage_atk,0}],[500301]}</v>
      </c>
      <c r="S24" s="43">
        <f ca="1">SUMIFS(装备属性!$I$90:$I$305,装备属性!$E$90:$E$305,E24,装备属性!$G$90:$G$305,D24)*(F24*OFFSET(装备属性!$E$65,MATCH(D24,装备属性!$D$66:$D$73,0),0)+(6-F24)*OFFSET(装备属性!$E$65,MATCH(D24,装备属性!$D$66:$D$73,0)-1,0))/(6*OFFSET(装备属性!$E$65,MATCH(D24,装备属性!$D$66:$D$73,0),0))*6</f>
        <v>1478.4</v>
      </c>
      <c r="T24" s="42">
        <f>_xlfn.XLOOKUP(G24,装备属性!$D$520:$D$819,装备属性!$I$520:$I$819)*6</f>
        <v>3228</v>
      </c>
      <c r="U24" s="42">
        <f t="shared" si="14"/>
        <v>0</v>
      </c>
      <c r="W24" s="42">
        <f>INT(养成规划!I27)</f>
        <v>1730</v>
      </c>
      <c r="X24" s="42">
        <f>INT(养成规划!J27)</f>
        <v>3418</v>
      </c>
      <c r="Y24" s="42">
        <f>INT(养成规划!K27)</f>
        <v>3840</v>
      </c>
      <c r="AA24" s="44">
        <f ca="1" t="shared" si="8"/>
        <v>-0.145433526011561</v>
      </c>
      <c r="AB24" s="44">
        <f t="shared" si="15"/>
        <v>-0.0555880631948508</v>
      </c>
      <c r="AC24" s="44">
        <f t="shared" si="9"/>
        <v>-1</v>
      </c>
      <c r="AD24" s="44">
        <f ca="1" t="shared" si="10"/>
        <v>-0.476368491321762</v>
      </c>
      <c r="AF24">
        <f t="shared" si="11"/>
        <v>8988</v>
      </c>
      <c r="AG24">
        <f ca="1" t="shared" si="12"/>
        <v>4281.6</v>
      </c>
    </row>
    <row r="25" ht="16.5" spans="1:37">
      <c r="A25" s="41">
        <f ca="1" t="shared" si="0"/>
        <v>-0.45672268907563</v>
      </c>
      <c r="B25" s="42">
        <f t="shared" si="16"/>
        <v>62</v>
      </c>
      <c r="C25" s="42">
        <v>7</v>
      </c>
      <c r="D25" s="42" t="str">
        <f>SUBSTITUTE(养成规划!H28,"","彩")</f>
        <v>粉</v>
      </c>
      <c r="E25" s="42">
        <f>INT(养成规划!F28)</f>
        <v>85</v>
      </c>
      <c r="F25" s="42">
        <v>6</v>
      </c>
      <c r="G25" s="42">
        <f>INT(养成规划!G28)</f>
        <v>80</v>
      </c>
      <c r="H25" s="42">
        <f>INT(SUMIFS(装备属性!$R$919:$R$955,装备属性!$P$919:$P$955,$D25,装备属性!$N$919:$N$955,$E25)*0.5)</f>
        <v>0</v>
      </c>
      <c r="I25" s="42">
        <f>INT(SUMIFS(装备属性!$R$919:$R$955,装备属性!$P$919:$P$955,$D25,装备属性!$N$919:$N$955,$E25)*0)</f>
        <v>0</v>
      </c>
      <c r="J25" s="42">
        <f t="shared" si="1"/>
        <v>0</v>
      </c>
      <c r="K25" s="42">
        <v>100401</v>
      </c>
      <c r="L25" s="42" t="str">
        <f t="shared" si="13"/>
        <v>[{1,7,85,80,[{hunter_atk,0}],[100401]},{2,7,85,80,[{hunter_atk,0}],[200401]},{3,7,85,80,[{hunter_atk,0}],[300401]},{4,7,85,80,[{mage_atk,0}],[400401]},{5,7,85,80,[{mage_atk,0}],[500401]},{6,7,85,80,[{mage_atk,0}],[500401]}]</v>
      </c>
      <c r="M25" s="42" t="str">
        <f t="shared" si="2"/>
        <v>{1,7,85,80,[{hunter_atk,0}],[100401]}</v>
      </c>
      <c r="N25" s="42" t="str">
        <f t="shared" si="3"/>
        <v>{2,7,85,80,[{hunter_atk,0}],[200401]}</v>
      </c>
      <c r="O25" s="42" t="str">
        <f t="shared" si="4"/>
        <v>{3,7,85,80,[{hunter_atk,0}],[300401]}</v>
      </c>
      <c r="P25" s="42" t="str">
        <f t="shared" si="5"/>
        <v>{4,7,85,80,[{mage_atk,0}],[400401]}</v>
      </c>
      <c r="Q25" s="42" t="str">
        <f t="shared" si="6"/>
        <v>{5,7,85,80,[{mage_atk,0}],[500401]}</v>
      </c>
      <c r="R25" s="42" t="str">
        <f t="shared" si="7"/>
        <v>{6,7,85,80,[{mage_atk,0}],[500401]}</v>
      </c>
      <c r="S25" s="43">
        <f ca="1">SUMIFS(装备属性!$I$90:$I$305,装备属性!$E$90:$E$305,E25,装备属性!$G$90:$G$305,D25)*(F25*OFFSET(装备属性!$E$65,MATCH(D25,装备属性!$D$66:$D$73,0),0)+(6-F25)*OFFSET(装备属性!$E$65,MATCH(D25,装备属性!$D$66:$D$73,0)-1,0))/(6*OFFSET(装备属性!$E$65,MATCH(D25,装备属性!$D$66:$D$73,0),0))*6</f>
        <v>1704</v>
      </c>
      <c r="T25" s="42">
        <f>_xlfn.XLOOKUP(G25,装备属性!$D$520:$D$819,装备属性!$I$520:$I$819)*6</f>
        <v>3468</v>
      </c>
      <c r="U25" s="42">
        <f t="shared" si="14"/>
        <v>0</v>
      </c>
      <c r="W25" s="42">
        <f>INT(养成规划!I28)</f>
        <v>1730</v>
      </c>
      <c r="X25" s="42">
        <f>INT(养成规划!J28)</f>
        <v>3620</v>
      </c>
      <c r="Y25" s="42">
        <f>INT(养成规划!K28)</f>
        <v>4170</v>
      </c>
      <c r="AA25" s="44">
        <f ca="1" t="shared" si="8"/>
        <v>-0.0150289017341041</v>
      </c>
      <c r="AB25" s="44">
        <f t="shared" si="15"/>
        <v>-0.0419889502762431</v>
      </c>
      <c r="AC25" s="44">
        <f t="shared" si="9"/>
        <v>-1</v>
      </c>
      <c r="AD25" s="44">
        <f ca="1" t="shared" si="10"/>
        <v>-0.45672268907563</v>
      </c>
      <c r="AF25">
        <f t="shared" si="11"/>
        <v>9520</v>
      </c>
      <c r="AG25">
        <f ca="1" t="shared" si="12"/>
        <v>4348</v>
      </c>
    </row>
    <row r="26" ht="16.5" spans="1:37">
      <c r="A26" s="41">
        <f ca="1" t="shared" si="0"/>
        <v>-0.432335112639103</v>
      </c>
      <c r="B26" s="42">
        <v>90</v>
      </c>
      <c r="C26" s="42">
        <v>7</v>
      </c>
      <c r="D26" s="42" t="str">
        <f>SUBSTITUTE(养成规划!H29,"","彩")</f>
        <v>粉</v>
      </c>
      <c r="E26" s="42">
        <f>INT(养成规划!F29)</f>
        <v>90</v>
      </c>
      <c r="F26" s="42">
        <v>4</v>
      </c>
      <c r="G26" s="42">
        <f>INT(养成规划!G29)</f>
        <v>91</v>
      </c>
      <c r="H26" s="42">
        <f>INT(SUMIFS(装备属性!$R$919:$R$955,装备属性!$P$919:$P$955,$D26,装备属性!$N$919:$N$955,$E26)*0.5)</f>
        <v>0</v>
      </c>
      <c r="I26" s="42">
        <f>INT(SUMIFS(装备属性!$R$919:$R$955,装备属性!$P$919:$P$955,$D26,装备属性!$N$919:$N$955,$E26)*0)</f>
        <v>0</v>
      </c>
      <c r="J26" s="42">
        <f t="shared" si="1"/>
        <v>0</v>
      </c>
      <c r="K26" s="42">
        <v>100401</v>
      </c>
      <c r="L26" s="42" t="str">
        <f t="shared" si="13"/>
        <v>[{1,7,90,91,[{hunter_atk,0}],[100401]},{2,7,90,91,[{hunter_atk,0}],[200401]},{3,7,90,91,[{hunter_atk,0}],[300401]},{4,7,90,91,[{mage_atk,0}],[400401]},{5,6,90,91,[{mage_atk,0}],[500401]},{6,6,90,91,[{mage_atk,0}],[500401]}]</v>
      </c>
      <c r="M26" s="42" t="str">
        <f t="shared" si="2"/>
        <v>{1,7,90,91,[{hunter_atk,0}],[100401]}</v>
      </c>
      <c r="N26" s="42" t="str">
        <f t="shared" si="3"/>
        <v>{2,7,90,91,[{hunter_atk,0}],[200401]}</v>
      </c>
      <c r="O26" s="42" t="str">
        <f t="shared" si="4"/>
        <v>{3,7,90,91,[{hunter_atk,0}],[300401]}</v>
      </c>
      <c r="P26" s="42" t="str">
        <f t="shared" si="5"/>
        <v>{4,7,90,91,[{mage_atk,0}],[400401]}</v>
      </c>
      <c r="Q26" s="42" t="str">
        <f t="shared" si="6"/>
        <v>{5,6,90,91,[{mage_atk,0}],[500401]}</v>
      </c>
      <c r="R26" s="42" t="str">
        <f t="shared" si="7"/>
        <v>{6,6,90,91,[{mage_atk,0}],[500401]}</v>
      </c>
      <c r="S26" s="43">
        <f ca="1">SUMIFS(装备属性!$I$90:$I$305,装备属性!$E$90:$E$305,E26,装备属性!$G$90:$G$305,D26)*(F26*OFFSET(装备属性!$E$65,MATCH(D26,装备属性!$D$66:$D$73,0),0)+(6-F26)*OFFSET(装备属性!$E$65,MATCH(D26,装备属性!$D$66:$D$73,0)-1,0))/(6*OFFSET(装备属性!$E$65,MATCH(D26,装备属性!$D$66:$D$73,0),0))*6</f>
        <v>1702.4</v>
      </c>
      <c r="T26" s="42">
        <f>_xlfn.XLOOKUP(G26,装备属性!$D$520:$D$819,装备属性!$I$520:$I$819)*6</f>
        <v>4572</v>
      </c>
      <c r="U26" s="42">
        <f t="shared" si="14"/>
        <v>0</v>
      </c>
      <c r="W26" s="42">
        <f>INT(养成规划!I29)</f>
        <v>1858</v>
      </c>
      <c r="X26" s="42">
        <f>INT(养成规划!J29)</f>
        <v>4695</v>
      </c>
      <c r="Y26" s="42">
        <f>INT(养成规划!K29)</f>
        <v>4500</v>
      </c>
      <c r="AA26" s="44">
        <f ca="1" t="shared" si="8"/>
        <v>-0.0837459634015072</v>
      </c>
      <c r="AB26" s="44">
        <f t="shared" si="15"/>
        <v>-0.0261980830670927</v>
      </c>
      <c r="AC26" s="44">
        <f t="shared" si="9"/>
        <v>-1</v>
      </c>
      <c r="AD26" s="44">
        <f ca="1" t="shared" si="10"/>
        <v>-0.432335112639103</v>
      </c>
      <c r="AF26">
        <f t="shared" si="11"/>
        <v>11053</v>
      </c>
      <c r="AG26">
        <f ca="1" t="shared" si="12"/>
        <v>4778.6</v>
      </c>
    </row>
    <row r="27" ht="16.5" spans="1:37">
      <c r="A27" s="41">
        <f ca="1" t="shared" si="0"/>
        <v>-0.382127659574468</v>
      </c>
      <c r="B27" s="42">
        <v>120</v>
      </c>
      <c r="C27" s="42">
        <v>8</v>
      </c>
      <c r="D27" s="42" t="str">
        <f>SUBSTITUTE(养成规划!H30,"","彩")</f>
        <v>彩</v>
      </c>
      <c r="E27" s="42">
        <f>INT(养成规划!F30)</f>
        <v>100</v>
      </c>
      <c r="F27" s="42">
        <v>6</v>
      </c>
      <c r="G27" s="42">
        <f>INT(养成规划!G30)</f>
        <v>97</v>
      </c>
      <c r="H27" s="42">
        <f>INT(SUMIFS(装备属性!$R$919:$R$955,装备属性!$P$919:$P$955,$D27,装备属性!$N$919:$N$955,$E27)*0.5)</f>
        <v>0</v>
      </c>
      <c r="I27" s="42">
        <f>INT(SUMIFS(装备属性!$R$919:$R$955,装备属性!$P$919:$P$955,$D27,装备属性!$N$919:$N$955,$E27)*0)</f>
        <v>0</v>
      </c>
      <c r="J27" s="42">
        <f t="shared" si="1"/>
        <v>0</v>
      </c>
      <c r="K27" s="42">
        <v>100401</v>
      </c>
      <c r="L27" s="42" t="str">
        <f t="shared" si="13"/>
        <v>[{1,8,100,97,[{hunter_atk,0}],[100401]},{2,8,100,97,[{hunter_atk,0}],[200401]},{3,8,100,97,[{hunter_atk,0}],[300401]},{4,8,100,97,[{mage_atk,0}],[400401]},{5,8,100,97,[{mage_atk,0}],[500401]},{6,8,100,97,[{mage_atk,0}],[500401]}]</v>
      </c>
      <c r="M27" s="42" t="str">
        <f t="shared" si="2"/>
        <v>{1,8,100,97,[{hunter_atk,0}],[100401]}</v>
      </c>
      <c r="N27" s="42" t="str">
        <f t="shared" si="3"/>
        <v>{2,8,100,97,[{hunter_atk,0}],[200401]}</v>
      </c>
      <c r="O27" s="42" t="str">
        <f t="shared" si="4"/>
        <v>{3,8,100,97,[{hunter_atk,0}],[300401]}</v>
      </c>
      <c r="P27" s="42" t="str">
        <f t="shared" si="5"/>
        <v>{4,8,100,97,[{mage_atk,0}],[400401]}</v>
      </c>
      <c r="Q27" s="42" t="str">
        <f t="shared" si="6"/>
        <v>{5,8,100,97,[{mage_atk,0}],[500401]}</v>
      </c>
      <c r="R27" s="42" t="str">
        <f t="shared" si="7"/>
        <v>{6,8,100,97,[{mage_atk,0}],[500401]}</v>
      </c>
      <c r="S27" s="43">
        <f ca="1">SUMIFS(装备属性!$I$90:$I$305,装备属性!$E$90:$E$305,E27,装备属性!$G$90:$G$305,D27)*(F27*OFFSET(装备属性!$E$65,MATCH(D27,装备属性!$D$66:$D$73,0),0)+(6-F27)*OFFSET(装备属性!$E$65,MATCH(D27,装备属性!$D$66:$D$73,0)-1,0))/(6*OFFSET(装备属性!$E$65,MATCH(D27,装备属性!$D$66:$D$73,0),0))*6</f>
        <v>2622</v>
      </c>
      <c r="T27" s="42">
        <f>_xlfn.XLOOKUP(G27,装备属性!$D$520:$D$819,装备属性!$I$520:$I$819)*6</f>
        <v>5364</v>
      </c>
      <c r="U27" s="42">
        <f t="shared" si="14"/>
        <v>0</v>
      </c>
      <c r="W27" s="42">
        <f>INT(养成规划!I30)</f>
        <v>2680</v>
      </c>
      <c r="X27" s="42">
        <f>INT(养成规划!J30)</f>
        <v>5415</v>
      </c>
      <c r="Y27" s="42">
        <f>INT(养成规划!K30)</f>
        <v>4830</v>
      </c>
      <c r="AA27" s="44">
        <f ca="1" t="shared" si="8"/>
        <v>-0.0216417910447761</v>
      </c>
      <c r="AB27" s="44">
        <f t="shared" si="15"/>
        <v>-0.00941828254847643</v>
      </c>
      <c r="AC27" s="44">
        <f t="shared" si="9"/>
        <v>-1</v>
      </c>
      <c r="AD27" s="44">
        <f ca="1" t="shared" si="10"/>
        <v>-0.382127659574468</v>
      </c>
      <c r="AF27">
        <f t="shared" si="11"/>
        <v>12925</v>
      </c>
      <c r="AG27">
        <f ca="1" t="shared" si="12"/>
        <v>4939</v>
      </c>
    </row>
    <row r="28" ht="16.5" spans="1:37">
      <c r="A28" s="41">
        <f ca="1" t="shared" si="0"/>
        <v>-0.370623575719909</v>
      </c>
      <c r="B28" s="42">
        <v>150</v>
      </c>
      <c r="C28" s="42">
        <v>8</v>
      </c>
      <c r="D28" s="42" t="str">
        <f>SUBSTITUTE(养成规划!H31,"","彩")</f>
        <v>彩</v>
      </c>
      <c r="E28" s="42">
        <f>INT(养成规划!F31)</f>
        <v>105</v>
      </c>
      <c r="F28" s="42">
        <v>6</v>
      </c>
      <c r="G28" s="42">
        <f>INT(养成规划!G31)</f>
        <v>103</v>
      </c>
      <c r="H28" s="42">
        <f>INT(SUMIFS(装备属性!$R$919:$R$955,装备属性!$P$919:$P$955,$D28,装备属性!$N$919:$N$955,$E28)*0.5)</f>
        <v>0</v>
      </c>
      <c r="I28" s="42">
        <f>INT(SUMIFS(装备属性!$R$919:$R$955,装备属性!$P$919:$P$955,$D28,装备属性!$N$919:$N$955,$E28)*0)</f>
        <v>0</v>
      </c>
      <c r="J28" s="42">
        <f t="shared" si="1"/>
        <v>0</v>
      </c>
      <c r="K28" s="42">
        <v>100401</v>
      </c>
      <c r="L28" s="42" t="str">
        <f t="shared" si="13"/>
        <v>[{1,8,105,103,[{hunter_atk,0}],[100401]},{2,8,105,103,[{hunter_atk,0}],[200401]},{3,8,105,103,[{hunter_atk,0}],[300401]},{4,8,105,103,[{mage_atk,0}],[400401]},{5,8,105,103,[{mage_atk,0}],[500401]},{6,8,105,103,[{mage_atk,0}],[500401]}]</v>
      </c>
      <c r="M28" s="42" t="str">
        <f t="shared" si="2"/>
        <v>{1,8,105,103,[{hunter_atk,0}],[100401]}</v>
      </c>
      <c r="N28" s="42" t="str">
        <f t="shared" si="3"/>
        <v>{2,8,105,103,[{hunter_atk,0}],[200401]}</v>
      </c>
      <c r="O28" s="42" t="str">
        <f t="shared" si="4"/>
        <v>{3,8,105,103,[{hunter_atk,0}],[300401]}</v>
      </c>
      <c r="P28" s="42" t="str">
        <f t="shared" si="5"/>
        <v>{4,8,105,103,[{mage_atk,0}],[400401]}</v>
      </c>
      <c r="Q28" s="42" t="str">
        <f t="shared" si="6"/>
        <v>{5,8,105,103,[{mage_atk,0}],[500401]}</v>
      </c>
      <c r="R28" s="42" t="str">
        <f t="shared" si="7"/>
        <v>{6,8,105,103,[{mage_atk,0}],[500401]}</v>
      </c>
      <c r="S28" s="43">
        <f ca="1">SUMIFS(装备属性!$I$90:$I$305,装备属性!$E$90:$E$305,E28,装备属性!$G$90:$G$305,D28)*(F28*OFFSET(装备属性!$E$65,MATCH(D28,装备属性!$D$66:$D$73,0),0)+(6-F28)*OFFSET(装备属性!$E$65,MATCH(D28,装备属性!$D$66:$D$73,0)-1,0))/(6*OFFSET(装备属性!$E$65,MATCH(D28,装备属性!$D$66:$D$73,0),0))*6</f>
        <v>2814</v>
      </c>
      <c r="T28" s="42">
        <f>_xlfn.XLOOKUP(G28,装备属性!$D$520:$D$819,装备属性!$I$520:$I$819)*6</f>
        <v>6300</v>
      </c>
      <c r="U28" s="42">
        <f t="shared" si="14"/>
        <v>0</v>
      </c>
      <c r="W28" s="42">
        <f>INT(养成规划!I31)</f>
        <v>2880</v>
      </c>
      <c r="X28" s="42">
        <f>INT(养成规划!J31)</f>
        <v>6135</v>
      </c>
      <c r="Y28" s="42">
        <f>INT(养成规划!K31)</f>
        <v>5466</v>
      </c>
      <c r="AA28" s="44">
        <f ca="1" t="shared" si="8"/>
        <v>-0.0229166666666667</v>
      </c>
      <c r="AB28" s="44">
        <f t="shared" si="15"/>
        <v>0.0268948655256724</v>
      </c>
      <c r="AC28" s="44">
        <f t="shared" si="9"/>
        <v>-1</v>
      </c>
      <c r="AD28" s="44">
        <f ca="1" t="shared" si="10"/>
        <v>-0.370623575719909</v>
      </c>
      <c r="AF28">
        <f t="shared" si="11"/>
        <v>14481</v>
      </c>
      <c r="AG28">
        <f ca="1" t="shared" si="12"/>
        <v>5367</v>
      </c>
    </row>
    <row r="29" ht="16.5" spans="1:37">
      <c r="A29" s="41">
        <f ca="1" t="shared" si="0"/>
        <v>-0.364839319470699</v>
      </c>
      <c r="B29" s="42">
        <v>190</v>
      </c>
      <c r="C29" s="42">
        <v>8</v>
      </c>
      <c r="D29" s="42" t="str">
        <f>SUBSTITUTE(养成规划!H32,"","彩")</f>
        <v>彩</v>
      </c>
      <c r="E29" s="42">
        <f>INT(养成规划!F32)</f>
        <v>110</v>
      </c>
      <c r="F29" s="42">
        <v>6</v>
      </c>
      <c r="G29" s="42">
        <f>INT(养成规划!G32)</f>
        <v>111</v>
      </c>
      <c r="H29" s="42">
        <f>INT(SUMIFS(装备属性!$R$919:$R$955,装备属性!$P$919:$P$955,$D29,装备属性!$N$919:$N$955,$E29)*0.5)</f>
        <v>0</v>
      </c>
      <c r="I29" s="42">
        <f>INT(SUMIFS(装备属性!$R$919:$R$955,装备属性!$P$919:$P$955,$D29,装备属性!$N$919:$N$955,$E29)*0)</f>
        <v>0</v>
      </c>
      <c r="J29" s="42">
        <f t="shared" si="1"/>
        <v>0</v>
      </c>
      <c r="K29" s="42">
        <v>100401</v>
      </c>
      <c r="L29" s="42" t="str">
        <f t="shared" si="13"/>
        <v>[{1,8,110,111,[{hunter_atk,0}],[100401]},{2,8,110,111,[{hunter_atk,0}],[200401]},{3,8,110,111,[{hunter_atk,0}],[300401]},{4,8,110,111,[{mage_atk,0}],[400401]},{5,8,110,111,[{mage_atk,0}],[500401]},{6,8,110,111,[{mage_atk,0}],[500401]}]</v>
      </c>
      <c r="M29" s="42" t="str">
        <f t="shared" si="2"/>
        <v>{1,8,110,111,[{hunter_atk,0}],[100401]}</v>
      </c>
      <c r="N29" s="42" t="str">
        <f t="shared" si="3"/>
        <v>{2,8,110,111,[{hunter_atk,0}],[200401]}</v>
      </c>
      <c r="O29" s="42" t="str">
        <f t="shared" si="4"/>
        <v>{3,8,110,111,[{hunter_atk,0}],[300401]}</v>
      </c>
      <c r="P29" s="42" t="str">
        <f t="shared" si="5"/>
        <v>{4,8,110,111,[{mage_atk,0}],[400401]}</v>
      </c>
      <c r="Q29" s="42" t="str">
        <f t="shared" si="6"/>
        <v>{5,8,110,111,[{mage_atk,0}],[500401]}</v>
      </c>
      <c r="R29" s="42" t="str">
        <f t="shared" si="7"/>
        <v>{6,8,110,111,[{mage_atk,0}],[500401]}</v>
      </c>
      <c r="S29" s="43">
        <f ca="1">SUMIFS(装备属性!$I$90:$I$305,装备属性!$E$90:$E$305,E29,装备属性!$G$90:$G$305,D29)*(F29*OFFSET(装备属性!$E$65,MATCH(D29,装备属性!$D$66:$D$73,0),0)+(6-F29)*OFFSET(装备属性!$E$65,MATCH(D29,装备属性!$D$66:$D$73,0)-1,0))/(6*OFFSET(装备属性!$E$65,MATCH(D29,装备属性!$D$66:$D$73,0),0))*6</f>
        <v>3012</v>
      </c>
      <c r="T29" s="42">
        <f>_xlfn.XLOOKUP(G29,装备属性!$D$520:$D$819,装备属性!$I$520:$I$819)*6</f>
        <v>7740</v>
      </c>
      <c r="U29" s="42">
        <f t="shared" si="14"/>
        <v>0</v>
      </c>
      <c r="W29" s="42">
        <f>INT(养成规划!I32)</f>
        <v>3095</v>
      </c>
      <c r="X29" s="42">
        <f>INT(养成规划!J32)</f>
        <v>7287</v>
      </c>
      <c r="Y29" s="42">
        <f>INT(养成规划!K32)</f>
        <v>6546</v>
      </c>
      <c r="AA29" s="44">
        <f ca="1" t="shared" si="8"/>
        <v>-0.0268174474959613</v>
      </c>
      <c r="AB29" s="44">
        <f t="shared" si="15"/>
        <v>0.0621655002058461</v>
      </c>
      <c r="AC29" s="44">
        <f t="shared" si="9"/>
        <v>-1</v>
      </c>
      <c r="AD29" s="44">
        <f ca="1" t="shared" si="10"/>
        <v>-0.364839319470699</v>
      </c>
      <c r="AF29">
        <f t="shared" si="11"/>
        <v>16928</v>
      </c>
      <c r="AG29">
        <f ca="1" t="shared" si="12"/>
        <v>6176</v>
      </c>
    </row>
    <row r="30" ht="16.5" spans="1:37">
      <c r="A30" s="41">
        <f ca="1" t="shared" si="0"/>
        <v>-0.332032964353635</v>
      </c>
      <c r="B30" s="42">
        <v>250</v>
      </c>
      <c r="C30" s="42">
        <v>8</v>
      </c>
      <c r="D30" s="42" t="str">
        <f>SUBSTITUTE(养成规划!H33,"","彩")</f>
        <v>彩</v>
      </c>
      <c r="E30" s="42">
        <f>INT(养成规划!F33)</f>
        <v>120</v>
      </c>
      <c r="F30" s="42">
        <v>6</v>
      </c>
      <c r="G30" s="42">
        <f>INT(养成规划!G33)</f>
        <v>123</v>
      </c>
      <c r="H30" s="42">
        <f>INT(SUMIFS(装备属性!$R$919:$R$955,装备属性!$P$919:$P$955,$D30,装备属性!$N$919:$N$955,$E30)*0.5)</f>
        <v>0</v>
      </c>
      <c r="I30" s="42">
        <f>INT(SUMIFS(装备属性!$R$919:$R$955,装备属性!$P$919:$P$955,$D30,装备属性!$N$919:$N$955,$E30)*0)</f>
        <v>0</v>
      </c>
      <c r="J30" s="42">
        <f t="shared" si="1"/>
        <v>0</v>
      </c>
      <c r="K30" s="42">
        <v>100401</v>
      </c>
      <c r="L30" s="42" t="str">
        <f t="shared" si="13"/>
        <v>[{1,8,120,123,[{hunter_atk,0}],[100401]},{2,8,120,123,[{hunter_atk,0}],[200401]},{3,8,120,123,[{hunter_atk,0}],[300401]},{4,8,120,123,[{mage_atk,0}],[400401]},{5,8,120,123,[{mage_atk,0}],[500401]},{6,8,120,123,[{mage_atk,0}],[500401]}]</v>
      </c>
      <c r="M30" s="42" t="str">
        <f t="shared" si="2"/>
        <v>{1,8,120,123,[{hunter_atk,0}],[100401]}</v>
      </c>
      <c r="N30" s="42" t="str">
        <f t="shared" si="3"/>
        <v>{2,8,120,123,[{hunter_atk,0}],[200401]}</v>
      </c>
      <c r="O30" s="42" t="str">
        <f t="shared" si="4"/>
        <v>{3,8,120,123,[{hunter_atk,0}],[300401]}</v>
      </c>
      <c r="P30" s="42" t="str">
        <f t="shared" si="5"/>
        <v>{4,8,120,123,[{mage_atk,0}],[400401]}</v>
      </c>
      <c r="Q30" s="42" t="str">
        <f t="shared" si="6"/>
        <v>{5,8,120,123,[{mage_atk,0}],[500401]}</v>
      </c>
      <c r="R30" s="42" t="str">
        <f t="shared" si="7"/>
        <v>{6,8,120,123,[{mage_atk,0}],[500401]}</v>
      </c>
      <c r="S30" s="43">
        <f ca="1">SUMIFS(装备属性!$I$90:$I$305,装备属性!$E$90:$E$305,E30,装备属性!$G$90:$G$305,D30)*(F30*OFFSET(装备属性!$E$65,MATCH(D30,装备属性!$D$66:$D$73,0),0)+(6-F30)*OFFSET(装备属性!$E$65,MATCH(D30,装备属性!$D$66:$D$73,0)-1,0))/(6*OFFSET(装备属性!$E$65,MATCH(D30,装备属性!$D$66:$D$73,0),0))*6</f>
        <v>3462</v>
      </c>
      <c r="T30" s="42">
        <f>_xlfn.XLOOKUP(G30,装备属性!$D$520:$D$819,装备属性!$I$520:$I$819)*6</f>
        <v>10236</v>
      </c>
      <c r="U30" s="42">
        <f t="shared" si="14"/>
        <v>0</v>
      </c>
      <c r="W30" s="42">
        <f>INT(养成规划!I33)</f>
        <v>3572</v>
      </c>
      <c r="X30" s="42">
        <f>INT(养成规划!J33)</f>
        <v>9303</v>
      </c>
      <c r="Y30" s="42">
        <f>INT(养成规划!K33)</f>
        <v>7632</v>
      </c>
      <c r="AA30" s="44">
        <f ca="1" t="shared" si="8"/>
        <v>-0.0307950727883539</v>
      </c>
      <c r="AB30" s="44">
        <f t="shared" si="15"/>
        <v>0.1002902289584</v>
      </c>
      <c r="AC30" s="44">
        <f t="shared" si="9"/>
        <v>-1</v>
      </c>
      <c r="AD30" s="44">
        <f ca="1" t="shared" si="10"/>
        <v>-0.332032964353635</v>
      </c>
      <c r="AF30">
        <f t="shared" si="11"/>
        <v>20507</v>
      </c>
      <c r="AG30">
        <f ca="1" t="shared" si="12"/>
        <v>6809</v>
      </c>
    </row>
    <row r="31" ht="16.5" spans="1:37">
      <c r="A31" s="41">
        <f ca="1" t="shared" si="0"/>
        <v>-0.302708009490305</v>
      </c>
      <c r="B31" s="42">
        <v>310</v>
      </c>
      <c r="C31" s="42">
        <v>8</v>
      </c>
      <c r="D31" s="42" t="str">
        <f>SUBSTITUTE(养成规划!H34,"","彩")</f>
        <v>彩</v>
      </c>
      <c r="E31" s="42">
        <f>INT(养成规划!F34)</f>
        <v>130</v>
      </c>
      <c r="F31" s="42">
        <v>6</v>
      </c>
      <c r="G31" s="42">
        <f>INT(养成规划!G34)</f>
        <v>135</v>
      </c>
      <c r="H31" s="42">
        <f>INT(SUMIFS(装备属性!$R$919:$R$955,装备属性!$P$919:$P$955,$D31,装备属性!$N$919:$N$955,$E31)*0.5)</f>
        <v>0</v>
      </c>
      <c r="I31" s="42">
        <f>INT(SUMIFS(装备属性!$R$919:$R$955,装备属性!$P$919:$P$955,$D31,装备属性!$N$919:$N$955,$E31)*0)</f>
        <v>0</v>
      </c>
      <c r="J31" s="42">
        <f t="shared" si="1"/>
        <v>0</v>
      </c>
      <c r="K31" s="42">
        <v>100401</v>
      </c>
      <c r="L31" s="42" t="str">
        <f t="shared" si="13"/>
        <v>[{1,8,130,135,[{hunter_atk,0}],[100401]},{2,8,130,135,[{hunter_atk,0}],[200401]},{3,8,130,135,[{hunter_atk,0}],[300401]},{4,8,130,135,[{mage_atk,0}],[400401]},{5,8,130,135,[{mage_atk,0}],[500401]},{6,8,130,135,[{mage_atk,0}],[500401]}]</v>
      </c>
      <c r="M31" s="42" t="str">
        <f t="shared" si="2"/>
        <v>{1,8,130,135,[{hunter_atk,0}],[100401]}</v>
      </c>
      <c r="N31" s="42" t="str">
        <f t="shared" si="3"/>
        <v>{2,8,130,135,[{hunter_atk,0}],[200401]}</v>
      </c>
      <c r="O31" s="42" t="str">
        <f t="shared" si="4"/>
        <v>{3,8,130,135,[{hunter_atk,0}],[300401]}</v>
      </c>
      <c r="P31" s="42" t="str">
        <f t="shared" si="5"/>
        <v>{4,8,130,135,[{mage_atk,0}],[400401]}</v>
      </c>
      <c r="Q31" s="42" t="str">
        <f t="shared" si="6"/>
        <v>{5,8,130,135,[{mage_atk,0}],[500401]}</v>
      </c>
      <c r="R31" s="42" t="str">
        <f t="shared" si="7"/>
        <v>{6,8,130,135,[{mage_atk,0}],[500401]}</v>
      </c>
      <c r="S31" s="43">
        <f ca="1">SUMIFS(装备属性!$I$90:$I$305,装备属性!$E$90:$E$305,E31,装备属性!$G$90:$G$305,D31)*(F31*OFFSET(装备属性!$E$65,MATCH(D31,装备属性!$D$66:$D$73,0),0)+(6-F31)*OFFSET(装备属性!$E$65,MATCH(D31,装备属性!$D$66:$D$73,0)-1,0))/(6*OFFSET(装备属性!$E$65,MATCH(D31,装备属性!$D$66:$D$73,0),0))*6</f>
        <v>3978</v>
      </c>
      <c r="T31" s="42">
        <f>_xlfn.XLOOKUP(G31,装备属性!$D$520:$D$819,装备属性!$I$520:$I$819)*6</f>
        <v>13068</v>
      </c>
      <c r="U31" s="42">
        <f t="shared" si="14"/>
        <v>0</v>
      </c>
      <c r="W31" s="42">
        <f>INT(养成规划!I34)</f>
        <v>4127</v>
      </c>
      <c r="X31" s="42">
        <f>INT(养成规划!J34)</f>
        <v>11607</v>
      </c>
      <c r="Y31" s="42">
        <f>INT(养成规划!K34)</f>
        <v>8712</v>
      </c>
      <c r="AA31" s="44">
        <f ca="1" t="shared" si="8"/>
        <v>-0.0361037072934335</v>
      </c>
      <c r="AB31" s="44">
        <f t="shared" si="15"/>
        <v>0.125872318428534</v>
      </c>
      <c r="AC31" s="44">
        <f t="shared" si="9"/>
        <v>-1</v>
      </c>
      <c r="AD31" s="44">
        <f ca="1" t="shared" si="10"/>
        <v>-0.302708009490305</v>
      </c>
      <c r="AF31">
        <f t="shared" si="11"/>
        <v>24446</v>
      </c>
      <c r="AG31">
        <f ca="1" t="shared" si="12"/>
        <v>7400</v>
      </c>
    </row>
    <row r="32" ht="16.5" spans="1:37">
      <c r="A32" s="41">
        <f ca="1" t="shared" si="0"/>
        <v>-0.257130693912303</v>
      </c>
      <c r="B32" s="42">
        <v>370</v>
      </c>
      <c r="C32" s="42">
        <v>8</v>
      </c>
      <c r="D32" s="42" t="str">
        <f>SUBSTITUTE(养成规划!H35,"","彩")</f>
        <v>彩</v>
      </c>
      <c r="E32" s="42">
        <f>INT(养成规划!F35)</f>
        <v>140</v>
      </c>
      <c r="F32" s="42">
        <v>6</v>
      </c>
      <c r="G32" s="42">
        <f>INT(养成规划!G35)</f>
        <v>147</v>
      </c>
      <c r="H32" s="42">
        <f>INT(SUMIFS(装备属性!$R$919:$R$955,装备属性!$P$919:$P$955,$D32,装备属性!$N$919:$N$955,$E32)*0.5)</f>
        <v>0</v>
      </c>
      <c r="I32" s="42">
        <f>INT(SUMIFS(装备属性!$R$919:$R$955,装备属性!$P$919:$P$955,$D32,装备属性!$N$919:$N$955,$E32)*0)</f>
        <v>0</v>
      </c>
      <c r="J32" s="42">
        <f t="shared" si="1"/>
        <v>0</v>
      </c>
      <c r="K32" s="42">
        <v>100401</v>
      </c>
      <c r="L32" s="42" t="str">
        <f t="shared" si="13"/>
        <v>[{1,8,140,147,[{hunter_atk,0}],[100401]},{2,8,140,147,[{hunter_atk,0}],[200401]},{3,8,140,147,[{hunter_atk,0}],[300401]},{4,8,140,147,[{mage_atk,0}],[400401]},{5,8,140,147,[{mage_atk,0}],[500401]},{6,8,140,147,[{mage_atk,0}],[500401]}]</v>
      </c>
      <c r="M32" s="42" t="str">
        <f t="shared" si="2"/>
        <v>{1,8,140,147,[{hunter_atk,0}],[100401]}</v>
      </c>
      <c r="N32" s="42" t="str">
        <f t="shared" si="3"/>
        <v>{2,8,140,147,[{hunter_atk,0}],[200401]}</v>
      </c>
      <c r="O32" s="42" t="str">
        <f t="shared" si="4"/>
        <v>{3,8,140,147,[{hunter_atk,0}],[300401]}</v>
      </c>
      <c r="P32" s="42" t="str">
        <f t="shared" si="5"/>
        <v>{4,8,140,147,[{mage_atk,0}],[400401]}</v>
      </c>
      <c r="Q32" s="42" t="str">
        <f t="shared" si="6"/>
        <v>{5,8,140,147,[{mage_atk,0}],[500401]}</v>
      </c>
      <c r="R32" s="42" t="str">
        <f t="shared" si="7"/>
        <v>{6,8,140,147,[{mage_atk,0}],[500401]}</v>
      </c>
      <c r="S32" s="43">
        <f ca="1">SUMIFS(装备属性!$I$90:$I$305,装备属性!$E$90:$E$305,E32,装备属性!$G$90:$G$305,D32)*(F32*OFFSET(装备属性!$E$65,MATCH(D32,装备属性!$D$66:$D$73,0),0)+(6-F32)*OFFSET(装备属性!$E$65,MATCH(D32,装备属性!$D$66:$D$73,0)-1,0))/(6*OFFSET(装备属性!$E$65,MATCH(D32,装备属性!$D$66:$D$73,0),0))*6</f>
        <v>4572</v>
      </c>
      <c r="T32" s="42">
        <f>_xlfn.XLOOKUP(G32,装备属性!$D$520:$D$819,装备属性!$I$520:$I$819)*6</f>
        <v>16368</v>
      </c>
      <c r="U32" s="42">
        <f t="shared" si="14"/>
        <v>0</v>
      </c>
      <c r="W32" s="42">
        <f>INT(养成规划!I35)</f>
        <v>4767</v>
      </c>
      <c r="X32" s="42">
        <f>INT(养成规划!J35)</f>
        <v>14343</v>
      </c>
      <c r="Y32" s="42">
        <f>INT(养成规划!K35)</f>
        <v>9078</v>
      </c>
      <c r="AA32" s="44">
        <f ca="1" t="shared" si="8"/>
        <v>-0.0409062303335431</v>
      </c>
      <c r="AB32" s="44">
        <f t="shared" si="15"/>
        <v>0.141183852750471</v>
      </c>
      <c r="AC32" s="44">
        <f t="shared" si="9"/>
        <v>-1</v>
      </c>
      <c r="AD32" s="44">
        <f ca="1" t="shared" si="10"/>
        <v>-0.257130693912303</v>
      </c>
      <c r="AF32">
        <f t="shared" si="11"/>
        <v>28188</v>
      </c>
      <c r="AG32">
        <f ca="1" t="shared" si="12"/>
        <v>7248</v>
      </c>
    </row>
    <row r="33" ht="16.5" spans="1:33">
      <c r="A33" s="41">
        <f ca="1" t="shared" si="0"/>
        <v>-0.219086932413283</v>
      </c>
      <c r="B33" s="42">
        <v>430</v>
      </c>
      <c r="C33" s="42">
        <v>8</v>
      </c>
      <c r="D33" s="42" t="str">
        <f>SUBSTITUTE(养成规划!H36,"","彩")</f>
        <v>彩</v>
      </c>
      <c r="E33" s="42">
        <f>INT(养成规划!F36)</f>
        <v>150</v>
      </c>
      <c r="F33" s="42">
        <v>6</v>
      </c>
      <c r="G33" s="42">
        <f>INT(养成规划!G36)</f>
        <v>159</v>
      </c>
      <c r="H33" s="42">
        <f>INT(SUMIFS(装备属性!$R$919:$R$955,装备属性!$P$919:$P$955,$D33,装备属性!$N$919:$N$955,$E33)*0.5)</f>
        <v>0</v>
      </c>
      <c r="I33" s="42">
        <f>INT(SUMIFS(装备属性!$R$919:$R$955,装备属性!$P$919:$P$955,$D33,装备属性!$N$919:$N$955,$E33)*0)</f>
        <v>0</v>
      </c>
      <c r="J33" s="42">
        <f t="shared" si="1"/>
        <v>0</v>
      </c>
      <c r="K33" s="42">
        <v>100401</v>
      </c>
      <c r="L33" s="42" t="str">
        <f t="shared" si="13"/>
        <v>[{1,8,150,159,[{hunter_atk,0}],[100401]},{2,8,150,159,[{hunter_atk,0}],[200401]},{3,8,150,159,[{hunter_atk,0}],[300401]},{4,8,150,159,[{mage_atk,0}],[400401]},{5,8,150,159,[{mage_atk,0}],[500401]},{6,8,150,159,[{mage_atk,0}],[500401]}]</v>
      </c>
      <c r="M33" s="42" t="str">
        <f t="shared" si="2"/>
        <v>{1,8,150,159,[{hunter_atk,0}],[100401]}</v>
      </c>
      <c r="N33" s="42" t="str">
        <f t="shared" si="3"/>
        <v>{2,8,150,159,[{hunter_atk,0}],[200401]}</v>
      </c>
      <c r="O33" s="42" t="str">
        <f t="shared" si="4"/>
        <v>{3,8,150,159,[{hunter_atk,0}],[300401]}</v>
      </c>
      <c r="P33" s="42" t="str">
        <f t="shared" si="5"/>
        <v>{4,8,150,159,[{mage_atk,0}],[400401]}</v>
      </c>
      <c r="Q33" s="42" t="str">
        <f t="shared" si="6"/>
        <v>{5,8,150,159,[{mage_atk,0}],[500401]}</v>
      </c>
      <c r="R33" s="42" t="str">
        <f t="shared" si="7"/>
        <v>{6,8,150,159,[{mage_atk,0}],[500401]}</v>
      </c>
      <c r="S33" s="43">
        <f ca="1">SUMIFS(装备属性!$I$90:$I$305,装备属性!$E$90:$E$305,E33,装备属性!$G$90:$G$305,D33)*(F33*OFFSET(装备属性!$E$65,MATCH(D33,装备属性!$D$66:$D$73,0),0)+(6-F33)*OFFSET(装备属性!$E$65,MATCH(D33,装备属性!$D$66:$D$73,0)-1,0))/(6*OFFSET(装备属性!$E$65,MATCH(D33,装备属性!$D$66:$D$73,0),0))*6</f>
        <v>5262</v>
      </c>
      <c r="T33" s="42">
        <f>_xlfn.XLOOKUP(G33,装备属性!$D$520:$D$819,装备属性!$I$520:$I$819)*6</f>
        <v>20088</v>
      </c>
      <c r="U33" s="42">
        <f t="shared" si="14"/>
        <v>0</v>
      </c>
      <c r="W33" s="42">
        <f>INT(养成规划!I36)</f>
        <v>5507</v>
      </c>
      <c r="X33" s="42">
        <f>INT(养成规划!J36)</f>
        <v>17511</v>
      </c>
      <c r="Y33" s="42">
        <f>INT(养成规划!K36)</f>
        <v>9444</v>
      </c>
      <c r="AA33" s="44">
        <f ca="1" t="shared" si="8"/>
        <v>-0.0444888323951335</v>
      </c>
      <c r="AB33" s="44">
        <f t="shared" si="15"/>
        <v>0.147164639369539</v>
      </c>
      <c r="AC33" s="44">
        <f t="shared" si="9"/>
        <v>-1</v>
      </c>
      <c r="AD33" s="44">
        <f ca="1" t="shared" si="10"/>
        <v>-0.219086932413283</v>
      </c>
      <c r="AF33">
        <f t="shared" si="11"/>
        <v>32462</v>
      </c>
      <c r="AG33">
        <f ca="1" t="shared" si="12"/>
        <v>7112</v>
      </c>
    </row>
    <row r="34" ht="16.5" spans="1:33">
      <c r="A34" s="41">
        <f ca="1" t="shared" si="0"/>
        <v>-0.342531135804311</v>
      </c>
      <c r="B34" s="42">
        <v>520</v>
      </c>
      <c r="C34" s="42">
        <v>8</v>
      </c>
      <c r="D34" s="42" t="str">
        <f>SUBSTITUTE(养成规划!H38,"","彩")</f>
        <v>彩</v>
      </c>
      <c r="E34" s="42">
        <f>INT(养成规划!F38)</f>
        <v>170</v>
      </c>
      <c r="F34" s="42">
        <v>6</v>
      </c>
      <c r="G34" s="42">
        <f>INT(养成规划!G38)</f>
        <v>177</v>
      </c>
      <c r="H34" s="42">
        <f>INT(SUMIFS(装备属性!$R$919:$R$955,装备属性!$P$919:$P$955,$D34,装备属性!$N$919:$N$955,$E34)*0.5)</f>
        <v>0</v>
      </c>
      <c r="I34" s="42">
        <f>INT(SUMIFS(装备属性!$R$919:$R$955,装备属性!$P$919:$P$955,$D34,装备属性!$N$919:$N$955,$E34)*0)</f>
        <v>0</v>
      </c>
      <c r="J34" s="42">
        <f t="shared" si="1"/>
        <v>0</v>
      </c>
      <c r="K34" s="42">
        <v>100401</v>
      </c>
      <c r="L34" s="42" t="str">
        <f t="shared" si="13"/>
        <v>[{1,8,170,177,[{hunter_atk,0}],[100401]},{2,8,170,177,[{hunter_atk,0}],[200401]},{3,8,170,177,[{hunter_atk,0}],[300401]},{4,8,170,177,[{mage_atk,0}],[400401]},{5,8,170,177,[{mage_atk,0}],[500401]},{6,8,170,177,[{mage_atk,0}],[500401]}]</v>
      </c>
      <c r="M34" s="42" t="str">
        <f t="shared" si="2"/>
        <v>{1,8,170,177,[{hunter_atk,0}],[100401]}</v>
      </c>
      <c r="N34" s="42" t="str">
        <f t="shared" si="3"/>
        <v>{2,8,170,177,[{hunter_atk,0}],[200401]}</v>
      </c>
      <c r="O34" s="42" t="str">
        <f t="shared" si="4"/>
        <v>{3,8,170,177,[{hunter_atk,0}],[300401]}</v>
      </c>
      <c r="P34" s="42" t="str">
        <f t="shared" si="5"/>
        <v>{4,8,170,177,[{mage_atk,0}],[400401]}</v>
      </c>
      <c r="Q34" s="42" t="str">
        <f t="shared" si="6"/>
        <v>{5,8,170,177,[{mage_atk,0}],[500401]}</v>
      </c>
      <c r="R34" s="42" t="str">
        <f t="shared" si="7"/>
        <v>{6,8,170,177,[{mage_atk,0}],[500401]}</v>
      </c>
      <c r="S34" s="43">
        <f ca="1">SUMIFS(装备属性!$I$90:$I$305,装备属性!$E$90:$E$305,E34,装备属性!$G$90:$G$305,D34)*(F34*OFFSET(装备属性!$E$65,MATCH(D34,装备属性!$D$66:$D$73,0),0)+(6-F34)*OFFSET(装备属性!$E$65,MATCH(D34,装备属性!$D$66:$D$73,0)-1,0))/(6*OFFSET(装备属性!$E$65,MATCH(D34,装备属性!$D$66:$D$73,0),0))*6</f>
        <v>0</v>
      </c>
      <c r="T34" s="42">
        <f>_xlfn.XLOOKUP(G34,装备属性!$D$520:$D$819,装备属性!$I$520:$I$819)*6</f>
        <v>26448</v>
      </c>
      <c r="U34" s="42">
        <f t="shared" si="14"/>
        <v>0</v>
      </c>
      <c r="W34" s="42">
        <f>INT(养成规划!I38)</f>
        <v>7350</v>
      </c>
      <c r="X34" s="42">
        <f>INT(养成规划!J38)</f>
        <v>22695</v>
      </c>
      <c r="Y34" s="42">
        <f>INT(养成规划!K38)</f>
        <v>10182</v>
      </c>
      <c r="AA34" s="44">
        <f ca="1" t="shared" si="8"/>
        <v>-1</v>
      </c>
      <c r="AB34" s="44">
        <f t="shared" si="15"/>
        <v>0.165366820885658</v>
      </c>
      <c r="AC34" s="44">
        <f t="shared" si="9"/>
        <v>-1</v>
      </c>
      <c r="AD34" s="44">
        <f ca="1" t="shared" si="10"/>
        <v>-0.342531135804311</v>
      </c>
      <c r="AF34">
        <f t="shared" si="11"/>
        <v>40227</v>
      </c>
      <c r="AG34">
        <f ca="1" t="shared" si="12"/>
        <v>13779</v>
      </c>
    </row>
  </sheetData>
  <mergeCells count="1">
    <mergeCell ref="L2:R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E7:AB529"/>
  <sheetViews>
    <sheetView workbookViewId="0">
      <selection activeCell="J60" sqref="J60"/>
    </sheetView>
  </sheetViews>
  <sheetFormatPr defaultColWidth="9.14285714285714" defaultRowHeight="12.75"/>
  <cols>
    <col min="1" max="9" width="9.14285714285714" style="2"/>
    <col min="10" max="10" width="12.8571428571429" style="2"/>
    <col min="11" max="24" width="9.14285714285714" style="2"/>
    <col min="25" max="28" width="9.57142857142857" style="2"/>
    <col min="29" max="16384" width="9.14285714285714" style="2"/>
  </cols>
  <sheetData>
    <row r="7" spans="5:28">
      <c r="F7" s="2" t="s">
        <v>666</v>
      </c>
      <c r="G7" s="2" t="s">
        <v>667</v>
      </c>
      <c r="H7" s="2" t="s">
        <v>668</v>
      </c>
    </row>
    <row r="8" spans="5:28">
      <c r="E8" s="2" t="s">
        <v>669</v>
      </c>
      <c r="F8" s="2" t="s">
        <v>670</v>
      </c>
      <c r="G8" s="2">
        <v>800</v>
      </c>
      <c r="H8" s="33">
        <f>800/1000</f>
        <v>0.8</v>
      </c>
    </row>
    <row r="9" spans="5:28">
      <c r="E9" s="2" t="s">
        <v>671</v>
      </c>
      <c r="F9" s="2" t="s">
        <v>670</v>
      </c>
      <c r="G9" s="2">
        <v>750</v>
      </c>
      <c r="H9" s="34">
        <f>750/1000</f>
        <v>0.75</v>
      </c>
    </row>
    <row r="11" spans="5:28">
      <c r="F11" s="2" t="s">
        <v>666</v>
      </c>
      <c r="G11" s="2" t="s">
        <v>667</v>
      </c>
      <c r="H11" s="2" t="s">
        <v>668</v>
      </c>
    </row>
    <row r="12" spans="5:28">
      <c r="E12" s="2" t="s">
        <v>672</v>
      </c>
      <c r="F12" s="2" t="s">
        <v>673</v>
      </c>
      <c r="G12" s="2">
        <v>50</v>
      </c>
      <c r="H12" s="34">
        <f>50/200</f>
        <v>0.25</v>
      </c>
    </row>
    <row r="13" spans="5:28">
      <c r="E13" s="2" t="s">
        <v>674</v>
      </c>
      <c r="F13" s="2" t="s">
        <v>675</v>
      </c>
      <c r="G13" s="2">
        <v>250</v>
      </c>
      <c r="H13" s="33">
        <f>250/500</f>
        <v>0.5</v>
      </c>
    </row>
    <row r="15" spans="5:28">
      <c r="F15" s="2" t="s">
        <v>666</v>
      </c>
      <c r="G15" s="2" t="s">
        <v>667</v>
      </c>
      <c r="H15" s="2" t="s">
        <v>668</v>
      </c>
      <c r="L15" s="2" t="s">
        <v>583</v>
      </c>
      <c r="M15" s="2" t="s">
        <v>58</v>
      </c>
      <c r="N15" s="2" t="s">
        <v>59</v>
      </c>
      <c r="O15" s="2" t="s">
        <v>31</v>
      </c>
      <c r="P15" s="2" t="s">
        <v>32</v>
      </c>
      <c r="Q15" s="2" t="s">
        <v>33</v>
      </c>
      <c r="R15" s="2" t="s">
        <v>34</v>
      </c>
      <c r="S15" s="2" t="s">
        <v>35</v>
      </c>
      <c r="T15" s="2" t="s">
        <v>36</v>
      </c>
      <c r="Z15" s="2">
        <f ca="1">MAX(Y16:Y135)</f>
        <v>10001846</v>
      </c>
      <c r="AA15" s="2">
        <f ca="1">MAX(Z16:Z135)</f>
        <v>10001907</v>
      </c>
      <c r="AB15" s="2">
        <f ca="1">MAX(AA16:AA135)</f>
        <v>10001983</v>
      </c>
    </row>
    <row r="16" spans="5:28">
      <c r="E16" s="2" t="s">
        <v>672</v>
      </c>
      <c r="F16" s="2" t="s">
        <v>676</v>
      </c>
      <c r="G16" s="2">
        <v>700</v>
      </c>
      <c r="H16" s="35">
        <f>700/800</f>
        <v>0.875</v>
      </c>
      <c r="L16" s="2">
        <v>1</v>
      </c>
      <c r="M16" s="2">
        <v>0.1</v>
      </c>
      <c r="N16" s="2">
        <v>0.35</v>
      </c>
      <c r="O16" s="2">
        <v>0.3</v>
      </c>
      <c r="P16" s="2">
        <v>0.2</v>
      </c>
      <c r="Q16" s="2">
        <v>0.05</v>
      </c>
      <c r="V16" s="2">
        <v>1</v>
      </c>
      <c r="W16" s="2">
        <v>1</v>
      </c>
      <c r="X16" s="2">
        <f ca="1">IF(OFFSET($L$15,V16,W16)&gt;0,1,0)</f>
        <v>1</v>
      </c>
      <c r="Y16" s="2">
        <v>10001771</v>
      </c>
      <c r="Z16" s="2">
        <f ca="1">IF(AND(OFFSET($L$15,V16,W16)&gt;0,X17&gt;0),MAX($Z$14:Z15)+1,"")</f>
        <v>10001847</v>
      </c>
      <c r="AA16" s="2">
        <f ca="1">IF(Y16="","",MAX($AA$14:AA15)+1)</f>
        <v>10001908</v>
      </c>
      <c r="AB16" s="2">
        <f ca="1">IF(Z16="","",MAX($AB$14:AB15)+1)</f>
        <v>10001984</v>
      </c>
    </row>
    <row r="17" spans="5:28">
      <c r="E17" s="2" t="s">
        <v>674</v>
      </c>
      <c r="F17" s="2" t="s">
        <v>675</v>
      </c>
      <c r="G17" s="2">
        <v>450</v>
      </c>
      <c r="H17" s="33">
        <f>450/500</f>
        <v>0.9</v>
      </c>
      <c r="L17" s="2">
        <v>2</v>
      </c>
      <c r="M17" s="2">
        <v>0</v>
      </c>
      <c r="N17" s="2">
        <v>0.25</v>
      </c>
      <c r="O17" s="2">
        <v>0.4</v>
      </c>
      <c r="P17" s="2">
        <v>0.25</v>
      </c>
      <c r="Q17" s="2">
        <v>0.1</v>
      </c>
      <c r="V17" s="2">
        <v>1</v>
      </c>
      <c r="W17" s="2">
        <v>2</v>
      </c>
      <c r="X17" s="2">
        <f ca="1" t="shared" ref="X17:X28" si="0">IF(OFFSET($L$15,V17,W17)&gt;0,1,0)</f>
        <v>1</v>
      </c>
      <c r="Y17" s="2">
        <f ca="1">IF(X17=0,"",MAX($Y$15:Y16)+X17)</f>
        <v>10001772</v>
      </c>
      <c r="Z17" s="2">
        <f ca="1">IF(AND(OFFSET($L$15,V17,W17)&gt;0,X18&gt;0),MAX($Z$14:Z16)+1,"")</f>
        <v>10001848</v>
      </c>
      <c r="AA17" s="2">
        <f ca="1">IF(Y17="","",MAX($AA$14:AA16)+1)</f>
        <v>10001909</v>
      </c>
      <c r="AB17" s="2">
        <f ca="1">IF(Z17="","",MAX($AB$14:AB16)+1)</f>
        <v>10001985</v>
      </c>
    </row>
    <row r="18" spans="5:28">
      <c r="L18" s="2">
        <v>3</v>
      </c>
      <c r="M18" s="2">
        <v>0</v>
      </c>
      <c r="N18" s="2">
        <v>0.2</v>
      </c>
      <c r="O18" s="2">
        <v>0.4</v>
      </c>
      <c r="P18" s="2">
        <v>0.25</v>
      </c>
      <c r="Q18" s="2">
        <v>0.125</v>
      </c>
      <c r="R18" s="2">
        <v>0.025</v>
      </c>
      <c r="V18" s="2">
        <v>1</v>
      </c>
      <c r="W18" s="2">
        <v>3</v>
      </c>
      <c r="X18" s="2">
        <f ca="1" t="shared" si="0"/>
        <v>1</v>
      </c>
      <c r="Y18" s="2">
        <f ca="1">IF(X18=0,"",MAX($Y$15:Y17)+X18)</f>
        <v>10001773</v>
      </c>
      <c r="Z18" s="2">
        <f ca="1">IF(AND(OFFSET($L$15,V18,W18)&gt;0,X19&gt;0),MAX($Z$14:Z17)+1,"")</f>
        <v>10001849</v>
      </c>
      <c r="AA18" s="2">
        <f ca="1">IF(Y18="","",MAX($AA$14:AA17)+1)</f>
        <v>10001910</v>
      </c>
      <c r="AB18" s="2">
        <f ca="1">IF(Z18="","",MAX($AB$14:AB17)+1)</f>
        <v>10001986</v>
      </c>
    </row>
    <row r="19" spans="5:28">
      <c r="L19" s="2">
        <v>4</v>
      </c>
      <c r="M19" s="2">
        <v>0</v>
      </c>
      <c r="N19" s="2">
        <v>0.175</v>
      </c>
      <c r="O19" s="2">
        <v>0.4</v>
      </c>
      <c r="P19" s="2">
        <v>0.25</v>
      </c>
      <c r="Q19" s="2">
        <v>0.125</v>
      </c>
      <c r="R19" s="2">
        <v>0.05</v>
      </c>
      <c r="V19" s="2">
        <v>1</v>
      </c>
      <c r="W19" s="2">
        <v>4</v>
      </c>
      <c r="X19" s="2">
        <f ca="1" t="shared" si="0"/>
        <v>1</v>
      </c>
      <c r="Y19" s="2">
        <f ca="1">IF(X19=0,"",MAX($Y$15:Y18)+X19)</f>
        <v>10001774</v>
      </c>
      <c r="Z19" s="2">
        <f ca="1">IF(AND(OFFSET($L$15,V19,W19)&gt;0,X20&gt;0),MAX($Z$14:Z18)+1,"")</f>
        <v>10001850</v>
      </c>
      <c r="AA19" s="2">
        <f ca="1">IF(Y19="","",MAX($AA$14:AA18)+1)</f>
        <v>10001911</v>
      </c>
      <c r="AB19" s="2">
        <f ca="1">IF(Z19="","",MAX($AB$14:AB18)+1)</f>
        <v>10001987</v>
      </c>
    </row>
    <row r="20" spans="5:28">
      <c r="L20" s="2">
        <v>5</v>
      </c>
      <c r="M20" s="2">
        <v>0</v>
      </c>
      <c r="N20" s="2">
        <v>0.125</v>
      </c>
      <c r="O20" s="2">
        <v>0.4</v>
      </c>
      <c r="P20" s="2">
        <v>0.25</v>
      </c>
      <c r="Q20" s="2">
        <v>0.15</v>
      </c>
      <c r="R20" s="2">
        <v>0.075</v>
      </c>
      <c r="V20" s="2">
        <v>1</v>
      </c>
      <c r="W20" s="2">
        <v>5</v>
      </c>
      <c r="X20" s="2">
        <f ca="1" t="shared" si="0"/>
        <v>1</v>
      </c>
      <c r="Y20" s="2">
        <f ca="1">IF(X20=0,"",MAX($Y$15:Y19)+X20)</f>
        <v>10001775</v>
      </c>
      <c r="Z20" s="2" t="str">
        <f ca="1">IF(AND(OFFSET($L$15,V20,W20)&gt;0,X21&gt;0),MAX($Z$14:Z19)+1,"")</f>
        <v/>
      </c>
      <c r="AA20" s="2">
        <f ca="1">IF(Y20="","",MAX($AA$14:AA19)+1)</f>
        <v>10001912</v>
      </c>
      <c r="AB20" s="2" t="str">
        <f ca="1">IF(Z20="","",MAX($AB$14:AB19)+1)</f>
        <v/>
      </c>
    </row>
    <row r="21" spans="5:28">
      <c r="L21" s="2">
        <v>6</v>
      </c>
      <c r="M21" s="2">
        <v>0</v>
      </c>
      <c r="N21" s="2">
        <v>0.075</v>
      </c>
      <c r="O21" s="2">
        <v>0.4</v>
      </c>
      <c r="P21" s="2">
        <v>0.25</v>
      </c>
      <c r="Q21" s="2">
        <v>0.15</v>
      </c>
      <c r="R21" s="2">
        <v>0.1</v>
      </c>
      <c r="S21" s="2">
        <v>0.025</v>
      </c>
      <c r="V21" s="2">
        <v>1</v>
      </c>
      <c r="W21" s="2">
        <v>6</v>
      </c>
      <c r="X21" s="2">
        <f ca="1" t="shared" si="0"/>
        <v>0</v>
      </c>
      <c r="Y21" s="2" t="str">
        <f ca="1">IF(X21=0,"",MAX($Y$15:Y20)+X21)</f>
        <v/>
      </c>
      <c r="Z21" s="2" t="str">
        <f ca="1">IF(AND(OFFSET($L$15,V21,W21)&gt;0,X22&gt;0),MAX($Z$14:Z20)+1,"")</f>
        <v/>
      </c>
      <c r="AA21" s="2" t="str">
        <f ca="1">IF(Y21="","",MAX($AA$14:AA20)+1)</f>
        <v/>
      </c>
      <c r="AB21" s="2" t="str">
        <f ca="1">IF(Z21="","",MAX($AB$14:AB20)+1)</f>
        <v/>
      </c>
    </row>
    <row r="22" spans="5:28">
      <c r="L22" s="2">
        <v>7</v>
      </c>
      <c r="M22" s="2">
        <v>0</v>
      </c>
      <c r="N22" s="2">
        <v>0</v>
      </c>
      <c r="O22" s="2">
        <v>0.36</v>
      </c>
      <c r="P22" s="2">
        <v>0.32</v>
      </c>
      <c r="Q22" s="2">
        <v>0.16</v>
      </c>
      <c r="R22" s="2">
        <v>0.12</v>
      </c>
      <c r="S22" s="2">
        <v>0.04</v>
      </c>
      <c r="V22" s="2">
        <v>1</v>
      </c>
      <c r="W22" s="2">
        <v>7</v>
      </c>
      <c r="X22" s="2">
        <f ca="1" t="shared" si="0"/>
        <v>0</v>
      </c>
      <c r="Y22" s="2" t="str">
        <f ca="1">IF(X22=0,"",MAX($Y$15:Y21)+X22)</f>
        <v/>
      </c>
      <c r="Z22" s="2" t="str">
        <f ca="1">IF(AND(OFFSET($L$15,V22,W22)&gt;0,X23&gt;0),MAX($Z$14:Z21)+1,"")</f>
        <v/>
      </c>
      <c r="AA22" s="2" t="str">
        <f ca="1">IF(Y22="","",MAX($AA$14:AA21)+1)</f>
        <v/>
      </c>
      <c r="AB22" s="2" t="str">
        <f ca="1">IF(Z22="","",MAX($AB$14:AB21)+1)</f>
        <v/>
      </c>
    </row>
    <row r="23" spans="5:28">
      <c r="L23" s="2">
        <v>8</v>
      </c>
      <c r="M23" s="2">
        <v>0</v>
      </c>
      <c r="N23" s="2">
        <v>0</v>
      </c>
      <c r="O23" s="2">
        <v>0.3</v>
      </c>
      <c r="P23" s="2">
        <v>0.34</v>
      </c>
      <c r="Q23" s="2">
        <v>0.17</v>
      </c>
      <c r="R23" s="2">
        <v>0.135</v>
      </c>
      <c r="S23" s="2">
        <v>0.055</v>
      </c>
      <c r="V23" s="2">
        <v>1</v>
      </c>
      <c r="W23" s="2">
        <v>8</v>
      </c>
      <c r="X23" s="2">
        <f ca="1" t="shared" si="0"/>
        <v>0</v>
      </c>
      <c r="Y23" s="2" t="str">
        <f ca="1">IF(X23=0,"",MAX($Y$15:Y22)+X23)</f>
        <v/>
      </c>
      <c r="Z23" s="2" t="str">
        <f ca="1">IF(AND(OFFSET($L$15,V23,W23)&gt;0,X24&gt;0),MAX($Z$14:Z22)+1,"")</f>
        <v/>
      </c>
      <c r="AA23" s="2" t="str">
        <f ca="1">IF(Y23="","",MAX($AA$14:AA22)+1)</f>
        <v/>
      </c>
      <c r="AB23" s="2" t="str">
        <f ca="1">IF(Z23="","",MAX($AB$14:AB22)+1)</f>
        <v/>
      </c>
    </row>
    <row r="24" spans="5:28">
      <c r="F24" s="2">
        <v>0</v>
      </c>
      <c r="L24" s="2">
        <v>9</v>
      </c>
      <c r="M24" s="2">
        <v>0</v>
      </c>
      <c r="N24" s="2">
        <v>0</v>
      </c>
      <c r="O24" s="2">
        <v>0.245</v>
      </c>
      <c r="P24" s="2">
        <v>0.35</v>
      </c>
      <c r="Q24" s="2">
        <v>0.18</v>
      </c>
      <c r="R24" s="2">
        <v>0.15</v>
      </c>
      <c r="S24" s="2">
        <v>0.075</v>
      </c>
      <c r="V24" s="2">
        <f>V16+1</f>
        <v>2</v>
      </c>
      <c r="W24" s="2">
        <f>W16</f>
        <v>1</v>
      </c>
      <c r="X24" s="2">
        <f ca="1" t="shared" si="0"/>
        <v>0</v>
      </c>
      <c r="Y24" s="2" t="str">
        <f ca="1">IF(X24=0,"",MAX($Y$15:Y23)+X24)</f>
        <v/>
      </c>
      <c r="Z24" s="2" t="str">
        <f ca="1">IF(AND(OFFSET($L$15,V24,W24)&gt;0,X25&gt;0),MAX($Z$14:Z23)+1,"")</f>
        <v/>
      </c>
      <c r="AA24" s="2" t="str">
        <f ca="1">IF(Y24="","",MAX($AA$14:AA23)+1)</f>
        <v/>
      </c>
      <c r="AB24" s="2" t="str">
        <f ca="1">IF(Z24="","",MAX($AB$14:AB23)+1)</f>
        <v/>
      </c>
    </row>
    <row r="25" spans="5:28">
      <c r="F25" s="2">
        <v>1</v>
      </c>
      <c r="L25" s="2">
        <v>10</v>
      </c>
      <c r="M25" s="2">
        <v>0</v>
      </c>
      <c r="N25" s="2">
        <v>0</v>
      </c>
      <c r="O25" s="2">
        <v>0.15</v>
      </c>
      <c r="P25" s="2">
        <v>0.38</v>
      </c>
      <c r="Q25" s="2">
        <v>0.2</v>
      </c>
      <c r="R25" s="2">
        <v>0.165</v>
      </c>
      <c r="S25" s="2">
        <v>0.09</v>
      </c>
      <c r="T25" s="2">
        <v>0.015</v>
      </c>
      <c r="V25" s="2">
        <f t="shared" ref="V25:V56" si="1">V17+1</f>
        <v>2</v>
      </c>
      <c r="W25" s="2">
        <f t="shared" ref="W25:W56" si="2">W17</f>
        <v>2</v>
      </c>
      <c r="X25" s="2">
        <f ca="1" t="shared" si="0"/>
        <v>1</v>
      </c>
      <c r="Y25" s="2">
        <f ca="1">IF(X25=0,"",MAX($Y$15:Y24)+X25)</f>
        <v>10001776</v>
      </c>
      <c r="Z25" s="2">
        <f ca="1">IF(AND(OFFSET($L$15,V25,W25)&gt;0,X26&gt;0),MAX($Z$14:Z24)+1,"")</f>
        <v>10001851</v>
      </c>
      <c r="AA25" s="2">
        <f ca="1">IF(Y25="","",MAX($AA$14:AA24)+1)</f>
        <v>10001913</v>
      </c>
      <c r="AB25" s="2">
        <f ca="1">IF(Z25="","",MAX($AB$14:AB24)+1)</f>
        <v>10001988</v>
      </c>
    </row>
    <row r="26" spans="5:28">
      <c r="F26" s="2">
        <v>10</v>
      </c>
      <c r="L26" s="2">
        <v>11</v>
      </c>
      <c r="M26" s="2">
        <v>0</v>
      </c>
      <c r="N26" s="2">
        <v>0</v>
      </c>
      <c r="O26" s="2">
        <v>0</v>
      </c>
      <c r="P26" s="2">
        <v>0.44</v>
      </c>
      <c r="Q26" s="2">
        <v>0.25</v>
      </c>
      <c r="R26" s="2">
        <v>0.185</v>
      </c>
      <c r="S26" s="2">
        <v>0.1</v>
      </c>
      <c r="T26" s="2">
        <v>0.025</v>
      </c>
      <c r="V26" s="2">
        <f t="shared" si="1"/>
        <v>2</v>
      </c>
      <c r="W26" s="2">
        <f t="shared" si="2"/>
        <v>3</v>
      </c>
      <c r="X26" s="2">
        <f ca="1" t="shared" si="0"/>
        <v>1</v>
      </c>
      <c r="Y26" s="2">
        <f ca="1">IF(X26=0,"",MAX($Y$15:Y25)+X26)</f>
        <v>10001777</v>
      </c>
      <c r="Z26" s="2">
        <f ca="1">IF(AND(OFFSET($L$15,V26,W26)&gt;0,X27&gt;0),MAX($Z$14:Z25)+1,"")</f>
        <v>10001852</v>
      </c>
      <c r="AA26" s="2">
        <f ca="1">IF(Y26="","",MAX($AA$14:AA25)+1)</f>
        <v>10001914</v>
      </c>
      <c r="AB26" s="2">
        <f ca="1">IF(Z26="","",MAX($AB$14:AB25)+1)</f>
        <v>10001989</v>
      </c>
    </row>
    <row r="27" spans="5:28">
      <c r="F27" s="2">
        <v>20</v>
      </c>
      <c r="L27" s="2">
        <v>12</v>
      </c>
      <c r="M27" s="2">
        <v>0</v>
      </c>
      <c r="N27" s="2">
        <v>0</v>
      </c>
      <c r="O27" s="2">
        <v>0</v>
      </c>
      <c r="P27" s="2">
        <v>0.4</v>
      </c>
      <c r="Q27" s="2">
        <v>0.25</v>
      </c>
      <c r="R27" s="2">
        <v>0.2</v>
      </c>
      <c r="S27" s="2">
        <v>0.11</v>
      </c>
      <c r="T27" s="2">
        <v>0.04</v>
      </c>
      <c r="V27" s="2">
        <f t="shared" si="1"/>
        <v>2</v>
      </c>
      <c r="W27" s="2">
        <f t="shared" si="2"/>
        <v>4</v>
      </c>
      <c r="X27" s="2">
        <f ca="1" t="shared" si="0"/>
        <v>1</v>
      </c>
      <c r="Y27" s="2">
        <f ca="1">IF(X27=0,"",MAX($Y$15:Y26)+X27)</f>
        <v>10001778</v>
      </c>
      <c r="Z27" s="2">
        <f ca="1">IF(AND(OFFSET($L$15,V27,W27)&gt;0,X28&gt;0),MAX($Z$14:Z26)+1,"")</f>
        <v>10001853</v>
      </c>
      <c r="AA27" s="2">
        <f ca="1">IF(Y27="","",MAX($AA$14:AA26)+1)</f>
        <v>10001915</v>
      </c>
      <c r="AB27" s="2">
        <f ca="1">IF(Z27="","",MAX($AB$14:AB26)+1)</f>
        <v>10001990</v>
      </c>
    </row>
    <row r="28" spans="5:28">
      <c r="F28" s="2">
        <v>30</v>
      </c>
      <c r="L28" s="2">
        <v>13</v>
      </c>
      <c r="M28" s="2">
        <v>0</v>
      </c>
      <c r="N28" s="2">
        <v>0</v>
      </c>
      <c r="O28" s="2">
        <v>0</v>
      </c>
      <c r="P28" s="2">
        <v>0.385</v>
      </c>
      <c r="Q28" s="2">
        <v>0.25</v>
      </c>
      <c r="R28" s="2">
        <v>0.2</v>
      </c>
      <c r="S28" s="2">
        <v>0.12</v>
      </c>
      <c r="T28" s="2">
        <v>0.045</v>
      </c>
      <c r="V28" s="2">
        <f t="shared" si="1"/>
        <v>2</v>
      </c>
      <c r="W28" s="2">
        <f t="shared" si="2"/>
        <v>5</v>
      </c>
      <c r="X28" s="2">
        <f ca="1" t="shared" si="0"/>
        <v>1</v>
      </c>
      <c r="Y28" s="2">
        <f ca="1">IF(X28=0,"",MAX($Y$15:Y27)+X28)</f>
        <v>10001779</v>
      </c>
      <c r="Z28" s="2" t="str">
        <f ca="1">IF(AND(OFFSET($L$15,V28,W28)&gt;0,X29&gt;0),MAX($Z$14:Z27)+1,"")</f>
        <v/>
      </c>
      <c r="AA28" s="2">
        <f ca="1">IF(Y28="","",MAX($AA$14:AA27)+1)</f>
        <v>10001916</v>
      </c>
      <c r="AB28" s="2" t="str">
        <f ca="1">IF(Z28="","",MAX($AB$14:AB27)+1)</f>
        <v/>
      </c>
    </row>
    <row r="29" spans="5:28">
      <c r="F29" s="2">
        <v>40</v>
      </c>
      <c r="L29" s="2">
        <v>14</v>
      </c>
      <c r="M29" s="2">
        <v>0</v>
      </c>
      <c r="N29" s="2">
        <v>0</v>
      </c>
      <c r="O29" s="2">
        <v>0</v>
      </c>
      <c r="P29" s="2">
        <v>0.365</v>
      </c>
      <c r="Q29" s="2">
        <v>0.25</v>
      </c>
      <c r="R29" s="2">
        <v>0.2</v>
      </c>
      <c r="S29" s="2">
        <v>0.135</v>
      </c>
      <c r="T29" s="2">
        <v>0.05</v>
      </c>
      <c r="V29" s="2">
        <f t="shared" si="1"/>
        <v>2</v>
      </c>
      <c r="W29" s="2">
        <f t="shared" si="2"/>
        <v>6</v>
      </c>
      <c r="X29" s="2">
        <f ca="1" t="shared" ref="X29:X60" si="3">IF(OFFSET($L$15,V29,W29)&gt;0,1,0)</f>
        <v>0</v>
      </c>
      <c r="Y29" s="2" t="str">
        <f ca="1">IF(X29=0,"",MAX($Y$15:Y28)+X29)</f>
        <v/>
      </c>
      <c r="Z29" s="2" t="str">
        <f ca="1">IF(AND(OFFSET($L$15,V29,W29)&gt;0,X30&gt;0),MAX($Z$14:Z28)+1,"")</f>
        <v/>
      </c>
      <c r="AA29" s="2" t="str">
        <f ca="1">IF(Y29="","",MAX($AA$14:AA28)+1)</f>
        <v/>
      </c>
      <c r="AB29" s="2" t="str">
        <f ca="1">IF(Z29="","",MAX($AB$14:AB28)+1)</f>
        <v/>
      </c>
    </row>
    <row r="30" spans="5:28">
      <c r="F30" s="2">
        <v>50</v>
      </c>
      <c r="L30" s="2">
        <v>15</v>
      </c>
      <c r="M30" s="2">
        <v>0</v>
      </c>
      <c r="N30" s="2">
        <v>0</v>
      </c>
      <c r="O30" s="2">
        <v>0</v>
      </c>
      <c r="P30" s="2">
        <v>0.345</v>
      </c>
      <c r="Q30" s="2">
        <v>0.25</v>
      </c>
      <c r="R30" s="2">
        <v>0.2</v>
      </c>
      <c r="S30" s="2">
        <v>0.15</v>
      </c>
      <c r="T30" s="2">
        <v>0.055</v>
      </c>
      <c r="V30" s="2">
        <f t="shared" si="1"/>
        <v>2</v>
      </c>
      <c r="W30" s="2">
        <f t="shared" si="2"/>
        <v>7</v>
      </c>
      <c r="X30" s="2">
        <f ca="1" t="shared" si="3"/>
        <v>0</v>
      </c>
      <c r="Y30" s="2" t="str">
        <f ca="1">IF(X30=0,"",MAX($Y$15:Y29)+X30)</f>
        <v/>
      </c>
      <c r="Z30" s="2" t="str">
        <f ca="1">IF(AND(OFFSET($L$15,V30,W30)&gt;0,X31&gt;0),MAX($Z$14:Z29)+1,"")</f>
        <v/>
      </c>
      <c r="AA30" s="2" t="str">
        <f ca="1">IF(Y30="","",MAX($AA$14:AA29)+1)</f>
        <v/>
      </c>
      <c r="AB30" s="2" t="str">
        <f ca="1">IF(Z30="","",MAX($AB$14:AB29)+1)</f>
        <v/>
      </c>
    </row>
    <row r="31" spans="5:28">
      <c r="F31" s="2">
        <v>60</v>
      </c>
      <c r="V31" s="2">
        <f t="shared" si="1"/>
        <v>2</v>
      </c>
      <c r="W31" s="2">
        <f t="shared" si="2"/>
        <v>8</v>
      </c>
      <c r="X31" s="2">
        <f ca="1" t="shared" si="3"/>
        <v>0</v>
      </c>
      <c r="Y31" s="2" t="str">
        <f ca="1">IF(X31=0,"",MAX($Y$15:Y30)+X31)</f>
        <v/>
      </c>
      <c r="Z31" s="2" t="str">
        <f ca="1">IF(AND(OFFSET($L$15,V31,W31)&gt;0,X32&gt;0),MAX($Z$14:Z30)+1,"")</f>
        <v/>
      </c>
      <c r="AA31" s="2" t="str">
        <f ca="1">IF(Y31="","",MAX($AA$14:AA30)+1)</f>
        <v/>
      </c>
      <c r="AB31" s="2" t="str">
        <f ca="1">IF(Z31="","",MAX($AB$14:AB30)+1)</f>
        <v/>
      </c>
    </row>
    <row r="32" spans="5:28">
      <c r="F32" s="2">
        <v>70</v>
      </c>
      <c r="V32" s="2">
        <f t="shared" si="1"/>
        <v>3</v>
      </c>
      <c r="W32" s="2">
        <f t="shared" si="2"/>
        <v>1</v>
      </c>
      <c r="X32" s="2">
        <f ca="1" t="shared" si="3"/>
        <v>0</v>
      </c>
      <c r="Y32" s="2" t="str">
        <f ca="1">IF(X32=0,"",MAX($Y$15:Y31)+X32)</f>
        <v/>
      </c>
      <c r="Z32" s="2" t="str">
        <f ca="1">IF(AND(OFFSET($L$15,V32,W32)&gt;0,X33&gt;0),MAX($Z$14:Z31)+1,"")</f>
        <v/>
      </c>
      <c r="AA32" s="2" t="str">
        <f ca="1">IF(Y32="","",MAX($AA$14:AA31)+1)</f>
        <v/>
      </c>
      <c r="AB32" s="2" t="str">
        <f ca="1">IF(Z32="","",MAX($AB$14:AB31)+1)</f>
        <v/>
      </c>
    </row>
    <row r="33" spans="6:28">
      <c r="F33" s="2">
        <v>80</v>
      </c>
      <c r="M33" s="2">
        <v>0.15</v>
      </c>
      <c r="N33" s="2">
        <v>0.525</v>
      </c>
      <c r="O33" s="2">
        <v>0.325</v>
      </c>
      <c r="P33" s="2">
        <v>0</v>
      </c>
      <c r="Q33" s="2">
        <v>0</v>
      </c>
      <c r="R33" s="2">
        <v>0</v>
      </c>
      <c r="S33" s="2">
        <v>0</v>
      </c>
      <c r="V33" s="2">
        <f t="shared" si="1"/>
        <v>3</v>
      </c>
      <c r="W33" s="2">
        <f t="shared" si="2"/>
        <v>2</v>
      </c>
      <c r="X33" s="2">
        <f ca="1" t="shared" si="3"/>
        <v>1</v>
      </c>
      <c r="Y33" s="2">
        <f ca="1">IF(X33=0,"",MAX($Y$15:Y32)+X33)</f>
        <v>10001780</v>
      </c>
      <c r="Z33" s="2">
        <f ca="1">IF(AND(OFFSET($L$15,V33,W33)&gt;0,X34&gt;0),MAX($Z$14:Z32)+1,"")</f>
        <v>10001854</v>
      </c>
      <c r="AA33" s="2">
        <f ca="1">IF(Y33="","",MAX($AA$14:AA32)+1)</f>
        <v>10001917</v>
      </c>
      <c r="AB33" s="2">
        <f ca="1">IF(Z33="","",MAX($AB$14:AB32)+1)</f>
        <v>10001991</v>
      </c>
    </row>
    <row r="34" spans="6:28">
      <c r="F34" s="2">
        <v>90</v>
      </c>
      <c r="M34" s="2">
        <v>0</v>
      </c>
      <c r="N34" s="2">
        <v>0.375</v>
      </c>
      <c r="O34" s="2">
        <v>0.6</v>
      </c>
      <c r="P34" s="2">
        <v>0.025</v>
      </c>
      <c r="Q34" s="2">
        <v>0</v>
      </c>
      <c r="R34" s="2">
        <v>0</v>
      </c>
      <c r="S34" s="2">
        <v>0</v>
      </c>
      <c r="V34" s="2">
        <f t="shared" si="1"/>
        <v>3</v>
      </c>
      <c r="W34" s="2">
        <f t="shared" si="2"/>
        <v>3</v>
      </c>
      <c r="X34" s="2">
        <f ca="1" t="shared" si="3"/>
        <v>1</v>
      </c>
      <c r="Y34" s="2">
        <f ca="1">IF(X34=0,"",MAX($Y$15:Y33)+X34)</f>
        <v>10001781</v>
      </c>
      <c r="Z34" s="2">
        <f ca="1">IF(AND(OFFSET($L$15,V34,W34)&gt;0,X35&gt;0),MAX($Z$14:Z33)+1,"")</f>
        <v>10001855</v>
      </c>
      <c r="AA34" s="2">
        <f ca="1">IF(Y34="","",MAX($AA$14:AA33)+1)</f>
        <v>10001918</v>
      </c>
      <c r="AB34" s="2">
        <f ca="1">IF(Z34="","",MAX($AB$14:AB33)+1)</f>
        <v>10001992</v>
      </c>
    </row>
    <row r="35" spans="6:28">
      <c r="F35" s="2">
        <v>100</v>
      </c>
      <c r="M35" s="2">
        <v>0</v>
      </c>
      <c r="N35" s="2">
        <v>0.3</v>
      </c>
      <c r="O35" s="2">
        <v>0.6</v>
      </c>
      <c r="P35" s="2">
        <v>0.1</v>
      </c>
      <c r="Q35" s="2">
        <v>0</v>
      </c>
      <c r="R35" s="2">
        <v>0</v>
      </c>
      <c r="S35" s="2">
        <v>0</v>
      </c>
      <c r="V35" s="2">
        <f t="shared" si="1"/>
        <v>3</v>
      </c>
      <c r="W35" s="2">
        <f t="shared" si="2"/>
        <v>4</v>
      </c>
      <c r="X35" s="2">
        <f ca="1" t="shared" si="3"/>
        <v>1</v>
      </c>
      <c r="Y35" s="2">
        <f ca="1">IF(X35=0,"",MAX($Y$15:Y34)+X35)</f>
        <v>10001782</v>
      </c>
      <c r="Z35" s="2">
        <f ca="1">IF(AND(OFFSET($L$15,V35,W35)&gt;0,X36&gt;0),MAX($Z$14:Z34)+1,"")</f>
        <v>10001856</v>
      </c>
      <c r="AA35" s="2">
        <f ca="1">IF(Y35="","",MAX($AA$14:AA34)+1)</f>
        <v>10001919</v>
      </c>
      <c r="AB35" s="2">
        <f ca="1">IF(Z35="","",MAX($AB$14:AB34)+1)</f>
        <v>10001993</v>
      </c>
    </row>
    <row r="36" spans="6:28">
      <c r="F36" s="2">
        <v>110</v>
      </c>
      <c r="M36" s="2">
        <v>0</v>
      </c>
      <c r="N36" s="2">
        <v>0.2625</v>
      </c>
      <c r="O36" s="2">
        <v>0.6</v>
      </c>
      <c r="P36" s="2">
        <v>0.1375</v>
      </c>
      <c r="Q36" s="2">
        <v>0</v>
      </c>
      <c r="R36" s="2">
        <v>0</v>
      </c>
      <c r="S36" s="2">
        <v>0</v>
      </c>
      <c r="V36" s="2">
        <f t="shared" si="1"/>
        <v>3</v>
      </c>
      <c r="W36" s="2">
        <f t="shared" si="2"/>
        <v>5</v>
      </c>
      <c r="X36" s="2">
        <f ca="1" t="shared" si="3"/>
        <v>1</v>
      </c>
      <c r="Y36" s="2">
        <f ca="1">IF(X36=0,"",MAX($Y$15:Y35)+X36)</f>
        <v>10001783</v>
      </c>
      <c r="Z36" s="2">
        <f ca="1">IF(AND(OFFSET($L$15,V36,W36)&gt;0,X37&gt;0),MAX($Z$14:Z35)+1,"")</f>
        <v>10001857</v>
      </c>
      <c r="AA36" s="2">
        <f ca="1">IF(Y36="","",MAX($AA$14:AA35)+1)</f>
        <v>10001920</v>
      </c>
      <c r="AB36" s="2">
        <f ca="1">IF(Z36="","",MAX($AB$14:AB35)+1)</f>
        <v>10001994</v>
      </c>
    </row>
    <row r="37" spans="6:28">
      <c r="F37" s="2">
        <v>120</v>
      </c>
      <c r="M37" s="2">
        <v>0</v>
      </c>
      <c r="N37" s="2">
        <v>0.1875</v>
      </c>
      <c r="O37" s="2">
        <v>0.6</v>
      </c>
      <c r="P37" s="2">
        <v>0.2125</v>
      </c>
      <c r="Q37" s="2">
        <v>0</v>
      </c>
      <c r="R37" s="2">
        <v>0</v>
      </c>
      <c r="S37" s="2">
        <v>0</v>
      </c>
      <c r="V37" s="2">
        <f t="shared" si="1"/>
        <v>3</v>
      </c>
      <c r="W37" s="2">
        <f t="shared" si="2"/>
        <v>6</v>
      </c>
      <c r="X37" s="2">
        <f ca="1" t="shared" si="3"/>
        <v>1</v>
      </c>
      <c r="Y37" s="2">
        <f ca="1">IF(X37=0,"",MAX($Y$15:Y36)+X37)</f>
        <v>10001784</v>
      </c>
      <c r="Z37" s="2" t="str">
        <f ca="1">IF(AND(OFFSET($L$15,V37,W37)&gt;0,X38&gt;0),MAX($Z$14:Z36)+1,"")</f>
        <v/>
      </c>
      <c r="AA37" s="2">
        <f ca="1">IF(Y37="","",MAX($AA$14:AA36)+1)</f>
        <v>10001921</v>
      </c>
      <c r="AB37" s="2" t="str">
        <f ca="1">IF(Z37="","",MAX($AB$14:AB36)+1)</f>
        <v/>
      </c>
    </row>
    <row r="38" spans="6:28">
      <c r="F38" s="2">
        <v>130</v>
      </c>
      <c r="M38" s="2">
        <v>0</v>
      </c>
      <c r="N38" s="2">
        <v>0.1125</v>
      </c>
      <c r="O38" s="2">
        <v>0.6</v>
      </c>
      <c r="P38" s="2">
        <v>0.2875</v>
      </c>
      <c r="Q38" s="2">
        <v>0</v>
      </c>
      <c r="R38" s="2">
        <v>0</v>
      </c>
      <c r="S38" s="2">
        <v>0</v>
      </c>
      <c r="V38" s="2">
        <f t="shared" si="1"/>
        <v>3</v>
      </c>
      <c r="W38" s="2">
        <f t="shared" si="2"/>
        <v>7</v>
      </c>
      <c r="X38" s="2">
        <f ca="1" t="shared" si="3"/>
        <v>0</v>
      </c>
      <c r="Y38" s="2" t="str">
        <f ca="1">IF(X38=0,"",MAX($Y$15:Y37)+X38)</f>
        <v/>
      </c>
      <c r="Z38" s="2" t="str">
        <f ca="1">IF(AND(OFFSET($L$15,V38,W38)&gt;0,X39&gt;0),MAX($Z$14:Z37)+1,"")</f>
        <v/>
      </c>
      <c r="AA38" s="2" t="str">
        <f ca="1">IF(Y38="","",MAX($AA$14:AA37)+1)</f>
        <v/>
      </c>
      <c r="AB38" s="2" t="str">
        <f ca="1">IF(Z38="","",MAX($AB$14:AB37)+1)</f>
        <v/>
      </c>
    </row>
    <row r="39" spans="6:28">
      <c r="F39" s="2">
        <v>140</v>
      </c>
      <c r="M39" s="2">
        <v>0</v>
      </c>
      <c r="N39" s="2">
        <v>0</v>
      </c>
      <c r="O39" s="2">
        <v>0.54</v>
      </c>
      <c r="P39" s="2">
        <v>0.46</v>
      </c>
      <c r="Q39" s="2">
        <v>0</v>
      </c>
      <c r="R39" s="2">
        <v>0</v>
      </c>
      <c r="S39" s="2">
        <v>0</v>
      </c>
      <c r="V39" s="2">
        <f t="shared" si="1"/>
        <v>3</v>
      </c>
      <c r="W39" s="2">
        <f t="shared" si="2"/>
        <v>8</v>
      </c>
      <c r="X39" s="2">
        <f ca="1" t="shared" si="3"/>
        <v>0</v>
      </c>
      <c r="Y39" s="2" t="str">
        <f ca="1">IF(X39=0,"",MAX($Y$15:Y38)+X39)</f>
        <v/>
      </c>
      <c r="Z39" s="2" t="str">
        <f ca="1">IF(AND(OFFSET($L$15,V39,W39)&gt;0,X40&gt;0),MAX($Z$14:Z38)+1,"")</f>
        <v/>
      </c>
      <c r="AA39" s="2" t="str">
        <f ca="1">IF(Y39="","",MAX($AA$14:AA38)+1)</f>
        <v/>
      </c>
      <c r="AB39" s="2" t="str">
        <f ca="1">IF(Z39="","",MAX($AB$14:AB38)+1)</f>
        <v/>
      </c>
    </row>
    <row r="40" spans="6:28">
      <c r="F40" s="2">
        <v>150</v>
      </c>
      <c r="M40" s="2">
        <v>0</v>
      </c>
      <c r="N40" s="2">
        <v>0</v>
      </c>
      <c r="O40" s="2">
        <v>0.45</v>
      </c>
      <c r="P40" s="2">
        <v>0.51</v>
      </c>
      <c r="Q40" s="2">
        <v>0.04</v>
      </c>
      <c r="R40" s="2">
        <v>0</v>
      </c>
      <c r="S40" s="2">
        <v>0</v>
      </c>
      <c r="V40" s="2">
        <f t="shared" si="1"/>
        <v>4</v>
      </c>
      <c r="W40" s="2">
        <f t="shared" si="2"/>
        <v>1</v>
      </c>
      <c r="X40" s="2">
        <f ca="1" t="shared" si="3"/>
        <v>0</v>
      </c>
      <c r="Y40" s="2" t="str">
        <f ca="1">IF(X40=0,"",MAX($Y$15:Y39)+X40)</f>
        <v/>
      </c>
      <c r="Z40" s="2" t="str">
        <f ca="1">IF(AND(OFFSET($L$15,V40,W40)&gt;0,X41&gt;0),MAX($Z$14:Z39)+1,"")</f>
        <v/>
      </c>
      <c r="AA40" s="2" t="str">
        <f ca="1">IF(Y40="","",MAX($AA$14:AA39)+1)</f>
        <v/>
      </c>
      <c r="AB40" s="2" t="str">
        <f ca="1">IF(Z40="","",MAX($AB$14:AB39)+1)</f>
        <v/>
      </c>
    </row>
    <row r="41" spans="6:28">
      <c r="F41" s="2">
        <v>160</v>
      </c>
      <c r="M41" s="2">
        <v>0</v>
      </c>
      <c r="N41" s="2">
        <v>0</v>
      </c>
      <c r="O41" s="2">
        <v>0.3675</v>
      </c>
      <c r="P41" s="2">
        <v>0.525</v>
      </c>
      <c r="Q41" s="2">
        <v>0.1075</v>
      </c>
      <c r="R41" s="2">
        <v>0</v>
      </c>
      <c r="S41" s="2">
        <v>0</v>
      </c>
      <c r="V41" s="2">
        <f t="shared" si="1"/>
        <v>4</v>
      </c>
      <c r="W41" s="2">
        <f t="shared" si="2"/>
        <v>2</v>
      </c>
      <c r="X41" s="2">
        <f ca="1" t="shared" si="3"/>
        <v>1</v>
      </c>
      <c r="Y41" s="2">
        <f ca="1">IF(X41=0,"",MAX($Y$15:Y40)+X41)</f>
        <v>10001785</v>
      </c>
      <c r="Z41" s="2">
        <f ca="1">IF(AND(OFFSET($L$15,V41,W41)&gt;0,X42&gt;0),MAX($Z$14:Z40)+1,"")</f>
        <v>10001858</v>
      </c>
      <c r="AA41" s="2">
        <f ca="1">IF(Y41="","",MAX($AA$14:AA40)+1)</f>
        <v>10001922</v>
      </c>
      <c r="AB41" s="2">
        <f ca="1">IF(Z41="","",MAX($AB$14:AB40)+1)</f>
        <v>10001995</v>
      </c>
    </row>
    <row r="42" spans="6:28">
      <c r="F42" s="2">
        <v>170</v>
      </c>
      <c r="M42" s="2">
        <v>0</v>
      </c>
      <c r="N42" s="2">
        <v>0</v>
      </c>
      <c r="O42" s="2">
        <v>0.225</v>
      </c>
      <c r="P42" s="2">
        <v>0.57</v>
      </c>
      <c r="Q42" s="2">
        <v>0.205</v>
      </c>
      <c r="R42" s="2">
        <v>0</v>
      </c>
      <c r="S42" s="2">
        <v>0</v>
      </c>
      <c r="V42" s="2">
        <f t="shared" si="1"/>
        <v>4</v>
      </c>
      <c r="W42" s="2">
        <f t="shared" si="2"/>
        <v>3</v>
      </c>
      <c r="X42" s="2">
        <f ca="1" t="shared" si="3"/>
        <v>1</v>
      </c>
      <c r="Y42" s="2">
        <f ca="1">IF(X42=0,"",MAX($Y$15:Y41)+X42)</f>
        <v>10001786</v>
      </c>
      <c r="Z42" s="2">
        <f ca="1">IF(AND(OFFSET($L$15,V42,W42)&gt;0,X43&gt;0),MAX($Z$14:Z41)+1,"")</f>
        <v>10001859</v>
      </c>
      <c r="AA42" s="2">
        <f ca="1">IF(Y42="","",MAX($AA$14:AA41)+1)</f>
        <v>10001923</v>
      </c>
      <c r="AB42" s="2">
        <f ca="1">IF(Z42="","",MAX($AB$14:AB41)+1)</f>
        <v>10001996</v>
      </c>
    </row>
    <row r="43" spans="6:28">
      <c r="F43" s="2">
        <v>180</v>
      </c>
      <c r="M43" s="2">
        <v>0</v>
      </c>
      <c r="N43" s="2">
        <v>0</v>
      </c>
      <c r="O43" s="2">
        <v>0</v>
      </c>
      <c r="P43" s="2">
        <v>0.66</v>
      </c>
      <c r="Q43" s="2">
        <v>0.34</v>
      </c>
      <c r="R43" s="2">
        <v>0</v>
      </c>
      <c r="S43" s="2">
        <v>0</v>
      </c>
      <c r="V43" s="2">
        <f t="shared" si="1"/>
        <v>4</v>
      </c>
      <c r="W43" s="2">
        <f t="shared" si="2"/>
        <v>4</v>
      </c>
      <c r="X43" s="2">
        <f ca="1" t="shared" si="3"/>
        <v>1</v>
      </c>
      <c r="Y43" s="2">
        <f ca="1">IF(X43=0,"",MAX($Y$15:Y42)+X43)</f>
        <v>10001787</v>
      </c>
      <c r="Z43" s="2">
        <f ca="1">IF(AND(OFFSET($L$15,V43,W43)&gt;0,X44&gt;0),MAX($Z$14:Z42)+1,"")</f>
        <v>10001860</v>
      </c>
      <c r="AA43" s="2">
        <f ca="1">IF(Y43="","",MAX($AA$14:AA42)+1)</f>
        <v>10001924</v>
      </c>
      <c r="AB43" s="2">
        <f ca="1">IF(Z43="","",MAX($AB$14:AB42)+1)</f>
        <v>10001997</v>
      </c>
    </row>
    <row r="44" spans="6:28">
      <c r="F44" s="2">
        <v>190</v>
      </c>
      <c r="M44" s="2">
        <v>0</v>
      </c>
      <c r="N44" s="2">
        <v>0</v>
      </c>
      <c r="O44" s="2">
        <v>0</v>
      </c>
      <c r="P44" s="2">
        <v>0.6</v>
      </c>
      <c r="Q44" s="2">
        <v>0.375</v>
      </c>
      <c r="R44" s="2">
        <v>0.025</v>
      </c>
      <c r="S44" s="2">
        <v>0</v>
      </c>
      <c r="V44" s="2">
        <f t="shared" si="1"/>
        <v>4</v>
      </c>
      <c r="W44" s="2">
        <f t="shared" si="2"/>
        <v>5</v>
      </c>
      <c r="X44" s="2">
        <f ca="1" t="shared" si="3"/>
        <v>1</v>
      </c>
      <c r="Y44" s="2">
        <f ca="1">IF(X44=0,"",MAX($Y$15:Y43)+X44)</f>
        <v>10001788</v>
      </c>
      <c r="Z44" s="2">
        <f ca="1">IF(AND(OFFSET($L$15,V44,W44)&gt;0,X45&gt;0),MAX($Z$14:Z43)+1,"")</f>
        <v>10001861</v>
      </c>
      <c r="AA44" s="2">
        <f ca="1">IF(Y44="","",MAX($AA$14:AA43)+1)</f>
        <v>10001925</v>
      </c>
      <c r="AB44" s="2">
        <f ca="1">IF(Z44="","",MAX($AB$14:AB43)+1)</f>
        <v>10001998</v>
      </c>
    </row>
    <row r="45" spans="6:28">
      <c r="F45" s="2">
        <v>200</v>
      </c>
      <c r="M45" s="2">
        <v>0</v>
      </c>
      <c r="N45" s="2">
        <v>0</v>
      </c>
      <c r="O45" s="2">
        <v>0</v>
      </c>
      <c r="P45" s="2">
        <v>0.5775</v>
      </c>
      <c r="Q45" s="2">
        <v>0.375</v>
      </c>
      <c r="R45" s="2">
        <v>0.0475</v>
      </c>
      <c r="S45" s="2">
        <v>0</v>
      </c>
      <c r="V45" s="2">
        <f t="shared" si="1"/>
        <v>4</v>
      </c>
      <c r="W45" s="2">
        <f t="shared" si="2"/>
        <v>6</v>
      </c>
      <c r="X45" s="2">
        <f ca="1" t="shared" si="3"/>
        <v>1</v>
      </c>
      <c r="Y45" s="2">
        <f ca="1">IF(X45=0,"",MAX($Y$15:Y44)+X45)</f>
        <v>10001789</v>
      </c>
      <c r="Z45" s="2" t="str">
        <f ca="1">IF(AND(OFFSET($L$15,V45,W45)&gt;0,X46&gt;0),MAX($Z$14:Z44)+1,"")</f>
        <v/>
      </c>
      <c r="AA45" s="2">
        <f ca="1">IF(Y45="","",MAX($AA$14:AA44)+1)</f>
        <v>10001926</v>
      </c>
      <c r="AB45" s="2" t="str">
        <f ca="1">IF(Z45="","",MAX($AB$14:AB44)+1)</f>
        <v/>
      </c>
    </row>
    <row r="46" spans="6:28">
      <c r="F46" s="2">
        <v>210</v>
      </c>
      <c r="M46" s="2">
        <v>0</v>
      </c>
      <c r="N46" s="2">
        <v>0</v>
      </c>
      <c r="O46" s="2">
        <v>0</v>
      </c>
      <c r="P46" s="2">
        <v>0.5475</v>
      </c>
      <c r="Q46" s="2">
        <v>0.375</v>
      </c>
      <c r="R46" s="2">
        <v>0.0775000000000001</v>
      </c>
      <c r="S46" s="2">
        <v>0</v>
      </c>
      <c r="V46" s="2">
        <f t="shared" si="1"/>
        <v>4</v>
      </c>
      <c r="W46" s="2">
        <f t="shared" si="2"/>
        <v>7</v>
      </c>
      <c r="X46" s="2">
        <f ca="1" t="shared" si="3"/>
        <v>0</v>
      </c>
      <c r="Y46" s="2" t="str">
        <f ca="1">IF(X46=0,"",MAX($Y$15:Y45)+X46)</f>
        <v/>
      </c>
      <c r="Z46" s="2" t="str">
        <f ca="1">IF(AND(OFFSET($L$15,V46,W46)&gt;0,X47&gt;0),MAX($Z$14:Z45)+1,"")</f>
        <v/>
      </c>
      <c r="AA46" s="2" t="str">
        <f ca="1">IF(Y46="","",MAX($AA$14:AA45)+1)</f>
        <v/>
      </c>
      <c r="AB46" s="2" t="str">
        <f ca="1">IF(Z46="","",MAX($AB$14:AB45)+1)</f>
        <v/>
      </c>
    </row>
    <row r="47" spans="6:28">
      <c r="F47" s="2">
        <v>220</v>
      </c>
      <c r="M47" s="2">
        <v>0</v>
      </c>
      <c r="N47" s="2">
        <v>0</v>
      </c>
      <c r="O47" s="2">
        <v>0</v>
      </c>
      <c r="P47" s="2">
        <v>0.5175</v>
      </c>
      <c r="Q47" s="2">
        <v>0.375</v>
      </c>
      <c r="R47" s="2">
        <v>0.1075</v>
      </c>
      <c r="S47" s="2">
        <v>0</v>
      </c>
      <c r="V47" s="2">
        <f t="shared" si="1"/>
        <v>4</v>
      </c>
      <c r="W47" s="2">
        <f t="shared" si="2"/>
        <v>8</v>
      </c>
      <c r="X47" s="2">
        <f ca="1" t="shared" si="3"/>
        <v>0</v>
      </c>
      <c r="Y47" s="2" t="str">
        <f ca="1">IF(X47=0,"",MAX($Y$15:Y46)+X47)</f>
        <v/>
      </c>
      <c r="Z47" s="2" t="str">
        <f ca="1">IF(AND(OFFSET($L$15,V47,W47)&gt;0,X48&gt;0),MAX($Z$14:Z46)+1,"")</f>
        <v/>
      </c>
      <c r="AA47" s="2" t="str">
        <f ca="1">IF(Y47="","",MAX($AA$14:AA46)+1)</f>
        <v/>
      </c>
      <c r="AB47" s="2" t="str">
        <f ca="1">IF(Z47="","",MAX($AB$14:AB46)+1)</f>
        <v/>
      </c>
    </row>
    <row r="48" spans="6:28">
      <c r="F48" s="2">
        <v>230</v>
      </c>
      <c r="V48" s="2">
        <f t="shared" si="1"/>
        <v>5</v>
      </c>
      <c r="W48" s="2">
        <f t="shared" si="2"/>
        <v>1</v>
      </c>
      <c r="X48" s="2">
        <f ca="1" t="shared" si="3"/>
        <v>0</v>
      </c>
      <c r="Y48" s="2" t="str">
        <f ca="1">IF(X48=0,"",MAX($Y$15:Y47)+X48)</f>
        <v/>
      </c>
      <c r="Z48" s="2" t="str">
        <f ca="1">IF(AND(OFFSET($L$15,V48,W48)&gt;0,X49&gt;0),MAX($Z$14:Z47)+1,"")</f>
        <v/>
      </c>
      <c r="AA48" s="2" t="str">
        <f ca="1">IF(Y48="","",MAX($AA$14:AA47)+1)</f>
        <v/>
      </c>
      <c r="AB48" s="2" t="str">
        <f ca="1">IF(Z48="","",MAX($AB$14:AB47)+1)</f>
        <v/>
      </c>
    </row>
    <row r="49" spans="6:28">
      <c r="F49" s="2">
        <v>240</v>
      </c>
      <c r="V49" s="2">
        <f t="shared" si="1"/>
        <v>5</v>
      </c>
      <c r="W49" s="2">
        <f t="shared" si="2"/>
        <v>2</v>
      </c>
      <c r="X49" s="2">
        <f ca="1" t="shared" si="3"/>
        <v>1</v>
      </c>
      <c r="Y49" s="2">
        <f ca="1">IF(X49=0,"",MAX($Y$15:Y48)+X49)</f>
        <v>10001790</v>
      </c>
      <c r="Z49" s="2">
        <f ca="1">IF(AND(OFFSET($L$15,V49,W49)&gt;0,X50&gt;0),MAX($Z$14:Z48)+1,"")</f>
        <v>10001862</v>
      </c>
      <c r="AA49" s="2">
        <f ca="1">IF(Y49="","",MAX($AA$14:AA48)+1)</f>
        <v>10001927</v>
      </c>
      <c r="AB49" s="2">
        <f ca="1">IF(Z49="","",MAX($AB$14:AB48)+1)</f>
        <v>10001999</v>
      </c>
    </row>
    <row r="50" spans="6:28">
      <c r="F50" s="2">
        <v>250</v>
      </c>
      <c r="V50" s="2">
        <f t="shared" si="1"/>
        <v>5</v>
      </c>
      <c r="W50" s="2">
        <f t="shared" si="2"/>
        <v>3</v>
      </c>
      <c r="X50" s="2">
        <f ca="1" t="shared" si="3"/>
        <v>1</v>
      </c>
      <c r="Y50" s="2">
        <f ca="1">IF(X50=0,"",MAX($Y$15:Y49)+X50)</f>
        <v>10001791</v>
      </c>
      <c r="Z50" s="2">
        <f ca="1">IF(AND(OFFSET($L$15,V50,W50)&gt;0,X51&gt;0),MAX($Z$14:Z49)+1,"")</f>
        <v>10001863</v>
      </c>
      <c r="AA50" s="2">
        <f ca="1">IF(Y50="","",MAX($AA$14:AA49)+1)</f>
        <v>10001928</v>
      </c>
      <c r="AB50" s="2">
        <f ca="1">IF(Z50="","",MAX($AB$14:AB49)+1)</f>
        <v>10002000</v>
      </c>
    </row>
    <row r="51" spans="6:28">
      <c r="F51"/>
      <c r="V51" s="2">
        <f t="shared" si="1"/>
        <v>5</v>
      </c>
      <c r="W51" s="2">
        <f t="shared" si="2"/>
        <v>4</v>
      </c>
      <c r="X51" s="2">
        <f ca="1" t="shared" si="3"/>
        <v>1</v>
      </c>
      <c r="Y51" s="2">
        <f ca="1">IF(X51=0,"",MAX($Y$15:Y50)+X51)</f>
        <v>10001792</v>
      </c>
      <c r="Z51" s="2">
        <f ca="1">IF(AND(OFFSET($L$15,V51,W51)&gt;0,X52&gt;0),MAX($Z$14:Z50)+1,"")</f>
        <v>10001864</v>
      </c>
      <c r="AA51" s="2">
        <f ca="1">IF(Y51="","",MAX($AA$14:AA50)+1)</f>
        <v>10001929</v>
      </c>
      <c r="AB51" s="2">
        <f ca="1">IF(Z51="","",MAX($AB$14:AB50)+1)</f>
        <v>10002001</v>
      </c>
    </row>
    <row r="52" spans="6:28">
      <c r="F52"/>
      <c r="V52" s="2">
        <f t="shared" si="1"/>
        <v>5</v>
      </c>
      <c r="W52" s="2">
        <f t="shared" si="2"/>
        <v>5</v>
      </c>
      <c r="X52" s="2">
        <f ca="1" t="shared" si="3"/>
        <v>1</v>
      </c>
      <c r="Y52" s="2">
        <f ca="1">IF(X52=0,"",MAX($Y$15:Y51)+X52)</f>
        <v>10001793</v>
      </c>
      <c r="Z52" s="2">
        <f ca="1">IF(AND(OFFSET($L$15,V52,W52)&gt;0,X53&gt;0),MAX($Z$14:Z51)+1,"")</f>
        <v>10001865</v>
      </c>
      <c r="AA52" s="2">
        <f ca="1">IF(Y52="","",MAX($AA$14:AA51)+1)</f>
        <v>10001930</v>
      </c>
      <c r="AB52" s="2">
        <f ca="1">IF(Z52="","",MAX($AB$14:AB51)+1)</f>
        <v>10002002</v>
      </c>
    </row>
    <row r="53" spans="6:28">
      <c r="F53"/>
      <c r="V53" s="2">
        <f t="shared" si="1"/>
        <v>5</v>
      </c>
      <c r="W53" s="2">
        <f t="shared" si="2"/>
        <v>6</v>
      </c>
      <c r="X53" s="2">
        <f ca="1" t="shared" si="3"/>
        <v>1</v>
      </c>
      <c r="Y53" s="2">
        <f ca="1">IF(X53=0,"",MAX($Y$15:Y52)+X53)</f>
        <v>10001794</v>
      </c>
      <c r="Z53" s="2" t="str">
        <f ca="1">IF(AND(OFFSET($L$15,V53,W53)&gt;0,X54&gt;0),MAX($Z$14:Z52)+1,"")</f>
        <v/>
      </c>
      <c r="AA53" s="2">
        <f ca="1">IF(Y53="","",MAX($AA$14:AA52)+1)</f>
        <v>10001931</v>
      </c>
      <c r="AB53" s="2" t="str">
        <f ca="1">IF(Z53="","",MAX($AB$14:AB52)+1)</f>
        <v/>
      </c>
    </row>
    <row r="54" spans="6:28">
      <c r="F54"/>
      <c r="I54" s="2">
        <v>309</v>
      </c>
      <c r="V54" s="2">
        <f t="shared" si="1"/>
        <v>5</v>
      </c>
      <c r="W54" s="2">
        <f t="shared" si="2"/>
        <v>7</v>
      </c>
      <c r="X54" s="2">
        <f ca="1" t="shared" si="3"/>
        <v>0</v>
      </c>
      <c r="Y54" s="2" t="str">
        <f ca="1">IF(X54=0,"",MAX($Y$15:Y53)+X54)</f>
        <v/>
      </c>
      <c r="Z54" s="2" t="str">
        <f ca="1">IF(AND(OFFSET($L$15,V54,W54)&gt;0,X55&gt;0),MAX($Z$14:Z53)+1,"")</f>
        <v/>
      </c>
      <c r="AA54" s="2" t="str">
        <f ca="1">IF(Y54="","",MAX($AA$14:AA53)+1)</f>
        <v/>
      </c>
      <c r="AB54" s="2" t="str">
        <f ca="1">IF(Z54="","",MAX($AB$14:AB53)+1)</f>
        <v/>
      </c>
    </row>
    <row r="55" spans="6:28">
      <c r="F55"/>
      <c r="I55" s="2">
        <v>514</v>
      </c>
      <c r="J55" s="2">
        <f>I55/I54</f>
        <v>1.66343042071197</v>
      </c>
      <c r="V55" s="2">
        <f t="shared" si="1"/>
        <v>5</v>
      </c>
      <c r="W55" s="2">
        <f t="shared" si="2"/>
        <v>8</v>
      </c>
      <c r="X55" s="2">
        <f ca="1" t="shared" si="3"/>
        <v>0</v>
      </c>
      <c r="Y55" s="2" t="str">
        <f ca="1">IF(X55=0,"",MAX($Y$15:Y54)+X55)</f>
        <v/>
      </c>
      <c r="Z55" s="2" t="str">
        <f ca="1">IF(AND(OFFSET($L$15,V55,W55)&gt;0,X56&gt;0),MAX($Z$14:Z54)+1,"")</f>
        <v/>
      </c>
      <c r="AA55" s="2" t="str">
        <f ca="1">IF(Y55="","",MAX($AA$14:AA54)+1)</f>
        <v/>
      </c>
      <c r="AB55" s="2" t="str">
        <f ca="1">IF(Z55="","",MAX($AB$14:AB54)+1)</f>
        <v/>
      </c>
    </row>
    <row r="56" spans="6:28">
      <c r="F56"/>
      <c r="I56" s="2">
        <v>720</v>
      </c>
      <c r="J56" s="2">
        <f>I56/I55</f>
        <v>1.40077821011673</v>
      </c>
      <c r="V56" s="2">
        <f t="shared" si="1"/>
        <v>6</v>
      </c>
      <c r="W56" s="2">
        <f t="shared" si="2"/>
        <v>1</v>
      </c>
      <c r="X56" s="2">
        <f ca="1" t="shared" si="3"/>
        <v>0</v>
      </c>
      <c r="Y56" s="2" t="str">
        <f ca="1">IF(X56=0,"",MAX($Y$15:Y55)+X56)</f>
        <v/>
      </c>
      <c r="Z56" s="2" t="str">
        <f ca="1">IF(AND(OFFSET($L$15,V56,W56)&gt;0,X57&gt;0),MAX($Z$14:Z55)+1,"")</f>
        <v/>
      </c>
      <c r="AA56" s="2" t="str">
        <f ca="1">IF(Y56="","",MAX($AA$14:AA55)+1)</f>
        <v/>
      </c>
      <c r="AB56" s="2" t="str">
        <f ca="1">IF(Z56="","",MAX($AB$14:AB55)+1)</f>
        <v/>
      </c>
    </row>
    <row r="57" spans="6:28">
      <c r="F57"/>
      <c r="I57" s="2">
        <v>926</v>
      </c>
      <c r="J57" s="2">
        <f>I57/I56</f>
        <v>1.28611111111111</v>
      </c>
      <c r="V57" s="2">
        <f t="shared" ref="V57:V88" si="4">V49+1</f>
        <v>6</v>
      </c>
      <c r="W57" s="2">
        <f t="shared" ref="W57:W88" si="5">W49</f>
        <v>2</v>
      </c>
      <c r="X57" s="2">
        <f ca="1" t="shared" si="3"/>
        <v>1</v>
      </c>
      <c r="Y57" s="2">
        <f ca="1">IF(X57=0,"",MAX($Y$15:Y56)+X57)</f>
        <v>10001795</v>
      </c>
      <c r="Z57" s="2">
        <f ca="1">IF(AND(OFFSET($L$15,V57,W57)&gt;0,X58&gt;0),MAX($Z$14:Z56)+1,"")</f>
        <v>10001866</v>
      </c>
      <c r="AA57" s="2">
        <f ca="1">IF(Y57="","",MAX($AA$14:AA56)+1)</f>
        <v>10001932</v>
      </c>
      <c r="AB57" s="2">
        <f ca="1">IF(Z57="","",MAX($AB$14:AB56)+1)</f>
        <v>10002003</v>
      </c>
    </row>
    <row r="58" spans="6:28">
      <c r="F58"/>
      <c r="I58" s="2">
        <v>1131</v>
      </c>
      <c r="J58" s="2">
        <f>I58/I57</f>
        <v>1.22138228941685</v>
      </c>
      <c r="V58" s="2">
        <f t="shared" si="4"/>
        <v>6</v>
      </c>
      <c r="W58" s="2">
        <f t="shared" si="5"/>
        <v>3</v>
      </c>
      <c r="X58" s="2">
        <f ca="1" t="shared" si="3"/>
        <v>1</v>
      </c>
      <c r="Y58" s="2">
        <f ca="1">IF(X58=0,"",MAX($Y$15:Y57)+X58)</f>
        <v>10001796</v>
      </c>
      <c r="Z58" s="2">
        <f ca="1">IF(AND(OFFSET($L$15,V58,W58)&gt;0,X59&gt;0),MAX($Z$14:Z57)+1,"")</f>
        <v>10001867</v>
      </c>
      <c r="AA58" s="2">
        <f ca="1">IF(Y58="","",MAX($AA$14:AA57)+1)</f>
        <v>10001933</v>
      </c>
      <c r="AB58" s="2">
        <f ca="1">IF(Z58="","",MAX($AB$14:AB57)+1)</f>
        <v>10002004</v>
      </c>
    </row>
    <row r="59" spans="6:28">
      <c r="F59"/>
      <c r="V59" s="2">
        <f t="shared" si="4"/>
        <v>6</v>
      </c>
      <c r="W59" s="2">
        <f t="shared" si="5"/>
        <v>4</v>
      </c>
      <c r="X59" s="2">
        <f ca="1" t="shared" si="3"/>
        <v>1</v>
      </c>
      <c r="Y59" s="2">
        <f ca="1">IF(X59=0,"",MAX($Y$15:Y58)+X59)</f>
        <v>10001797</v>
      </c>
      <c r="Z59" s="2">
        <f ca="1">IF(AND(OFFSET($L$15,V59,W59)&gt;0,X60&gt;0),MAX($Z$14:Z58)+1,"")</f>
        <v>10001868</v>
      </c>
      <c r="AA59" s="2">
        <f ca="1">IF(Y59="","",MAX($AA$14:AA58)+1)</f>
        <v>10001934</v>
      </c>
      <c r="AB59" s="2">
        <f ca="1">IF(Z59="","",MAX($AB$14:AB58)+1)</f>
        <v>10002005</v>
      </c>
    </row>
    <row r="60" spans="6:28">
      <c r="F60"/>
      <c r="V60" s="2">
        <f t="shared" si="4"/>
        <v>6</v>
      </c>
      <c r="W60" s="2">
        <f t="shared" si="5"/>
        <v>5</v>
      </c>
      <c r="X60" s="2">
        <f ca="1" t="shared" si="3"/>
        <v>1</v>
      </c>
      <c r="Y60" s="2">
        <f ca="1">IF(X60=0,"",MAX($Y$15:Y59)+X60)</f>
        <v>10001798</v>
      </c>
      <c r="Z60" s="2">
        <f ca="1">IF(AND(OFFSET($L$15,V60,W60)&gt;0,X61&gt;0),MAX($Z$14:Z59)+1,"")</f>
        <v>10001869</v>
      </c>
      <c r="AA60" s="2">
        <f ca="1">IF(Y60="","",MAX($AA$14:AA59)+1)</f>
        <v>10001935</v>
      </c>
      <c r="AB60" s="2">
        <f ca="1">IF(Z60="","",MAX($AB$14:AB59)+1)</f>
        <v>10002006</v>
      </c>
    </row>
    <row r="61" spans="6:28">
      <c r="F61"/>
      <c r="V61" s="2">
        <f t="shared" si="4"/>
        <v>6</v>
      </c>
      <c r="W61" s="2">
        <f t="shared" si="5"/>
        <v>6</v>
      </c>
      <c r="X61" s="2">
        <f ca="1" t="shared" ref="X61:X92" si="6">IF(OFFSET($L$15,V61,W61)&gt;0,1,0)</f>
        <v>1</v>
      </c>
      <c r="Y61" s="2">
        <f ca="1">IF(X61=0,"",MAX($Y$15:Y60)+X61)</f>
        <v>10001799</v>
      </c>
      <c r="Z61" s="2">
        <f ca="1">IF(AND(OFFSET($L$15,V61,W61)&gt;0,X62&gt;0),MAX($Z$14:Z60)+1,"")</f>
        <v>10001870</v>
      </c>
      <c r="AA61" s="2">
        <f ca="1">IF(Y61="","",MAX($AA$14:AA60)+1)</f>
        <v>10001936</v>
      </c>
      <c r="AB61" s="2">
        <f ca="1">IF(Z61="","",MAX($AB$14:AB60)+1)</f>
        <v>10002007</v>
      </c>
    </row>
    <row r="62" spans="6:28">
      <c r="F62"/>
      <c r="V62" s="2">
        <f t="shared" si="4"/>
        <v>6</v>
      </c>
      <c r="W62" s="2">
        <f t="shared" si="5"/>
        <v>7</v>
      </c>
      <c r="X62" s="2">
        <f ca="1" t="shared" si="6"/>
        <v>1</v>
      </c>
      <c r="Y62" s="2">
        <f ca="1">IF(X62=0,"",MAX($Y$15:Y61)+X62)</f>
        <v>10001800</v>
      </c>
      <c r="Z62" s="2" t="str">
        <f ca="1">IF(AND(OFFSET($L$15,V62,W62)&gt;0,X63&gt;0),MAX($Z$14:Z61)+1,"")</f>
        <v/>
      </c>
      <c r="AA62" s="2">
        <f ca="1">IF(Y62="","",MAX($AA$14:AA61)+1)</f>
        <v>10001937</v>
      </c>
      <c r="AB62" s="2" t="str">
        <f ca="1">IF(Z62="","",MAX($AB$14:AB61)+1)</f>
        <v/>
      </c>
    </row>
    <row r="63" spans="6:28">
      <c r="F63"/>
      <c r="V63" s="2">
        <f t="shared" si="4"/>
        <v>6</v>
      </c>
      <c r="W63" s="2">
        <f t="shared" si="5"/>
        <v>8</v>
      </c>
      <c r="X63" s="2">
        <f ca="1" t="shared" si="6"/>
        <v>0</v>
      </c>
      <c r="Y63" s="2" t="str">
        <f ca="1">IF(X63=0,"",MAX($Y$15:Y62)+X63)</f>
        <v/>
      </c>
      <c r="Z63" s="2" t="str">
        <f ca="1">IF(AND(OFFSET($L$15,V63,W63)&gt;0,X64&gt;0),MAX($Z$14:Z62)+1,"")</f>
        <v/>
      </c>
      <c r="AA63" s="2" t="str">
        <f ca="1">IF(Y63="","",MAX($AA$14:AA62)+1)</f>
        <v/>
      </c>
      <c r="AB63" s="2" t="str">
        <f ca="1">IF(Z63="","",MAX($AB$14:AB62)+1)</f>
        <v/>
      </c>
    </row>
    <row r="64" spans="6:28">
      <c r="F64"/>
      <c r="V64" s="2">
        <f t="shared" si="4"/>
        <v>7</v>
      </c>
      <c r="W64" s="2">
        <f t="shared" si="5"/>
        <v>1</v>
      </c>
      <c r="X64" s="2">
        <f ca="1" t="shared" si="6"/>
        <v>0</v>
      </c>
      <c r="Y64" s="2" t="str">
        <f ca="1">IF(X64=0,"",MAX($Y$15:Y63)+X64)</f>
        <v/>
      </c>
      <c r="Z64" s="2" t="str">
        <f ca="1">IF(AND(OFFSET($L$15,V64,W64)&gt;0,X65&gt;0),MAX($Z$14:Z63)+1,"")</f>
        <v/>
      </c>
      <c r="AA64" s="2" t="str">
        <f ca="1">IF(Y64="","",MAX($AA$14:AA63)+1)</f>
        <v/>
      </c>
      <c r="AB64" s="2" t="str">
        <f ca="1">IF(Z64="","",MAX($AB$14:AB63)+1)</f>
        <v/>
      </c>
    </row>
    <row r="65" spans="6:28">
      <c r="F65"/>
      <c r="V65" s="2">
        <f t="shared" si="4"/>
        <v>7</v>
      </c>
      <c r="W65" s="2">
        <f t="shared" si="5"/>
        <v>2</v>
      </c>
      <c r="X65" s="2">
        <f ca="1" t="shared" si="6"/>
        <v>0</v>
      </c>
      <c r="Y65" s="2" t="str">
        <f ca="1">IF(X65=0,"",MAX($Y$15:Y64)+X65)</f>
        <v/>
      </c>
      <c r="Z65" s="2" t="str">
        <f ca="1">IF(AND(OFFSET($L$15,V65,W65)&gt;0,X66&gt;0),MAX($Z$14:Z64)+1,"")</f>
        <v/>
      </c>
      <c r="AA65" s="2" t="str">
        <f ca="1">IF(Y65="","",MAX($AA$14:AA64)+1)</f>
        <v/>
      </c>
      <c r="AB65" s="2" t="str">
        <f ca="1">IF(Z65="","",MAX($AB$14:AB64)+1)</f>
        <v/>
      </c>
    </row>
    <row r="66" spans="6:28">
      <c r="F66"/>
      <c r="V66" s="2">
        <f t="shared" si="4"/>
        <v>7</v>
      </c>
      <c r="W66" s="2">
        <f t="shared" si="5"/>
        <v>3</v>
      </c>
      <c r="X66" s="2">
        <f ca="1" t="shared" si="6"/>
        <v>1</v>
      </c>
      <c r="Y66" s="2">
        <f ca="1">IF(X66=0,"",MAX($Y$15:Y65)+X66)</f>
        <v>10001801</v>
      </c>
      <c r="Z66" s="2">
        <f ca="1">IF(AND(OFFSET($L$15,V66,W66)&gt;0,X67&gt;0),MAX($Z$14:Z65)+1,"")</f>
        <v>10001871</v>
      </c>
      <c r="AA66" s="2">
        <f ca="1">IF(Y66="","",MAX($AA$14:AA65)+1)</f>
        <v>10001938</v>
      </c>
      <c r="AB66" s="2">
        <f ca="1">IF(Z66="","",MAX($AB$14:AB65)+1)</f>
        <v>10002008</v>
      </c>
    </row>
    <row r="67" spans="6:28">
      <c r="F67"/>
      <c r="V67" s="2">
        <f t="shared" si="4"/>
        <v>7</v>
      </c>
      <c r="W67" s="2">
        <f t="shared" si="5"/>
        <v>4</v>
      </c>
      <c r="X67" s="2">
        <f ca="1" t="shared" si="6"/>
        <v>1</v>
      </c>
      <c r="Y67" s="2">
        <f ca="1">IF(X67=0,"",MAX($Y$15:Y66)+X67)</f>
        <v>10001802</v>
      </c>
      <c r="Z67" s="2">
        <f ca="1">IF(AND(OFFSET($L$15,V67,W67)&gt;0,X68&gt;0),MAX($Z$14:Z66)+1,"")</f>
        <v>10001872</v>
      </c>
      <c r="AA67" s="2">
        <f ca="1">IF(Y67="","",MAX($AA$14:AA66)+1)</f>
        <v>10001939</v>
      </c>
      <c r="AB67" s="2">
        <f ca="1">IF(Z67="","",MAX($AB$14:AB66)+1)</f>
        <v>10002009</v>
      </c>
    </row>
    <row r="68" spans="6:28">
      <c r="F68"/>
      <c r="V68" s="2">
        <f t="shared" si="4"/>
        <v>7</v>
      </c>
      <c r="W68" s="2">
        <f t="shared" si="5"/>
        <v>5</v>
      </c>
      <c r="X68" s="2">
        <f ca="1" t="shared" si="6"/>
        <v>1</v>
      </c>
      <c r="Y68" s="2">
        <f ca="1">IF(X68=0,"",MAX($Y$15:Y67)+X68)</f>
        <v>10001803</v>
      </c>
      <c r="Z68" s="2">
        <f ca="1">IF(AND(OFFSET($L$15,V68,W68)&gt;0,X69&gt;0),MAX($Z$14:Z67)+1,"")</f>
        <v>10001873</v>
      </c>
      <c r="AA68" s="2">
        <f ca="1">IF(Y68="","",MAX($AA$14:AA67)+1)</f>
        <v>10001940</v>
      </c>
      <c r="AB68" s="2">
        <f ca="1">IF(Z68="","",MAX($AB$14:AB67)+1)</f>
        <v>10002010</v>
      </c>
    </row>
    <row r="69" spans="6:28">
      <c r="F69"/>
      <c r="V69" s="2">
        <f t="shared" si="4"/>
        <v>7</v>
      </c>
      <c r="W69" s="2">
        <f t="shared" si="5"/>
        <v>6</v>
      </c>
      <c r="X69" s="2">
        <f ca="1" t="shared" si="6"/>
        <v>1</v>
      </c>
      <c r="Y69" s="2">
        <f ca="1">IF(X69=0,"",MAX($Y$15:Y68)+X69)</f>
        <v>10001804</v>
      </c>
      <c r="Z69" s="2">
        <f ca="1">IF(AND(OFFSET($L$15,V69,W69)&gt;0,X70&gt;0),MAX($Z$14:Z68)+1,"")</f>
        <v>10001874</v>
      </c>
      <c r="AA69" s="2">
        <f ca="1">IF(Y69="","",MAX($AA$14:AA68)+1)</f>
        <v>10001941</v>
      </c>
      <c r="AB69" s="2">
        <f ca="1">IF(Z69="","",MAX($AB$14:AB68)+1)</f>
        <v>10002011</v>
      </c>
    </row>
    <row r="70" spans="6:28">
      <c r="F70"/>
      <c r="V70" s="2">
        <f t="shared" si="4"/>
        <v>7</v>
      </c>
      <c r="W70" s="2">
        <f t="shared" si="5"/>
        <v>7</v>
      </c>
      <c r="X70" s="2">
        <f ca="1" t="shared" si="6"/>
        <v>1</v>
      </c>
      <c r="Y70" s="2">
        <f ca="1">IF(X70=0,"",MAX($Y$15:Y69)+X70)</f>
        <v>10001805</v>
      </c>
      <c r="Z70" s="2" t="str">
        <f ca="1">IF(AND(OFFSET($L$15,V70,W70)&gt;0,X71&gt;0),MAX($Z$14:Z69)+1,"")</f>
        <v/>
      </c>
      <c r="AA70" s="2">
        <f ca="1">IF(Y70="","",MAX($AA$14:AA69)+1)</f>
        <v>10001942</v>
      </c>
      <c r="AB70" s="2" t="str">
        <f ca="1">IF(Z70="","",MAX($AB$14:AB69)+1)</f>
        <v/>
      </c>
    </row>
    <row r="71" spans="6:28">
      <c r="F71"/>
      <c r="V71" s="2">
        <f t="shared" si="4"/>
        <v>7</v>
      </c>
      <c r="W71" s="2">
        <f t="shared" si="5"/>
        <v>8</v>
      </c>
      <c r="X71" s="2">
        <f ca="1" t="shared" si="6"/>
        <v>0</v>
      </c>
      <c r="Y71" s="2" t="str">
        <f ca="1">IF(X71=0,"",MAX($Y$15:Y70)+X71)</f>
        <v/>
      </c>
      <c r="Z71" s="2" t="str">
        <f ca="1">IF(AND(OFFSET($L$15,V71,W71)&gt;0,X72&gt;0),MAX($Z$14:Z70)+1,"")</f>
        <v/>
      </c>
      <c r="AA71" s="2" t="str">
        <f ca="1">IF(Y71="","",MAX($AA$14:AA70)+1)</f>
        <v/>
      </c>
      <c r="AB71" s="2" t="str">
        <f ca="1">IF(Z71="","",MAX($AB$14:AB70)+1)</f>
        <v/>
      </c>
    </row>
    <row r="72" spans="6:28">
      <c r="F72"/>
      <c r="V72" s="2">
        <f t="shared" si="4"/>
        <v>8</v>
      </c>
      <c r="W72" s="2">
        <f t="shared" si="5"/>
        <v>1</v>
      </c>
      <c r="X72" s="2">
        <f ca="1" t="shared" si="6"/>
        <v>0</v>
      </c>
      <c r="Y72" s="2" t="str">
        <f ca="1">IF(X72=0,"",MAX($Y$15:Y71)+X72)</f>
        <v/>
      </c>
      <c r="Z72" s="2" t="str">
        <f ca="1">IF(AND(OFFSET($L$15,V72,W72)&gt;0,X73&gt;0),MAX($Z$14:Z71)+1,"")</f>
        <v/>
      </c>
      <c r="AA72" s="2" t="str">
        <f ca="1">IF(Y72="","",MAX($AA$14:AA71)+1)</f>
        <v/>
      </c>
      <c r="AB72" s="2" t="str">
        <f ca="1">IF(Z72="","",MAX($AB$14:AB71)+1)</f>
        <v/>
      </c>
    </row>
    <row r="73" spans="6:28">
      <c r="F73"/>
      <c r="V73" s="2">
        <f t="shared" si="4"/>
        <v>8</v>
      </c>
      <c r="W73" s="2">
        <f t="shared" si="5"/>
        <v>2</v>
      </c>
      <c r="X73" s="2">
        <f ca="1" t="shared" si="6"/>
        <v>0</v>
      </c>
      <c r="Y73" s="2" t="str">
        <f ca="1">IF(X73=0,"",MAX($Y$15:Y72)+X73)</f>
        <v/>
      </c>
      <c r="Z73" s="2" t="str">
        <f ca="1">IF(AND(OFFSET($L$15,V73,W73)&gt;0,X74&gt;0),MAX($Z$14:Z72)+1,"")</f>
        <v/>
      </c>
      <c r="AA73" s="2" t="str">
        <f ca="1">IF(Y73="","",MAX($AA$14:AA72)+1)</f>
        <v/>
      </c>
      <c r="AB73" s="2" t="str">
        <f ca="1">IF(Z73="","",MAX($AB$14:AB72)+1)</f>
        <v/>
      </c>
    </row>
    <row r="74" spans="6:28">
      <c r="F74"/>
      <c r="V74" s="2">
        <f t="shared" si="4"/>
        <v>8</v>
      </c>
      <c r="W74" s="2">
        <f t="shared" si="5"/>
        <v>3</v>
      </c>
      <c r="X74" s="2">
        <f ca="1" t="shared" si="6"/>
        <v>1</v>
      </c>
      <c r="Y74" s="2">
        <f ca="1">IF(X74=0,"",MAX($Y$15:Y73)+X74)</f>
        <v>10001806</v>
      </c>
      <c r="Z74" s="2">
        <f ca="1">IF(AND(OFFSET($L$15,V74,W74)&gt;0,X75&gt;0),MAX($Z$14:Z73)+1,"")</f>
        <v>10001875</v>
      </c>
      <c r="AA74" s="2">
        <f ca="1">IF(Y74="","",MAX($AA$14:AA73)+1)</f>
        <v>10001943</v>
      </c>
      <c r="AB74" s="2">
        <f ca="1">IF(Z74="","",MAX($AB$14:AB73)+1)</f>
        <v>10002012</v>
      </c>
    </row>
    <row r="75" spans="6:28">
      <c r="F75"/>
      <c r="V75" s="2">
        <f t="shared" si="4"/>
        <v>8</v>
      </c>
      <c r="W75" s="2">
        <f t="shared" si="5"/>
        <v>4</v>
      </c>
      <c r="X75" s="2">
        <f ca="1" t="shared" si="6"/>
        <v>1</v>
      </c>
      <c r="Y75" s="2">
        <f ca="1">IF(X75=0,"",MAX($Y$15:Y74)+X75)</f>
        <v>10001807</v>
      </c>
      <c r="Z75" s="2">
        <f ca="1">IF(AND(OFFSET($L$15,V75,W75)&gt;0,X76&gt;0),MAX($Z$14:Z74)+1,"")</f>
        <v>10001876</v>
      </c>
      <c r="AA75" s="2">
        <f ca="1">IF(Y75="","",MAX($AA$14:AA74)+1)</f>
        <v>10001944</v>
      </c>
      <c r="AB75" s="2">
        <f ca="1">IF(Z75="","",MAX($AB$14:AB74)+1)</f>
        <v>10002013</v>
      </c>
    </row>
    <row r="76" spans="6:28">
      <c r="F76"/>
      <c r="V76" s="2">
        <f t="shared" si="4"/>
        <v>8</v>
      </c>
      <c r="W76" s="2">
        <f t="shared" si="5"/>
        <v>5</v>
      </c>
      <c r="X76" s="2">
        <f ca="1" t="shared" si="6"/>
        <v>1</v>
      </c>
      <c r="Y76" s="2">
        <f ca="1">IF(X76=0,"",MAX($Y$15:Y75)+X76)</f>
        <v>10001808</v>
      </c>
      <c r="Z76" s="2">
        <f ca="1">IF(AND(OFFSET($L$15,V76,W76)&gt;0,X77&gt;0),MAX($Z$14:Z75)+1,"")</f>
        <v>10001877</v>
      </c>
      <c r="AA76" s="2">
        <f ca="1">IF(Y76="","",MAX($AA$14:AA75)+1)</f>
        <v>10001945</v>
      </c>
      <c r="AB76" s="2">
        <f ca="1">IF(Z76="","",MAX($AB$14:AB75)+1)</f>
        <v>10002014</v>
      </c>
    </row>
    <row r="77" spans="6:28">
      <c r="F77"/>
      <c r="V77" s="2">
        <f t="shared" si="4"/>
        <v>8</v>
      </c>
      <c r="W77" s="2">
        <f t="shared" si="5"/>
        <v>6</v>
      </c>
      <c r="X77" s="2">
        <f ca="1" t="shared" si="6"/>
        <v>1</v>
      </c>
      <c r="Y77" s="2">
        <f ca="1">IF(X77=0,"",MAX($Y$15:Y76)+X77)</f>
        <v>10001809</v>
      </c>
      <c r="Z77" s="2">
        <f ca="1">IF(AND(OFFSET($L$15,V77,W77)&gt;0,X78&gt;0),MAX($Z$14:Z76)+1,"")</f>
        <v>10001878</v>
      </c>
      <c r="AA77" s="2">
        <f ca="1">IF(Y77="","",MAX($AA$14:AA76)+1)</f>
        <v>10001946</v>
      </c>
      <c r="AB77" s="2">
        <f ca="1">IF(Z77="","",MAX($AB$14:AB76)+1)</f>
        <v>10002015</v>
      </c>
    </row>
    <row r="78" spans="6:28">
      <c r="F78"/>
      <c r="V78" s="2">
        <f t="shared" si="4"/>
        <v>8</v>
      </c>
      <c r="W78" s="2">
        <f t="shared" si="5"/>
        <v>7</v>
      </c>
      <c r="X78" s="2">
        <f ca="1" t="shared" si="6"/>
        <v>1</v>
      </c>
      <c r="Y78" s="2">
        <f ca="1">IF(X78=0,"",MAX($Y$15:Y77)+X78)</f>
        <v>10001810</v>
      </c>
      <c r="Z78" s="2" t="str">
        <f ca="1">IF(AND(OFFSET($L$15,V78,W78)&gt;0,X79&gt;0),MAX($Z$14:Z77)+1,"")</f>
        <v/>
      </c>
      <c r="AA78" s="2">
        <f ca="1">IF(Y78="","",MAX($AA$14:AA77)+1)</f>
        <v>10001947</v>
      </c>
      <c r="AB78" s="2" t="str">
        <f ca="1">IF(Z78="","",MAX($AB$14:AB77)+1)</f>
        <v/>
      </c>
    </row>
    <row r="79" spans="6:28">
      <c r="F79"/>
      <c r="V79" s="2">
        <f t="shared" si="4"/>
        <v>8</v>
      </c>
      <c r="W79" s="2">
        <f t="shared" si="5"/>
        <v>8</v>
      </c>
      <c r="X79" s="2">
        <f ca="1" t="shared" si="6"/>
        <v>0</v>
      </c>
      <c r="Y79" s="2" t="str">
        <f ca="1">IF(X79=0,"",MAX($Y$15:Y78)+X79)</f>
        <v/>
      </c>
      <c r="Z79" s="2" t="str">
        <f ca="1">IF(AND(OFFSET($L$15,V79,W79)&gt;0,X80&gt;0),MAX($Z$14:Z78)+1,"")</f>
        <v/>
      </c>
      <c r="AA79" s="2" t="str">
        <f ca="1">IF(Y79="","",MAX($AA$14:AA78)+1)</f>
        <v/>
      </c>
      <c r="AB79" s="2" t="str">
        <f ca="1">IF(Z79="","",MAX($AB$14:AB78)+1)</f>
        <v/>
      </c>
    </row>
    <row r="80" spans="6:28">
      <c r="F80"/>
      <c r="V80" s="2">
        <f t="shared" si="4"/>
        <v>9</v>
      </c>
      <c r="W80" s="2">
        <f t="shared" si="5"/>
        <v>1</v>
      </c>
      <c r="X80" s="2">
        <f ca="1" t="shared" si="6"/>
        <v>0</v>
      </c>
      <c r="Y80" s="2" t="str">
        <f ca="1">IF(X80=0,"",MAX($Y$15:Y79)+X80)</f>
        <v/>
      </c>
      <c r="Z80" s="2" t="str">
        <f ca="1">IF(AND(OFFSET($L$15,V80,W80)&gt;0,X81&gt;0),MAX($Z$14:Z79)+1,"")</f>
        <v/>
      </c>
      <c r="AA80" s="2" t="str">
        <f ca="1">IF(Y80="","",MAX($AA$14:AA79)+1)</f>
        <v/>
      </c>
      <c r="AB80" s="2" t="str">
        <f ca="1">IF(Z80="","",MAX($AB$14:AB79)+1)</f>
        <v/>
      </c>
    </row>
    <row r="81" spans="6:28">
      <c r="F81"/>
      <c r="V81" s="2">
        <f t="shared" si="4"/>
        <v>9</v>
      </c>
      <c r="W81" s="2">
        <f t="shared" si="5"/>
        <v>2</v>
      </c>
      <c r="X81" s="2">
        <f ca="1" t="shared" si="6"/>
        <v>0</v>
      </c>
      <c r="Y81" s="2" t="str">
        <f ca="1">IF(X81=0,"",MAX($Y$15:Y80)+X81)</f>
        <v/>
      </c>
      <c r="Z81" s="2" t="str">
        <f ca="1">IF(AND(OFFSET($L$15,V81,W81)&gt;0,X82&gt;0),MAX($Z$14:Z80)+1,"")</f>
        <v/>
      </c>
      <c r="AA81" s="2" t="str">
        <f ca="1">IF(Y81="","",MAX($AA$14:AA80)+1)</f>
        <v/>
      </c>
      <c r="AB81" s="2" t="str">
        <f ca="1">IF(Z81="","",MAX($AB$14:AB80)+1)</f>
        <v/>
      </c>
    </row>
    <row r="82" spans="6:28">
      <c r="F82"/>
      <c r="V82" s="2">
        <f t="shared" si="4"/>
        <v>9</v>
      </c>
      <c r="W82" s="2">
        <f t="shared" si="5"/>
        <v>3</v>
      </c>
      <c r="X82" s="2">
        <f ca="1" t="shared" si="6"/>
        <v>1</v>
      </c>
      <c r="Y82" s="2">
        <f ca="1">IF(X82=0,"",MAX($Y$15:Y81)+X82)</f>
        <v>10001811</v>
      </c>
      <c r="Z82" s="2">
        <f ca="1">IF(AND(OFFSET($L$15,V82,W82)&gt;0,X83&gt;0),MAX($Z$14:Z81)+1,"")</f>
        <v>10001879</v>
      </c>
      <c r="AA82" s="2">
        <f ca="1">IF(Y82="","",MAX($AA$14:AA81)+1)</f>
        <v>10001948</v>
      </c>
      <c r="AB82" s="2">
        <f ca="1">IF(Z82="","",MAX($AB$14:AB81)+1)</f>
        <v>10002016</v>
      </c>
    </row>
    <row r="83" spans="6:28">
      <c r="F83"/>
      <c r="V83" s="2">
        <f t="shared" si="4"/>
        <v>9</v>
      </c>
      <c r="W83" s="2">
        <f t="shared" si="5"/>
        <v>4</v>
      </c>
      <c r="X83" s="2">
        <f ca="1" t="shared" si="6"/>
        <v>1</v>
      </c>
      <c r="Y83" s="2">
        <f ca="1">IF(X83=0,"",MAX($Y$15:Y82)+X83)</f>
        <v>10001812</v>
      </c>
      <c r="Z83" s="2">
        <f ca="1">IF(AND(OFFSET($L$15,V83,W83)&gt;0,X84&gt;0),MAX($Z$14:Z82)+1,"")</f>
        <v>10001880</v>
      </c>
      <c r="AA83" s="2">
        <f ca="1">IF(Y83="","",MAX($AA$14:AA82)+1)</f>
        <v>10001949</v>
      </c>
      <c r="AB83" s="2">
        <f ca="1">IF(Z83="","",MAX($AB$14:AB82)+1)</f>
        <v>10002017</v>
      </c>
    </row>
    <row r="84" spans="6:28">
      <c r="F84"/>
      <c r="V84" s="2">
        <f t="shared" si="4"/>
        <v>9</v>
      </c>
      <c r="W84" s="2">
        <f t="shared" si="5"/>
        <v>5</v>
      </c>
      <c r="X84" s="2">
        <f ca="1" t="shared" si="6"/>
        <v>1</v>
      </c>
      <c r="Y84" s="2">
        <f ca="1">IF(X84=0,"",MAX($Y$15:Y83)+X84)</f>
        <v>10001813</v>
      </c>
      <c r="Z84" s="2">
        <f ca="1">IF(AND(OFFSET($L$15,V84,W84)&gt;0,X85&gt;0),MAX($Z$14:Z83)+1,"")</f>
        <v>10001881</v>
      </c>
      <c r="AA84" s="2">
        <f ca="1">IF(Y84="","",MAX($AA$14:AA83)+1)</f>
        <v>10001950</v>
      </c>
      <c r="AB84" s="2">
        <f ca="1">IF(Z84="","",MAX($AB$14:AB83)+1)</f>
        <v>10002018</v>
      </c>
    </row>
    <row r="85" spans="6:28">
      <c r="F85"/>
      <c r="V85" s="2">
        <f t="shared" si="4"/>
        <v>9</v>
      </c>
      <c r="W85" s="2">
        <f t="shared" si="5"/>
        <v>6</v>
      </c>
      <c r="X85" s="2">
        <f ca="1" t="shared" si="6"/>
        <v>1</v>
      </c>
      <c r="Y85" s="2">
        <f ca="1">IF(X85=0,"",MAX($Y$15:Y84)+X85)</f>
        <v>10001814</v>
      </c>
      <c r="Z85" s="2">
        <f ca="1">IF(AND(OFFSET($L$15,V85,W85)&gt;0,X86&gt;0),MAX($Z$14:Z84)+1,"")</f>
        <v>10001882</v>
      </c>
      <c r="AA85" s="2">
        <f ca="1">IF(Y85="","",MAX($AA$14:AA84)+1)</f>
        <v>10001951</v>
      </c>
      <c r="AB85" s="2">
        <f ca="1">IF(Z85="","",MAX($AB$14:AB84)+1)</f>
        <v>10002019</v>
      </c>
    </row>
    <row r="86" spans="6:28">
      <c r="F86"/>
      <c r="V86" s="2">
        <f t="shared" si="4"/>
        <v>9</v>
      </c>
      <c r="W86" s="2">
        <f t="shared" si="5"/>
        <v>7</v>
      </c>
      <c r="X86" s="2">
        <f ca="1" t="shared" si="6"/>
        <v>1</v>
      </c>
      <c r="Y86" s="2">
        <f ca="1">IF(X86=0,"",MAX($Y$15:Y85)+X86)</f>
        <v>10001815</v>
      </c>
      <c r="Z86" s="2" t="str">
        <f ca="1">IF(AND(OFFSET($L$15,V86,W86)&gt;0,X87&gt;0),MAX($Z$14:Z85)+1,"")</f>
        <v/>
      </c>
      <c r="AA86" s="2">
        <f ca="1">IF(Y86="","",MAX($AA$14:AA85)+1)</f>
        <v>10001952</v>
      </c>
      <c r="AB86" s="2" t="str">
        <f ca="1">IF(Z86="","",MAX($AB$14:AB85)+1)</f>
        <v/>
      </c>
    </row>
    <row r="87" spans="6:28">
      <c r="F87"/>
      <c r="V87" s="2">
        <f t="shared" si="4"/>
        <v>9</v>
      </c>
      <c r="W87" s="2">
        <f t="shared" si="5"/>
        <v>8</v>
      </c>
      <c r="X87" s="2">
        <f ca="1" t="shared" si="6"/>
        <v>0</v>
      </c>
      <c r="Y87" s="2" t="str">
        <f ca="1">IF(X87=0,"",MAX($Y$15:Y86)+X87)</f>
        <v/>
      </c>
      <c r="Z87" s="2" t="str">
        <f ca="1">IF(AND(OFFSET($L$15,V87,W87)&gt;0,X88&gt;0),MAX($Z$14:Z86)+1,"")</f>
        <v/>
      </c>
      <c r="AA87" s="2" t="str">
        <f ca="1">IF(Y87="","",MAX($AA$14:AA86)+1)</f>
        <v/>
      </c>
      <c r="AB87" s="2" t="str">
        <f ca="1">IF(Z87="","",MAX($AB$14:AB86)+1)</f>
        <v/>
      </c>
    </row>
    <row r="88" spans="6:28">
      <c r="F88"/>
      <c r="V88" s="2">
        <f t="shared" si="4"/>
        <v>10</v>
      </c>
      <c r="W88" s="2">
        <f t="shared" si="5"/>
        <v>1</v>
      </c>
      <c r="X88" s="2">
        <f ca="1" t="shared" si="6"/>
        <v>0</v>
      </c>
      <c r="Y88" s="2" t="str">
        <f ca="1">IF(X88=0,"",MAX($Y$15:Y87)+X88)</f>
        <v/>
      </c>
      <c r="Z88" s="2" t="str">
        <f ca="1">IF(AND(OFFSET($L$15,V88,W88)&gt;0,X89&gt;0),MAX($Z$14:Z87)+1,"")</f>
        <v/>
      </c>
      <c r="AA88" s="2" t="str">
        <f ca="1">IF(Y88="","",MAX($AA$14:AA87)+1)</f>
        <v/>
      </c>
      <c r="AB88" s="2" t="str">
        <f ca="1">IF(Z88="","",MAX($AB$14:AB87)+1)</f>
        <v/>
      </c>
    </row>
    <row r="89" spans="6:28">
      <c r="F89"/>
      <c r="V89" s="2">
        <f t="shared" ref="V89:V117" si="7">V81+1</f>
        <v>10</v>
      </c>
      <c r="W89" s="2">
        <f t="shared" ref="W89:W117" si="8">W81</f>
        <v>2</v>
      </c>
      <c r="X89" s="2">
        <f ca="1" t="shared" si="6"/>
        <v>0</v>
      </c>
      <c r="Y89" s="2" t="str">
        <f ca="1">IF(X89=0,"",MAX($Y$15:Y88)+X89)</f>
        <v/>
      </c>
      <c r="Z89" s="2" t="str">
        <f ca="1">IF(AND(OFFSET($L$15,V89,W89)&gt;0,X90&gt;0),MAX($Z$14:Z88)+1,"")</f>
        <v/>
      </c>
      <c r="AA89" s="2" t="str">
        <f ca="1">IF(Y89="","",MAX($AA$14:AA88)+1)</f>
        <v/>
      </c>
      <c r="AB89" s="2" t="str">
        <f ca="1">IF(Z89="","",MAX($AB$14:AB88)+1)</f>
        <v/>
      </c>
    </row>
    <row r="90" spans="6:28">
      <c r="F90"/>
      <c r="V90" s="2">
        <f t="shared" si="7"/>
        <v>10</v>
      </c>
      <c r="W90" s="2">
        <f t="shared" si="8"/>
        <v>3</v>
      </c>
      <c r="X90" s="2">
        <f ca="1" t="shared" si="6"/>
        <v>1</v>
      </c>
      <c r="Y90" s="2">
        <f ca="1">IF(X90=0,"",MAX($Y$15:Y89)+X90)</f>
        <v>10001816</v>
      </c>
      <c r="Z90" s="2">
        <f ca="1">IF(AND(OFFSET($L$15,V90,W90)&gt;0,X91&gt;0),MAX($Z$14:Z89)+1,"")</f>
        <v>10001883</v>
      </c>
      <c r="AA90" s="2">
        <f ca="1">IF(Y90="","",MAX($AA$14:AA89)+1)</f>
        <v>10001953</v>
      </c>
      <c r="AB90" s="2">
        <f ca="1">IF(Z90="","",MAX($AB$14:AB89)+1)</f>
        <v>10002020</v>
      </c>
    </row>
    <row r="91" spans="6:28">
      <c r="F91"/>
      <c r="V91" s="2">
        <f t="shared" si="7"/>
        <v>10</v>
      </c>
      <c r="W91" s="2">
        <f t="shared" si="8"/>
        <v>4</v>
      </c>
      <c r="X91" s="2">
        <f ca="1" t="shared" si="6"/>
        <v>1</v>
      </c>
      <c r="Y91" s="2">
        <f ca="1">IF(X91=0,"",MAX($Y$15:Y90)+X91)</f>
        <v>10001817</v>
      </c>
      <c r="Z91" s="2">
        <f ca="1">IF(AND(OFFSET($L$15,V91,W91)&gt;0,X92&gt;0),MAX($Z$14:Z90)+1,"")</f>
        <v>10001884</v>
      </c>
      <c r="AA91" s="2">
        <f ca="1">IF(Y91="","",MAX($AA$14:AA90)+1)</f>
        <v>10001954</v>
      </c>
      <c r="AB91" s="2">
        <f ca="1">IF(Z91="","",MAX($AB$14:AB90)+1)</f>
        <v>10002021</v>
      </c>
    </row>
    <row r="92" spans="6:28">
      <c r="F92"/>
      <c r="V92" s="2">
        <f t="shared" si="7"/>
        <v>10</v>
      </c>
      <c r="W92" s="2">
        <f t="shared" si="8"/>
        <v>5</v>
      </c>
      <c r="X92" s="2">
        <f ca="1" t="shared" si="6"/>
        <v>1</v>
      </c>
      <c r="Y92" s="2">
        <f ca="1">IF(X92=0,"",MAX($Y$15:Y91)+X92)</f>
        <v>10001818</v>
      </c>
      <c r="Z92" s="2">
        <f ca="1">IF(AND(OFFSET($L$15,V92,W92)&gt;0,X93&gt;0),MAX($Z$14:Z91)+1,"")</f>
        <v>10001885</v>
      </c>
      <c r="AA92" s="2">
        <f ca="1">IF(Y92="","",MAX($AA$14:AA91)+1)</f>
        <v>10001955</v>
      </c>
      <c r="AB92" s="2">
        <f ca="1">IF(Z92="","",MAX($AB$14:AB91)+1)</f>
        <v>10002022</v>
      </c>
    </row>
    <row r="93" spans="6:28">
      <c r="F93"/>
      <c r="V93" s="2">
        <f t="shared" si="7"/>
        <v>10</v>
      </c>
      <c r="W93" s="2">
        <f t="shared" si="8"/>
        <v>6</v>
      </c>
      <c r="X93" s="2">
        <f ca="1" t="shared" ref="X93:X135" si="9">IF(OFFSET($L$15,V93,W93)&gt;0,1,0)</f>
        <v>1</v>
      </c>
      <c r="Y93" s="2">
        <f ca="1">IF(X93=0,"",MAX($Y$15:Y92)+X93)</f>
        <v>10001819</v>
      </c>
      <c r="Z93" s="2">
        <f ca="1">IF(AND(OFFSET($L$15,V93,W93)&gt;0,X94&gt;0),MAX($Z$14:Z92)+1,"")</f>
        <v>10001886</v>
      </c>
      <c r="AA93" s="2">
        <f ca="1">IF(Y93="","",MAX($AA$14:AA92)+1)</f>
        <v>10001956</v>
      </c>
      <c r="AB93" s="2">
        <f ca="1">IF(Z93="","",MAX($AB$14:AB92)+1)</f>
        <v>10002023</v>
      </c>
    </row>
    <row r="94" spans="6:28">
      <c r="F94"/>
      <c r="V94" s="2">
        <f t="shared" si="7"/>
        <v>10</v>
      </c>
      <c r="W94" s="2">
        <f t="shared" si="8"/>
        <v>7</v>
      </c>
      <c r="X94" s="2">
        <f ca="1" t="shared" si="9"/>
        <v>1</v>
      </c>
      <c r="Y94" s="2">
        <f ca="1">IF(X94=0,"",MAX($Y$15:Y93)+X94)</f>
        <v>10001820</v>
      </c>
      <c r="Z94" s="2">
        <f ca="1">IF(AND(OFFSET($L$15,V94,W94)&gt;0,X95&gt;0),MAX($Z$14:Z93)+1,"")</f>
        <v>10001887</v>
      </c>
      <c r="AA94" s="2">
        <f ca="1">IF(Y94="","",MAX($AA$14:AA93)+1)</f>
        <v>10001957</v>
      </c>
      <c r="AB94" s="2">
        <f ca="1">IF(Z94="","",MAX($AB$14:AB93)+1)</f>
        <v>10002024</v>
      </c>
    </row>
    <row r="95" spans="6:28">
      <c r="F95"/>
      <c r="V95" s="2">
        <f t="shared" si="7"/>
        <v>10</v>
      </c>
      <c r="W95" s="2">
        <f t="shared" si="8"/>
        <v>8</v>
      </c>
      <c r="X95" s="2">
        <f ca="1" t="shared" si="9"/>
        <v>1</v>
      </c>
      <c r="Y95" s="2">
        <f ca="1">IF(X95=0,"",MAX($Y$15:Y94)+X95)</f>
        <v>10001821</v>
      </c>
      <c r="Z95" s="2" t="str">
        <f ca="1">IF(AND(OFFSET($L$15,V95,W95)&gt;0,X96&gt;0),MAX($Z$14:Z94)+1,"")</f>
        <v/>
      </c>
      <c r="AA95" s="2">
        <f ca="1">IF(Y95="","",MAX($AA$14:AA94)+1)</f>
        <v>10001958</v>
      </c>
      <c r="AB95" s="2" t="str">
        <f ca="1">IF(Z95="","",MAX($AB$14:AB94)+1)</f>
        <v/>
      </c>
    </row>
    <row r="96" spans="6:28">
      <c r="F96"/>
      <c r="V96" s="2">
        <f t="shared" si="7"/>
        <v>11</v>
      </c>
      <c r="W96" s="2">
        <f t="shared" si="8"/>
        <v>1</v>
      </c>
      <c r="X96" s="2">
        <f ca="1" t="shared" si="9"/>
        <v>0</v>
      </c>
      <c r="Y96" s="2" t="str">
        <f ca="1">IF(X96=0,"",MAX($Y$15:Y95)+X96)</f>
        <v/>
      </c>
      <c r="Z96" s="2" t="str">
        <f ca="1">IF(AND(OFFSET($L$15,V96,W96)&gt;0,X97&gt;0),MAX($Z$14:Z95)+1,"")</f>
        <v/>
      </c>
      <c r="AA96" s="2" t="str">
        <f ca="1">IF(Y96="","",MAX($AA$14:AA95)+1)</f>
        <v/>
      </c>
      <c r="AB96" s="2" t="str">
        <f ca="1">IF(Z96="","",MAX($AB$14:AB95)+1)</f>
        <v/>
      </c>
    </row>
    <row r="97" spans="6:28">
      <c r="F97"/>
      <c r="V97" s="2">
        <f t="shared" si="7"/>
        <v>11</v>
      </c>
      <c r="W97" s="2">
        <f t="shared" si="8"/>
        <v>2</v>
      </c>
      <c r="X97" s="2">
        <f ca="1" t="shared" si="9"/>
        <v>0</v>
      </c>
      <c r="Y97" s="2" t="str">
        <f ca="1">IF(X97=0,"",MAX($Y$15:Y96)+X97)</f>
        <v/>
      </c>
      <c r="Z97" s="2" t="str">
        <f ca="1">IF(AND(OFFSET($L$15,V97,W97)&gt;0,X98&gt;0),MAX($Z$14:Z96)+1,"")</f>
        <v/>
      </c>
      <c r="AA97" s="2" t="str">
        <f ca="1">IF(Y97="","",MAX($AA$14:AA96)+1)</f>
        <v/>
      </c>
      <c r="AB97" s="2" t="str">
        <f ca="1">IF(Z97="","",MAX($AB$14:AB96)+1)</f>
        <v/>
      </c>
    </row>
    <row r="98" spans="6:28">
      <c r="F98"/>
      <c r="V98" s="2">
        <f t="shared" si="7"/>
        <v>11</v>
      </c>
      <c r="W98" s="2">
        <f t="shared" si="8"/>
        <v>3</v>
      </c>
      <c r="X98" s="2">
        <f ca="1" t="shared" si="9"/>
        <v>0</v>
      </c>
      <c r="Y98" s="2" t="str">
        <f ca="1">IF(X98=0,"",MAX($Y$15:Y97)+X98)</f>
        <v/>
      </c>
      <c r="Z98" s="2" t="str">
        <f ca="1">IF(AND(OFFSET($L$15,V98,W98)&gt;0,X99&gt;0),MAX($Z$14:Z97)+1,"")</f>
        <v/>
      </c>
      <c r="AA98" s="2" t="str">
        <f ca="1">IF(Y98="","",MAX($AA$14:AA97)+1)</f>
        <v/>
      </c>
      <c r="AB98" s="2" t="str">
        <f ca="1">IF(Z98="","",MAX($AB$14:AB97)+1)</f>
        <v/>
      </c>
    </row>
    <row r="99" spans="6:28">
      <c r="F99"/>
      <c r="V99" s="2">
        <f t="shared" si="7"/>
        <v>11</v>
      </c>
      <c r="W99" s="2">
        <f t="shared" si="8"/>
        <v>4</v>
      </c>
      <c r="X99" s="2">
        <f ca="1" t="shared" si="9"/>
        <v>1</v>
      </c>
      <c r="Y99" s="2">
        <f ca="1">IF(X99=0,"",MAX($Y$15:Y98)+X99)</f>
        <v>10001822</v>
      </c>
      <c r="Z99" s="2">
        <f ca="1">IF(AND(OFFSET($L$15,V99,W99)&gt;0,X100&gt;0),MAX($Z$14:Z98)+1,"")</f>
        <v>10001888</v>
      </c>
      <c r="AA99" s="2">
        <f ca="1">IF(Y99="","",MAX($AA$14:AA98)+1)</f>
        <v>10001959</v>
      </c>
      <c r="AB99" s="2">
        <f ca="1">IF(Z99="","",MAX($AB$14:AB98)+1)</f>
        <v>10002025</v>
      </c>
    </row>
    <row r="100" spans="6:28">
      <c r="F100"/>
      <c r="V100" s="2">
        <f t="shared" si="7"/>
        <v>11</v>
      </c>
      <c r="W100" s="2">
        <f t="shared" si="8"/>
        <v>5</v>
      </c>
      <c r="X100" s="2">
        <f ca="1" t="shared" si="9"/>
        <v>1</v>
      </c>
      <c r="Y100" s="2">
        <f ca="1">IF(X100=0,"",MAX($Y$15:Y99)+X100)</f>
        <v>10001823</v>
      </c>
      <c r="Z100" s="2">
        <f ca="1">IF(AND(OFFSET($L$15,V100,W100)&gt;0,X101&gt;0),MAX($Z$14:Z99)+1,"")</f>
        <v>10001889</v>
      </c>
      <c r="AA100" s="2">
        <f ca="1">IF(Y100="","",MAX($AA$14:AA99)+1)</f>
        <v>10001960</v>
      </c>
      <c r="AB100" s="2">
        <f ca="1">IF(Z100="","",MAX($AB$14:AB99)+1)</f>
        <v>10002026</v>
      </c>
    </row>
    <row r="101" spans="6:28">
      <c r="F101"/>
      <c r="V101" s="2">
        <f t="shared" si="7"/>
        <v>11</v>
      </c>
      <c r="W101" s="2">
        <f t="shared" si="8"/>
        <v>6</v>
      </c>
      <c r="X101" s="2">
        <f ca="1" t="shared" si="9"/>
        <v>1</v>
      </c>
      <c r="Y101" s="2">
        <f ca="1">IF(X101=0,"",MAX($Y$15:Y100)+X101)</f>
        <v>10001824</v>
      </c>
      <c r="Z101" s="2">
        <f ca="1">IF(AND(OFFSET($L$15,V101,W101)&gt;0,X102&gt;0),MAX($Z$14:Z100)+1,"")</f>
        <v>10001890</v>
      </c>
      <c r="AA101" s="2">
        <f ca="1">IF(Y101="","",MAX($AA$14:AA100)+1)</f>
        <v>10001961</v>
      </c>
      <c r="AB101" s="2">
        <f ca="1">IF(Z101="","",MAX($AB$14:AB100)+1)</f>
        <v>10002027</v>
      </c>
    </row>
    <row r="102" spans="6:28">
      <c r="F102"/>
      <c r="V102" s="2">
        <f t="shared" si="7"/>
        <v>11</v>
      </c>
      <c r="W102" s="2">
        <f t="shared" si="8"/>
        <v>7</v>
      </c>
      <c r="X102" s="2">
        <f ca="1" t="shared" si="9"/>
        <v>1</v>
      </c>
      <c r="Y102" s="2">
        <f ca="1">IF(X102=0,"",MAX($Y$15:Y101)+X102)</f>
        <v>10001825</v>
      </c>
      <c r="Z102" s="2">
        <f ca="1">IF(AND(OFFSET($L$15,V102,W102)&gt;0,X103&gt;0),MAX($Z$14:Z101)+1,"")</f>
        <v>10001891</v>
      </c>
      <c r="AA102" s="2">
        <f ca="1">IF(Y102="","",MAX($AA$14:AA101)+1)</f>
        <v>10001962</v>
      </c>
      <c r="AB102" s="2">
        <f ca="1">IF(Z102="","",MAX($AB$14:AB101)+1)</f>
        <v>10002028</v>
      </c>
    </row>
    <row r="103" spans="6:28">
      <c r="F103"/>
      <c r="V103" s="2">
        <f t="shared" si="7"/>
        <v>11</v>
      </c>
      <c r="W103" s="2">
        <f t="shared" si="8"/>
        <v>8</v>
      </c>
      <c r="X103" s="2">
        <f ca="1" t="shared" si="9"/>
        <v>1</v>
      </c>
      <c r="Y103" s="2">
        <f ca="1">IF(X103=0,"",MAX($Y$15:Y102)+X103)</f>
        <v>10001826</v>
      </c>
      <c r="Z103" s="2" t="str">
        <f ca="1">IF(AND(OFFSET($L$15,V103,W103)&gt;0,X104&gt;0),MAX($Z$14:Z102)+1,"")</f>
        <v/>
      </c>
      <c r="AA103" s="2">
        <f ca="1">IF(Y103="","",MAX($AA$14:AA102)+1)</f>
        <v>10001963</v>
      </c>
      <c r="AB103" s="2" t="str">
        <f ca="1">IF(Z103="","",MAX($AB$14:AB102)+1)</f>
        <v/>
      </c>
    </row>
    <row r="104" spans="6:28">
      <c r="F104"/>
      <c r="V104" s="2">
        <f t="shared" si="7"/>
        <v>12</v>
      </c>
      <c r="W104" s="2">
        <f t="shared" si="8"/>
        <v>1</v>
      </c>
      <c r="X104" s="2">
        <f ca="1" t="shared" si="9"/>
        <v>0</v>
      </c>
      <c r="Y104" s="2" t="str">
        <f ca="1">IF(X104=0,"",MAX($Y$15:Y103)+X104)</f>
        <v/>
      </c>
      <c r="Z104" s="2" t="str">
        <f ca="1">IF(AND(OFFSET($L$15,V104,W104)&gt;0,X105&gt;0),MAX($Z$14:Z103)+1,"")</f>
        <v/>
      </c>
      <c r="AA104" s="2" t="str">
        <f ca="1">IF(Y104="","",MAX($AA$14:AA103)+1)</f>
        <v/>
      </c>
      <c r="AB104" s="2" t="str">
        <f ca="1">IF(Z104="","",MAX($AB$14:AB103)+1)</f>
        <v/>
      </c>
    </row>
    <row r="105" spans="6:28">
      <c r="F105"/>
      <c r="V105" s="2">
        <f t="shared" si="7"/>
        <v>12</v>
      </c>
      <c r="W105" s="2">
        <f t="shared" si="8"/>
        <v>2</v>
      </c>
      <c r="X105" s="2">
        <f ca="1" t="shared" si="9"/>
        <v>0</v>
      </c>
      <c r="Y105" s="2" t="str">
        <f ca="1">IF(X105=0,"",MAX($Y$15:Y104)+X105)</f>
        <v/>
      </c>
      <c r="Z105" s="2" t="str">
        <f ca="1">IF(AND(OFFSET($L$15,V105,W105)&gt;0,X106&gt;0),MAX($Z$14:Z104)+1,"")</f>
        <v/>
      </c>
      <c r="AA105" s="2" t="str">
        <f ca="1">IF(Y105="","",MAX($AA$14:AA104)+1)</f>
        <v/>
      </c>
      <c r="AB105" s="2" t="str">
        <f ca="1">IF(Z105="","",MAX($AB$14:AB104)+1)</f>
        <v/>
      </c>
    </row>
    <row r="106" spans="6:28">
      <c r="F106"/>
      <c r="V106" s="2">
        <f t="shared" si="7"/>
        <v>12</v>
      </c>
      <c r="W106" s="2">
        <f t="shared" si="8"/>
        <v>3</v>
      </c>
      <c r="X106" s="2">
        <f ca="1" t="shared" si="9"/>
        <v>0</v>
      </c>
      <c r="Y106" s="2" t="str">
        <f ca="1">IF(X106=0,"",MAX($Y$15:Y105)+X106)</f>
        <v/>
      </c>
      <c r="Z106" s="2" t="str">
        <f ca="1">IF(AND(OFFSET($L$15,V106,W106)&gt;0,X107&gt;0),MAX($Z$14:Z105)+1,"")</f>
        <v/>
      </c>
      <c r="AA106" s="2" t="str">
        <f ca="1">IF(Y106="","",MAX($AA$14:AA105)+1)</f>
        <v/>
      </c>
      <c r="AB106" s="2" t="str">
        <f ca="1">IF(Z106="","",MAX($AB$14:AB105)+1)</f>
        <v/>
      </c>
    </row>
    <row r="107" spans="6:28">
      <c r="F107"/>
      <c r="V107" s="2">
        <f t="shared" si="7"/>
        <v>12</v>
      </c>
      <c r="W107" s="2">
        <f t="shared" si="8"/>
        <v>4</v>
      </c>
      <c r="X107" s="2">
        <f ca="1" t="shared" si="9"/>
        <v>1</v>
      </c>
      <c r="Y107" s="2">
        <f ca="1">IF(X107=0,"",MAX($Y$15:Y106)+X107)</f>
        <v>10001827</v>
      </c>
      <c r="Z107" s="2">
        <f ca="1">IF(AND(OFFSET($L$15,V107,W107)&gt;0,X108&gt;0),MAX($Z$14:Z106)+1,"")</f>
        <v>10001892</v>
      </c>
      <c r="AA107" s="2">
        <f ca="1">IF(Y107="","",MAX($AA$14:AA106)+1)</f>
        <v>10001964</v>
      </c>
      <c r="AB107" s="2">
        <f ca="1">IF(Z107="","",MAX($AB$14:AB106)+1)</f>
        <v>10002029</v>
      </c>
    </row>
    <row r="108" spans="6:28">
      <c r="F108"/>
      <c r="V108" s="2">
        <f t="shared" si="7"/>
        <v>12</v>
      </c>
      <c r="W108" s="2">
        <f t="shared" si="8"/>
        <v>5</v>
      </c>
      <c r="X108" s="2">
        <f ca="1" t="shared" si="9"/>
        <v>1</v>
      </c>
      <c r="Y108" s="2">
        <f ca="1">IF(X108=0,"",MAX($Y$15:Y107)+X108)</f>
        <v>10001828</v>
      </c>
      <c r="Z108" s="2">
        <f ca="1">IF(AND(OFFSET($L$15,V108,W108)&gt;0,X109&gt;0),MAX($Z$14:Z107)+1,"")</f>
        <v>10001893</v>
      </c>
      <c r="AA108" s="2">
        <f ca="1">IF(Y108="","",MAX($AA$14:AA107)+1)</f>
        <v>10001965</v>
      </c>
      <c r="AB108" s="2">
        <f ca="1">IF(Z108="","",MAX($AB$14:AB107)+1)</f>
        <v>10002030</v>
      </c>
    </row>
    <row r="109" spans="6:28">
      <c r="F109"/>
      <c r="V109" s="2">
        <f t="shared" si="7"/>
        <v>12</v>
      </c>
      <c r="W109" s="2">
        <f t="shared" si="8"/>
        <v>6</v>
      </c>
      <c r="X109" s="2">
        <f ca="1" t="shared" si="9"/>
        <v>1</v>
      </c>
      <c r="Y109" s="2">
        <f ca="1">IF(X109=0,"",MAX($Y$15:Y108)+X109)</f>
        <v>10001829</v>
      </c>
      <c r="Z109" s="2">
        <f ca="1">IF(AND(OFFSET($L$15,V109,W109)&gt;0,X110&gt;0),MAX($Z$14:Z108)+1,"")</f>
        <v>10001894</v>
      </c>
      <c r="AA109" s="2">
        <f ca="1">IF(Y109="","",MAX($AA$14:AA108)+1)</f>
        <v>10001966</v>
      </c>
      <c r="AB109" s="2">
        <f ca="1">IF(Z109="","",MAX($AB$14:AB108)+1)</f>
        <v>10002031</v>
      </c>
    </row>
    <row r="110" spans="6:28">
      <c r="F110"/>
      <c r="V110" s="2">
        <f t="shared" si="7"/>
        <v>12</v>
      </c>
      <c r="W110" s="2">
        <f t="shared" si="8"/>
        <v>7</v>
      </c>
      <c r="X110" s="2">
        <f ca="1" t="shared" si="9"/>
        <v>1</v>
      </c>
      <c r="Y110" s="2">
        <f ca="1">IF(X110=0,"",MAX($Y$15:Y109)+X110)</f>
        <v>10001830</v>
      </c>
      <c r="Z110" s="2">
        <f ca="1">IF(AND(OFFSET($L$15,V110,W110)&gt;0,X111&gt;0),MAX($Z$14:Z109)+1,"")</f>
        <v>10001895</v>
      </c>
      <c r="AA110" s="2">
        <f ca="1">IF(Y110="","",MAX($AA$14:AA109)+1)</f>
        <v>10001967</v>
      </c>
      <c r="AB110" s="2">
        <f ca="1">IF(Z110="","",MAX($AB$14:AB109)+1)</f>
        <v>10002032</v>
      </c>
    </row>
    <row r="111" spans="6:28">
      <c r="F111"/>
      <c r="V111" s="2">
        <f t="shared" si="7"/>
        <v>12</v>
      </c>
      <c r="W111" s="2">
        <f t="shared" si="8"/>
        <v>8</v>
      </c>
      <c r="X111" s="2">
        <f ca="1" t="shared" si="9"/>
        <v>1</v>
      </c>
      <c r="Y111" s="2">
        <f ca="1">IF(X111=0,"",MAX($Y$15:Y110)+X111)</f>
        <v>10001831</v>
      </c>
      <c r="Z111" s="2" t="str">
        <f ca="1">IF(AND(OFFSET($L$15,V111,W111)&gt;0,X112&gt;0),MAX($Z$14:Z110)+1,"")</f>
        <v/>
      </c>
      <c r="AA111" s="2">
        <f ca="1">IF(Y111="","",MAX($AA$14:AA110)+1)</f>
        <v>10001968</v>
      </c>
      <c r="AB111" s="2" t="str">
        <f ca="1">IF(Z111="","",MAX($AB$14:AB110)+1)</f>
        <v/>
      </c>
    </row>
    <row r="112" spans="6:28">
      <c r="F112"/>
      <c r="V112" s="2">
        <f t="shared" si="7"/>
        <v>13</v>
      </c>
      <c r="W112" s="2">
        <f t="shared" si="8"/>
        <v>1</v>
      </c>
      <c r="X112" s="2">
        <f ca="1" t="shared" si="9"/>
        <v>0</v>
      </c>
      <c r="Y112" s="2" t="str">
        <f ca="1">IF(X112=0,"",MAX($Y$15:Y111)+X112)</f>
        <v/>
      </c>
      <c r="Z112" s="2" t="str">
        <f ca="1">IF(AND(OFFSET($L$15,V112,W112)&gt;0,X113&gt;0),MAX($Z$14:Z111)+1,"")</f>
        <v/>
      </c>
      <c r="AA112" s="2" t="str">
        <f ca="1">IF(Y112="","",MAX($AA$14:AA111)+1)</f>
        <v/>
      </c>
      <c r="AB112" s="2" t="str">
        <f ca="1">IF(Z112="","",MAX($AB$14:AB111)+1)</f>
        <v/>
      </c>
    </row>
    <row r="113" spans="6:28">
      <c r="F113"/>
      <c r="V113" s="2">
        <f t="shared" si="7"/>
        <v>13</v>
      </c>
      <c r="W113" s="2">
        <f t="shared" si="8"/>
        <v>2</v>
      </c>
      <c r="X113" s="2">
        <f ca="1" t="shared" si="9"/>
        <v>0</v>
      </c>
      <c r="Y113" s="2" t="str">
        <f ca="1">IF(X113=0,"",MAX($Y$15:Y112)+X113)</f>
        <v/>
      </c>
      <c r="Z113" s="2" t="str">
        <f ca="1">IF(AND(OFFSET($L$15,V113,W113)&gt;0,X114&gt;0),MAX($Z$14:Z112)+1,"")</f>
        <v/>
      </c>
      <c r="AA113" s="2" t="str">
        <f ca="1">IF(Y113="","",MAX($AA$14:AA112)+1)</f>
        <v/>
      </c>
      <c r="AB113" s="2" t="str">
        <f ca="1">IF(Z113="","",MAX($AB$14:AB112)+1)</f>
        <v/>
      </c>
    </row>
    <row r="114" spans="6:28">
      <c r="F114"/>
      <c r="V114" s="2">
        <f t="shared" si="7"/>
        <v>13</v>
      </c>
      <c r="W114" s="2">
        <f t="shared" si="8"/>
        <v>3</v>
      </c>
      <c r="X114" s="2">
        <f ca="1" t="shared" si="9"/>
        <v>0</v>
      </c>
      <c r="Y114" s="2" t="str">
        <f ca="1">IF(X114=0,"",MAX($Y$15:Y113)+X114)</f>
        <v/>
      </c>
      <c r="Z114" s="2" t="str">
        <f ca="1">IF(AND(OFFSET($L$15,V114,W114)&gt;0,X115&gt;0),MAX($Z$14:Z113)+1,"")</f>
        <v/>
      </c>
      <c r="AA114" s="2" t="str">
        <f ca="1">IF(Y114="","",MAX($AA$14:AA113)+1)</f>
        <v/>
      </c>
      <c r="AB114" s="2" t="str">
        <f ca="1">IF(Z114="","",MAX($AB$14:AB113)+1)</f>
        <v/>
      </c>
    </row>
    <row r="115" spans="6:28">
      <c r="F115"/>
      <c r="V115" s="2">
        <f t="shared" si="7"/>
        <v>13</v>
      </c>
      <c r="W115" s="2">
        <f t="shared" si="8"/>
        <v>4</v>
      </c>
      <c r="X115" s="2">
        <f ca="1" t="shared" si="9"/>
        <v>1</v>
      </c>
      <c r="Y115" s="2">
        <f ca="1">IF(X115=0,"",MAX($Y$15:Y114)+X115)</f>
        <v>10001832</v>
      </c>
      <c r="Z115" s="2">
        <f ca="1">IF(AND(OFFSET($L$15,V115,W115)&gt;0,X116&gt;0),MAX($Z$14:Z114)+1,"")</f>
        <v>10001896</v>
      </c>
      <c r="AA115" s="2">
        <f ca="1">IF(Y115="","",MAX($AA$14:AA114)+1)</f>
        <v>10001969</v>
      </c>
      <c r="AB115" s="2">
        <f ca="1">IF(Z115="","",MAX($AB$14:AB114)+1)</f>
        <v>10002033</v>
      </c>
    </row>
    <row r="116" spans="6:28">
      <c r="F116"/>
      <c r="V116" s="2">
        <f t="shared" si="7"/>
        <v>13</v>
      </c>
      <c r="W116" s="2">
        <f t="shared" si="8"/>
        <v>5</v>
      </c>
      <c r="X116" s="2">
        <f ca="1" t="shared" si="9"/>
        <v>1</v>
      </c>
      <c r="Y116" s="2">
        <f ca="1">IF(X116=0,"",MAX($Y$15:Y115)+X116)</f>
        <v>10001833</v>
      </c>
      <c r="Z116" s="2">
        <f ca="1">IF(AND(OFFSET($L$15,V116,W116)&gt;0,X117&gt;0),MAX($Z$14:Z115)+1,"")</f>
        <v>10001897</v>
      </c>
      <c r="AA116" s="2">
        <f ca="1">IF(Y116="","",MAX($AA$14:AA115)+1)</f>
        <v>10001970</v>
      </c>
      <c r="AB116" s="2">
        <f ca="1">IF(Z116="","",MAX($AB$14:AB115)+1)</f>
        <v>10002034</v>
      </c>
    </row>
    <row r="117" spans="6:28">
      <c r="F117"/>
      <c r="V117" s="2">
        <f t="shared" si="7"/>
        <v>13</v>
      </c>
      <c r="W117" s="2">
        <f t="shared" si="8"/>
        <v>6</v>
      </c>
      <c r="X117" s="2">
        <f ca="1" t="shared" si="9"/>
        <v>1</v>
      </c>
      <c r="Y117" s="2">
        <f ca="1">IF(X117=0,"",MAX($Y$15:Y116)+X117)</f>
        <v>10001834</v>
      </c>
      <c r="Z117" s="2">
        <f ca="1">IF(AND(OFFSET($L$15,V117,W117)&gt;0,X118&gt;0),MAX($Z$14:Z116)+1,"")</f>
        <v>10001898</v>
      </c>
      <c r="AA117" s="2">
        <f ca="1">IF(Y117="","",MAX($AA$14:AA116)+1)</f>
        <v>10001971</v>
      </c>
      <c r="AB117" s="2">
        <f ca="1">IF(Z117="","",MAX($AB$14:AB116)+1)</f>
        <v>10002035</v>
      </c>
    </row>
    <row r="118" spans="6:28">
      <c r="F118"/>
      <c r="V118" s="2">
        <f t="shared" ref="V118:V135" si="10">V110+1</f>
        <v>13</v>
      </c>
      <c r="W118" s="2">
        <f t="shared" ref="W118:W135" si="11">W110</f>
        <v>7</v>
      </c>
      <c r="X118" s="2">
        <f ca="1" t="shared" si="9"/>
        <v>1</v>
      </c>
      <c r="Y118" s="2">
        <f ca="1">IF(X118=0,"",MAX($Y$15:Y117)+X118)</f>
        <v>10001835</v>
      </c>
      <c r="Z118" s="2">
        <f ca="1">IF(AND(OFFSET($L$15,V118,W118)&gt;0,X119&gt;0),MAX($Z$14:Z117)+1,"")</f>
        <v>10001899</v>
      </c>
      <c r="AA118" s="2">
        <f ca="1">IF(Y118="","",MAX($AA$14:AA117)+1)</f>
        <v>10001972</v>
      </c>
      <c r="AB118" s="2">
        <f ca="1">IF(Z118="","",MAX($AB$14:AB117)+1)</f>
        <v>10002036</v>
      </c>
    </row>
    <row r="119" spans="6:28">
      <c r="F119"/>
      <c r="V119" s="2">
        <f t="shared" si="10"/>
        <v>13</v>
      </c>
      <c r="W119" s="2">
        <f t="shared" si="11"/>
        <v>8</v>
      </c>
      <c r="X119" s="2">
        <f ca="1" t="shared" si="9"/>
        <v>1</v>
      </c>
      <c r="Y119" s="2">
        <f ca="1">IF(X119=0,"",MAX($Y$15:Y118)+X119)</f>
        <v>10001836</v>
      </c>
      <c r="Z119" s="2" t="str">
        <f ca="1">IF(AND(OFFSET($L$15,V119,W119)&gt;0,X120&gt;0),MAX($Z$14:Z118)+1,"")</f>
        <v/>
      </c>
      <c r="AA119" s="2">
        <f ca="1">IF(Y119="","",MAX($AA$14:AA118)+1)</f>
        <v>10001973</v>
      </c>
      <c r="AB119" s="2" t="str">
        <f ca="1">IF(Z119="","",MAX($AB$14:AB118)+1)</f>
        <v/>
      </c>
    </row>
    <row r="120" spans="6:28">
      <c r="F120"/>
      <c r="V120" s="2">
        <f t="shared" si="10"/>
        <v>14</v>
      </c>
      <c r="W120" s="2">
        <f t="shared" si="11"/>
        <v>1</v>
      </c>
      <c r="X120" s="2">
        <f ca="1" t="shared" si="9"/>
        <v>0</v>
      </c>
      <c r="Y120" s="2" t="str">
        <f ca="1">IF(X120=0,"",MAX($Y$15:Y119)+X120)</f>
        <v/>
      </c>
      <c r="Z120" s="2" t="str">
        <f ca="1">IF(AND(OFFSET($L$15,V120,W120)&gt;0,X121&gt;0),MAX($Z$14:Z119)+1,"")</f>
        <v/>
      </c>
      <c r="AA120" s="2" t="str">
        <f ca="1">IF(Y120="","",MAX($AA$14:AA119)+1)</f>
        <v/>
      </c>
      <c r="AB120" s="2" t="str">
        <f ca="1">IF(Z120="","",MAX($AB$14:AB119)+1)</f>
        <v/>
      </c>
    </row>
    <row r="121" spans="6:28">
      <c r="F121"/>
      <c r="V121" s="2">
        <f t="shared" si="10"/>
        <v>14</v>
      </c>
      <c r="W121" s="2">
        <f t="shared" si="11"/>
        <v>2</v>
      </c>
      <c r="X121" s="2">
        <f ca="1" t="shared" si="9"/>
        <v>0</v>
      </c>
      <c r="Y121" s="2" t="str">
        <f ca="1">IF(X121=0,"",MAX($Y$15:Y120)+X121)</f>
        <v/>
      </c>
      <c r="Z121" s="2" t="str">
        <f ca="1">IF(AND(OFFSET($L$15,V121,W121)&gt;0,X122&gt;0),MAX($Z$14:Z120)+1,"")</f>
        <v/>
      </c>
      <c r="AA121" s="2" t="str">
        <f ca="1">IF(Y121="","",MAX($AA$14:AA120)+1)</f>
        <v/>
      </c>
      <c r="AB121" s="2" t="str">
        <f ca="1">IF(Z121="","",MAX($AB$14:AB120)+1)</f>
        <v/>
      </c>
    </row>
    <row r="122" spans="6:28">
      <c r="F122"/>
      <c r="V122" s="2">
        <f t="shared" si="10"/>
        <v>14</v>
      </c>
      <c r="W122" s="2">
        <f t="shared" si="11"/>
        <v>3</v>
      </c>
      <c r="X122" s="2">
        <f ca="1" t="shared" si="9"/>
        <v>0</v>
      </c>
      <c r="Y122" s="2" t="str">
        <f ca="1">IF(X122=0,"",MAX($Y$15:Y121)+X122)</f>
        <v/>
      </c>
      <c r="Z122" s="2" t="str">
        <f ca="1">IF(AND(OFFSET($L$15,V122,W122)&gt;0,X123&gt;0),MAX($Z$14:Z121)+1,"")</f>
        <v/>
      </c>
      <c r="AA122" s="2" t="str">
        <f ca="1">IF(Y122="","",MAX($AA$14:AA121)+1)</f>
        <v/>
      </c>
      <c r="AB122" s="2" t="str">
        <f ca="1">IF(Z122="","",MAX($AB$14:AB121)+1)</f>
        <v/>
      </c>
    </row>
    <row r="123" spans="6:28">
      <c r="F123"/>
      <c r="V123" s="2">
        <f t="shared" si="10"/>
        <v>14</v>
      </c>
      <c r="W123" s="2">
        <f t="shared" si="11"/>
        <v>4</v>
      </c>
      <c r="X123" s="2">
        <f ca="1" t="shared" si="9"/>
        <v>1</v>
      </c>
      <c r="Y123" s="2">
        <f ca="1">IF(X123=0,"",MAX($Y$15:Y122)+X123)</f>
        <v>10001837</v>
      </c>
      <c r="Z123" s="2">
        <f ca="1">IF(AND(OFFSET($L$15,V123,W123)&gt;0,X124&gt;0),MAX($Z$14:Z122)+1,"")</f>
        <v>10001900</v>
      </c>
      <c r="AA123" s="2">
        <f ca="1">IF(Y123="","",MAX($AA$14:AA122)+1)</f>
        <v>10001974</v>
      </c>
      <c r="AB123" s="2">
        <f ca="1">IF(Z123="","",MAX($AB$14:AB122)+1)</f>
        <v>10002037</v>
      </c>
    </row>
    <row r="124" spans="6:28">
      <c r="F124"/>
      <c r="V124" s="2">
        <f t="shared" si="10"/>
        <v>14</v>
      </c>
      <c r="W124" s="2">
        <f t="shared" si="11"/>
        <v>5</v>
      </c>
      <c r="X124" s="2">
        <f ca="1" t="shared" si="9"/>
        <v>1</v>
      </c>
      <c r="Y124" s="2">
        <f ca="1">IF(X124=0,"",MAX($Y$15:Y123)+X124)</f>
        <v>10001838</v>
      </c>
      <c r="Z124" s="2">
        <f ca="1">IF(AND(OFFSET($L$15,V124,W124)&gt;0,X125&gt;0),MAX($Z$14:Z123)+1,"")</f>
        <v>10001901</v>
      </c>
      <c r="AA124" s="2">
        <f ca="1">IF(Y124="","",MAX($AA$14:AA123)+1)</f>
        <v>10001975</v>
      </c>
      <c r="AB124" s="2">
        <f ca="1">IF(Z124="","",MAX($AB$14:AB123)+1)</f>
        <v>10002038</v>
      </c>
    </row>
    <row r="125" spans="6:28">
      <c r="F125"/>
      <c r="V125" s="2">
        <f t="shared" si="10"/>
        <v>14</v>
      </c>
      <c r="W125" s="2">
        <f t="shared" si="11"/>
        <v>6</v>
      </c>
      <c r="X125" s="2">
        <f ca="1" t="shared" si="9"/>
        <v>1</v>
      </c>
      <c r="Y125" s="2">
        <f ca="1">IF(X125=0,"",MAX($Y$15:Y124)+X125)</f>
        <v>10001839</v>
      </c>
      <c r="Z125" s="2">
        <f ca="1">IF(AND(OFFSET($L$15,V125,W125)&gt;0,X126&gt;0),MAX($Z$14:Z124)+1,"")</f>
        <v>10001902</v>
      </c>
      <c r="AA125" s="2">
        <f ca="1">IF(Y125="","",MAX($AA$14:AA124)+1)</f>
        <v>10001976</v>
      </c>
      <c r="AB125" s="2">
        <f ca="1">IF(Z125="","",MAX($AB$14:AB124)+1)</f>
        <v>10002039</v>
      </c>
    </row>
    <row r="126" spans="6:28">
      <c r="F126"/>
      <c r="V126" s="2">
        <f t="shared" si="10"/>
        <v>14</v>
      </c>
      <c r="W126" s="2">
        <f t="shared" si="11"/>
        <v>7</v>
      </c>
      <c r="X126" s="2">
        <f ca="1" t="shared" si="9"/>
        <v>1</v>
      </c>
      <c r="Y126" s="2">
        <f ca="1">IF(X126=0,"",MAX($Y$15:Y125)+X126)</f>
        <v>10001840</v>
      </c>
      <c r="Z126" s="2">
        <f ca="1">IF(AND(OFFSET($L$15,V126,W126)&gt;0,X127&gt;0),MAX($Z$14:Z125)+1,"")</f>
        <v>10001903</v>
      </c>
      <c r="AA126" s="2">
        <f ca="1">IF(Y126="","",MAX($AA$14:AA125)+1)</f>
        <v>10001977</v>
      </c>
      <c r="AB126" s="2">
        <f ca="1">IF(Z126="","",MAX($AB$14:AB125)+1)</f>
        <v>10002040</v>
      </c>
    </row>
    <row r="127" spans="6:28">
      <c r="F127"/>
      <c r="V127" s="2">
        <f t="shared" si="10"/>
        <v>14</v>
      </c>
      <c r="W127" s="2">
        <f t="shared" si="11"/>
        <v>8</v>
      </c>
      <c r="X127" s="2">
        <f ca="1" t="shared" si="9"/>
        <v>1</v>
      </c>
      <c r="Y127" s="2">
        <f ca="1">IF(X127=0,"",MAX($Y$15:Y126)+X127)</f>
        <v>10001841</v>
      </c>
      <c r="Z127" s="2" t="str">
        <f ca="1">IF(AND(OFFSET($L$15,V127,W127)&gt;0,X128&gt;0),MAX($Z$14:Z126)+1,"")</f>
        <v/>
      </c>
      <c r="AA127" s="2">
        <f ca="1">IF(Y127="","",MAX($AA$14:AA126)+1)</f>
        <v>10001978</v>
      </c>
      <c r="AB127" s="2" t="str">
        <f ca="1">IF(Z127="","",MAX($AB$14:AB126)+1)</f>
        <v/>
      </c>
    </row>
    <row r="128" spans="6:28">
      <c r="F128"/>
      <c r="V128" s="2">
        <f t="shared" si="10"/>
        <v>15</v>
      </c>
      <c r="W128" s="2">
        <f t="shared" si="11"/>
        <v>1</v>
      </c>
      <c r="X128" s="2">
        <f ca="1" t="shared" si="9"/>
        <v>0</v>
      </c>
      <c r="Y128" s="2" t="str">
        <f ca="1">IF(X128=0,"",MAX($Y$15:Y127)+X128)</f>
        <v/>
      </c>
      <c r="Z128" s="2" t="str">
        <f ca="1">IF(AND(OFFSET($L$15,V128,W128)&gt;0,X129&gt;0),MAX($Z$14:Z127)+1,"")</f>
        <v/>
      </c>
      <c r="AA128" s="2" t="str">
        <f ca="1">IF(Y128="","",MAX($AA$14:AA127)+1)</f>
        <v/>
      </c>
      <c r="AB128" s="2" t="str">
        <f ca="1">IF(Z128="","",MAX($AB$14:AB127)+1)</f>
        <v/>
      </c>
    </row>
    <row r="129" spans="6:28">
      <c r="F129"/>
      <c r="V129" s="2">
        <f t="shared" si="10"/>
        <v>15</v>
      </c>
      <c r="W129" s="2">
        <f t="shared" si="11"/>
        <v>2</v>
      </c>
      <c r="X129" s="2">
        <f ca="1" t="shared" si="9"/>
        <v>0</v>
      </c>
      <c r="Y129" s="2" t="str">
        <f ca="1">IF(X129=0,"",MAX($Y$15:Y128)+X129)</f>
        <v/>
      </c>
      <c r="Z129" s="2" t="str">
        <f ca="1">IF(AND(OFFSET($L$15,V129,W129)&gt;0,X130&gt;0),MAX($Z$14:Z128)+1,"")</f>
        <v/>
      </c>
      <c r="AA129" s="2" t="str">
        <f ca="1">IF(Y129="","",MAX($AA$14:AA128)+1)</f>
        <v/>
      </c>
      <c r="AB129" s="2" t="str">
        <f ca="1">IF(Z129="","",MAX($AB$14:AB128)+1)</f>
        <v/>
      </c>
    </row>
    <row r="130" spans="6:28">
      <c r="F130"/>
      <c r="V130" s="2">
        <f t="shared" si="10"/>
        <v>15</v>
      </c>
      <c r="W130" s="2">
        <f t="shared" si="11"/>
        <v>3</v>
      </c>
      <c r="X130" s="2">
        <f ca="1" t="shared" si="9"/>
        <v>0</v>
      </c>
      <c r="Y130" s="2" t="str">
        <f ca="1">IF(X130=0,"",MAX($Y$15:Y129)+X130)</f>
        <v/>
      </c>
      <c r="Z130" s="2" t="str">
        <f ca="1">IF(AND(OFFSET($L$15,V130,W130)&gt;0,X131&gt;0),MAX($Z$14:Z129)+1,"")</f>
        <v/>
      </c>
      <c r="AA130" s="2" t="str">
        <f ca="1">IF(Y130="","",MAX($AA$14:AA129)+1)</f>
        <v/>
      </c>
      <c r="AB130" s="2" t="str">
        <f ca="1">IF(Z130="","",MAX($AB$14:AB129)+1)</f>
        <v/>
      </c>
    </row>
    <row r="131" spans="6:28">
      <c r="F131"/>
      <c r="V131" s="2">
        <f t="shared" si="10"/>
        <v>15</v>
      </c>
      <c r="W131" s="2">
        <f t="shared" si="11"/>
        <v>4</v>
      </c>
      <c r="X131" s="2">
        <f ca="1" t="shared" si="9"/>
        <v>1</v>
      </c>
      <c r="Y131" s="2">
        <f ca="1">IF(X131=0,"",MAX($Y$15:Y130)+X131)</f>
        <v>10001842</v>
      </c>
      <c r="Z131" s="2">
        <f ca="1">IF(AND(OFFSET($L$15,V131,W131)&gt;0,X132&gt;0),MAX($Z$14:Z130)+1,"")</f>
        <v>10001904</v>
      </c>
      <c r="AA131" s="2">
        <f ca="1">IF(Y131="","",MAX($AA$14:AA130)+1)</f>
        <v>10001979</v>
      </c>
      <c r="AB131" s="2">
        <f ca="1">IF(Z131="","",MAX($AB$14:AB130)+1)</f>
        <v>10002041</v>
      </c>
    </row>
    <row r="132" spans="6:28">
      <c r="F132"/>
      <c r="V132" s="2">
        <f t="shared" si="10"/>
        <v>15</v>
      </c>
      <c r="W132" s="2">
        <f t="shared" si="11"/>
        <v>5</v>
      </c>
      <c r="X132" s="2">
        <f ca="1" t="shared" si="9"/>
        <v>1</v>
      </c>
      <c r="Y132" s="2">
        <f ca="1">IF(X132=0,"",MAX($Y$15:Y131)+X132)</f>
        <v>10001843</v>
      </c>
      <c r="Z132" s="2">
        <f ca="1">IF(AND(OFFSET($L$15,V132,W132)&gt;0,X133&gt;0),MAX($Z$14:Z131)+1,"")</f>
        <v>10001905</v>
      </c>
      <c r="AA132" s="2">
        <f ca="1">IF(Y132="","",MAX($AA$14:AA131)+1)</f>
        <v>10001980</v>
      </c>
      <c r="AB132" s="2">
        <f ca="1">IF(Z132="","",MAX($AB$14:AB131)+1)</f>
        <v>10002042</v>
      </c>
    </row>
    <row r="133" spans="6:28">
      <c r="F133"/>
      <c r="V133" s="2">
        <f t="shared" si="10"/>
        <v>15</v>
      </c>
      <c r="W133" s="2">
        <f t="shared" si="11"/>
        <v>6</v>
      </c>
      <c r="X133" s="2">
        <f ca="1" t="shared" si="9"/>
        <v>1</v>
      </c>
      <c r="Y133" s="2">
        <f ca="1">IF(X133=0,"",MAX($Y$15:Y132)+X133)</f>
        <v>10001844</v>
      </c>
      <c r="Z133" s="2">
        <f ca="1">IF(AND(OFFSET($L$15,V133,W133)&gt;0,X134&gt;0),MAX($Z$14:Z132)+1,"")</f>
        <v>10001906</v>
      </c>
      <c r="AA133" s="2">
        <f ca="1">IF(Y133="","",MAX($AA$14:AA132)+1)</f>
        <v>10001981</v>
      </c>
      <c r="AB133" s="2">
        <f ca="1">IF(Z133="","",MAX($AB$14:AB132)+1)</f>
        <v>10002043</v>
      </c>
    </row>
    <row r="134" spans="6:28">
      <c r="F134"/>
      <c r="V134" s="2">
        <f t="shared" si="10"/>
        <v>15</v>
      </c>
      <c r="W134" s="2">
        <f t="shared" si="11"/>
        <v>7</v>
      </c>
      <c r="X134" s="2">
        <f ca="1" t="shared" si="9"/>
        <v>1</v>
      </c>
      <c r="Y134" s="2">
        <f ca="1">IF(X134=0,"",MAX($Y$15:Y133)+X134)</f>
        <v>10001845</v>
      </c>
      <c r="Z134" s="2">
        <f ca="1">IF(AND(OFFSET($L$15,V134,W134)&gt;0,X135&gt;0),MAX($Z$14:Z133)+1,"")</f>
        <v>10001907</v>
      </c>
      <c r="AA134" s="2">
        <f ca="1">IF(Y134="","",MAX($AA$14:AA133)+1)</f>
        <v>10001982</v>
      </c>
      <c r="AB134" s="2">
        <f ca="1">IF(Z134="","",MAX($AB$14:AB133)+1)</f>
        <v>10002044</v>
      </c>
    </row>
    <row r="135" spans="6:28">
      <c r="F135"/>
      <c r="V135" s="2">
        <f t="shared" si="10"/>
        <v>15</v>
      </c>
      <c r="W135" s="2">
        <f t="shared" si="11"/>
        <v>8</v>
      </c>
      <c r="X135" s="2">
        <f ca="1" t="shared" si="9"/>
        <v>1</v>
      </c>
      <c r="Y135" s="2">
        <f ca="1">IF(X135=0,"",MAX($Y$15:Y134)+X135)</f>
        <v>10001846</v>
      </c>
      <c r="AA135" s="2">
        <f ca="1">IF(Y135="","",MAX($AA$14:AA134)+1)</f>
        <v>10001983</v>
      </c>
      <c r="AB135" s="2" t="str">
        <f ca="1">IF(Z135="","",MAX($AB$14:AB134)+1)</f>
        <v/>
      </c>
    </row>
    <row r="136" spans="6:28">
      <c r="F136"/>
      <c r="Y136" s="2">
        <f ca="1">Z16</f>
        <v>10001847</v>
      </c>
      <c r="Z136" s="2">
        <f ca="1">AA16</f>
        <v>10001908</v>
      </c>
      <c r="AA136" s="2">
        <f ca="1">AB16</f>
        <v>10001984</v>
      </c>
    </row>
    <row r="137" spans="6:28">
      <c r="F137"/>
      <c r="Y137" s="2">
        <f ca="1" t="shared" ref="Y137:Y168" si="12">Z17</f>
        <v>10001848</v>
      </c>
      <c r="Z137" s="2">
        <f ca="1" t="shared" ref="Z137:Z168" si="13">AA17</f>
        <v>10001909</v>
      </c>
      <c r="AA137" s="2">
        <f ca="1" t="shared" ref="AA137:AA168" si="14">AB17</f>
        <v>10001985</v>
      </c>
    </row>
    <row r="138" spans="6:28">
      <c r="F138"/>
      <c r="Y138" s="2">
        <f ca="1" t="shared" si="12"/>
        <v>10001849</v>
      </c>
      <c r="Z138" s="2">
        <f ca="1" t="shared" si="13"/>
        <v>10001910</v>
      </c>
      <c r="AA138" s="2">
        <f ca="1" t="shared" si="14"/>
        <v>10001986</v>
      </c>
    </row>
    <row r="139" spans="6:28">
      <c r="F139"/>
      <c r="Y139" s="2">
        <f ca="1" t="shared" si="12"/>
        <v>10001850</v>
      </c>
      <c r="Z139" s="2">
        <f ca="1" t="shared" si="13"/>
        <v>10001911</v>
      </c>
      <c r="AA139" s="2">
        <f ca="1" t="shared" si="14"/>
        <v>10001987</v>
      </c>
    </row>
    <row r="140" spans="6:28">
      <c r="F140"/>
      <c r="Y140" s="2" t="str">
        <f ca="1" t="shared" si="12"/>
        <v/>
      </c>
      <c r="Z140" s="2">
        <f ca="1" t="shared" si="13"/>
        <v>10001912</v>
      </c>
      <c r="AA140" s="2" t="str">
        <f ca="1" t="shared" si="14"/>
        <v/>
      </c>
    </row>
    <row r="141" spans="6:28">
      <c r="F141"/>
      <c r="Y141" s="2" t="str">
        <f ca="1" t="shared" si="12"/>
        <v/>
      </c>
      <c r="Z141" s="2" t="str">
        <f ca="1" t="shared" si="13"/>
        <v/>
      </c>
      <c r="AA141" s="2" t="str">
        <f ca="1" t="shared" si="14"/>
        <v/>
      </c>
    </row>
    <row r="142" spans="6:28">
      <c r="F142"/>
      <c r="Y142" s="2" t="str">
        <f ca="1" t="shared" si="12"/>
        <v/>
      </c>
      <c r="Z142" s="2" t="str">
        <f ca="1" t="shared" si="13"/>
        <v/>
      </c>
      <c r="AA142" s="2" t="str">
        <f ca="1" t="shared" si="14"/>
        <v/>
      </c>
    </row>
    <row r="143" spans="6:28">
      <c r="F143"/>
      <c r="Y143" s="2" t="str">
        <f ca="1" t="shared" si="12"/>
        <v/>
      </c>
      <c r="Z143" s="2" t="str">
        <f ca="1" t="shared" si="13"/>
        <v/>
      </c>
      <c r="AA143" s="2" t="str">
        <f ca="1" t="shared" si="14"/>
        <v/>
      </c>
    </row>
    <row r="144" spans="6:28">
      <c r="F144"/>
      <c r="Y144" s="2" t="str">
        <f ca="1" t="shared" si="12"/>
        <v/>
      </c>
      <c r="Z144" s="2" t="str">
        <f ca="1" t="shared" si="13"/>
        <v/>
      </c>
      <c r="AA144" s="2" t="str">
        <f ca="1" t="shared" si="14"/>
        <v/>
      </c>
    </row>
    <row r="145" spans="6:27">
      <c r="F145"/>
      <c r="Y145" s="2">
        <f ca="1" t="shared" si="12"/>
        <v>10001851</v>
      </c>
      <c r="Z145" s="2">
        <f ca="1" t="shared" si="13"/>
        <v>10001913</v>
      </c>
      <c r="AA145" s="2">
        <f ca="1" t="shared" si="14"/>
        <v>10001988</v>
      </c>
    </row>
    <row r="146" spans="6:27">
      <c r="F146"/>
      <c r="Y146" s="2">
        <f ca="1" t="shared" si="12"/>
        <v>10001852</v>
      </c>
      <c r="Z146" s="2">
        <f ca="1" t="shared" si="13"/>
        <v>10001914</v>
      </c>
      <c r="AA146" s="2">
        <f ca="1" t="shared" si="14"/>
        <v>10001989</v>
      </c>
    </row>
    <row r="147" spans="6:27">
      <c r="F147"/>
      <c r="Y147" s="2">
        <f ca="1" t="shared" si="12"/>
        <v>10001853</v>
      </c>
      <c r="Z147" s="2">
        <f ca="1" t="shared" si="13"/>
        <v>10001915</v>
      </c>
      <c r="AA147" s="2">
        <f ca="1" t="shared" si="14"/>
        <v>10001990</v>
      </c>
    </row>
    <row r="148" spans="6:27">
      <c r="F148"/>
      <c r="Y148" s="2" t="str">
        <f ca="1" t="shared" si="12"/>
        <v/>
      </c>
      <c r="Z148" s="2">
        <f ca="1" t="shared" si="13"/>
        <v>10001916</v>
      </c>
      <c r="AA148" s="2" t="str">
        <f ca="1" t="shared" si="14"/>
        <v/>
      </c>
    </row>
    <row r="149" spans="6:27">
      <c r="F149"/>
      <c r="Y149" s="2" t="str">
        <f ca="1" t="shared" si="12"/>
        <v/>
      </c>
      <c r="Z149" s="2" t="str">
        <f ca="1" t="shared" si="13"/>
        <v/>
      </c>
      <c r="AA149" s="2" t="str">
        <f ca="1" t="shared" si="14"/>
        <v/>
      </c>
    </row>
    <row r="150" spans="6:27">
      <c r="F150"/>
      <c r="Y150" s="2" t="str">
        <f ca="1" t="shared" si="12"/>
        <v/>
      </c>
      <c r="Z150" s="2" t="str">
        <f ca="1" t="shared" si="13"/>
        <v/>
      </c>
      <c r="AA150" s="2" t="str">
        <f ca="1" t="shared" si="14"/>
        <v/>
      </c>
    </row>
    <row r="151" spans="6:27">
      <c r="F151"/>
      <c r="Y151" s="2" t="str">
        <f ca="1" t="shared" si="12"/>
        <v/>
      </c>
      <c r="Z151" s="2" t="str">
        <f ca="1" t="shared" si="13"/>
        <v/>
      </c>
      <c r="AA151" s="2" t="str">
        <f ca="1" t="shared" si="14"/>
        <v/>
      </c>
    </row>
    <row r="152" spans="6:27">
      <c r="F152"/>
      <c r="Y152" s="2" t="str">
        <f ca="1" t="shared" si="12"/>
        <v/>
      </c>
      <c r="Z152" s="2" t="str">
        <f ca="1" t="shared" si="13"/>
        <v/>
      </c>
      <c r="AA152" s="2" t="str">
        <f ca="1" t="shared" si="14"/>
        <v/>
      </c>
    </row>
    <row r="153" spans="6:27">
      <c r="F153"/>
      <c r="Y153" s="2">
        <f ca="1" t="shared" si="12"/>
        <v>10001854</v>
      </c>
      <c r="Z153" s="2">
        <f ca="1" t="shared" si="13"/>
        <v>10001917</v>
      </c>
      <c r="AA153" s="2">
        <f ca="1" t="shared" si="14"/>
        <v>10001991</v>
      </c>
    </row>
    <row r="154" spans="6:27">
      <c r="F154"/>
      <c r="Y154" s="2">
        <f ca="1" t="shared" si="12"/>
        <v>10001855</v>
      </c>
      <c r="Z154" s="2">
        <f ca="1" t="shared" si="13"/>
        <v>10001918</v>
      </c>
      <c r="AA154" s="2">
        <f ca="1" t="shared" si="14"/>
        <v>10001992</v>
      </c>
    </row>
    <row r="155" spans="6:27">
      <c r="F155"/>
      <c r="Y155" s="2">
        <f ca="1" t="shared" si="12"/>
        <v>10001856</v>
      </c>
      <c r="Z155" s="2">
        <f ca="1" t="shared" si="13"/>
        <v>10001919</v>
      </c>
      <c r="AA155" s="2">
        <f ca="1" t="shared" si="14"/>
        <v>10001993</v>
      </c>
    </row>
    <row r="156" spans="6:27">
      <c r="F156"/>
      <c r="Y156" s="2">
        <f ca="1" t="shared" si="12"/>
        <v>10001857</v>
      </c>
      <c r="Z156" s="2">
        <f ca="1" t="shared" si="13"/>
        <v>10001920</v>
      </c>
      <c r="AA156" s="2">
        <f ca="1" t="shared" si="14"/>
        <v>10001994</v>
      </c>
    </row>
    <row r="157" spans="6:27">
      <c r="F157"/>
      <c r="Y157" s="2" t="str">
        <f ca="1" t="shared" si="12"/>
        <v/>
      </c>
      <c r="Z157" s="2">
        <f ca="1" t="shared" si="13"/>
        <v>10001921</v>
      </c>
      <c r="AA157" s="2" t="str">
        <f ca="1" t="shared" si="14"/>
        <v/>
      </c>
    </row>
    <row r="158" spans="6:27">
      <c r="F158"/>
      <c r="Y158" s="2" t="str">
        <f ca="1" t="shared" si="12"/>
        <v/>
      </c>
      <c r="Z158" s="2" t="str">
        <f ca="1" t="shared" si="13"/>
        <v/>
      </c>
      <c r="AA158" s="2" t="str">
        <f ca="1" t="shared" si="14"/>
        <v/>
      </c>
    </row>
    <row r="159" spans="6:27">
      <c r="F159"/>
      <c r="Y159" s="2" t="str">
        <f ca="1" t="shared" si="12"/>
        <v/>
      </c>
      <c r="Z159" s="2" t="str">
        <f ca="1" t="shared" si="13"/>
        <v/>
      </c>
      <c r="AA159" s="2" t="str">
        <f ca="1" t="shared" si="14"/>
        <v/>
      </c>
    </row>
    <row r="160" spans="6:27">
      <c r="F160"/>
      <c r="Y160" s="2" t="str">
        <f ca="1" t="shared" si="12"/>
        <v/>
      </c>
      <c r="Z160" s="2" t="str">
        <f ca="1" t="shared" si="13"/>
        <v/>
      </c>
      <c r="AA160" s="2" t="str">
        <f ca="1" t="shared" si="14"/>
        <v/>
      </c>
    </row>
    <row r="161" spans="6:27">
      <c r="F161"/>
      <c r="Y161" s="2">
        <f ca="1" t="shared" si="12"/>
        <v>10001858</v>
      </c>
      <c r="Z161" s="2">
        <f ca="1" t="shared" si="13"/>
        <v>10001922</v>
      </c>
      <c r="AA161" s="2">
        <f ca="1" t="shared" si="14"/>
        <v>10001995</v>
      </c>
    </row>
    <row r="162" spans="6:27">
      <c r="F162"/>
      <c r="Y162" s="2">
        <f ca="1" t="shared" si="12"/>
        <v>10001859</v>
      </c>
      <c r="Z162" s="2">
        <f ca="1" t="shared" si="13"/>
        <v>10001923</v>
      </c>
      <c r="AA162" s="2">
        <f ca="1" t="shared" si="14"/>
        <v>10001996</v>
      </c>
    </row>
    <row r="163" spans="6:27">
      <c r="F163"/>
      <c r="Y163" s="2">
        <f ca="1" t="shared" si="12"/>
        <v>10001860</v>
      </c>
      <c r="Z163" s="2">
        <f ca="1" t="shared" si="13"/>
        <v>10001924</v>
      </c>
      <c r="AA163" s="2">
        <f ca="1" t="shared" si="14"/>
        <v>10001997</v>
      </c>
    </row>
    <row r="164" spans="6:27">
      <c r="F164"/>
      <c r="Y164" s="2">
        <f ca="1" t="shared" si="12"/>
        <v>10001861</v>
      </c>
      <c r="Z164" s="2">
        <f ca="1" t="shared" si="13"/>
        <v>10001925</v>
      </c>
      <c r="AA164" s="2">
        <f ca="1" t="shared" si="14"/>
        <v>10001998</v>
      </c>
    </row>
    <row r="165" spans="6:27">
      <c r="F165"/>
      <c r="Y165" s="2" t="str">
        <f ca="1" t="shared" si="12"/>
        <v/>
      </c>
      <c r="Z165" s="2">
        <f ca="1" t="shared" si="13"/>
        <v>10001926</v>
      </c>
      <c r="AA165" s="2" t="str">
        <f ca="1" t="shared" si="14"/>
        <v/>
      </c>
    </row>
    <row r="166" spans="6:27">
      <c r="F166"/>
      <c r="Y166" s="2" t="str">
        <f ca="1" t="shared" si="12"/>
        <v/>
      </c>
      <c r="Z166" s="2" t="str">
        <f ca="1" t="shared" si="13"/>
        <v/>
      </c>
      <c r="AA166" s="2" t="str">
        <f ca="1" t="shared" si="14"/>
        <v/>
      </c>
    </row>
    <row r="167" spans="6:27">
      <c r="F167"/>
      <c r="Y167" s="2" t="str">
        <f ca="1" t="shared" si="12"/>
        <v/>
      </c>
      <c r="Z167" s="2" t="str">
        <f ca="1" t="shared" si="13"/>
        <v/>
      </c>
      <c r="AA167" s="2" t="str">
        <f ca="1" t="shared" si="14"/>
        <v/>
      </c>
    </row>
    <row r="168" spans="6:27">
      <c r="F168"/>
      <c r="Y168" s="2" t="str">
        <f ca="1" t="shared" si="12"/>
        <v/>
      </c>
      <c r="Z168" s="2" t="str">
        <f ca="1" t="shared" si="13"/>
        <v/>
      </c>
      <c r="AA168" s="2" t="str">
        <f ca="1" t="shared" si="14"/>
        <v/>
      </c>
    </row>
    <row r="169" spans="6:27">
      <c r="F169"/>
      <c r="Y169" s="2">
        <f ca="1" t="shared" ref="Y169:Y200" si="15">Z49</f>
        <v>10001862</v>
      </c>
      <c r="Z169" s="2">
        <f ca="1" t="shared" ref="Z169:Z200" si="16">AA49</f>
        <v>10001927</v>
      </c>
      <c r="AA169" s="2">
        <f ca="1" t="shared" ref="AA169:AA200" si="17">AB49</f>
        <v>10001999</v>
      </c>
    </row>
    <row r="170" spans="6:27">
      <c r="F170"/>
      <c r="Y170" s="2">
        <f ca="1" t="shared" si="15"/>
        <v>10001863</v>
      </c>
      <c r="Z170" s="2">
        <f ca="1" t="shared" si="16"/>
        <v>10001928</v>
      </c>
      <c r="AA170" s="2">
        <f ca="1" t="shared" si="17"/>
        <v>10002000</v>
      </c>
    </row>
    <row r="171" spans="6:27">
      <c r="F171"/>
      <c r="Y171" s="2">
        <f ca="1" t="shared" si="15"/>
        <v>10001864</v>
      </c>
      <c r="Z171" s="2">
        <f ca="1" t="shared" si="16"/>
        <v>10001929</v>
      </c>
      <c r="AA171" s="2">
        <f ca="1" t="shared" si="17"/>
        <v>10002001</v>
      </c>
    </row>
    <row r="172" spans="6:27">
      <c r="F172"/>
      <c r="Y172" s="2">
        <f ca="1" t="shared" si="15"/>
        <v>10001865</v>
      </c>
      <c r="Z172" s="2">
        <f ca="1" t="shared" si="16"/>
        <v>10001930</v>
      </c>
      <c r="AA172" s="2">
        <f ca="1" t="shared" si="17"/>
        <v>10002002</v>
      </c>
    </row>
    <row r="173" spans="6:27">
      <c r="F173"/>
      <c r="Y173" s="2" t="str">
        <f ca="1" t="shared" si="15"/>
        <v/>
      </c>
      <c r="Z173" s="2">
        <f ca="1" t="shared" si="16"/>
        <v>10001931</v>
      </c>
      <c r="AA173" s="2" t="str">
        <f ca="1" t="shared" si="17"/>
        <v/>
      </c>
    </row>
    <row r="174" spans="6:27">
      <c r="F174"/>
      <c r="Y174" s="2" t="str">
        <f ca="1" t="shared" si="15"/>
        <v/>
      </c>
      <c r="Z174" s="2" t="str">
        <f ca="1" t="shared" si="16"/>
        <v/>
      </c>
      <c r="AA174" s="2" t="str">
        <f ca="1" t="shared" si="17"/>
        <v/>
      </c>
    </row>
    <row r="175" spans="6:27">
      <c r="F175"/>
      <c r="Y175" s="2" t="str">
        <f ca="1" t="shared" si="15"/>
        <v/>
      </c>
      <c r="Z175" s="2" t="str">
        <f ca="1" t="shared" si="16"/>
        <v/>
      </c>
      <c r="AA175" s="2" t="str">
        <f ca="1" t="shared" si="17"/>
        <v/>
      </c>
    </row>
    <row r="176" spans="6:27">
      <c r="F176"/>
      <c r="Y176" s="2" t="str">
        <f ca="1" t="shared" si="15"/>
        <v/>
      </c>
      <c r="Z176" s="2" t="str">
        <f ca="1" t="shared" si="16"/>
        <v/>
      </c>
      <c r="AA176" s="2" t="str">
        <f ca="1" t="shared" si="17"/>
        <v/>
      </c>
    </row>
    <row r="177" spans="6:27">
      <c r="F177"/>
      <c r="Y177" s="2">
        <f ca="1" t="shared" si="15"/>
        <v>10001866</v>
      </c>
      <c r="Z177" s="2">
        <f ca="1" t="shared" si="16"/>
        <v>10001932</v>
      </c>
      <c r="AA177" s="2">
        <f ca="1" t="shared" si="17"/>
        <v>10002003</v>
      </c>
    </row>
    <row r="178" spans="6:27">
      <c r="F178"/>
      <c r="Y178" s="2">
        <f ca="1" t="shared" si="15"/>
        <v>10001867</v>
      </c>
      <c r="Z178" s="2">
        <f ca="1" t="shared" si="16"/>
        <v>10001933</v>
      </c>
      <c r="AA178" s="2">
        <f ca="1" t="shared" si="17"/>
        <v>10002004</v>
      </c>
    </row>
    <row r="179" spans="6:27">
      <c r="F179"/>
      <c r="Y179" s="2">
        <f ca="1" t="shared" si="15"/>
        <v>10001868</v>
      </c>
      <c r="Z179" s="2">
        <f ca="1" t="shared" si="16"/>
        <v>10001934</v>
      </c>
      <c r="AA179" s="2">
        <f ca="1" t="shared" si="17"/>
        <v>10002005</v>
      </c>
    </row>
    <row r="180" spans="6:27">
      <c r="F180"/>
      <c r="Y180" s="2">
        <f ca="1" t="shared" si="15"/>
        <v>10001869</v>
      </c>
      <c r="Z180" s="2">
        <f ca="1" t="shared" si="16"/>
        <v>10001935</v>
      </c>
      <c r="AA180" s="2">
        <f ca="1" t="shared" si="17"/>
        <v>10002006</v>
      </c>
    </row>
    <row r="181" spans="6:27">
      <c r="F181"/>
      <c r="Y181" s="2">
        <f ca="1" t="shared" si="15"/>
        <v>10001870</v>
      </c>
      <c r="Z181" s="2">
        <f ca="1" t="shared" si="16"/>
        <v>10001936</v>
      </c>
      <c r="AA181" s="2">
        <f ca="1" t="shared" si="17"/>
        <v>10002007</v>
      </c>
    </row>
    <row r="182" spans="6:27">
      <c r="F182"/>
      <c r="Y182" s="2" t="str">
        <f ca="1" t="shared" si="15"/>
        <v/>
      </c>
      <c r="Z182" s="2">
        <f ca="1" t="shared" si="16"/>
        <v>10001937</v>
      </c>
      <c r="AA182" s="2" t="str">
        <f ca="1" t="shared" si="17"/>
        <v/>
      </c>
    </row>
    <row r="183" spans="6:27">
      <c r="F183"/>
      <c r="Y183" s="2" t="str">
        <f ca="1" t="shared" si="15"/>
        <v/>
      </c>
      <c r="Z183" s="2" t="str">
        <f ca="1" t="shared" si="16"/>
        <v/>
      </c>
      <c r="AA183" s="2" t="str">
        <f ca="1" t="shared" si="17"/>
        <v/>
      </c>
    </row>
    <row r="184" spans="6:27">
      <c r="F184"/>
      <c r="Y184" s="2" t="str">
        <f ca="1" t="shared" si="15"/>
        <v/>
      </c>
      <c r="Z184" s="2" t="str">
        <f ca="1" t="shared" si="16"/>
        <v/>
      </c>
      <c r="AA184" s="2" t="str">
        <f ca="1" t="shared" si="17"/>
        <v/>
      </c>
    </row>
    <row r="185" spans="6:27">
      <c r="F185"/>
      <c r="Y185" s="2" t="str">
        <f ca="1" t="shared" si="15"/>
        <v/>
      </c>
      <c r="Z185" s="2" t="str">
        <f ca="1" t="shared" si="16"/>
        <v/>
      </c>
      <c r="AA185" s="2" t="str">
        <f ca="1" t="shared" si="17"/>
        <v/>
      </c>
    </row>
    <row r="186" spans="6:27">
      <c r="F186"/>
      <c r="Y186" s="2">
        <f ca="1" t="shared" si="15"/>
        <v>10001871</v>
      </c>
      <c r="Z186" s="2">
        <f ca="1" t="shared" si="16"/>
        <v>10001938</v>
      </c>
      <c r="AA186" s="2">
        <f ca="1" t="shared" si="17"/>
        <v>10002008</v>
      </c>
    </row>
    <row r="187" spans="6:27">
      <c r="F187"/>
      <c r="Y187" s="2">
        <f ca="1" t="shared" si="15"/>
        <v>10001872</v>
      </c>
      <c r="Z187" s="2">
        <f ca="1" t="shared" si="16"/>
        <v>10001939</v>
      </c>
      <c r="AA187" s="2">
        <f ca="1" t="shared" si="17"/>
        <v>10002009</v>
      </c>
    </row>
    <row r="188" spans="6:27">
      <c r="F188"/>
      <c r="Y188" s="2">
        <f ca="1" t="shared" si="15"/>
        <v>10001873</v>
      </c>
      <c r="Z188" s="2">
        <f ca="1" t="shared" si="16"/>
        <v>10001940</v>
      </c>
      <c r="AA188" s="2">
        <f ca="1" t="shared" si="17"/>
        <v>10002010</v>
      </c>
    </row>
    <row r="189" spans="6:27">
      <c r="F189"/>
      <c r="Y189" s="2">
        <f ca="1" t="shared" si="15"/>
        <v>10001874</v>
      </c>
      <c r="Z189" s="2">
        <f ca="1" t="shared" si="16"/>
        <v>10001941</v>
      </c>
      <c r="AA189" s="2">
        <f ca="1" t="shared" si="17"/>
        <v>10002011</v>
      </c>
    </row>
    <row r="190" spans="6:27">
      <c r="F190"/>
      <c r="Y190" s="2" t="str">
        <f ca="1" t="shared" si="15"/>
        <v/>
      </c>
      <c r="Z190" s="2">
        <f ca="1" t="shared" si="16"/>
        <v>10001942</v>
      </c>
      <c r="AA190" s="2" t="str">
        <f ca="1" t="shared" si="17"/>
        <v/>
      </c>
    </row>
    <row r="191" spans="6:27">
      <c r="F191"/>
      <c r="Y191" s="2" t="str">
        <f ca="1" t="shared" si="15"/>
        <v/>
      </c>
      <c r="Z191" s="2" t="str">
        <f ca="1" t="shared" si="16"/>
        <v/>
      </c>
      <c r="AA191" s="2" t="str">
        <f ca="1" t="shared" si="17"/>
        <v/>
      </c>
    </row>
    <row r="192" spans="6:27">
      <c r="F192"/>
      <c r="Y192" s="2" t="str">
        <f ca="1" t="shared" si="15"/>
        <v/>
      </c>
      <c r="Z192" s="2" t="str">
        <f ca="1" t="shared" si="16"/>
        <v/>
      </c>
      <c r="AA192" s="2" t="str">
        <f ca="1" t="shared" si="17"/>
        <v/>
      </c>
    </row>
    <row r="193" spans="6:27">
      <c r="F193"/>
      <c r="Y193" s="2" t="str">
        <f ca="1" t="shared" si="15"/>
        <v/>
      </c>
      <c r="Z193" s="2" t="str">
        <f ca="1" t="shared" si="16"/>
        <v/>
      </c>
      <c r="AA193" s="2" t="str">
        <f ca="1" t="shared" si="17"/>
        <v/>
      </c>
    </row>
    <row r="194" spans="6:27">
      <c r="F194"/>
      <c r="Y194" s="2">
        <f ca="1" t="shared" si="15"/>
        <v>10001875</v>
      </c>
      <c r="Z194" s="2">
        <f ca="1" t="shared" si="16"/>
        <v>10001943</v>
      </c>
      <c r="AA194" s="2">
        <f ca="1" t="shared" si="17"/>
        <v>10002012</v>
      </c>
    </row>
    <row r="195" spans="6:27">
      <c r="F195"/>
      <c r="Y195" s="2">
        <f ca="1" t="shared" si="15"/>
        <v>10001876</v>
      </c>
      <c r="Z195" s="2">
        <f ca="1" t="shared" si="16"/>
        <v>10001944</v>
      </c>
      <c r="AA195" s="2">
        <f ca="1" t="shared" si="17"/>
        <v>10002013</v>
      </c>
    </row>
    <row r="196" spans="6:27">
      <c r="F196"/>
      <c r="Y196" s="2">
        <f ca="1" t="shared" si="15"/>
        <v>10001877</v>
      </c>
      <c r="Z196" s="2">
        <f ca="1" t="shared" si="16"/>
        <v>10001945</v>
      </c>
      <c r="AA196" s="2">
        <f ca="1" t="shared" si="17"/>
        <v>10002014</v>
      </c>
    </row>
    <row r="197" spans="6:27">
      <c r="F197"/>
      <c r="Y197" s="2">
        <f ca="1" t="shared" si="15"/>
        <v>10001878</v>
      </c>
      <c r="Z197" s="2">
        <f ca="1" t="shared" si="16"/>
        <v>10001946</v>
      </c>
      <c r="AA197" s="2">
        <f ca="1" t="shared" si="17"/>
        <v>10002015</v>
      </c>
    </row>
    <row r="198" spans="6:27">
      <c r="F198"/>
      <c r="Y198" s="2" t="str">
        <f ca="1" t="shared" si="15"/>
        <v/>
      </c>
      <c r="Z198" s="2">
        <f ca="1" t="shared" si="16"/>
        <v>10001947</v>
      </c>
      <c r="AA198" s="2" t="str">
        <f ca="1" t="shared" si="17"/>
        <v/>
      </c>
    </row>
    <row r="199" spans="6:27">
      <c r="F199"/>
      <c r="Y199" s="2" t="str">
        <f ca="1" t="shared" si="15"/>
        <v/>
      </c>
      <c r="Z199" s="2" t="str">
        <f ca="1" t="shared" si="16"/>
        <v/>
      </c>
      <c r="AA199" s="2" t="str">
        <f ca="1" t="shared" si="17"/>
        <v/>
      </c>
    </row>
    <row r="200" spans="6:27">
      <c r="F200"/>
      <c r="Y200" s="2" t="str">
        <f ca="1" t="shared" si="15"/>
        <v/>
      </c>
      <c r="Z200" s="2" t="str">
        <f ca="1" t="shared" si="16"/>
        <v/>
      </c>
      <c r="AA200" s="2" t="str">
        <f ca="1" t="shared" si="17"/>
        <v/>
      </c>
    </row>
    <row r="201" spans="6:27">
      <c r="F201"/>
      <c r="Y201" s="2" t="str">
        <f ca="1" t="shared" ref="Y201:Y232" si="18">Z81</f>
        <v/>
      </c>
      <c r="Z201" s="2" t="str">
        <f ca="1" t="shared" ref="Z201:Z232" si="19">AA81</f>
        <v/>
      </c>
      <c r="AA201" s="2" t="str">
        <f ca="1" t="shared" ref="AA201:AA232" si="20">AB81</f>
        <v/>
      </c>
    </row>
    <row r="202" spans="6:27">
      <c r="F202"/>
      <c r="Y202" s="2">
        <f ca="1" t="shared" si="18"/>
        <v>10001879</v>
      </c>
      <c r="Z202" s="2">
        <f ca="1" t="shared" si="19"/>
        <v>10001948</v>
      </c>
      <c r="AA202" s="2">
        <f ca="1" t="shared" si="20"/>
        <v>10002016</v>
      </c>
    </row>
    <row r="203" spans="6:27">
      <c r="F203"/>
      <c r="Y203" s="2">
        <f ca="1" t="shared" si="18"/>
        <v>10001880</v>
      </c>
      <c r="Z203" s="2">
        <f ca="1" t="shared" si="19"/>
        <v>10001949</v>
      </c>
      <c r="AA203" s="2">
        <f ca="1" t="shared" si="20"/>
        <v>10002017</v>
      </c>
    </row>
    <row r="204" spans="6:27">
      <c r="F204"/>
      <c r="Y204" s="2">
        <f ca="1" t="shared" si="18"/>
        <v>10001881</v>
      </c>
      <c r="Z204" s="2">
        <f ca="1" t="shared" si="19"/>
        <v>10001950</v>
      </c>
      <c r="AA204" s="2">
        <f ca="1" t="shared" si="20"/>
        <v>10002018</v>
      </c>
    </row>
    <row r="205" spans="6:27">
      <c r="F205"/>
      <c r="Y205" s="2">
        <f ca="1" t="shared" si="18"/>
        <v>10001882</v>
      </c>
      <c r="Z205" s="2">
        <f ca="1" t="shared" si="19"/>
        <v>10001951</v>
      </c>
      <c r="AA205" s="2">
        <f ca="1" t="shared" si="20"/>
        <v>10002019</v>
      </c>
    </row>
    <row r="206" spans="6:27">
      <c r="F206"/>
      <c r="Y206" s="2" t="str">
        <f ca="1" t="shared" si="18"/>
        <v/>
      </c>
      <c r="Z206" s="2">
        <f ca="1" t="shared" si="19"/>
        <v>10001952</v>
      </c>
      <c r="AA206" s="2" t="str">
        <f ca="1" t="shared" si="20"/>
        <v/>
      </c>
    </row>
    <row r="207" spans="6:27">
      <c r="F207"/>
      <c r="Y207" s="2" t="str">
        <f ca="1" t="shared" si="18"/>
        <v/>
      </c>
      <c r="Z207" s="2" t="str">
        <f ca="1" t="shared" si="19"/>
        <v/>
      </c>
      <c r="AA207" s="2" t="str">
        <f ca="1" t="shared" si="20"/>
        <v/>
      </c>
    </row>
    <row r="208" spans="6:27">
      <c r="F208"/>
      <c r="Y208" s="2" t="str">
        <f ca="1" t="shared" si="18"/>
        <v/>
      </c>
      <c r="Z208" s="2" t="str">
        <f ca="1" t="shared" si="19"/>
        <v/>
      </c>
      <c r="AA208" s="2" t="str">
        <f ca="1" t="shared" si="20"/>
        <v/>
      </c>
    </row>
    <row r="209" spans="6:27">
      <c r="F209"/>
      <c r="Y209" s="2" t="str">
        <f ca="1" t="shared" si="18"/>
        <v/>
      </c>
      <c r="Z209" s="2" t="str">
        <f ca="1" t="shared" si="19"/>
        <v/>
      </c>
      <c r="AA209" s="2" t="str">
        <f ca="1" t="shared" si="20"/>
        <v/>
      </c>
    </row>
    <row r="210" spans="6:27">
      <c r="F210"/>
      <c r="Y210" s="2">
        <f ca="1" t="shared" si="18"/>
        <v>10001883</v>
      </c>
      <c r="Z210" s="2">
        <f ca="1" t="shared" si="19"/>
        <v>10001953</v>
      </c>
      <c r="AA210" s="2">
        <f ca="1" t="shared" si="20"/>
        <v>10002020</v>
      </c>
    </row>
    <row r="211" spans="6:27">
      <c r="F211"/>
      <c r="Y211" s="2">
        <f ca="1" t="shared" si="18"/>
        <v>10001884</v>
      </c>
      <c r="Z211" s="2">
        <f ca="1" t="shared" si="19"/>
        <v>10001954</v>
      </c>
      <c r="AA211" s="2">
        <f ca="1" t="shared" si="20"/>
        <v>10002021</v>
      </c>
    </row>
    <row r="212" spans="6:27">
      <c r="F212"/>
      <c r="Y212" s="2">
        <f ca="1" t="shared" si="18"/>
        <v>10001885</v>
      </c>
      <c r="Z212" s="2">
        <f ca="1" t="shared" si="19"/>
        <v>10001955</v>
      </c>
      <c r="AA212" s="2">
        <f ca="1" t="shared" si="20"/>
        <v>10002022</v>
      </c>
    </row>
    <row r="213" spans="6:27">
      <c r="F213"/>
      <c r="Y213" s="2">
        <f ca="1" t="shared" si="18"/>
        <v>10001886</v>
      </c>
      <c r="Z213" s="2">
        <f ca="1" t="shared" si="19"/>
        <v>10001956</v>
      </c>
      <c r="AA213" s="2">
        <f ca="1" t="shared" si="20"/>
        <v>10002023</v>
      </c>
    </row>
    <row r="214" spans="6:27">
      <c r="F214"/>
      <c r="Y214" s="2">
        <f ca="1" t="shared" si="18"/>
        <v>10001887</v>
      </c>
      <c r="Z214" s="2">
        <f ca="1" t="shared" si="19"/>
        <v>10001957</v>
      </c>
      <c r="AA214" s="2">
        <f ca="1" t="shared" si="20"/>
        <v>10002024</v>
      </c>
    </row>
    <row r="215" spans="6:27">
      <c r="F215"/>
      <c r="Y215" s="2" t="str">
        <f ca="1" t="shared" si="18"/>
        <v/>
      </c>
      <c r="Z215" s="2">
        <f ca="1" t="shared" si="19"/>
        <v>10001958</v>
      </c>
      <c r="AA215" s="2" t="str">
        <f ca="1" t="shared" si="20"/>
        <v/>
      </c>
    </row>
    <row r="216" spans="6:27">
      <c r="F216"/>
      <c r="Y216" s="2" t="str">
        <f ca="1" t="shared" si="18"/>
        <v/>
      </c>
      <c r="Z216" s="2" t="str">
        <f ca="1" t="shared" si="19"/>
        <v/>
      </c>
      <c r="AA216" s="2" t="str">
        <f ca="1" t="shared" si="20"/>
        <v/>
      </c>
    </row>
    <row r="217" spans="6:27">
      <c r="F217"/>
      <c r="Y217" s="2" t="str">
        <f ca="1" t="shared" si="18"/>
        <v/>
      </c>
      <c r="Z217" s="2" t="str">
        <f ca="1" t="shared" si="19"/>
        <v/>
      </c>
      <c r="AA217" s="2" t="str">
        <f ca="1" t="shared" si="20"/>
        <v/>
      </c>
    </row>
    <row r="218" spans="6:27">
      <c r="F218"/>
      <c r="Y218" s="2" t="str">
        <f ca="1" t="shared" si="18"/>
        <v/>
      </c>
      <c r="Z218" s="2" t="str">
        <f ca="1" t="shared" si="19"/>
        <v/>
      </c>
      <c r="AA218" s="2" t="str">
        <f ca="1" t="shared" si="20"/>
        <v/>
      </c>
    </row>
    <row r="219" spans="6:27">
      <c r="F219"/>
      <c r="Y219" s="2">
        <f ca="1" t="shared" si="18"/>
        <v>10001888</v>
      </c>
      <c r="Z219" s="2">
        <f ca="1" t="shared" si="19"/>
        <v>10001959</v>
      </c>
      <c r="AA219" s="2">
        <f ca="1" t="shared" si="20"/>
        <v>10002025</v>
      </c>
    </row>
    <row r="220" spans="6:27">
      <c r="F220"/>
      <c r="Y220" s="2">
        <f ca="1" t="shared" si="18"/>
        <v>10001889</v>
      </c>
      <c r="Z220" s="2">
        <f ca="1" t="shared" si="19"/>
        <v>10001960</v>
      </c>
      <c r="AA220" s="2">
        <f ca="1" t="shared" si="20"/>
        <v>10002026</v>
      </c>
    </row>
    <row r="221" spans="6:27">
      <c r="F221"/>
      <c r="Y221" s="2">
        <f ca="1" t="shared" si="18"/>
        <v>10001890</v>
      </c>
      <c r="Z221" s="2">
        <f ca="1" t="shared" si="19"/>
        <v>10001961</v>
      </c>
      <c r="AA221" s="2">
        <f ca="1" t="shared" si="20"/>
        <v>10002027</v>
      </c>
    </row>
    <row r="222" spans="6:27">
      <c r="F222"/>
      <c r="Y222" s="2">
        <f ca="1" t="shared" si="18"/>
        <v>10001891</v>
      </c>
      <c r="Z222" s="2">
        <f ca="1" t="shared" si="19"/>
        <v>10001962</v>
      </c>
      <c r="AA222" s="2">
        <f ca="1" t="shared" si="20"/>
        <v>10002028</v>
      </c>
    </row>
    <row r="223" spans="6:27">
      <c r="F223"/>
      <c r="Y223" s="2" t="str">
        <f ca="1" t="shared" si="18"/>
        <v/>
      </c>
      <c r="Z223" s="2">
        <f ca="1" t="shared" si="19"/>
        <v>10001963</v>
      </c>
      <c r="AA223" s="2" t="str">
        <f ca="1" t="shared" si="20"/>
        <v/>
      </c>
    </row>
    <row r="224" spans="6:27">
      <c r="F224"/>
      <c r="Y224" s="2" t="str">
        <f ca="1" t="shared" si="18"/>
        <v/>
      </c>
      <c r="Z224" s="2" t="str">
        <f ca="1" t="shared" si="19"/>
        <v/>
      </c>
      <c r="AA224" s="2" t="str">
        <f ca="1" t="shared" si="20"/>
        <v/>
      </c>
    </row>
    <row r="225" spans="6:27">
      <c r="F225"/>
      <c r="Y225" s="2" t="str">
        <f ca="1" t="shared" si="18"/>
        <v/>
      </c>
      <c r="Z225" s="2" t="str">
        <f ca="1" t="shared" si="19"/>
        <v/>
      </c>
      <c r="AA225" s="2" t="str">
        <f ca="1" t="shared" si="20"/>
        <v/>
      </c>
    </row>
    <row r="226" spans="6:27">
      <c r="F226"/>
      <c r="Y226" s="2" t="str">
        <f ca="1" t="shared" si="18"/>
        <v/>
      </c>
      <c r="Z226" s="2" t="str">
        <f ca="1" t="shared" si="19"/>
        <v/>
      </c>
      <c r="AA226" s="2" t="str">
        <f ca="1" t="shared" si="20"/>
        <v/>
      </c>
    </row>
    <row r="227" spans="6:27">
      <c r="F227"/>
      <c r="Y227" s="2">
        <f ca="1" t="shared" si="18"/>
        <v>10001892</v>
      </c>
      <c r="Z227" s="2">
        <f ca="1" t="shared" si="19"/>
        <v>10001964</v>
      </c>
      <c r="AA227" s="2">
        <f ca="1" t="shared" si="20"/>
        <v>10002029</v>
      </c>
    </row>
    <row r="228" spans="6:27">
      <c r="F228"/>
      <c r="Y228" s="2">
        <f ca="1" t="shared" si="18"/>
        <v>10001893</v>
      </c>
      <c r="Z228" s="2">
        <f ca="1" t="shared" si="19"/>
        <v>10001965</v>
      </c>
      <c r="AA228" s="2">
        <f ca="1" t="shared" si="20"/>
        <v>10002030</v>
      </c>
    </row>
    <row r="229" spans="6:27">
      <c r="F229"/>
      <c r="Y229" s="2">
        <f ca="1" t="shared" si="18"/>
        <v>10001894</v>
      </c>
      <c r="Z229" s="2">
        <f ca="1" t="shared" si="19"/>
        <v>10001966</v>
      </c>
      <c r="AA229" s="2">
        <f ca="1" t="shared" si="20"/>
        <v>10002031</v>
      </c>
    </row>
    <row r="230" spans="6:27">
      <c r="F230"/>
      <c r="Y230" s="2">
        <f ca="1" t="shared" si="18"/>
        <v>10001895</v>
      </c>
      <c r="Z230" s="2">
        <f ca="1" t="shared" si="19"/>
        <v>10001967</v>
      </c>
      <c r="AA230" s="2">
        <f ca="1" t="shared" si="20"/>
        <v>10002032</v>
      </c>
    </row>
    <row r="231" spans="6:27">
      <c r="F231"/>
      <c r="Y231" s="2" t="str">
        <f ca="1" t="shared" si="18"/>
        <v/>
      </c>
      <c r="Z231" s="2">
        <f ca="1" t="shared" si="19"/>
        <v>10001968</v>
      </c>
      <c r="AA231" s="2" t="str">
        <f ca="1" t="shared" si="20"/>
        <v/>
      </c>
    </row>
    <row r="232" spans="6:27">
      <c r="F232"/>
      <c r="Y232" s="2" t="str">
        <f ca="1" t="shared" si="18"/>
        <v/>
      </c>
      <c r="Z232" s="2" t="str">
        <f ca="1" t="shared" si="19"/>
        <v/>
      </c>
      <c r="AA232" s="2" t="str">
        <f ca="1" t="shared" si="20"/>
        <v/>
      </c>
    </row>
    <row r="233" spans="6:27">
      <c r="F233"/>
      <c r="Y233" s="2" t="str">
        <f ca="1" t="shared" ref="Y233:Y264" si="21">Z113</f>
        <v/>
      </c>
      <c r="Z233" s="2" t="str">
        <f ca="1" t="shared" ref="Z233:Z264" si="22">AA113</f>
        <v/>
      </c>
      <c r="AA233" s="2" t="str">
        <f ca="1" t="shared" ref="AA233:AA264" si="23">AB113</f>
        <v/>
      </c>
    </row>
    <row r="234" spans="6:27">
      <c r="F234"/>
      <c r="Y234" s="2" t="str">
        <f ca="1" t="shared" si="21"/>
        <v/>
      </c>
      <c r="Z234" s="2" t="str">
        <f ca="1" t="shared" si="22"/>
        <v/>
      </c>
      <c r="AA234" s="2" t="str">
        <f ca="1" t="shared" si="23"/>
        <v/>
      </c>
    </row>
    <row r="235" spans="6:27">
      <c r="F235"/>
      <c r="Y235" s="2">
        <f ca="1" t="shared" si="21"/>
        <v>10001896</v>
      </c>
      <c r="Z235" s="2">
        <f ca="1" t="shared" si="22"/>
        <v>10001969</v>
      </c>
      <c r="AA235" s="2">
        <f ca="1" t="shared" si="23"/>
        <v>10002033</v>
      </c>
    </row>
    <row r="236" spans="6:27">
      <c r="F236"/>
      <c r="Y236" s="2">
        <f ca="1" t="shared" si="21"/>
        <v>10001897</v>
      </c>
      <c r="Z236" s="2">
        <f ca="1" t="shared" si="22"/>
        <v>10001970</v>
      </c>
      <c r="AA236" s="2">
        <f ca="1" t="shared" si="23"/>
        <v>10002034</v>
      </c>
    </row>
    <row r="237" spans="6:27">
      <c r="F237"/>
      <c r="Y237" s="2">
        <f ca="1" t="shared" si="21"/>
        <v>10001898</v>
      </c>
      <c r="Z237" s="2">
        <f ca="1" t="shared" si="22"/>
        <v>10001971</v>
      </c>
      <c r="AA237" s="2">
        <f ca="1" t="shared" si="23"/>
        <v>10002035</v>
      </c>
    </row>
    <row r="238" spans="6:27">
      <c r="F238"/>
      <c r="Y238" s="2">
        <f ca="1" t="shared" si="21"/>
        <v>10001899</v>
      </c>
      <c r="Z238" s="2">
        <f ca="1" t="shared" si="22"/>
        <v>10001972</v>
      </c>
      <c r="AA238" s="2">
        <f ca="1" t="shared" si="23"/>
        <v>10002036</v>
      </c>
    </row>
    <row r="239" spans="6:27">
      <c r="F239"/>
      <c r="Y239" s="2" t="str">
        <f ca="1" t="shared" si="21"/>
        <v/>
      </c>
      <c r="Z239" s="2">
        <f ca="1" t="shared" si="22"/>
        <v>10001973</v>
      </c>
      <c r="AA239" s="2" t="str">
        <f ca="1" t="shared" si="23"/>
        <v/>
      </c>
    </row>
    <row r="240" spans="6:27">
      <c r="Y240" s="2" t="str">
        <f ca="1" t="shared" si="21"/>
        <v/>
      </c>
      <c r="Z240" s="2" t="str">
        <f ca="1" t="shared" si="22"/>
        <v/>
      </c>
      <c r="AA240" s="2" t="str">
        <f ca="1" t="shared" si="23"/>
        <v/>
      </c>
    </row>
    <row r="241" spans="25:27">
      <c r="Y241" s="2" t="str">
        <f ca="1" t="shared" si="21"/>
        <v/>
      </c>
      <c r="Z241" s="2" t="str">
        <f ca="1" t="shared" si="22"/>
        <v/>
      </c>
      <c r="AA241" s="2" t="str">
        <f ca="1" t="shared" si="23"/>
        <v/>
      </c>
    </row>
    <row r="242" spans="25:27">
      <c r="Y242" s="2" t="str">
        <f ca="1" t="shared" si="21"/>
        <v/>
      </c>
      <c r="Z242" s="2" t="str">
        <f ca="1" t="shared" si="22"/>
        <v/>
      </c>
      <c r="AA242" s="2" t="str">
        <f ca="1" t="shared" si="23"/>
        <v/>
      </c>
    </row>
    <row r="243" spans="25:27">
      <c r="Y243" s="2">
        <f ca="1" t="shared" si="21"/>
        <v>10001900</v>
      </c>
      <c r="Z243" s="2">
        <f ca="1" t="shared" si="22"/>
        <v>10001974</v>
      </c>
      <c r="AA243" s="2">
        <f ca="1" t="shared" si="23"/>
        <v>10002037</v>
      </c>
    </row>
    <row r="244" spans="25:27">
      <c r="Y244" s="2">
        <f ca="1" t="shared" si="21"/>
        <v>10001901</v>
      </c>
      <c r="Z244" s="2">
        <f ca="1" t="shared" si="22"/>
        <v>10001975</v>
      </c>
      <c r="AA244" s="2">
        <f ca="1" t="shared" si="23"/>
        <v>10002038</v>
      </c>
    </row>
    <row r="245" spans="25:27">
      <c r="Y245" s="2">
        <f ca="1" t="shared" si="21"/>
        <v>10001902</v>
      </c>
      <c r="Z245" s="2">
        <f ca="1" t="shared" si="22"/>
        <v>10001976</v>
      </c>
      <c r="AA245" s="2">
        <f ca="1" t="shared" si="23"/>
        <v>10002039</v>
      </c>
    </row>
    <row r="246" spans="25:27">
      <c r="Y246" s="2">
        <f ca="1" t="shared" si="21"/>
        <v>10001903</v>
      </c>
      <c r="Z246" s="2">
        <f ca="1" t="shared" si="22"/>
        <v>10001977</v>
      </c>
      <c r="AA246" s="2">
        <f ca="1" t="shared" si="23"/>
        <v>10002040</v>
      </c>
    </row>
    <row r="247" spans="25:27">
      <c r="Y247" s="2" t="str">
        <f ca="1" t="shared" si="21"/>
        <v/>
      </c>
      <c r="Z247" s="2">
        <f ca="1" t="shared" si="22"/>
        <v>10001978</v>
      </c>
      <c r="AA247" s="2" t="str">
        <f ca="1" t="shared" si="23"/>
        <v/>
      </c>
    </row>
    <row r="248" spans="25:27">
      <c r="Y248" s="2" t="str">
        <f ca="1" t="shared" si="21"/>
        <v/>
      </c>
      <c r="Z248" s="2" t="str">
        <f ca="1" t="shared" si="22"/>
        <v/>
      </c>
      <c r="AA248" s="2" t="str">
        <f ca="1" t="shared" si="23"/>
        <v/>
      </c>
    </row>
    <row r="249" spans="25:27">
      <c r="Y249" s="2" t="str">
        <f ca="1" t="shared" si="21"/>
        <v/>
      </c>
      <c r="Z249" s="2" t="str">
        <f ca="1" t="shared" si="22"/>
        <v/>
      </c>
      <c r="AA249" s="2" t="str">
        <f ca="1" t="shared" si="23"/>
        <v/>
      </c>
    </row>
    <row r="250" spans="25:27">
      <c r="Y250" s="2" t="str">
        <f ca="1" t="shared" si="21"/>
        <v/>
      </c>
      <c r="Z250" s="2" t="str">
        <f ca="1" t="shared" si="22"/>
        <v/>
      </c>
      <c r="AA250" s="2" t="str">
        <f ca="1" t="shared" si="23"/>
        <v/>
      </c>
    </row>
    <row r="251" spans="25:27">
      <c r="Y251" s="2">
        <f ca="1" t="shared" si="21"/>
        <v>10001904</v>
      </c>
      <c r="Z251" s="2">
        <f ca="1" t="shared" si="22"/>
        <v>10001979</v>
      </c>
      <c r="AA251" s="2">
        <f ca="1" t="shared" si="23"/>
        <v>10002041</v>
      </c>
    </row>
    <row r="252" spans="25:27">
      <c r="Y252" s="2">
        <f ca="1" t="shared" si="21"/>
        <v>10001905</v>
      </c>
      <c r="Z252" s="2">
        <f ca="1" t="shared" si="22"/>
        <v>10001980</v>
      </c>
      <c r="AA252" s="2">
        <f ca="1" t="shared" si="23"/>
        <v>10002042</v>
      </c>
    </row>
    <row r="253" spans="25:27">
      <c r="Y253" s="2">
        <f ca="1" t="shared" si="21"/>
        <v>10001906</v>
      </c>
      <c r="Z253" s="2">
        <f ca="1" t="shared" si="22"/>
        <v>10001981</v>
      </c>
      <c r="AA253" s="2">
        <f ca="1" t="shared" si="23"/>
        <v>10002043</v>
      </c>
    </row>
    <row r="254" spans="25:27">
      <c r="Y254" s="2">
        <f ca="1" t="shared" si="21"/>
        <v>10001907</v>
      </c>
      <c r="Z254" s="2">
        <f ca="1" t="shared" si="22"/>
        <v>10001982</v>
      </c>
      <c r="AA254" s="2">
        <f ca="1" t="shared" si="23"/>
        <v>10002044</v>
      </c>
    </row>
    <row r="255" spans="25:27">
      <c r="Y255" s="2">
        <f t="shared" si="21"/>
        <v>0</v>
      </c>
      <c r="Z255" s="2">
        <f ca="1" t="shared" si="22"/>
        <v>10001983</v>
      </c>
      <c r="AA255" s="2" t="str">
        <f ca="1" t="shared" si="23"/>
        <v/>
      </c>
    </row>
    <row r="256" spans="25:27">
      <c r="Y256" s="2">
        <f ca="1" t="shared" si="21"/>
        <v>10001908</v>
      </c>
      <c r="Z256" s="2">
        <f ca="1" t="shared" si="22"/>
        <v>10001984</v>
      </c>
      <c r="AA256" s="2">
        <f t="shared" si="23"/>
        <v>0</v>
      </c>
    </row>
    <row r="257" spans="25:27">
      <c r="Y257" s="2">
        <f ca="1" t="shared" si="21"/>
        <v>10001909</v>
      </c>
      <c r="Z257" s="2">
        <f ca="1" t="shared" si="22"/>
        <v>10001985</v>
      </c>
      <c r="AA257" s="2">
        <f t="shared" si="23"/>
        <v>0</v>
      </c>
    </row>
    <row r="258" spans="25:27">
      <c r="Y258" s="2">
        <f ca="1" t="shared" si="21"/>
        <v>10001910</v>
      </c>
      <c r="Z258" s="2">
        <f ca="1" t="shared" si="22"/>
        <v>10001986</v>
      </c>
      <c r="AA258" s="2">
        <f t="shared" si="23"/>
        <v>0</v>
      </c>
    </row>
    <row r="259" spans="25:27">
      <c r="Y259" s="2">
        <f ca="1" t="shared" si="21"/>
        <v>10001911</v>
      </c>
      <c r="Z259" s="2">
        <f ca="1" t="shared" si="22"/>
        <v>10001987</v>
      </c>
      <c r="AA259" s="2">
        <f t="shared" si="23"/>
        <v>0</v>
      </c>
    </row>
    <row r="260" spans="25:27">
      <c r="Y260" s="2">
        <f ca="1" t="shared" si="21"/>
        <v>10001912</v>
      </c>
      <c r="Z260" s="2" t="str">
        <f ca="1" t="shared" si="22"/>
        <v/>
      </c>
      <c r="AA260" s="2">
        <f t="shared" si="23"/>
        <v>0</v>
      </c>
    </row>
    <row r="261" spans="25:27">
      <c r="Y261" s="2" t="str">
        <f ca="1" t="shared" si="21"/>
        <v/>
      </c>
      <c r="Z261" s="2" t="str">
        <f ca="1" t="shared" si="22"/>
        <v/>
      </c>
      <c r="AA261" s="2">
        <f t="shared" si="23"/>
        <v>0</v>
      </c>
    </row>
    <row r="262" spans="25:27">
      <c r="Y262" s="2" t="str">
        <f ca="1" t="shared" si="21"/>
        <v/>
      </c>
      <c r="Z262" s="2" t="str">
        <f ca="1" t="shared" si="22"/>
        <v/>
      </c>
      <c r="AA262" s="2">
        <f t="shared" si="23"/>
        <v>0</v>
      </c>
    </row>
    <row r="263" spans="25:27">
      <c r="Y263" s="2" t="str">
        <f ca="1" t="shared" si="21"/>
        <v/>
      </c>
      <c r="Z263" s="2" t="str">
        <f ca="1" t="shared" si="22"/>
        <v/>
      </c>
      <c r="AA263" s="2">
        <f t="shared" si="23"/>
        <v>0</v>
      </c>
    </row>
    <row r="264" spans="25:27">
      <c r="Y264" s="2" t="str">
        <f ca="1" t="shared" si="21"/>
        <v/>
      </c>
      <c r="Z264" s="2" t="str">
        <f ca="1" t="shared" si="22"/>
        <v/>
      </c>
      <c r="AA264" s="2">
        <f t="shared" si="23"/>
        <v>0</v>
      </c>
    </row>
    <row r="265" spans="25:27">
      <c r="Y265" s="2">
        <f ca="1" t="shared" ref="Y265:Y281" si="24">Z145</f>
        <v>10001913</v>
      </c>
      <c r="Z265" s="2">
        <f ca="1" t="shared" ref="Z265:Z281" si="25">AA145</f>
        <v>10001988</v>
      </c>
      <c r="AA265" s="2">
        <f t="shared" ref="AA265:AA281" si="26">AB145</f>
        <v>0</v>
      </c>
    </row>
    <row r="266" spans="25:27">
      <c r="Y266" s="2">
        <f ca="1" t="shared" si="24"/>
        <v>10001914</v>
      </c>
      <c r="Z266" s="2">
        <f ca="1" t="shared" si="25"/>
        <v>10001989</v>
      </c>
      <c r="AA266" s="2">
        <f t="shared" si="26"/>
        <v>0</v>
      </c>
    </row>
    <row r="267" spans="25:27">
      <c r="Y267" s="2">
        <f ca="1" t="shared" si="24"/>
        <v>10001915</v>
      </c>
      <c r="Z267" s="2">
        <f ca="1" t="shared" si="25"/>
        <v>10001990</v>
      </c>
      <c r="AA267" s="2">
        <f t="shared" si="26"/>
        <v>0</v>
      </c>
    </row>
    <row r="268" spans="25:27">
      <c r="Y268" s="2">
        <f ca="1" t="shared" si="24"/>
        <v>10001916</v>
      </c>
      <c r="Z268" s="2" t="str">
        <f ca="1" t="shared" si="25"/>
        <v/>
      </c>
      <c r="AA268" s="2">
        <f t="shared" si="26"/>
        <v>0</v>
      </c>
    </row>
    <row r="269" spans="25:27">
      <c r="Y269" s="2" t="str">
        <f ca="1" t="shared" si="24"/>
        <v/>
      </c>
      <c r="Z269" s="2" t="str">
        <f ca="1" t="shared" si="25"/>
        <v/>
      </c>
      <c r="AA269" s="2">
        <f t="shared" si="26"/>
        <v>0</v>
      </c>
    </row>
    <row r="270" spans="25:27">
      <c r="Y270" s="2" t="str">
        <f ca="1" t="shared" si="24"/>
        <v/>
      </c>
      <c r="Z270" s="2" t="str">
        <f ca="1" t="shared" si="25"/>
        <v/>
      </c>
      <c r="AA270" s="2">
        <f t="shared" si="26"/>
        <v>0</v>
      </c>
    </row>
    <row r="271" spans="25:27">
      <c r="Y271" s="2" t="str">
        <f ca="1" t="shared" si="24"/>
        <v/>
      </c>
      <c r="Z271" s="2" t="str">
        <f ca="1" t="shared" si="25"/>
        <v/>
      </c>
      <c r="AA271" s="2">
        <f t="shared" si="26"/>
        <v>0</v>
      </c>
    </row>
    <row r="272" spans="25:27">
      <c r="Y272" s="2" t="str">
        <f ca="1" t="shared" si="24"/>
        <v/>
      </c>
      <c r="Z272" s="2" t="str">
        <f ca="1" t="shared" si="25"/>
        <v/>
      </c>
      <c r="AA272" s="2">
        <f t="shared" si="26"/>
        <v>0</v>
      </c>
    </row>
    <row r="273" spans="25:27">
      <c r="Y273" s="2">
        <f ca="1" t="shared" si="24"/>
        <v>10001917</v>
      </c>
      <c r="Z273" s="2">
        <f ca="1" t="shared" si="25"/>
        <v>10001991</v>
      </c>
      <c r="AA273" s="2">
        <f t="shared" si="26"/>
        <v>0</v>
      </c>
    </row>
    <row r="274" spans="25:27">
      <c r="Y274" s="2">
        <f ca="1" t="shared" si="24"/>
        <v>10001918</v>
      </c>
      <c r="Z274" s="2">
        <f ca="1" t="shared" si="25"/>
        <v>10001992</v>
      </c>
      <c r="AA274" s="2">
        <f t="shared" si="26"/>
        <v>0</v>
      </c>
    </row>
    <row r="275" spans="25:27">
      <c r="Y275" s="2">
        <f ca="1" t="shared" si="24"/>
        <v>10001919</v>
      </c>
      <c r="Z275" s="2">
        <f ca="1" t="shared" si="25"/>
        <v>10001993</v>
      </c>
      <c r="AA275" s="2">
        <f t="shared" si="26"/>
        <v>0</v>
      </c>
    </row>
    <row r="276" spans="25:27">
      <c r="Y276" s="2">
        <f ca="1" t="shared" si="24"/>
        <v>10001920</v>
      </c>
      <c r="Z276" s="2">
        <f ca="1" t="shared" si="25"/>
        <v>10001994</v>
      </c>
      <c r="AA276" s="2">
        <f t="shared" si="26"/>
        <v>0</v>
      </c>
    </row>
    <row r="277" spans="25:27">
      <c r="Y277" s="2">
        <f ca="1" t="shared" si="24"/>
        <v>10001921</v>
      </c>
      <c r="Z277" s="2" t="str">
        <f ca="1" t="shared" si="25"/>
        <v/>
      </c>
      <c r="AA277" s="2">
        <f t="shared" si="26"/>
        <v>0</v>
      </c>
    </row>
    <row r="278" spans="25:27">
      <c r="Y278" s="2" t="str">
        <f ca="1" t="shared" si="24"/>
        <v/>
      </c>
      <c r="Z278" s="2" t="str">
        <f ca="1" t="shared" si="25"/>
        <v/>
      </c>
      <c r="AA278" s="2">
        <f t="shared" si="26"/>
        <v>0</v>
      </c>
    </row>
    <row r="279" spans="25:27">
      <c r="Y279" s="2" t="str">
        <f ca="1" t="shared" si="24"/>
        <v/>
      </c>
      <c r="Z279" s="2" t="str">
        <f ca="1" t="shared" si="25"/>
        <v/>
      </c>
      <c r="AA279" s="2">
        <f t="shared" si="26"/>
        <v>0</v>
      </c>
    </row>
    <row r="280" spans="25:27">
      <c r="Y280" s="2" t="str">
        <f ca="1" t="shared" si="24"/>
        <v/>
      </c>
      <c r="Z280" s="2" t="str">
        <f ca="1" t="shared" si="25"/>
        <v/>
      </c>
      <c r="AA280" s="2">
        <f t="shared" si="26"/>
        <v>0</v>
      </c>
    </row>
    <row r="281" spans="25:27">
      <c r="Y281" s="2">
        <f ca="1" t="shared" si="24"/>
        <v>10001922</v>
      </c>
      <c r="Z281" s="2">
        <f ca="1" t="shared" si="25"/>
        <v>10001995</v>
      </c>
      <c r="AA281" s="2">
        <f t="shared" si="26"/>
        <v>0</v>
      </c>
    </row>
    <row r="282" spans="25:27">
      <c r="Y282" s="2">
        <f ca="1" t="shared" ref="Y282:Y313" si="27">Z162</f>
        <v>10001923</v>
      </c>
      <c r="Z282" s="2">
        <f ca="1" t="shared" ref="Z282:Z313" si="28">AA162</f>
        <v>10001996</v>
      </c>
      <c r="AA282" s="2">
        <f t="shared" ref="AA282:AA313" si="29">AB162</f>
        <v>0</v>
      </c>
    </row>
    <row r="283" spans="25:27">
      <c r="Y283" s="2">
        <f ca="1" t="shared" si="27"/>
        <v>10001924</v>
      </c>
      <c r="Z283" s="2">
        <f ca="1" t="shared" si="28"/>
        <v>10001997</v>
      </c>
      <c r="AA283" s="2">
        <f t="shared" si="29"/>
        <v>0</v>
      </c>
    </row>
    <row r="284" spans="25:27">
      <c r="Y284" s="2">
        <f ca="1" t="shared" si="27"/>
        <v>10001925</v>
      </c>
      <c r="Z284" s="2">
        <f ca="1" t="shared" si="28"/>
        <v>10001998</v>
      </c>
      <c r="AA284" s="2">
        <f t="shared" si="29"/>
        <v>0</v>
      </c>
    </row>
    <row r="285" spans="25:27">
      <c r="Y285" s="2">
        <f ca="1" t="shared" si="27"/>
        <v>10001926</v>
      </c>
      <c r="Z285" s="2" t="str">
        <f ca="1" t="shared" si="28"/>
        <v/>
      </c>
      <c r="AA285" s="2">
        <f t="shared" si="29"/>
        <v>0</v>
      </c>
    </row>
    <row r="286" spans="25:27">
      <c r="Y286" s="2" t="str">
        <f ca="1" t="shared" si="27"/>
        <v/>
      </c>
      <c r="Z286" s="2" t="str">
        <f ca="1" t="shared" si="28"/>
        <v/>
      </c>
      <c r="AA286" s="2">
        <f t="shared" si="29"/>
        <v>0</v>
      </c>
    </row>
    <row r="287" spans="25:27">
      <c r="Y287" s="2" t="str">
        <f ca="1" t="shared" si="27"/>
        <v/>
      </c>
      <c r="Z287" s="2" t="str">
        <f ca="1" t="shared" si="28"/>
        <v/>
      </c>
      <c r="AA287" s="2">
        <f t="shared" si="29"/>
        <v>0</v>
      </c>
    </row>
    <row r="288" spans="25:27">
      <c r="Y288" s="2" t="str">
        <f ca="1" t="shared" si="27"/>
        <v/>
      </c>
      <c r="Z288" s="2" t="str">
        <f ca="1" t="shared" si="28"/>
        <v/>
      </c>
      <c r="AA288" s="2">
        <f t="shared" si="29"/>
        <v>0</v>
      </c>
    </row>
    <row r="289" spans="25:27">
      <c r="Y289" s="2">
        <f ca="1" t="shared" si="27"/>
        <v>10001927</v>
      </c>
      <c r="Z289" s="2">
        <f ca="1" t="shared" si="28"/>
        <v>10001999</v>
      </c>
      <c r="AA289" s="2">
        <f t="shared" si="29"/>
        <v>0</v>
      </c>
    </row>
    <row r="290" spans="25:27">
      <c r="Y290" s="2">
        <f ca="1" t="shared" si="27"/>
        <v>10001928</v>
      </c>
      <c r="Z290" s="2">
        <f ca="1" t="shared" si="28"/>
        <v>10002000</v>
      </c>
      <c r="AA290" s="2">
        <f t="shared" si="29"/>
        <v>0</v>
      </c>
    </row>
    <row r="291" spans="25:27">
      <c r="Y291" s="2">
        <f ca="1" t="shared" si="27"/>
        <v>10001929</v>
      </c>
      <c r="Z291" s="2">
        <f ca="1" t="shared" si="28"/>
        <v>10002001</v>
      </c>
      <c r="AA291" s="2">
        <f t="shared" si="29"/>
        <v>0</v>
      </c>
    </row>
    <row r="292" spans="25:27">
      <c r="Y292" s="2">
        <f ca="1" t="shared" si="27"/>
        <v>10001930</v>
      </c>
      <c r="Z292" s="2">
        <f ca="1" t="shared" si="28"/>
        <v>10002002</v>
      </c>
      <c r="AA292" s="2">
        <f t="shared" si="29"/>
        <v>0</v>
      </c>
    </row>
    <row r="293" spans="25:27">
      <c r="Y293" s="2">
        <f ca="1" t="shared" si="27"/>
        <v>10001931</v>
      </c>
      <c r="Z293" s="2" t="str">
        <f ca="1" t="shared" si="28"/>
        <v/>
      </c>
      <c r="AA293" s="2">
        <f t="shared" si="29"/>
        <v>0</v>
      </c>
    </row>
    <row r="294" spans="25:27">
      <c r="Y294" s="2" t="str">
        <f ca="1" t="shared" si="27"/>
        <v/>
      </c>
      <c r="Z294" s="2" t="str">
        <f ca="1" t="shared" si="28"/>
        <v/>
      </c>
      <c r="AA294" s="2">
        <f t="shared" si="29"/>
        <v>0</v>
      </c>
    </row>
    <row r="295" spans="25:27">
      <c r="Y295" s="2" t="str">
        <f ca="1" t="shared" si="27"/>
        <v/>
      </c>
      <c r="Z295" s="2" t="str">
        <f ca="1" t="shared" si="28"/>
        <v/>
      </c>
      <c r="AA295" s="2">
        <f t="shared" si="29"/>
        <v>0</v>
      </c>
    </row>
    <row r="296" spans="25:27">
      <c r="Y296" s="2" t="str">
        <f ca="1" t="shared" si="27"/>
        <v/>
      </c>
      <c r="Z296" s="2" t="str">
        <f ca="1" t="shared" si="28"/>
        <v/>
      </c>
      <c r="AA296" s="2">
        <f t="shared" si="29"/>
        <v>0</v>
      </c>
    </row>
    <row r="297" spans="25:27">
      <c r="Y297" s="2">
        <f ca="1" t="shared" si="27"/>
        <v>10001932</v>
      </c>
      <c r="Z297" s="2">
        <f ca="1" t="shared" si="28"/>
        <v>10002003</v>
      </c>
      <c r="AA297" s="2">
        <f t="shared" si="29"/>
        <v>0</v>
      </c>
    </row>
    <row r="298" spans="25:27">
      <c r="Y298" s="2">
        <f ca="1" t="shared" si="27"/>
        <v>10001933</v>
      </c>
      <c r="Z298" s="2">
        <f ca="1" t="shared" si="28"/>
        <v>10002004</v>
      </c>
      <c r="AA298" s="2">
        <f t="shared" si="29"/>
        <v>0</v>
      </c>
    </row>
    <row r="299" spans="25:27">
      <c r="Y299" s="2">
        <f ca="1" t="shared" si="27"/>
        <v>10001934</v>
      </c>
      <c r="Z299" s="2">
        <f ca="1" t="shared" si="28"/>
        <v>10002005</v>
      </c>
      <c r="AA299" s="2">
        <f t="shared" si="29"/>
        <v>0</v>
      </c>
    </row>
    <row r="300" spans="25:27">
      <c r="Y300" s="2">
        <f ca="1" t="shared" si="27"/>
        <v>10001935</v>
      </c>
      <c r="Z300" s="2">
        <f ca="1" t="shared" si="28"/>
        <v>10002006</v>
      </c>
      <c r="AA300" s="2">
        <f t="shared" si="29"/>
        <v>0</v>
      </c>
    </row>
    <row r="301" spans="25:27">
      <c r="Y301" s="2">
        <f ca="1" t="shared" si="27"/>
        <v>10001936</v>
      </c>
      <c r="Z301" s="2">
        <f ca="1" t="shared" si="28"/>
        <v>10002007</v>
      </c>
      <c r="AA301" s="2">
        <f t="shared" si="29"/>
        <v>0</v>
      </c>
    </row>
    <row r="302" spans="25:27">
      <c r="Y302" s="2">
        <f ca="1" t="shared" si="27"/>
        <v>10001937</v>
      </c>
      <c r="Z302" s="2" t="str">
        <f ca="1" t="shared" si="28"/>
        <v/>
      </c>
      <c r="AA302" s="2">
        <f t="shared" si="29"/>
        <v>0</v>
      </c>
    </row>
    <row r="303" spans="25:27">
      <c r="Y303" s="2" t="str">
        <f ca="1" t="shared" si="27"/>
        <v/>
      </c>
      <c r="Z303" s="2" t="str">
        <f ca="1" t="shared" si="28"/>
        <v/>
      </c>
      <c r="AA303" s="2">
        <f t="shared" si="29"/>
        <v>0</v>
      </c>
    </row>
    <row r="304" spans="25:27">
      <c r="Y304" s="2" t="str">
        <f ca="1" t="shared" si="27"/>
        <v/>
      </c>
      <c r="Z304" s="2" t="str">
        <f ca="1" t="shared" si="28"/>
        <v/>
      </c>
      <c r="AA304" s="2">
        <f t="shared" si="29"/>
        <v>0</v>
      </c>
    </row>
    <row r="305" spans="25:27">
      <c r="Y305" s="2" t="str">
        <f ca="1" t="shared" si="27"/>
        <v/>
      </c>
      <c r="Z305" s="2" t="str">
        <f ca="1" t="shared" si="28"/>
        <v/>
      </c>
      <c r="AA305" s="2">
        <f t="shared" si="29"/>
        <v>0</v>
      </c>
    </row>
    <row r="306" spans="25:27">
      <c r="Y306" s="2">
        <f ca="1" t="shared" si="27"/>
        <v>10001938</v>
      </c>
      <c r="Z306" s="2">
        <f ca="1" t="shared" si="28"/>
        <v>10002008</v>
      </c>
      <c r="AA306" s="2">
        <f t="shared" si="29"/>
        <v>0</v>
      </c>
    </row>
    <row r="307" spans="25:27">
      <c r="Y307" s="2">
        <f ca="1" t="shared" si="27"/>
        <v>10001939</v>
      </c>
      <c r="Z307" s="2">
        <f ca="1" t="shared" si="28"/>
        <v>10002009</v>
      </c>
      <c r="AA307" s="2">
        <f t="shared" si="29"/>
        <v>0</v>
      </c>
    </row>
    <row r="308" spans="25:27">
      <c r="Y308" s="2">
        <f ca="1" t="shared" si="27"/>
        <v>10001940</v>
      </c>
      <c r="Z308" s="2">
        <f ca="1" t="shared" si="28"/>
        <v>10002010</v>
      </c>
      <c r="AA308" s="2">
        <f t="shared" si="29"/>
        <v>0</v>
      </c>
    </row>
    <row r="309" spans="25:27">
      <c r="Y309" s="2">
        <f ca="1" t="shared" si="27"/>
        <v>10001941</v>
      </c>
      <c r="Z309" s="2">
        <f ca="1" t="shared" si="28"/>
        <v>10002011</v>
      </c>
      <c r="AA309" s="2">
        <f t="shared" si="29"/>
        <v>0</v>
      </c>
    </row>
    <row r="310" spans="25:27">
      <c r="Y310" s="2">
        <f ca="1" t="shared" si="27"/>
        <v>10001942</v>
      </c>
      <c r="Z310" s="2" t="str">
        <f ca="1" t="shared" si="28"/>
        <v/>
      </c>
      <c r="AA310" s="2">
        <f t="shared" si="29"/>
        <v>0</v>
      </c>
    </row>
    <row r="311" spans="25:27">
      <c r="Y311" s="2" t="str">
        <f ca="1" t="shared" si="27"/>
        <v/>
      </c>
      <c r="Z311" s="2" t="str">
        <f ca="1" t="shared" si="28"/>
        <v/>
      </c>
      <c r="AA311" s="2">
        <f t="shared" si="29"/>
        <v>0</v>
      </c>
    </row>
    <row r="312" spans="25:27">
      <c r="Y312" s="2" t="str">
        <f ca="1" t="shared" si="27"/>
        <v/>
      </c>
      <c r="Z312" s="2" t="str">
        <f ca="1" t="shared" si="28"/>
        <v/>
      </c>
      <c r="AA312" s="2">
        <f t="shared" si="29"/>
        <v>0</v>
      </c>
    </row>
    <row r="313" spans="25:27">
      <c r="Y313" s="2" t="str">
        <f ca="1" t="shared" si="27"/>
        <v/>
      </c>
      <c r="Z313" s="2" t="str">
        <f ca="1" t="shared" si="28"/>
        <v/>
      </c>
      <c r="AA313" s="2">
        <f t="shared" si="29"/>
        <v>0</v>
      </c>
    </row>
    <row r="314" spans="25:27">
      <c r="Y314" s="2">
        <f ca="1" t="shared" ref="Y314:Y345" si="30">Z194</f>
        <v>10001943</v>
      </c>
      <c r="Z314" s="2">
        <f ca="1" t="shared" ref="Z314:Z345" si="31">AA194</f>
        <v>10002012</v>
      </c>
      <c r="AA314" s="2">
        <f t="shared" ref="AA314:AA345" si="32">AB194</f>
        <v>0</v>
      </c>
    </row>
    <row r="315" spans="25:27">
      <c r="Y315" s="2">
        <f ca="1" t="shared" si="30"/>
        <v>10001944</v>
      </c>
      <c r="Z315" s="2">
        <f ca="1" t="shared" si="31"/>
        <v>10002013</v>
      </c>
      <c r="AA315" s="2">
        <f t="shared" si="32"/>
        <v>0</v>
      </c>
    </row>
    <row r="316" spans="25:27">
      <c r="Y316" s="2">
        <f ca="1" t="shared" si="30"/>
        <v>10001945</v>
      </c>
      <c r="Z316" s="2">
        <f ca="1" t="shared" si="31"/>
        <v>10002014</v>
      </c>
      <c r="AA316" s="2">
        <f t="shared" si="32"/>
        <v>0</v>
      </c>
    </row>
    <row r="317" spans="25:27">
      <c r="Y317" s="2">
        <f ca="1" t="shared" si="30"/>
        <v>10001946</v>
      </c>
      <c r="Z317" s="2">
        <f ca="1" t="shared" si="31"/>
        <v>10002015</v>
      </c>
      <c r="AA317" s="2">
        <f t="shared" si="32"/>
        <v>0</v>
      </c>
    </row>
    <row r="318" spans="25:27">
      <c r="Y318" s="2">
        <f ca="1" t="shared" si="30"/>
        <v>10001947</v>
      </c>
      <c r="Z318" s="2" t="str">
        <f ca="1" t="shared" si="31"/>
        <v/>
      </c>
      <c r="AA318" s="2">
        <f t="shared" si="32"/>
        <v>0</v>
      </c>
    </row>
    <row r="319" spans="25:27">
      <c r="Y319" s="2" t="str">
        <f ca="1" t="shared" si="30"/>
        <v/>
      </c>
      <c r="Z319" s="2" t="str">
        <f ca="1" t="shared" si="31"/>
        <v/>
      </c>
      <c r="AA319" s="2">
        <f t="shared" si="32"/>
        <v>0</v>
      </c>
    </row>
    <row r="320" spans="25:27">
      <c r="Y320" s="2" t="str">
        <f ca="1" t="shared" si="30"/>
        <v/>
      </c>
      <c r="Z320" s="2" t="str">
        <f ca="1" t="shared" si="31"/>
        <v/>
      </c>
      <c r="AA320" s="2">
        <f t="shared" si="32"/>
        <v>0</v>
      </c>
    </row>
    <row r="321" spans="25:27">
      <c r="Y321" s="2" t="str">
        <f ca="1" t="shared" si="30"/>
        <v/>
      </c>
      <c r="Z321" s="2" t="str">
        <f ca="1" t="shared" si="31"/>
        <v/>
      </c>
      <c r="AA321" s="2">
        <f t="shared" si="32"/>
        <v>0</v>
      </c>
    </row>
    <row r="322" spans="25:27">
      <c r="Y322" s="2">
        <f ca="1" t="shared" si="30"/>
        <v>10001948</v>
      </c>
      <c r="Z322" s="2">
        <f ca="1" t="shared" si="31"/>
        <v>10002016</v>
      </c>
      <c r="AA322" s="2">
        <f t="shared" si="32"/>
        <v>0</v>
      </c>
    </row>
    <row r="323" spans="25:27">
      <c r="Y323" s="2">
        <f ca="1" t="shared" si="30"/>
        <v>10001949</v>
      </c>
      <c r="Z323" s="2">
        <f ca="1" t="shared" si="31"/>
        <v>10002017</v>
      </c>
      <c r="AA323" s="2">
        <f t="shared" si="32"/>
        <v>0</v>
      </c>
    </row>
    <row r="324" spans="25:27">
      <c r="Y324" s="2">
        <f ca="1" t="shared" si="30"/>
        <v>10001950</v>
      </c>
      <c r="Z324" s="2">
        <f ca="1" t="shared" si="31"/>
        <v>10002018</v>
      </c>
      <c r="AA324" s="2">
        <f t="shared" si="32"/>
        <v>0</v>
      </c>
    </row>
    <row r="325" spans="25:27">
      <c r="Y325" s="2">
        <f ca="1" t="shared" si="30"/>
        <v>10001951</v>
      </c>
      <c r="Z325" s="2">
        <f ca="1" t="shared" si="31"/>
        <v>10002019</v>
      </c>
      <c r="AA325" s="2">
        <f t="shared" si="32"/>
        <v>0</v>
      </c>
    </row>
    <row r="326" spans="25:27">
      <c r="Y326" s="2">
        <f ca="1" t="shared" si="30"/>
        <v>10001952</v>
      </c>
      <c r="Z326" s="2" t="str">
        <f ca="1" t="shared" si="31"/>
        <v/>
      </c>
      <c r="AA326" s="2">
        <f t="shared" si="32"/>
        <v>0</v>
      </c>
    </row>
    <row r="327" spans="25:27">
      <c r="Y327" s="2" t="str">
        <f ca="1" t="shared" si="30"/>
        <v/>
      </c>
      <c r="Z327" s="2" t="str">
        <f ca="1" t="shared" si="31"/>
        <v/>
      </c>
      <c r="AA327" s="2">
        <f t="shared" si="32"/>
        <v>0</v>
      </c>
    </row>
    <row r="328" spans="25:27">
      <c r="Y328" s="2" t="str">
        <f ca="1" t="shared" si="30"/>
        <v/>
      </c>
      <c r="Z328" s="2" t="str">
        <f ca="1" t="shared" si="31"/>
        <v/>
      </c>
      <c r="AA328" s="2">
        <f t="shared" si="32"/>
        <v>0</v>
      </c>
    </row>
    <row r="329" spans="25:27">
      <c r="Y329" s="2" t="str">
        <f ca="1" t="shared" si="30"/>
        <v/>
      </c>
      <c r="Z329" s="2" t="str">
        <f ca="1" t="shared" si="31"/>
        <v/>
      </c>
      <c r="AA329" s="2">
        <f t="shared" si="32"/>
        <v>0</v>
      </c>
    </row>
    <row r="330" spans="25:27">
      <c r="Y330" s="2">
        <f ca="1" t="shared" si="30"/>
        <v>10001953</v>
      </c>
      <c r="Z330" s="2">
        <f ca="1" t="shared" si="31"/>
        <v>10002020</v>
      </c>
      <c r="AA330" s="2">
        <f t="shared" si="32"/>
        <v>0</v>
      </c>
    </row>
    <row r="331" spans="25:27">
      <c r="Y331" s="2">
        <f ca="1" t="shared" si="30"/>
        <v>10001954</v>
      </c>
      <c r="Z331" s="2">
        <f ca="1" t="shared" si="31"/>
        <v>10002021</v>
      </c>
      <c r="AA331" s="2">
        <f t="shared" si="32"/>
        <v>0</v>
      </c>
    </row>
    <row r="332" spans="25:27">
      <c r="Y332" s="2">
        <f ca="1" t="shared" si="30"/>
        <v>10001955</v>
      </c>
      <c r="Z332" s="2">
        <f ca="1" t="shared" si="31"/>
        <v>10002022</v>
      </c>
      <c r="AA332" s="2">
        <f t="shared" si="32"/>
        <v>0</v>
      </c>
    </row>
    <row r="333" spans="25:27">
      <c r="Y333" s="2">
        <f ca="1" t="shared" si="30"/>
        <v>10001956</v>
      </c>
      <c r="Z333" s="2">
        <f ca="1" t="shared" si="31"/>
        <v>10002023</v>
      </c>
      <c r="AA333" s="2">
        <f t="shared" si="32"/>
        <v>0</v>
      </c>
    </row>
    <row r="334" spans="25:27">
      <c r="Y334" s="2">
        <f ca="1" t="shared" si="30"/>
        <v>10001957</v>
      </c>
      <c r="Z334" s="2">
        <f ca="1" t="shared" si="31"/>
        <v>10002024</v>
      </c>
      <c r="AA334" s="2">
        <f t="shared" si="32"/>
        <v>0</v>
      </c>
    </row>
    <row r="335" spans="25:27">
      <c r="Y335" s="2">
        <f ca="1" t="shared" si="30"/>
        <v>10001958</v>
      </c>
      <c r="Z335" s="2" t="str">
        <f ca="1" t="shared" si="31"/>
        <v/>
      </c>
      <c r="AA335" s="2">
        <f t="shared" si="32"/>
        <v>0</v>
      </c>
    </row>
    <row r="336" spans="25:27">
      <c r="Y336" s="2" t="str">
        <f ca="1" t="shared" si="30"/>
        <v/>
      </c>
      <c r="Z336" s="2" t="str">
        <f ca="1" t="shared" si="31"/>
        <v/>
      </c>
      <c r="AA336" s="2">
        <f t="shared" si="32"/>
        <v>0</v>
      </c>
    </row>
    <row r="337" spans="25:27">
      <c r="Y337" s="2" t="str">
        <f ca="1" t="shared" si="30"/>
        <v/>
      </c>
      <c r="Z337" s="2" t="str">
        <f ca="1" t="shared" si="31"/>
        <v/>
      </c>
      <c r="AA337" s="2">
        <f t="shared" si="32"/>
        <v>0</v>
      </c>
    </row>
    <row r="338" spans="25:27">
      <c r="Y338" s="2" t="str">
        <f ca="1" t="shared" si="30"/>
        <v/>
      </c>
      <c r="Z338" s="2" t="str">
        <f ca="1" t="shared" si="31"/>
        <v/>
      </c>
      <c r="AA338" s="2">
        <f t="shared" si="32"/>
        <v>0</v>
      </c>
    </row>
    <row r="339" spans="25:27">
      <c r="Y339" s="2">
        <f ca="1" t="shared" si="30"/>
        <v>10001959</v>
      </c>
      <c r="Z339" s="2">
        <f ca="1" t="shared" si="31"/>
        <v>10002025</v>
      </c>
      <c r="AA339" s="2">
        <f t="shared" si="32"/>
        <v>0</v>
      </c>
    </row>
    <row r="340" spans="25:27">
      <c r="Y340" s="2">
        <f ca="1" t="shared" si="30"/>
        <v>10001960</v>
      </c>
      <c r="Z340" s="2">
        <f ca="1" t="shared" si="31"/>
        <v>10002026</v>
      </c>
      <c r="AA340" s="2">
        <f t="shared" si="32"/>
        <v>0</v>
      </c>
    </row>
    <row r="341" spans="25:27">
      <c r="Y341" s="2">
        <f ca="1" t="shared" si="30"/>
        <v>10001961</v>
      </c>
      <c r="Z341" s="2">
        <f ca="1" t="shared" si="31"/>
        <v>10002027</v>
      </c>
      <c r="AA341" s="2">
        <f t="shared" si="32"/>
        <v>0</v>
      </c>
    </row>
    <row r="342" spans="25:27">
      <c r="Y342" s="2">
        <f ca="1" t="shared" si="30"/>
        <v>10001962</v>
      </c>
      <c r="Z342" s="2">
        <f ca="1" t="shared" si="31"/>
        <v>10002028</v>
      </c>
      <c r="AA342" s="2">
        <f t="shared" si="32"/>
        <v>0</v>
      </c>
    </row>
    <row r="343" spans="25:27">
      <c r="Y343" s="2">
        <f ca="1" t="shared" si="30"/>
        <v>10001963</v>
      </c>
      <c r="Z343" s="2" t="str">
        <f ca="1" t="shared" si="31"/>
        <v/>
      </c>
      <c r="AA343" s="2">
        <f t="shared" si="32"/>
        <v>0</v>
      </c>
    </row>
    <row r="344" spans="25:27">
      <c r="Y344" s="2" t="str">
        <f ca="1" t="shared" si="30"/>
        <v/>
      </c>
      <c r="Z344" s="2" t="str">
        <f ca="1" t="shared" si="31"/>
        <v/>
      </c>
      <c r="AA344" s="2">
        <f t="shared" si="32"/>
        <v>0</v>
      </c>
    </row>
    <row r="345" spans="25:27">
      <c r="Y345" s="2" t="str">
        <f ca="1" t="shared" si="30"/>
        <v/>
      </c>
      <c r="Z345" s="2" t="str">
        <f ca="1" t="shared" si="31"/>
        <v/>
      </c>
      <c r="AA345" s="2">
        <f t="shared" si="32"/>
        <v>0</v>
      </c>
    </row>
    <row r="346" spans="25:27">
      <c r="Y346" s="2" t="str">
        <f ca="1" t="shared" ref="Y346:Y377" si="33">Z226</f>
        <v/>
      </c>
      <c r="Z346" s="2" t="str">
        <f ca="1" t="shared" ref="Z346:Z377" si="34">AA226</f>
        <v/>
      </c>
      <c r="AA346" s="2">
        <f t="shared" ref="AA346:AA377" si="35">AB226</f>
        <v>0</v>
      </c>
    </row>
    <row r="347" spans="25:27">
      <c r="Y347" s="2">
        <f ca="1" t="shared" si="33"/>
        <v>10001964</v>
      </c>
      <c r="Z347" s="2">
        <f ca="1" t="shared" si="34"/>
        <v>10002029</v>
      </c>
      <c r="AA347" s="2">
        <f t="shared" si="35"/>
        <v>0</v>
      </c>
    </row>
    <row r="348" spans="25:27">
      <c r="Y348" s="2">
        <f ca="1" t="shared" si="33"/>
        <v>10001965</v>
      </c>
      <c r="Z348" s="2">
        <f ca="1" t="shared" si="34"/>
        <v>10002030</v>
      </c>
      <c r="AA348" s="2">
        <f t="shared" si="35"/>
        <v>0</v>
      </c>
    </row>
    <row r="349" spans="25:27">
      <c r="Y349" s="2">
        <f ca="1" t="shared" si="33"/>
        <v>10001966</v>
      </c>
      <c r="Z349" s="2">
        <f ca="1" t="shared" si="34"/>
        <v>10002031</v>
      </c>
      <c r="AA349" s="2">
        <f t="shared" si="35"/>
        <v>0</v>
      </c>
    </row>
    <row r="350" spans="25:27">
      <c r="Y350" s="2">
        <f ca="1" t="shared" si="33"/>
        <v>10001967</v>
      </c>
      <c r="Z350" s="2">
        <f ca="1" t="shared" si="34"/>
        <v>10002032</v>
      </c>
      <c r="AA350" s="2">
        <f t="shared" si="35"/>
        <v>0</v>
      </c>
    </row>
    <row r="351" spans="25:27">
      <c r="Y351" s="2">
        <f ca="1" t="shared" si="33"/>
        <v>10001968</v>
      </c>
      <c r="Z351" s="2" t="str">
        <f ca="1" t="shared" si="34"/>
        <v/>
      </c>
      <c r="AA351" s="2">
        <f t="shared" si="35"/>
        <v>0</v>
      </c>
    </row>
    <row r="352" spans="25:27">
      <c r="Y352" s="2" t="str">
        <f ca="1" t="shared" si="33"/>
        <v/>
      </c>
      <c r="Z352" s="2" t="str">
        <f ca="1" t="shared" si="34"/>
        <v/>
      </c>
      <c r="AA352" s="2">
        <f t="shared" si="35"/>
        <v>0</v>
      </c>
    </row>
    <row r="353" spans="25:27">
      <c r="Y353" s="2" t="str">
        <f ca="1" t="shared" si="33"/>
        <v/>
      </c>
      <c r="Z353" s="2" t="str">
        <f ca="1" t="shared" si="34"/>
        <v/>
      </c>
      <c r="AA353" s="2">
        <f t="shared" si="35"/>
        <v>0</v>
      </c>
    </row>
    <row r="354" spans="25:27">
      <c r="Y354" s="2" t="str">
        <f ca="1" t="shared" si="33"/>
        <v/>
      </c>
      <c r="Z354" s="2" t="str">
        <f ca="1" t="shared" si="34"/>
        <v/>
      </c>
      <c r="AA354" s="2">
        <f t="shared" si="35"/>
        <v>0</v>
      </c>
    </row>
    <row r="355" spans="25:27">
      <c r="Y355" s="2">
        <f ca="1" t="shared" si="33"/>
        <v>10001969</v>
      </c>
      <c r="Z355" s="2">
        <f ca="1" t="shared" si="34"/>
        <v>10002033</v>
      </c>
      <c r="AA355" s="2">
        <f t="shared" si="35"/>
        <v>0</v>
      </c>
    </row>
    <row r="356" spans="25:27">
      <c r="Y356" s="2">
        <f ca="1" t="shared" si="33"/>
        <v>10001970</v>
      </c>
      <c r="Z356" s="2">
        <f ca="1" t="shared" si="34"/>
        <v>10002034</v>
      </c>
      <c r="AA356" s="2">
        <f t="shared" si="35"/>
        <v>0</v>
      </c>
    </row>
    <row r="357" spans="25:27">
      <c r="Y357" s="2">
        <f ca="1" t="shared" si="33"/>
        <v>10001971</v>
      </c>
      <c r="Z357" s="2">
        <f ca="1" t="shared" si="34"/>
        <v>10002035</v>
      </c>
      <c r="AA357" s="2">
        <f t="shared" si="35"/>
        <v>0</v>
      </c>
    </row>
    <row r="358" spans="25:27">
      <c r="Y358" s="2">
        <f ca="1" t="shared" si="33"/>
        <v>10001972</v>
      </c>
      <c r="Z358" s="2">
        <f ca="1" t="shared" si="34"/>
        <v>10002036</v>
      </c>
      <c r="AA358" s="2">
        <f t="shared" si="35"/>
        <v>0</v>
      </c>
    </row>
    <row r="359" spans="25:27">
      <c r="Y359" s="2">
        <f ca="1" t="shared" si="33"/>
        <v>10001973</v>
      </c>
      <c r="Z359" s="2" t="str">
        <f ca="1" t="shared" si="34"/>
        <v/>
      </c>
      <c r="AA359" s="2">
        <f t="shared" si="35"/>
        <v>0</v>
      </c>
    </row>
    <row r="360" spans="25:27">
      <c r="Y360" s="2" t="str">
        <f ca="1" t="shared" si="33"/>
        <v/>
      </c>
      <c r="Z360" s="2" t="str">
        <f ca="1" t="shared" si="34"/>
        <v/>
      </c>
      <c r="AA360" s="2">
        <f t="shared" si="35"/>
        <v>0</v>
      </c>
    </row>
    <row r="361" spans="25:27">
      <c r="Y361" s="2" t="str">
        <f ca="1" t="shared" si="33"/>
        <v/>
      </c>
      <c r="Z361" s="2" t="str">
        <f ca="1" t="shared" si="34"/>
        <v/>
      </c>
      <c r="AA361" s="2">
        <f t="shared" si="35"/>
        <v>0</v>
      </c>
    </row>
    <row r="362" spans="25:27">
      <c r="Y362" s="2" t="str">
        <f ca="1" t="shared" si="33"/>
        <v/>
      </c>
      <c r="Z362" s="2" t="str">
        <f ca="1" t="shared" si="34"/>
        <v/>
      </c>
      <c r="AA362" s="2">
        <f t="shared" si="35"/>
        <v>0</v>
      </c>
    </row>
    <row r="363" spans="25:27">
      <c r="Y363" s="2">
        <f ca="1" t="shared" si="33"/>
        <v>10001974</v>
      </c>
      <c r="Z363" s="2">
        <f ca="1" t="shared" si="34"/>
        <v>10002037</v>
      </c>
      <c r="AA363" s="2">
        <f t="shared" si="35"/>
        <v>0</v>
      </c>
    </row>
    <row r="364" spans="25:27">
      <c r="Y364" s="2">
        <f ca="1" t="shared" si="33"/>
        <v>10001975</v>
      </c>
      <c r="Z364" s="2">
        <f ca="1" t="shared" si="34"/>
        <v>10002038</v>
      </c>
      <c r="AA364" s="2">
        <f t="shared" si="35"/>
        <v>0</v>
      </c>
    </row>
    <row r="365" spans="25:27">
      <c r="Y365" s="2">
        <f ca="1" t="shared" si="33"/>
        <v>10001976</v>
      </c>
      <c r="Z365" s="2">
        <f ca="1" t="shared" si="34"/>
        <v>10002039</v>
      </c>
      <c r="AA365" s="2">
        <f t="shared" si="35"/>
        <v>0</v>
      </c>
    </row>
    <row r="366" spans="25:27">
      <c r="Y366" s="2">
        <f ca="1" t="shared" si="33"/>
        <v>10001977</v>
      </c>
      <c r="Z366" s="2">
        <f ca="1" t="shared" si="34"/>
        <v>10002040</v>
      </c>
      <c r="AA366" s="2">
        <f t="shared" si="35"/>
        <v>0</v>
      </c>
    </row>
    <row r="367" spans="25:27">
      <c r="Y367" s="2">
        <f ca="1" t="shared" si="33"/>
        <v>10001978</v>
      </c>
      <c r="Z367" s="2" t="str">
        <f ca="1" t="shared" si="34"/>
        <v/>
      </c>
      <c r="AA367" s="2">
        <f t="shared" si="35"/>
        <v>0</v>
      </c>
    </row>
    <row r="368" spans="25:27">
      <c r="Y368" s="2" t="str">
        <f ca="1" t="shared" si="33"/>
        <v/>
      </c>
      <c r="Z368" s="2" t="str">
        <f ca="1" t="shared" si="34"/>
        <v/>
      </c>
      <c r="AA368" s="2">
        <f t="shared" si="35"/>
        <v>0</v>
      </c>
    </row>
    <row r="369" spans="25:27">
      <c r="Y369" s="2" t="str">
        <f ca="1" t="shared" si="33"/>
        <v/>
      </c>
      <c r="Z369" s="2" t="str">
        <f ca="1" t="shared" si="34"/>
        <v/>
      </c>
      <c r="AA369" s="2">
        <f t="shared" si="35"/>
        <v>0</v>
      </c>
    </row>
    <row r="370" spans="25:27">
      <c r="Y370" s="2" t="str">
        <f ca="1" t="shared" si="33"/>
        <v/>
      </c>
      <c r="Z370" s="2" t="str">
        <f ca="1" t="shared" si="34"/>
        <v/>
      </c>
      <c r="AA370" s="2">
        <f t="shared" si="35"/>
        <v>0</v>
      </c>
    </row>
    <row r="371" spans="25:27">
      <c r="Y371" s="2">
        <f ca="1" t="shared" si="33"/>
        <v>10001979</v>
      </c>
      <c r="Z371" s="2">
        <f ca="1" t="shared" si="34"/>
        <v>10002041</v>
      </c>
      <c r="AA371" s="2">
        <f t="shared" si="35"/>
        <v>0</v>
      </c>
    </row>
    <row r="372" spans="25:27">
      <c r="Y372" s="2">
        <f ca="1" t="shared" si="33"/>
        <v>10001980</v>
      </c>
      <c r="Z372" s="2">
        <f ca="1" t="shared" si="34"/>
        <v>10002042</v>
      </c>
      <c r="AA372" s="2">
        <f t="shared" si="35"/>
        <v>0</v>
      </c>
    </row>
    <row r="373" spans="25:27">
      <c r="Y373" s="2">
        <f ca="1" t="shared" si="33"/>
        <v>10001981</v>
      </c>
      <c r="Z373" s="2">
        <f ca="1" t="shared" si="34"/>
        <v>10002043</v>
      </c>
      <c r="AA373" s="2">
        <f t="shared" si="35"/>
        <v>0</v>
      </c>
    </row>
    <row r="374" spans="25:27">
      <c r="Y374" s="2">
        <f ca="1" t="shared" si="33"/>
        <v>10001982</v>
      </c>
      <c r="Z374" s="2">
        <f ca="1" t="shared" si="34"/>
        <v>10002044</v>
      </c>
      <c r="AA374" s="2">
        <f t="shared" si="35"/>
        <v>0</v>
      </c>
    </row>
    <row r="375" spans="25:27">
      <c r="Y375" s="2">
        <f ca="1" t="shared" si="33"/>
        <v>10001983</v>
      </c>
      <c r="Z375" s="2" t="str">
        <f ca="1" t="shared" si="34"/>
        <v/>
      </c>
      <c r="AA375" s="2">
        <f t="shared" si="35"/>
        <v>0</v>
      </c>
    </row>
    <row r="376" spans="25:27">
      <c r="Y376" s="2">
        <f ca="1" t="shared" si="33"/>
        <v>10001984</v>
      </c>
      <c r="Z376" s="2">
        <f t="shared" si="34"/>
        <v>0</v>
      </c>
      <c r="AA376" s="2">
        <f t="shared" si="35"/>
        <v>0</v>
      </c>
    </row>
    <row r="377" spans="25:27">
      <c r="Y377" s="2">
        <f ca="1" t="shared" si="33"/>
        <v>10001985</v>
      </c>
      <c r="Z377" s="2">
        <f t="shared" si="34"/>
        <v>0</v>
      </c>
      <c r="AA377" s="2">
        <f t="shared" si="35"/>
        <v>0</v>
      </c>
    </row>
    <row r="378" spans="25:27">
      <c r="Y378" s="2">
        <f ca="1" t="shared" ref="Y378:Y401" si="36">Z258</f>
        <v>10001986</v>
      </c>
      <c r="Z378" s="2">
        <f t="shared" ref="Z378:Z401" si="37">AA258</f>
        <v>0</v>
      </c>
      <c r="AA378" s="2">
        <f t="shared" ref="AA378:AA401" si="38">AB258</f>
        <v>0</v>
      </c>
    </row>
    <row r="379" spans="25:27">
      <c r="Y379" s="2">
        <f ca="1" t="shared" si="36"/>
        <v>10001987</v>
      </c>
      <c r="Z379" s="2">
        <f t="shared" si="37"/>
        <v>0</v>
      </c>
      <c r="AA379" s="2">
        <f t="shared" si="38"/>
        <v>0</v>
      </c>
    </row>
    <row r="380" spans="25:27">
      <c r="Y380" s="2" t="str">
        <f ca="1" t="shared" si="36"/>
        <v/>
      </c>
      <c r="Z380" s="2">
        <f t="shared" si="37"/>
        <v>0</v>
      </c>
      <c r="AA380" s="2">
        <f t="shared" si="38"/>
        <v>0</v>
      </c>
    </row>
    <row r="381" spans="25:27">
      <c r="Y381" s="2" t="str">
        <f ca="1" t="shared" si="36"/>
        <v/>
      </c>
      <c r="Z381" s="2">
        <f t="shared" si="37"/>
        <v>0</v>
      </c>
      <c r="AA381" s="2">
        <f t="shared" si="38"/>
        <v>0</v>
      </c>
    </row>
    <row r="382" spans="25:27">
      <c r="Y382" s="2" t="str">
        <f ca="1" t="shared" si="36"/>
        <v/>
      </c>
      <c r="Z382" s="2">
        <f t="shared" si="37"/>
        <v>0</v>
      </c>
      <c r="AA382" s="2">
        <f t="shared" si="38"/>
        <v>0</v>
      </c>
    </row>
    <row r="383" spans="25:27">
      <c r="Y383" s="2" t="str">
        <f ca="1" t="shared" si="36"/>
        <v/>
      </c>
      <c r="Z383" s="2">
        <f t="shared" si="37"/>
        <v>0</v>
      </c>
      <c r="AA383" s="2">
        <f t="shared" si="38"/>
        <v>0</v>
      </c>
    </row>
    <row r="384" spans="25:27">
      <c r="Y384" s="2" t="str">
        <f ca="1" t="shared" si="36"/>
        <v/>
      </c>
      <c r="Z384" s="2">
        <f t="shared" si="37"/>
        <v>0</v>
      </c>
      <c r="AA384" s="2">
        <f t="shared" si="38"/>
        <v>0</v>
      </c>
    </row>
    <row r="385" spans="25:27">
      <c r="Y385" s="2">
        <f ca="1" t="shared" si="36"/>
        <v>10001988</v>
      </c>
      <c r="Z385" s="2">
        <f t="shared" si="37"/>
        <v>0</v>
      </c>
      <c r="AA385" s="2">
        <f t="shared" si="38"/>
        <v>0</v>
      </c>
    </row>
    <row r="386" spans="25:27">
      <c r="Y386" s="2">
        <f ca="1" t="shared" si="36"/>
        <v>10001989</v>
      </c>
      <c r="Z386" s="2">
        <f t="shared" si="37"/>
        <v>0</v>
      </c>
      <c r="AA386" s="2">
        <f t="shared" si="38"/>
        <v>0</v>
      </c>
    </row>
    <row r="387" spans="25:27">
      <c r="Y387" s="2">
        <f ca="1" t="shared" si="36"/>
        <v>10001990</v>
      </c>
      <c r="Z387" s="2">
        <f t="shared" si="37"/>
        <v>0</v>
      </c>
      <c r="AA387" s="2">
        <f t="shared" si="38"/>
        <v>0</v>
      </c>
    </row>
    <row r="388" spans="25:27">
      <c r="Y388" s="2" t="str">
        <f ca="1" t="shared" si="36"/>
        <v/>
      </c>
      <c r="Z388" s="2">
        <f t="shared" si="37"/>
        <v>0</v>
      </c>
      <c r="AA388" s="2">
        <f t="shared" si="38"/>
        <v>0</v>
      </c>
    </row>
    <row r="389" spans="25:27">
      <c r="Y389" s="2" t="str">
        <f ca="1" t="shared" si="36"/>
        <v/>
      </c>
      <c r="Z389" s="2">
        <f t="shared" si="37"/>
        <v>0</v>
      </c>
      <c r="AA389" s="2">
        <f t="shared" si="38"/>
        <v>0</v>
      </c>
    </row>
    <row r="390" spans="25:27">
      <c r="Y390" s="2" t="str">
        <f ca="1" t="shared" si="36"/>
        <v/>
      </c>
      <c r="Z390" s="2">
        <f t="shared" si="37"/>
        <v>0</v>
      </c>
      <c r="AA390" s="2">
        <f t="shared" si="38"/>
        <v>0</v>
      </c>
    </row>
    <row r="391" spans="25:27">
      <c r="Y391" s="2" t="str">
        <f ca="1" t="shared" si="36"/>
        <v/>
      </c>
      <c r="Z391" s="2">
        <f t="shared" si="37"/>
        <v>0</v>
      </c>
      <c r="AA391" s="2">
        <f t="shared" si="38"/>
        <v>0</v>
      </c>
    </row>
    <row r="392" spans="25:27">
      <c r="Y392" s="2" t="str">
        <f ca="1" t="shared" si="36"/>
        <v/>
      </c>
      <c r="Z392" s="2">
        <f t="shared" si="37"/>
        <v>0</v>
      </c>
      <c r="AA392" s="2">
        <f t="shared" si="38"/>
        <v>0</v>
      </c>
    </row>
    <row r="393" spans="25:27">
      <c r="Y393" s="2">
        <f ca="1" t="shared" si="36"/>
        <v>10001991</v>
      </c>
      <c r="Z393" s="2">
        <f t="shared" si="37"/>
        <v>0</v>
      </c>
      <c r="AA393" s="2">
        <f t="shared" si="38"/>
        <v>0</v>
      </c>
    </row>
    <row r="394" spans="25:27">
      <c r="Y394" s="2">
        <f ca="1" t="shared" si="36"/>
        <v>10001992</v>
      </c>
      <c r="Z394" s="2">
        <f t="shared" si="37"/>
        <v>0</v>
      </c>
      <c r="AA394" s="2">
        <f t="shared" si="38"/>
        <v>0</v>
      </c>
    </row>
    <row r="395" spans="25:27">
      <c r="Y395" s="2">
        <f ca="1" t="shared" si="36"/>
        <v>10001993</v>
      </c>
      <c r="Z395" s="2">
        <f t="shared" si="37"/>
        <v>0</v>
      </c>
      <c r="AA395" s="2">
        <f t="shared" si="38"/>
        <v>0</v>
      </c>
    </row>
    <row r="396" spans="25:27">
      <c r="Y396" s="2">
        <f ca="1" t="shared" si="36"/>
        <v>10001994</v>
      </c>
      <c r="Z396" s="2">
        <f t="shared" si="37"/>
        <v>0</v>
      </c>
      <c r="AA396" s="2">
        <f t="shared" si="38"/>
        <v>0</v>
      </c>
    </row>
    <row r="397" spans="25:27">
      <c r="Y397" s="2" t="str">
        <f ca="1" t="shared" si="36"/>
        <v/>
      </c>
      <c r="Z397" s="2">
        <f t="shared" si="37"/>
        <v>0</v>
      </c>
      <c r="AA397" s="2">
        <f t="shared" si="38"/>
        <v>0</v>
      </c>
    </row>
    <row r="398" spans="25:27">
      <c r="Y398" s="2" t="str">
        <f ca="1" t="shared" si="36"/>
        <v/>
      </c>
      <c r="Z398" s="2">
        <f t="shared" si="37"/>
        <v>0</v>
      </c>
      <c r="AA398" s="2">
        <f t="shared" si="38"/>
        <v>0</v>
      </c>
    </row>
    <row r="399" spans="25:27">
      <c r="Y399" s="2" t="str">
        <f ca="1" t="shared" si="36"/>
        <v/>
      </c>
      <c r="Z399" s="2">
        <f t="shared" si="37"/>
        <v>0</v>
      </c>
      <c r="AA399" s="2">
        <f t="shared" si="38"/>
        <v>0</v>
      </c>
    </row>
    <row r="400" spans="25:27">
      <c r="Y400" s="2" t="str">
        <f ca="1" t="shared" si="36"/>
        <v/>
      </c>
      <c r="Z400" s="2">
        <f t="shared" si="37"/>
        <v>0</v>
      </c>
      <c r="AA400" s="2">
        <f t="shared" si="38"/>
        <v>0</v>
      </c>
    </row>
    <row r="401" spans="25:27">
      <c r="Y401" s="2">
        <f ca="1" t="shared" si="36"/>
        <v>10001995</v>
      </c>
      <c r="Z401" s="2">
        <f t="shared" si="37"/>
        <v>0</v>
      </c>
      <c r="AA401" s="2">
        <f t="shared" si="38"/>
        <v>0</v>
      </c>
    </row>
    <row r="402" spans="25:27">
      <c r="Y402" s="2">
        <f ca="1" t="shared" ref="Y402:Y433" si="39">Z282</f>
        <v>10001996</v>
      </c>
      <c r="Z402" s="2">
        <f t="shared" ref="Z402:Z433" si="40">AA282</f>
        <v>0</v>
      </c>
      <c r="AA402" s="2">
        <f t="shared" ref="AA402:AA433" si="41">AB282</f>
        <v>0</v>
      </c>
    </row>
    <row r="403" spans="25:27">
      <c r="Y403" s="2">
        <f ca="1" t="shared" si="39"/>
        <v>10001997</v>
      </c>
      <c r="Z403" s="2">
        <f t="shared" si="40"/>
        <v>0</v>
      </c>
      <c r="AA403" s="2">
        <f t="shared" si="41"/>
        <v>0</v>
      </c>
    </row>
    <row r="404" spans="25:27">
      <c r="Y404" s="2">
        <f ca="1" t="shared" si="39"/>
        <v>10001998</v>
      </c>
      <c r="Z404" s="2">
        <f t="shared" si="40"/>
        <v>0</v>
      </c>
      <c r="AA404" s="2">
        <f t="shared" si="41"/>
        <v>0</v>
      </c>
    </row>
    <row r="405" spans="25:27">
      <c r="Y405" s="2" t="str">
        <f ca="1" t="shared" si="39"/>
        <v/>
      </c>
      <c r="Z405" s="2">
        <f t="shared" si="40"/>
        <v>0</v>
      </c>
      <c r="AA405" s="2">
        <f t="shared" si="41"/>
        <v>0</v>
      </c>
    </row>
    <row r="406" spans="25:27">
      <c r="Y406" s="2" t="str">
        <f ca="1" t="shared" si="39"/>
        <v/>
      </c>
      <c r="Z406" s="2">
        <f t="shared" si="40"/>
        <v>0</v>
      </c>
      <c r="AA406" s="2">
        <f t="shared" si="41"/>
        <v>0</v>
      </c>
    </row>
    <row r="407" spans="25:27">
      <c r="Y407" s="2" t="str">
        <f ca="1" t="shared" si="39"/>
        <v/>
      </c>
      <c r="Z407" s="2">
        <f t="shared" si="40"/>
        <v>0</v>
      </c>
      <c r="AA407" s="2">
        <f t="shared" si="41"/>
        <v>0</v>
      </c>
    </row>
    <row r="408" spans="25:27">
      <c r="Y408" s="2" t="str">
        <f ca="1" t="shared" si="39"/>
        <v/>
      </c>
      <c r="Z408" s="2">
        <f t="shared" si="40"/>
        <v>0</v>
      </c>
      <c r="AA408" s="2">
        <f t="shared" si="41"/>
        <v>0</v>
      </c>
    </row>
    <row r="409" spans="25:27">
      <c r="Y409" s="2">
        <f ca="1" t="shared" si="39"/>
        <v>10001999</v>
      </c>
      <c r="Z409" s="2">
        <f t="shared" si="40"/>
        <v>0</v>
      </c>
      <c r="AA409" s="2">
        <f t="shared" si="41"/>
        <v>0</v>
      </c>
    </row>
    <row r="410" spans="25:27">
      <c r="Y410" s="2">
        <f ca="1" t="shared" si="39"/>
        <v>10002000</v>
      </c>
      <c r="Z410" s="2">
        <f t="shared" si="40"/>
        <v>0</v>
      </c>
      <c r="AA410" s="2">
        <f t="shared" si="41"/>
        <v>0</v>
      </c>
    </row>
    <row r="411" spans="25:27">
      <c r="Y411" s="2">
        <f ca="1" t="shared" si="39"/>
        <v>10002001</v>
      </c>
      <c r="Z411" s="2">
        <f t="shared" si="40"/>
        <v>0</v>
      </c>
      <c r="AA411" s="2">
        <f t="shared" si="41"/>
        <v>0</v>
      </c>
    </row>
    <row r="412" spans="25:27">
      <c r="Y412" s="2">
        <f ca="1" t="shared" si="39"/>
        <v>10002002</v>
      </c>
      <c r="Z412" s="2">
        <f t="shared" si="40"/>
        <v>0</v>
      </c>
      <c r="AA412" s="2">
        <f t="shared" si="41"/>
        <v>0</v>
      </c>
    </row>
    <row r="413" spans="25:27">
      <c r="Y413" s="2" t="str">
        <f ca="1" t="shared" si="39"/>
        <v/>
      </c>
      <c r="Z413" s="2">
        <f t="shared" si="40"/>
        <v>0</v>
      </c>
      <c r="AA413" s="2">
        <f t="shared" si="41"/>
        <v>0</v>
      </c>
    </row>
    <row r="414" spans="25:27">
      <c r="Y414" s="2" t="str">
        <f ca="1" t="shared" si="39"/>
        <v/>
      </c>
      <c r="Z414" s="2">
        <f t="shared" si="40"/>
        <v>0</v>
      </c>
      <c r="AA414" s="2">
        <f t="shared" si="41"/>
        <v>0</v>
      </c>
    </row>
    <row r="415" spans="25:27">
      <c r="Y415" s="2" t="str">
        <f ca="1" t="shared" si="39"/>
        <v/>
      </c>
      <c r="Z415" s="2">
        <f t="shared" si="40"/>
        <v>0</v>
      </c>
      <c r="AA415" s="2">
        <f t="shared" si="41"/>
        <v>0</v>
      </c>
    </row>
    <row r="416" spans="25:27">
      <c r="Y416" s="2" t="str">
        <f ca="1" t="shared" si="39"/>
        <v/>
      </c>
      <c r="Z416" s="2">
        <f t="shared" si="40"/>
        <v>0</v>
      </c>
      <c r="AA416" s="2">
        <f t="shared" si="41"/>
        <v>0</v>
      </c>
    </row>
    <row r="417" spans="25:27">
      <c r="Y417" s="2">
        <f ca="1" t="shared" si="39"/>
        <v>10002003</v>
      </c>
      <c r="Z417" s="2">
        <f t="shared" si="40"/>
        <v>0</v>
      </c>
      <c r="AA417" s="2">
        <f t="shared" si="41"/>
        <v>0</v>
      </c>
    </row>
    <row r="418" spans="25:27">
      <c r="Y418" s="2">
        <f ca="1" t="shared" si="39"/>
        <v>10002004</v>
      </c>
      <c r="Z418" s="2">
        <f t="shared" si="40"/>
        <v>0</v>
      </c>
      <c r="AA418" s="2">
        <f t="shared" si="41"/>
        <v>0</v>
      </c>
    </row>
    <row r="419" spans="25:27">
      <c r="Y419" s="2">
        <f ca="1" t="shared" si="39"/>
        <v>10002005</v>
      </c>
      <c r="Z419" s="2">
        <f t="shared" si="40"/>
        <v>0</v>
      </c>
      <c r="AA419" s="2">
        <f t="shared" si="41"/>
        <v>0</v>
      </c>
    </row>
    <row r="420" spans="25:27">
      <c r="Y420" s="2">
        <f ca="1" t="shared" si="39"/>
        <v>10002006</v>
      </c>
      <c r="Z420" s="2">
        <f t="shared" si="40"/>
        <v>0</v>
      </c>
      <c r="AA420" s="2">
        <f t="shared" si="41"/>
        <v>0</v>
      </c>
    </row>
    <row r="421" spans="25:27">
      <c r="Y421" s="2">
        <f ca="1" t="shared" si="39"/>
        <v>10002007</v>
      </c>
      <c r="Z421" s="2">
        <f t="shared" si="40"/>
        <v>0</v>
      </c>
      <c r="AA421" s="2">
        <f t="shared" si="41"/>
        <v>0</v>
      </c>
    </row>
    <row r="422" spans="25:27">
      <c r="Y422" s="2" t="str">
        <f ca="1" t="shared" si="39"/>
        <v/>
      </c>
      <c r="Z422" s="2">
        <f t="shared" si="40"/>
        <v>0</v>
      </c>
      <c r="AA422" s="2">
        <f t="shared" si="41"/>
        <v>0</v>
      </c>
    </row>
    <row r="423" spans="25:27">
      <c r="Y423" s="2" t="str">
        <f ca="1" t="shared" si="39"/>
        <v/>
      </c>
      <c r="Z423" s="2">
        <f t="shared" si="40"/>
        <v>0</v>
      </c>
      <c r="AA423" s="2">
        <f t="shared" si="41"/>
        <v>0</v>
      </c>
    </row>
    <row r="424" spans="25:27">
      <c r="Y424" s="2" t="str">
        <f ca="1" t="shared" si="39"/>
        <v/>
      </c>
      <c r="Z424" s="2">
        <f t="shared" si="40"/>
        <v>0</v>
      </c>
      <c r="AA424" s="2">
        <f t="shared" si="41"/>
        <v>0</v>
      </c>
    </row>
    <row r="425" spans="25:27">
      <c r="Y425" s="2" t="str">
        <f ca="1" t="shared" si="39"/>
        <v/>
      </c>
      <c r="Z425" s="2">
        <f t="shared" si="40"/>
        <v>0</v>
      </c>
      <c r="AA425" s="2">
        <f t="shared" si="41"/>
        <v>0</v>
      </c>
    </row>
    <row r="426" spans="25:27">
      <c r="Y426" s="2">
        <f ca="1" t="shared" si="39"/>
        <v>10002008</v>
      </c>
      <c r="Z426" s="2">
        <f t="shared" si="40"/>
        <v>0</v>
      </c>
      <c r="AA426" s="2">
        <f t="shared" si="41"/>
        <v>0</v>
      </c>
    </row>
    <row r="427" spans="25:27">
      <c r="Y427" s="2">
        <f ca="1" t="shared" si="39"/>
        <v>10002009</v>
      </c>
      <c r="Z427" s="2">
        <f t="shared" si="40"/>
        <v>0</v>
      </c>
      <c r="AA427" s="2">
        <f t="shared" si="41"/>
        <v>0</v>
      </c>
    </row>
    <row r="428" spans="25:27">
      <c r="Y428" s="2">
        <f ca="1" t="shared" si="39"/>
        <v>10002010</v>
      </c>
      <c r="Z428" s="2">
        <f t="shared" si="40"/>
        <v>0</v>
      </c>
      <c r="AA428" s="2">
        <f t="shared" si="41"/>
        <v>0</v>
      </c>
    </row>
    <row r="429" spans="25:27">
      <c r="Y429" s="2">
        <f ca="1" t="shared" si="39"/>
        <v>10002011</v>
      </c>
      <c r="Z429" s="2">
        <f t="shared" si="40"/>
        <v>0</v>
      </c>
      <c r="AA429" s="2">
        <f t="shared" si="41"/>
        <v>0</v>
      </c>
    </row>
    <row r="430" spans="25:27">
      <c r="Y430" s="2" t="str">
        <f ca="1" t="shared" si="39"/>
        <v/>
      </c>
      <c r="Z430" s="2">
        <f t="shared" si="40"/>
        <v>0</v>
      </c>
      <c r="AA430" s="2">
        <f t="shared" si="41"/>
        <v>0</v>
      </c>
    </row>
    <row r="431" spans="25:27">
      <c r="Y431" s="2" t="str">
        <f ca="1" t="shared" si="39"/>
        <v/>
      </c>
      <c r="Z431" s="2">
        <f t="shared" si="40"/>
        <v>0</v>
      </c>
      <c r="AA431" s="2">
        <f t="shared" si="41"/>
        <v>0</v>
      </c>
    </row>
    <row r="432" spans="25:27">
      <c r="Y432" s="2" t="str">
        <f ca="1" t="shared" si="39"/>
        <v/>
      </c>
      <c r="Z432" s="2">
        <f t="shared" si="40"/>
        <v>0</v>
      </c>
      <c r="AA432" s="2">
        <f t="shared" si="41"/>
        <v>0</v>
      </c>
    </row>
    <row r="433" spans="25:27">
      <c r="Y433" s="2" t="str">
        <f ca="1" t="shared" si="39"/>
        <v/>
      </c>
      <c r="Z433" s="2">
        <f t="shared" si="40"/>
        <v>0</v>
      </c>
      <c r="AA433" s="2">
        <f t="shared" si="41"/>
        <v>0</v>
      </c>
    </row>
    <row r="434" spans="25:27">
      <c r="Y434" s="2">
        <f ca="1" t="shared" ref="Y434:Y450" si="42">Z314</f>
        <v>10002012</v>
      </c>
      <c r="Z434" s="2">
        <f t="shared" ref="Z434:Z450" si="43">AA314</f>
        <v>0</v>
      </c>
      <c r="AA434" s="2">
        <f t="shared" ref="AA434:AA450" si="44">AB314</f>
        <v>0</v>
      </c>
    </row>
    <row r="435" spans="25:27">
      <c r="Y435" s="2">
        <f ca="1" t="shared" si="42"/>
        <v>10002013</v>
      </c>
      <c r="Z435" s="2">
        <f t="shared" si="43"/>
        <v>0</v>
      </c>
      <c r="AA435" s="2">
        <f t="shared" si="44"/>
        <v>0</v>
      </c>
    </row>
    <row r="436" spans="25:27">
      <c r="Y436" s="2">
        <f ca="1" t="shared" si="42"/>
        <v>10002014</v>
      </c>
      <c r="Z436" s="2">
        <f t="shared" si="43"/>
        <v>0</v>
      </c>
      <c r="AA436" s="2">
        <f t="shared" si="44"/>
        <v>0</v>
      </c>
    </row>
    <row r="437" spans="25:27">
      <c r="Y437" s="2">
        <f ca="1" t="shared" si="42"/>
        <v>10002015</v>
      </c>
      <c r="Z437" s="2">
        <f t="shared" si="43"/>
        <v>0</v>
      </c>
      <c r="AA437" s="2">
        <f t="shared" si="44"/>
        <v>0</v>
      </c>
    </row>
    <row r="438" spans="25:27">
      <c r="Y438" s="2" t="str">
        <f ca="1" t="shared" si="42"/>
        <v/>
      </c>
      <c r="Z438" s="2">
        <f t="shared" si="43"/>
        <v>0</v>
      </c>
      <c r="AA438" s="2">
        <f t="shared" si="44"/>
        <v>0</v>
      </c>
    </row>
    <row r="439" spans="25:27">
      <c r="Y439" s="2" t="str">
        <f ca="1" t="shared" si="42"/>
        <v/>
      </c>
      <c r="Z439" s="2">
        <f t="shared" si="43"/>
        <v>0</v>
      </c>
      <c r="AA439" s="2">
        <f t="shared" si="44"/>
        <v>0</v>
      </c>
    </row>
    <row r="440" spans="25:27">
      <c r="Y440" s="2" t="str">
        <f ca="1" t="shared" si="42"/>
        <v/>
      </c>
      <c r="Z440" s="2">
        <f t="shared" si="43"/>
        <v>0</v>
      </c>
      <c r="AA440" s="2">
        <f t="shared" si="44"/>
        <v>0</v>
      </c>
    </row>
    <row r="441" spans="25:27">
      <c r="Y441" s="2" t="str">
        <f ca="1" t="shared" si="42"/>
        <v/>
      </c>
      <c r="Z441" s="2">
        <f t="shared" si="43"/>
        <v>0</v>
      </c>
      <c r="AA441" s="2">
        <f t="shared" si="44"/>
        <v>0</v>
      </c>
    </row>
    <row r="442" spans="25:27">
      <c r="Y442" s="2">
        <f ca="1" t="shared" si="42"/>
        <v>10002016</v>
      </c>
      <c r="Z442" s="2">
        <f t="shared" si="43"/>
        <v>0</v>
      </c>
      <c r="AA442" s="2">
        <f t="shared" si="44"/>
        <v>0</v>
      </c>
    </row>
    <row r="443" spans="25:27">
      <c r="Y443" s="2">
        <f ca="1" t="shared" si="42"/>
        <v>10002017</v>
      </c>
      <c r="Z443" s="2">
        <f t="shared" si="43"/>
        <v>0</v>
      </c>
      <c r="AA443" s="2">
        <f t="shared" si="44"/>
        <v>0</v>
      </c>
    </row>
    <row r="444" spans="25:27">
      <c r="Y444" s="2">
        <f ca="1" t="shared" si="42"/>
        <v>10002018</v>
      </c>
      <c r="Z444" s="2">
        <f t="shared" si="43"/>
        <v>0</v>
      </c>
      <c r="AA444" s="2">
        <f t="shared" si="44"/>
        <v>0</v>
      </c>
    </row>
    <row r="445" spans="25:27">
      <c r="Y445" s="2">
        <f ca="1" t="shared" si="42"/>
        <v>10002019</v>
      </c>
      <c r="Z445" s="2">
        <f t="shared" si="43"/>
        <v>0</v>
      </c>
      <c r="AA445" s="2">
        <f t="shared" si="44"/>
        <v>0</v>
      </c>
    </row>
    <row r="446" spans="25:27">
      <c r="Y446" s="2" t="str">
        <f ca="1" t="shared" si="42"/>
        <v/>
      </c>
      <c r="Z446" s="2">
        <f t="shared" si="43"/>
        <v>0</v>
      </c>
      <c r="AA446" s="2">
        <f t="shared" si="44"/>
        <v>0</v>
      </c>
    </row>
    <row r="447" spans="25:27">
      <c r="Y447" s="2" t="str">
        <f ca="1" t="shared" si="42"/>
        <v/>
      </c>
      <c r="Z447" s="2">
        <f t="shared" si="43"/>
        <v>0</v>
      </c>
      <c r="AA447" s="2">
        <f t="shared" si="44"/>
        <v>0</v>
      </c>
    </row>
    <row r="448" spans="25:27">
      <c r="Y448" s="2" t="str">
        <f ca="1" t="shared" si="42"/>
        <v/>
      </c>
      <c r="Z448" s="2">
        <f t="shared" si="43"/>
        <v>0</v>
      </c>
      <c r="AA448" s="2">
        <f t="shared" si="44"/>
        <v>0</v>
      </c>
    </row>
    <row r="449" spans="25:27">
      <c r="Y449" s="2" t="str">
        <f ca="1" t="shared" si="42"/>
        <v/>
      </c>
      <c r="Z449" s="2">
        <f t="shared" si="43"/>
        <v>0</v>
      </c>
      <c r="AA449" s="2">
        <f t="shared" si="44"/>
        <v>0</v>
      </c>
    </row>
    <row r="450" spans="25:27">
      <c r="Y450" s="2">
        <f ca="1" t="shared" si="42"/>
        <v>10002020</v>
      </c>
      <c r="Z450" s="2">
        <f t="shared" si="43"/>
        <v>0</v>
      </c>
      <c r="AA450" s="2">
        <f t="shared" si="44"/>
        <v>0</v>
      </c>
    </row>
    <row r="451" spans="25:27">
      <c r="Y451" s="2">
        <f ca="1" t="shared" ref="Y451:Y491" si="45">Z331</f>
        <v>10002021</v>
      </c>
      <c r="Z451" s="2">
        <f t="shared" ref="Z451:Z491" si="46">AA331</f>
        <v>0</v>
      </c>
      <c r="AA451" s="2">
        <f t="shared" ref="AA451:AA491" si="47">AB331</f>
        <v>0</v>
      </c>
    </row>
    <row r="452" spans="25:27">
      <c r="Y452" s="2">
        <f ca="1" t="shared" si="45"/>
        <v>10002022</v>
      </c>
      <c r="Z452" s="2">
        <f t="shared" si="46"/>
        <v>0</v>
      </c>
      <c r="AA452" s="2">
        <f t="shared" si="47"/>
        <v>0</v>
      </c>
    </row>
    <row r="453" spans="25:27">
      <c r="Y453" s="2">
        <f ca="1" t="shared" si="45"/>
        <v>10002023</v>
      </c>
      <c r="Z453" s="2">
        <f t="shared" si="46"/>
        <v>0</v>
      </c>
      <c r="AA453" s="2">
        <f t="shared" si="47"/>
        <v>0</v>
      </c>
    </row>
    <row r="454" spans="25:27">
      <c r="Y454" s="2">
        <f ca="1" t="shared" si="45"/>
        <v>10002024</v>
      </c>
      <c r="Z454" s="2">
        <f t="shared" si="46"/>
        <v>0</v>
      </c>
      <c r="AA454" s="2">
        <f t="shared" si="47"/>
        <v>0</v>
      </c>
    </row>
    <row r="455" spans="25:27">
      <c r="Y455" s="2" t="str">
        <f ca="1" t="shared" si="45"/>
        <v/>
      </c>
      <c r="Z455" s="2">
        <f t="shared" si="46"/>
        <v>0</v>
      </c>
      <c r="AA455" s="2">
        <f t="shared" si="47"/>
        <v>0</v>
      </c>
    </row>
    <row r="456" spans="25:27">
      <c r="Y456" s="2" t="str">
        <f ca="1" t="shared" si="45"/>
        <v/>
      </c>
      <c r="Z456" s="2">
        <f t="shared" si="46"/>
        <v>0</v>
      </c>
      <c r="AA456" s="2">
        <f t="shared" si="47"/>
        <v>0</v>
      </c>
    </row>
    <row r="457" spans="25:27">
      <c r="Y457" s="2" t="str">
        <f ca="1" t="shared" si="45"/>
        <v/>
      </c>
      <c r="Z457" s="2">
        <f t="shared" si="46"/>
        <v>0</v>
      </c>
      <c r="AA457" s="2">
        <f t="shared" si="47"/>
        <v>0</v>
      </c>
    </row>
    <row r="458" spans="25:27">
      <c r="Y458" s="2" t="str">
        <f ca="1" t="shared" si="45"/>
        <v/>
      </c>
      <c r="Z458" s="2">
        <f t="shared" si="46"/>
        <v>0</v>
      </c>
      <c r="AA458" s="2">
        <f t="shared" si="47"/>
        <v>0</v>
      </c>
    </row>
    <row r="459" spans="25:27">
      <c r="Y459" s="2">
        <f ca="1" t="shared" si="45"/>
        <v>10002025</v>
      </c>
      <c r="Z459" s="2">
        <f t="shared" si="46"/>
        <v>0</v>
      </c>
      <c r="AA459" s="2">
        <f t="shared" si="47"/>
        <v>0</v>
      </c>
    </row>
    <row r="460" spans="25:27">
      <c r="Y460" s="2">
        <f ca="1" t="shared" si="45"/>
        <v>10002026</v>
      </c>
      <c r="Z460" s="2">
        <f t="shared" si="46"/>
        <v>0</v>
      </c>
      <c r="AA460" s="2">
        <f t="shared" si="47"/>
        <v>0</v>
      </c>
    </row>
    <row r="461" spans="25:27">
      <c r="Y461" s="2">
        <f ca="1" t="shared" si="45"/>
        <v>10002027</v>
      </c>
      <c r="Z461" s="2">
        <f t="shared" si="46"/>
        <v>0</v>
      </c>
      <c r="AA461" s="2">
        <f t="shared" si="47"/>
        <v>0</v>
      </c>
    </row>
    <row r="462" spans="25:27">
      <c r="Y462" s="2">
        <f ca="1" t="shared" si="45"/>
        <v>10002028</v>
      </c>
      <c r="Z462" s="2">
        <f t="shared" si="46"/>
        <v>0</v>
      </c>
      <c r="AA462" s="2">
        <f t="shared" si="47"/>
        <v>0</v>
      </c>
    </row>
    <row r="463" spans="25:27">
      <c r="Y463" s="2" t="str">
        <f ca="1" t="shared" si="45"/>
        <v/>
      </c>
      <c r="Z463" s="2">
        <f t="shared" si="46"/>
        <v>0</v>
      </c>
      <c r="AA463" s="2">
        <f t="shared" si="47"/>
        <v>0</v>
      </c>
    </row>
    <row r="464" spans="25:27">
      <c r="Y464" s="2" t="str">
        <f ca="1" t="shared" si="45"/>
        <v/>
      </c>
      <c r="Z464" s="2">
        <f t="shared" si="46"/>
        <v>0</v>
      </c>
      <c r="AA464" s="2">
        <f t="shared" si="47"/>
        <v>0</v>
      </c>
    </row>
    <row r="465" spans="25:27">
      <c r="Y465" s="2" t="str">
        <f ca="1" t="shared" si="45"/>
        <v/>
      </c>
      <c r="Z465" s="2">
        <f t="shared" si="46"/>
        <v>0</v>
      </c>
      <c r="AA465" s="2">
        <f t="shared" si="47"/>
        <v>0</v>
      </c>
    </row>
    <row r="466" spans="25:27">
      <c r="Y466" s="2" t="str">
        <f ca="1" t="shared" si="45"/>
        <v/>
      </c>
      <c r="Z466" s="2">
        <f t="shared" si="46"/>
        <v>0</v>
      </c>
      <c r="AA466" s="2">
        <f t="shared" si="47"/>
        <v>0</v>
      </c>
    </row>
    <row r="467" spans="25:27">
      <c r="Y467" s="2">
        <f ca="1" t="shared" si="45"/>
        <v>10002029</v>
      </c>
      <c r="Z467" s="2">
        <f t="shared" si="46"/>
        <v>0</v>
      </c>
      <c r="AA467" s="2">
        <f t="shared" si="47"/>
        <v>0</v>
      </c>
    </row>
    <row r="468" spans="25:27">
      <c r="Y468" s="2">
        <f ca="1" t="shared" si="45"/>
        <v>10002030</v>
      </c>
      <c r="Z468" s="2">
        <f t="shared" si="46"/>
        <v>0</v>
      </c>
      <c r="AA468" s="2">
        <f t="shared" si="47"/>
        <v>0</v>
      </c>
    </row>
    <row r="469" spans="25:27">
      <c r="Y469" s="2">
        <f ca="1" t="shared" si="45"/>
        <v>10002031</v>
      </c>
      <c r="Z469" s="2">
        <f t="shared" si="46"/>
        <v>0</v>
      </c>
      <c r="AA469" s="2">
        <f t="shared" si="47"/>
        <v>0</v>
      </c>
    </row>
    <row r="470" spans="25:27">
      <c r="Y470" s="2">
        <f ca="1" t="shared" si="45"/>
        <v>10002032</v>
      </c>
      <c r="Z470" s="2">
        <f t="shared" si="46"/>
        <v>0</v>
      </c>
      <c r="AA470" s="2">
        <f t="shared" si="47"/>
        <v>0</v>
      </c>
    </row>
    <row r="471" spans="25:27">
      <c r="Y471" s="2" t="str">
        <f ca="1" t="shared" si="45"/>
        <v/>
      </c>
      <c r="Z471" s="2">
        <f t="shared" si="46"/>
        <v>0</v>
      </c>
      <c r="AA471" s="2">
        <f t="shared" si="47"/>
        <v>0</v>
      </c>
    </row>
    <row r="472" spans="25:27">
      <c r="Y472" s="2" t="str">
        <f ca="1" t="shared" si="45"/>
        <v/>
      </c>
      <c r="Z472" s="2">
        <f t="shared" si="46"/>
        <v>0</v>
      </c>
      <c r="AA472" s="2">
        <f t="shared" si="47"/>
        <v>0</v>
      </c>
    </row>
    <row r="473" spans="25:27">
      <c r="Y473" s="2" t="str">
        <f ca="1" t="shared" si="45"/>
        <v/>
      </c>
      <c r="Z473" s="2">
        <f t="shared" si="46"/>
        <v>0</v>
      </c>
      <c r="AA473" s="2">
        <f t="shared" si="47"/>
        <v>0</v>
      </c>
    </row>
    <row r="474" spans="25:27">
      <c r="Y474" s="2" t="str">
        <f ca="1" t="shared" si="45"/>
        <v/>
      </c>
      <c r="Z474" s="2">
        <f t="shared" si="46"/>
        <v>0</v>
      </c>
      <c r="AA474" s="2">
        <f t="shared" si="47"/>
        <v>0</v>
      </c>
    </row>
    <row r="475" spans="25:27">
      <c r="Y475" s="2">
        <f ca="1" t="shared" si="45"/>
        <v>10002033</v>
      </c>
      <c r="Z475" s="2">
        <f t="shared" si="46"/>
        <v>0</v>
      </c>
      <c r="AA475" s="2">
        <f t="shared" si="47"/>
        <v>0</v>
      </c>
    </row>
    <row r="476" spans="25:27">
      <c r="Y476" s="2">
        <f ca="1" t="shared" si="45"/>
        <v>10002034</v>
      </c>
      <c r="Z476" s="2">
        <f t="shared" si="46"/>
        <v>0</v>
      </c>
      <c r="AA476" s="2">
        <f t="shared" si="47"/>
        <v>0</v>
      </c>
    </row>
    <row r="477" spans="25:27">
      <c r="Y477" s="2">
        <f ca="1" t="shared" si="45"/>
        <v>10002035</v>
      </c>
      <c r="Z477" s="2">
        <f t="shared" si="46"/>
        <v>0</v>
      </c>
      <c r="AA477" s="2">
        <f t="shared" si="47"/>
        <v>0</v>
      </c>
    </row>
    <row r="478" spans="25:27">
      <c r="Y478" s="2">
        <f ca="1" t="shared" si="45"/>
        <v>10002036</v>
      </c>
      <c r="Z478" s="2">
        <f t="shared" si="46"/>
        <v>0</v>
      </c>
      <c r="AA478" s="2">
        <f t="shared" si="47"/>
        <v>0</v>
      </c>
    </row>
    <row r="479" spans="25:27">
      <c r="Y479" s="2" t="str">
        <f ca="1" t="shared" si="45"/>
        <v/>
      </c>
      <c r="Z479" s="2">
        <f t="shared" si="46"/>
        <v>0</v>
      </c>
      <c r="AA479" s="2">
        <f t="shared" si="47"/>
        <v>0</v>
      </c>
    </row>
    <row r="480" spans="25:27">
      <c r="Y480" s="2" t="str">
        <f ca="1" t="shared" si="45"/>
        <v/>
      </c>
      <c r="Z480" s="2">
        <f t="shared" si="46"/>
        <v>0</v>
      </c>
      <c r="AA480" s="2">
        <f t="shared" si="47"/>
        <v>0</v>
      </c>
    </row>
    <row r="481" spans="25:27">
      <c r="Y481" s="2" t="str">
        <f ca="1" t="shared" si="45"/>
        <v/>
      </c>
      <c r="Z481" s="2">
        <f t="shared" si="46"/>
        <v>0</v>
      </c>
      <c r="AA481" s="2">
        <f t="shared" si="47"/>
        <v>0</v>
      </c>
    </row>
    <row r="482" spans="25:27">
      <c r="Y482" s="2" t="str">
        <f ca="1" t="shared" si="45"/>
        <v/>
      </c>
      <c r="Z482" s="2">
        <f t="shared" si="46"/>
        <v>0</v>
      </c>
      <c r="AA482" s="2">
        <f t="shared" si="47"/>
        <v>0</v>
      </c>
    </row>
    <row r="483" spans="25:27">
      <c r="Y483" s="2">
        <f ca="1" t="shared" si="45"/>
        <v>10002037</v>
      </c>
      <c r="Z483" s="2">
        <f t="shared" si="46"/>
        <v>0</v>
      </c>
      <c r="AA483" s="2">
        <f t="shared" si="47"/>
        <v>0</v>
      </c>
    </row>
    <row r="484" spans="25:27">
      <c r="Y484" s="2">
        <f ca="1" t="shared" si="45"/>
        <v>10002038</v>
      </c>
      <c r="Z484" s="2">
        <f t="shared" si="46"/>
        <v>0</v>
      </c>
      <c r="AA484" s="2">
        <f t="shared" si="47"/>
        <v>0</v>
      </c>
    </row>
    <row r="485" spans="25:27">
      <c r="Y485" s="2">
        <f ca="1" t="shared" si="45"/>
        <v>10002039</v>
      </c>
      <c r="Z485" s="2">
        <f t="shared" si="46"/>
        <v>0</v>
      </c>
      <c r="AA485" s="2">
        <f t="shared" si="47"/>
        <v>0</v>
      </c>
    </row>
    <row r="486" spans="25:27">
      <c r="Y486" s="2">
        <f ca="1" t="shared" si="45"/>
        <v>10002040</v>
      </c>
      <c r="Z486" s="2">
        <f t="shared" si="46"/>
        <v>0</v>
      </c>
      <c r="AA486" s="2">
        <f t="shared" si="47"/>
        <v>0</v>
      </c>
    </row>
    <row r="487" spans="25:27">
      <c r="Y487" s="2" t="str">
        <f ca="1" t="shared" si="45"/>
        <v/>
      </c>
      <c r="Z487" s="2">
        <f t="shared" si="46"/>
        <v>0</v>
      </c>
      <c r="AA487" s="2">
        <f t="shared" si="47"/>
        <v>0</v>
      </c>
    </row>
    <row r="488" spans="25:27">
      <c r="Y488" s="2" t="str">
        <f ca="1" t="shared" si="45"/>
        <v/>
      </c>
      <c r="Z488" s="2">
        <f t="shared" si="46"/>
        <v>0</v>
      </c>
      <c r="AA488" s="2">
        <f t="shared" si="47"/>
        <v>0</v>
      </c>
    </row>
    <row r="489" spans="25:27">
      <c r="Y489" s="2" t="str">
        <f ca="1" t="shared" si="45"/>
        <v/>
      </c>
      <c r="Z489" s="2">
        <f t="shared" si="46"/>
        <v>0</v>
      </c>
      <c r="AA489" s="2">
        <f t="shared" si="47"/>
        <v>0</v>
      </c>
    </row>
    <row r="490" spans="25:27">
      <c r="Y490" s="2" t="str">
        <f ca="1" t="shared" si="45"/>
        <v/>
      </c>
      <c r="Z490" s="2">
        <f t="shared" si="46"/>
        <v>0</v>
      </c>
      <c r="AA490" s="2">
        <f t="shared" si="47"/>
        <v>0</v>
      </c>
    </row>
    <row r="491" spans="25:27">
      <c r="Y491" s="2">
        <f ca="1" t="shared" si="45"/>
        <v>10002041</v>
      </c>
      <c r="Z491" s="2">
        <f t="shared" si="46"/>
        <v>0</v>
      </c>
      <c r="AA491" s="2">
        <f t="shared" si="47"/>
        <v>0</v>
      </c>
    </row>
    <row r="492" spans="25:27">
      <c r="Y492" s="2">
        <f ca="1" t="shared" ref="Y492:Y529" si="48">Z372</f>
        <v>10002042</v>
      </c>
      <c r="Z492" s="2">
        <f t="shared" ref="Z492:Z529" si="49">AA372</f>
        <v>0</v>
      </c>
      <c r="AA492" s="2">
        <f t="shared" ref="AA492:AA529" si="50">AB372</f>
        <v>0</v>
      </c>
    </row>
    <row r="493" spans="25:27">
      <c r="Y493" s="2">
        <f ca="1" t="shared" si="48"/>
        <v>10002043</v>
      </c>
      <c r="Z493" s="2">
        <f t="shared" si="49"/>
        <v>0</v>
      </c>
      <c r="AA493" s="2">
        <f t="shared" si="50"/>
        <v>0</v>
      </c>
    </row>
    <row r="494" spans="25:27">
      <c r="Y494" s="2">
        <f ca="1" t="shared" si="48"/>
        <v>10002044</v>
      </c>
      <c r="Z494" s="2">
        <f t="shared" si="49"/>
        <v>0</v>
      </c>
      <c r="AA494" s="2">
        <f t="shared" si="50"/>
        <v>0</v>
      </c>
    </row>
    <row r="495" spans="25:27">
      <c r="Y495" s="2" t="str">
        <f ca="1" t="shared" si="48"/>
        <v/>
      </c>
      <c r="Z495" s="2">
        <f t="shared" si="49"/>
        <v>0</v>
      </c>
      <c r="AA495" s="2">
        <f t="shared" si="50"/>
        <v>0</v>
      </c>
    </row>
    <row r="496" spans="25:27">
      <c r="Y496" s="2">
        <f t="shared" si="48"/>
        <v>0</v>
      </c>
      <c r="Z496" s="2">
        <f t="shared" si="49"/>
        <v>0</v>
      </c>
      <c r="AA496" s="2">
        <f t="shared" si="50"/>
        <v>0</v>
      </c>
    </row>
    <row r="497" spans="25:27">
      <c r="Y497" s="2">
        <f t="shared" si="48"/>
        <v>0</v>
      </c>
      <c r="Z497" s="2">
        <f t="shared" si="49"/>
        <v>0</v>
      </c>
      <c r="AA497" s="2">
        <f t="shared" si="50"/>
        <v>0</v>
      </c>
    </row>
    <row r="498" spans="25:27">
      <c r="Y498" s="2">
        <f t="shared" si="48"/>
        <v>0</v>
      </c>
      <c r="Z498" s="2">
        <f t="shared" si="49"/>
        <v>0</v>
      </c>
      <c r="AA498" s="2">
        <f t="shared" si="50"/>
        <v>0</v>
      </c>
    </row>
    <row r="499" spans="25:27">
      <c r="Y499" s="2">
        <f t="shared" si="48"/>
        <v>0</v>
      </c>
      <c r="Z499" s="2">
        <f t="shared" si="49"/>
        <v>0</v>
      </c>
      <c r="AA499" s="2">
        <f t="shared" si="50"/>
        <v>0</v>
      </c>
    </row>
    <row r="500" spans="25:27">
      <c r="Y500" s="2">
        <f t="shared" si="48"/>
        <v>0</v>
      </c>
      <c r="Z500" s="2">
        <f t="shared" si="49"/>
        <v>0</v>
      </c>
      <c r="AA500" s="2">
        <f t="shared" si="50"/>
        <v>0</v>
      </c>
    </row>
    <row r="501" spans="25:27">
      <c r="Y501" s="2">
        <f t="shared" si="48"/>
        <v>0</v>
      </c>
      <c r="Z501" s="2">
        <f t="shared" si="49"/>
        <v>0</v>
      </c>
      <c r="AA501" s="2">
        <f t="shared" si="50"/>
        <v>0</v>
      </c>
    </row>
    <row r="502" spans="25:27">
      <c r="Y502" s="2">
        <f t="shared" si="48"/>
        <v>0</v>
      </c>
      <c r="Z502" s="2">
        <f t="shared" si="49"/>
        <v>0</v>
      </c>
      <c r="AA502" s="2">
        <f t="shared" si="50"/>
        <v>0</v>
      </c>
    </row>
    <row r="503" spans="25:27">
      <c r="Y503" s="2">
        <f t="shared" si="48"/>
        <v>0</v>
      </c>
      <c r="Z503" s="2">
        <f t="shared" si="49"/>
        <v>0</v>
      </c>
      <c r="AA503" s="2">
        <f t="shared" si="50"/>
        <v>0</v>
      </c>
    </row>
    <row r="504" spans="25:27">
      <c r="Y504" s="2">
        <f t="shared" si="48"/>
        <v>0</v>
      </c>
      <c r="Z504" s="2">
        <f t="shared" si="49"/>
        <v>0</v>
      </c>
      <c r="AA504" s="2">
        <f t="shared" si="50"/>
        <v>0</v>
      </c>
    </row>
    <row r="505" spans="25:27">
      <c r="Y505" s="2">
        <f t="shared" si="48"/>
        <v>0</v>
      </c>
      <c r="Z505" s="2">
        <f t="shared" si="49"/>
        <v>0</v>
      </c>
      <c r="AA505" s="2">
        <f t="shared" si="50"/>
        <v>0</v>
      </c>
    </row>
    <row r="506" spans="25:27">
      <c r="Y506" s="2">
        <f t="shared" si="48"/>
        <v>0</v>
      </c>
      <c r="Z506" s="2">
        <f t="shared" si="49"/>
        <v>0</v>
      </c>
      <c r="AA506" s="2">
        <f t="shared" si="50"/>
        <v>0</v>
      </c>
    </row>
    <row r="507" spans="25:27">
      <c r="Y507" s="2">
        <f t="shared" si="48"/>
        <v>0</v>
      </c>
      <c r="Z507" s="2">
        <f t="shared" si="49"/>
        <v>0</v>
      </c>
      <c r="AA507" s="2">
        <f t="shared" si="50"/>
        <v>0</v>
      </c>
    </row>
    <row r="508" spans="25:27">
      <c r="Y508" s="2">
        <f t="shared" si="48"/>
        <v>0</v>
      </c>
      <c r="Z508" s="2">
        <f t="shared" si="49"/>
        <v>0</v>
      </c>
      <c r="AA508" s="2">
        <f t="shared" si="50"/>
        <v>0</v>
      </c>
    </row>
    <row r="509" spans="25:27">
      <c r="Y509" s="2">
        <f t="shared" si="48"/>
        <v>0</v>
      </c>
      <c r="Z509" s="2">
        <f t="shared" si="49"/>
        <v>0</v>
      </c>
      <c r="AA509" s="2">
        <f t="shared" si="50"/>
        <v>0</v>
      </c>
    </row>
    <row r="510" spans="25:27">
      <c r="Y510" s="2">
        <f t="shared" si="48"/>
        <v>0</v>
      </c>
      <c r="Z510" s="2">
        <f t="shared" si="49"/>
        <v>0</v>
      </c>
      <c r="AA510" s="2">
        <f t="shared" si="50"/>
        <v>0</v>
      </c>
    </row>
    <row r="511" spans="25:27">
      <c r="Y511" s="2">
        <f t="shared" si="48"/>
        <v>0</v>
      </c>
      <c r="Z511" s="2">
        <f t="shared" si="49"/>
        <v>0</v>
      </c>
      <c r="AA511" s="2">
        <f t="shared" si="50"/>
        <v>0</v>
      </c>
    </row>
    <row r="512" spans="25:27">
      <c r="Y512" s="2">
        <f t="shared" si="48"/>
        <v>0</v>
      </c>
      <c r="Z512" s="2">
        <f t="shared" si="49"/>
        <v>0</v>
      </c>
      <c r="AA512" s="2">
        <f t="shared" si="50"/>
        <v>0</v>
      </c>
    </row>
    <row r="513" spans="25:27">
      <c r="Y513" s="2">
        <f t="shared" si="48"/>
        <v>0</v>
      </c>
      <c r="Z513" s="2">
        <f t="shared" si="49"/>
        <v>0</v>
      </c>
      <c r="AA513" s="2">
        <f t="shared" si="50"/>
        <v>0</v>
      </c>
    </row>
    <row r="514" spans="25:27">
      <c r="Y514" s="2">
        <f t="shared" si="48"/>
        <v>0</v>
      </c>
      <c r="Z514" s="2">
        <f t="shared" si="49"/>
        <v>0</v>
      </c>
      <c r="AA514" s="2">
        <f t="shared" si="50"/>
        <v>0</v>
      </c>
    </row>
    <row r="515" spans="25:27">
      <c r="Y515" s="2">
        <f t="shared" si="48"/>
        <v>0</v>
      </c>
      <c r="Z515" s="2">
        <f t="shared" si="49"/>
        <v>0</v>
      </c>
      <c r="AA515" s="2">
        <f t="shared" si="50"/>
        <v>0</v>
      </c>
    </row>
    <row r="516" spans="25:27">
      <c r="Y516" s="2">
        <f t="shared" si="48"/>
        <v>0</v>
      </c>
      <c r="Z516" s="2">
        <f t="shared" si="49"/>
        <v>0</v>
      </c>
      <c r="AA516" s="2">
        <f t="shared" si="50"/>
        <v>0</v>
      </c>
    </row>
    <row r="517" spans="25:27">
      <c r="Y517" s="2">
        <f t="shared" si="48"/>
        <v>0</v>
      </c>
      <c r="Z517" s="2">
        <f t="shared" si="49"/>
        <v>0</v>
      </c>
      <c r="AA517" s="2">
        <f t="shared" si="50"/>
        <v>0</v>
      </c>
    </row>
    <row r="518" spans="25:27">
      <c r="Y518" s="2">
        <f t="shared" si="48"/>
        <v>0</v>
      </c>
      <c r="Z518" s="2">
        <f t="shared" si="49"/>
        <v>0</v>
      </c>
      <c r="AA518" s="2">
        <f t="shared" si="50"/>
        <v>0</v>
      </c>
    </row>
    <row r="519" spans="25:27">
      <c r="Y519" s="2">
        <f t="shared" si="48"/>
        <v>0</v>
      </c>
      <c r="Z519" s="2">
        <f t="shared" si="49"/>
        <v>0</v>
      </c>
      <c r="AA519" s="2">
        <f t="shared" si="50"/>
        <v>0</v>
      </c>
    </row>
    <row r="520" spans="25:27">
      <c r="Y520" s="2">
        <f t="shared" si="48"/>
        <v>0</v>
      </c>
      <c r="Z520" s="2">
        <f t="shared" si="49"/>
        <v>0</v>
      </c>
      <c r="AA520" s="2">
        <f t="shared" si="50"/>
        <v>0</v>
      </c>
    </row>
    <row r="521" spans="25:27">
      <c r="Y521" s="2">
        <f t="shared" si="48"/>
        <v>0</v>
      </c>
      <c r="Z521" s="2">
        <f t="shared" si="49"/>
        <v>0</v>
      </c>
      <c r="AA521" s="2">
        <f t="shared" si="50"/>
        <v>0</v>
      </c>
    </row>
    <row r="522" spans="25:27">
      <c r="Y522" s="2">
        <f t="shared" si="48"/>
        <v>0</v>
      </c>
      <c r="Z522" s="2">
        <f t="shared" si="49"/>
        <v>0</v>
      </c>
      <c r="AA522" s="2">
        <f t="shared" si="50"/>
        <v>0</v>
      </c>
    </row>
    <row r="523" spans="25:27">
      <c r="Y523" s="2">
        <f t="shared" si="48"/>
        <v>0</v>
      </c>
      <c r="Z523" s="2">
        <f t="shared" si="49"/>
        <v>0</v>
      </c>
      <c r="AA523" s="2">
        <f t="shared" si="50"/>
        <v>0</v>
      </c>
    </row>
    <row r="524" spans="25:27">
      <c r="Y524" s="2">
        <f t="shared" si="48"/>
        <v>0</v>
      </c>
      <c r="Z524" s="2">
        <f t="shared" si="49"/>
        <v>0</v>
      </c>
      <c r="AA524" s="2">
        <f t="shared" si="50"/>
        <v>0</v>
      </c>
    </row>
    <row r="525" spans="25:27">
      <c r="Y525" s="2">
        <f t="shared" si="48"/>
        <v>0</v>
      </c>
      <c r="Z525" s="2">
        <f t="shared" si="49"/>
        <v>0</v>
      </c>
      <c r="AA525" s="2">
        <f t="shared" si="50"/>
        <v>0</v>
      </c>
    </row>
    <row r="526" spans="25:27">
      <c r="Y526" s="2">
        <f t="shared" si="48"/>
        <v>0</v>
      </c>
      <c r="Z526" s="2">
        <f t="shared" si="49"/>
        <v>0</v>
      </c>
      <c r="AA526" s="2">
        <f t="shared" si="50"/>
        <v>0</v>
      </c>
    </row>
    <row r="527" spans="25:27">
      <c r="Y527" s="2">
        <f t="shared" si="48"/>
        <v>0</v>
      </c>
      <c r="Z527" s="2">
        <f t="shared" si="49"/>
        <v>0</v>
      </c>
      <c r="AA527" s="2">
        <f t="shared" si="50"/>
        <v>0</v>
      </c>
    </row>
    <row r="528" spans="25:27">
      <c r="Y528" s="2">
        <f t="shared" si="48"/>
        <v>0</v>
      </c>
      <c r="Z528" s="2">
        <f t="shared" si="49"/>
        <v>0</v>
      </c>
      <c r="AA528" s="2">
        <f t="shared" si="50"/>
        <v>0</v>
      </c>
    </row>
    <row r="529" spans="25:27">
      <c r="Y529" s="2">
        <f t="shared" si="48"/>
        <v>0</v>
      </c>
      <c r="Z529" s="2">
        <f t="shared" si="49"/>
        <v>0</v>
      </c>
      <c r="AA529" s="2">
        <f t="shared" si="50"/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H1000"/>
  <sheetViews>
    <sheetView topLeftCell="A251" workbookViewId="0">
      <selection activeCell="B283" sqref="B283"/>
    </sheetView>
  </sheetViews>
  <sheetFormatPr defaultColWidth="9" defaultRowHeight="12.75" outlineLevelCol="7"/>
  <cols>
    <col min="1" max="1" width="9.14285714285714" style="14"/>
    <col min="2" max="2" width="37.8571428571429" style="14" customWidth="1"/>
    <col min="3" max="3" width="48.7142857142857" style="14" customWidth="1"/>
    <col min="4" max="5" width="9.14285714285714" style="14"/>
    <col min="6" max="6" width="12.5714285714286" style="14" customWidth="1"/>
    <col min="7" max="7" width="9.85714285714286" style="14" customWidth="1"/>
    <col min="8" max="8" width="9.14285714285714" style="14"/>
  </cols>
  <sheetData>
    <row r="1" ht="185.25" spans="1:8">
      <c r="A1" s="15" t="s">
        <v>677</v>
      </c>
      <c r="B1" s="15" t="s">
        <v>678</v>
      </c>
      <c r="C1" s="15" t="s">
        <v>206</v>
      </c>
      <c r="D1" s="15" t="s">
        <v>679</v>
      </c>
      <c r="E1" s="16" t="s">
        <v>680</v>
      </c>
      <c r="F1" s="17" t="s">
        <v>681</v>
      </c>
      <c r="G1" s="17" t="s">
        <v>682</v>
      </c>
      <c r="H1" s="15" t="s">
        <v>683</v>
      </c>
    </row>
    <row r="2" ht="14.25" spans="1:8">
      <c r="A2" s="15" t="s">
        <v>553</v>
      </c>
      <c r="B2" s="15" t="s">
        <v>684</v>
      </c>
      <c r="C2" s="15" t="s">
        <v>685</v>
      </c>
      <c r="D2" s="15" t="s">
        <v>686</v>
      </c>
      <c r="E2" s="15" t="s">
        <v>687</v>
      </c>
      <c r="F2" s="15" t="s">
        <v>688</v>
      </c>
      <c r="G2" s="15" t="s">
        <v>689</v>
      </c>
      <c r="H2" s="15" t="s">
        <v>690</v>
      </c>
    </row>
    <row r="3" ht="14.25" spans="1:8">
      <c r="A3" s="18"/>
      <c r="B3" s="18"/>
      <c r="C3" s="18"/>
      <c r="D3" s="18"/>
      <c r="E3" s="18"/>
      <c r="F3" s="19"/>
      <c r="G3" s="18"/>
      <c r="H3" s="18"/>
    </row>
    <row r="4" ht="14.25" spans="1:8">
      <c r="A4" s="18"/>
      <c r="B4" s="18"/>
      <c r="C4" s="20" t="s">
        <v>691</v>
      </c>
      <c r="D4" s="18"/>
      <c r="E4" s="18"/>
      <c r="F4" s="19"/>
      <c r="G4" s="18"/>
      <c r="H4" s="18"/>
    </row>
    <row r="5" ht="14.25" spans="1:8">
      <c r="A5" s="21">
        <v>101</v>
      </c>
      <c r="B5" s="21" t="s">
        <v>692</v>
      </c>
      <c r="C5" s="21" t="s">
        <v>45</v>
      </c>
      <c r="D5" s="21"/>
      <c r="E5" s="21" t="s">
        <v>638</v>
      </c>
      <c r="F5" s="21"/>
      <c r="G5" s="21"/>
      <c r="H5" s="21" t="s">
        <v>693</v>
      </c>
    </row>
    <row r="6" ht="14.25" spans="1:8">
      <c r="A6" s="21">
        <v>102</v>
      </c>
      <c r="B6" s="21" t="s">
        <v>694</v>
      </c>
      <c r="C6" s="21" t="s">
        <v>695</v>
      </c>
      <c r="D6" s="21"/>
      <c r="E6" s="21" t="s">
        <v>638</v>
      </c>
      <c r="F6" s="21" t="s">
        <v>692</v>
      </c>
      <c r="G6" s="21"/>
      <c r="H6" s="21" t="s">
        <v>696</v>
      </c>
    </row>
    <row r="7" ht="14.25" spans="1:8">
      <c r="A7" s="21">
        <v>103</v>
      </c>
      <c r="B7" s="21" t="s">
        <v>697</v>
      </c>
      <c r="C7" s="21" t="s">
        <v>44</v>
      </c>
      <c r="D7" s="21"/>
      <c r="E7" s="21" t="s">
        <v>638</v>
      </c>
      <c r="F7" s="21"/>
      <c r="G7" s="21"/>
      <c r="H7" s="21" t="s">
        <v>693</v>
      </c>
    </row>
    <row r="8" ht="14.25" spans="1:8">
      <c r="A8" s="21">
        <v>104</v>
      </c>
      <c r="B8" s="21" t="s">
        <v>698</v>
      </c>
      <c r="C8" s="21" t="s">
        <v>699</v>
      </c>
      <c r="D8" s="21"/>
      <c r="E8" s="21" t="s">
        <v>638</v>
      </c>
      <c r="F8" s="21" t="s">
        <v>697</v>
      </c>
      <c r="G8" s="21"/>
      <c r="H8" s="21" t="s">
        <v>696</v>
      </c>
    </row>
    <row r="9" ht="14.25" spans="1:8">
      <c r="A9" s="21">
        <v>105</v>
      </c>
      <c r="B9" s="21" t="s">
        <v>700</v>
      </c>
      <c r="C9" s="21" t="s">
        <v>701</v>
      </c>
      <c r="D9" s="21"/>
      <c r="E9" s="21" t="s">
        <v>638</v>
      </c>
      <c r="F9" s="21"/>
      <c r="G9" s="21"/>
      <c r="H9" s="21" t="s">
        <v>696</v>
      </c>
    </row>
    <row r="10" ht="14.25" spans="1:8">
      <c r="A10" s="21">
        <v>106</v>
      </c>
      <c r="B10" s="21" t="s">
        <v>702</v>
      </c>
      <c r="C10" s="21" t="s">
        <v>703</v>
      </c>
      <c r="D10" s="21"/>
      <c r="E10" s="21" t="s">
        <v>638</v>
      </c>
      <c r="F10" s="21"/>
      <c r="G10" s="21"/>
      <c r="H10" s="21" t="s">
        <v>693</v>
      </c>
    </row>
    <row r="11" ht="14.25" spans="1:8">
      <c r="A11" s="21">
        <v>107</v>
      </c>
      <c r="B11" s="21" t="s">
        <v>704</v>
      </c>
      <c r="C11" s="21" t="s">
        <v>705</v>
      </c>
      <c r="D11" s="21"/>
      <c r="E11" s="21" t="s">
        <v>638</v>
      </c>
      <c r="F11" s="21"/>
      <c r="G11" s="21"/>
      <c r="H11" s="21" t="s">
        <v>696</v>
      </c>
    </row>
    <row r="12" ht="14.25" spans="1:8">
      <c r="A12" s="21">
        <v>108</v>
      </c>
      <c r="B12" s="21" t="s">
        <v>706</v>
      </c>
      <c r="C12" s="21" t="s">
        <v>707</v>
      </c>
      <c r="D12" s="21"/>
      <c r="E12" s="21" t="s">
        <v>638</v>
      </c>
      <c r="F12" s="21"/>
      <c r="G12" s="21"/>
      <c r="H12" s="21" t="s">
        <v>708</v>
      </c>
    </row>
    <row r="13" ht="14.25" spans="1:8">
      <c r="A13" s="21">
        <v>1081</v>
      </c>
      <c r="B13" s="21" t="s">
        <v>709</v>
      </c>
      <c r="C13" s="21" t="s">
        <v>710</v>
      </c>
      <c r="D13" s="21"/>
      <c r="E13" s="21" t="s">
        <v>638</v>
      </c>
      <c r="F13" s="21"/>
      <c r="G13" s="21"/>
      <c r="H13" s="21" t="s">
        <v>696</v>
      </c>
    </row>
    <row r="14" ht="14.25" spans="1:8">
      <c r="A14" s="21">
        <v>111</v>
      </c>
      <c r="B14" s="21" t="s">
        <v>711</v>
      </c>
      <c r="C14" s="21" t="s">
        <v>712</v>
      </c>
      <c r="D14" s="21"/>
      <c r="E14" s="21" t="s">
        <v>638</v>
      </c>
      <c r="F14" s="21"/>
      <c r="G14" s="21"/>
      <c r="H14" s="21" t="s">
        <v>696</v>
      </c>
    </row>
    <row r="15" ht="14.25" spans="1:8">
      <c r="A15" s="21">
        <v>112</v>
      </c>
      <c r="B15" s="21" t="s">
        <v>713</v>
      </c>
      <c r="C15" s="21" t="s">
        <v>714</v>
      </c>
      <c r="D15" s="21"/>
      <c r="E15" s="21" t="s">
        <v>638</v>
      </c>
      <c r="F15" s="21"/>
      <c r="G15" s="21"/>
      <c r="H15" s="21" t="s">
        <v>696</v>
      </c>
    </row>
    <row r="16" ht="14.25" spans="1:8">
      <c r="A16" s="21">
        <v>113</v>
      </c>
      <c r="B16" s="21" t="s">
        <v>715</v>
      </c>
      <c r="C16" s="21" t="s">
        <v>716</v>
      </c>
      <c r="D16" s="21"/>
      <c r="E16" s="21" t="s">
        <v>638</v>
      </c>
      <c r="F16" s="21"/>
      <c r="G16" s="21"/>
      <c r="H16" s="21" t="s">
        <v>693</v>
      </c>
    </row>
    <row r="17" ht="14.25" spans="1:8">
      <c r="A17" s="21">
        <v>1131</v>
      </c>
      <c r="B17" s="21" t="s">
        <v>717</v>
      </c>
      <c r="C17" s="21" t="s">
        <v>718</v>
      </c>
      <c r="D17" s="21"/>
      <c r="E17" s="21" t="s">
        <v>638</v>
      </c>
      <c r="F17" s="21"/>
      <c r="G17" s="21"/>
      <c r="H17" s="21" t="s">
        <v>696</v>
      </c>
    </row>
    <row r="18" ht="14.25" spans="1:8">
      <c r="A18" s="21">
        <v>115</v>
      </c>
      <c r="B18" s="21" t="s">
        <v>719</v>
      </c>
      <c r="C18" s="21" t="s">
        <v>574</v>
      </c>
      <c r="D18" s="21"/>
      <c r="E18" s="21" t="s">
        <v>638</v>
      </c>
      <c r="F18" s="21"/>
      <c r="G18" s="21"/>
      <c r="H18" s="21" t="s">
        <v>696</v>
      </c>
    </row>
    <row r="19" ht="14.25" spans="1:8">
      <c r="A19" s="21">
        <v>116</v>
      </c>
      <c r="B19" s="21" t="s">
        <v>720</v>
      </c>
      <c r="C19" s="21" t="s">
        <v>721</v>
      </c>
      <c r="D19" s="21"/>
      <c r="E19" s="21" t="s">
        <v>638</v>
      </c>
      <c r="F19" s="21"/>
      <c r="G19" s="21"/>
      <c r="H19" s="21" t="s">
        <v>696</v>
      </c>
    </row>
    <row r="20" ht="14.25" spans="1:8">
      <c r="A20" s="21">
        <v>117</v>
      </c>
      <c r="B20" s="21" t="s">
        <v>722</v>
      </c>
      <c r="C20" s="21" t="s">
        <v>575</v>
      </c>
      <c r="D20" s="21"/>
      <c r="E20" s="21" t="s">
        <v>638</v>
      </c>
      <c r="F20" s="21"/>
      <c r="G20" s="21"/>
      <c r="H20" s="21" t="s">
        <v>696</v>
      </c>
    </row>
    <row r="21" ht="14.25" spans="1:8">
      <c r="A21" s="21">
        <v>118</v>
      </c>
      <c r="B21" s="21" t="s">
        <v>723</v>
      </c>
      <c r="C21" s="21" t="s">
        <v>724</v>
      </c>
      <c r="D21" s="21"/>
      <c r="E21" s="21" t="s">
        <v>638</v>
      </c>
      <c r="F21" s="21"/>
      <c r="G21" s="21"/>
      <c r="H21" s="21" t="s">
        <v>696</v>
      </c>
    </row>
    <row r="22" ht="14.25" spans="1:8">
      <c r="A22" s="21">
        <v>119</v>
      </c>
      <c r="B22" s="21" t="s">
        <v>725</v>
      </c>
      <c r="C22" s="21" t="s">
        <v>726</v>
      </c>
      <c r="D22" s="21"/>
      <c r="E22" s="21" t="s">
        <v>638</v>
      </c>
      <c r="F22" s="21"/>
      <c r="G22" s="21"/>
      <c r="H22" s="21" t="s">
        <v>696</v>
      </c>
    </row>
    <row r="23" ht="14.25" spans="1:8">
      <c r="A23" s="21">
        <v>120</v>
      </c>
      <c r="B23" s="21" t="s">
        <v>727</v>
      </c>
      <c r="C23" s="21" t="s">
        <v>728</v>
      </c>
      <c r="D23" s="21"/>
      <c r="E23" s="21" t="s">
        <v>638</v>
      </c>
      <c r="F23" s="19"/>
      <c r="G23" s="21"/>
      <c r="H23" s="21" t="s">
        <v>693</v>
      </c>
    </row>
    <row r="24" ht="14.25" spans="1:8">
      <c r="A24" s="21">
        <v>121</v>
      </c>
      <c r="B24" s="21" t="s">
        <v>729</v>
      </c>
      <c r="C24" s="21" t="s">
        <v>730</v>
      </c>
      <c r="D24" s="21"/>
      <c r="E24" s="21" t="s">
        <v>638</v>
      </c>
      <c r="F24" s="19"/>
      <c r="G24" s="21"/>
      <c r="H24" s="21" t="s">
        <v>693</v>
      </c>
    </row>
    <row r="25" ht="14.25" spans="1:8">
      <c r="A25" s="21">
        <v>122</v>
      </c>
      <c r="B25" s="21" t="s">
        <v>731</v>
      </c>
      <c r="C25" s="21" t="s">
        <v>732</v>
      </c>
      <c r="D25" s="21"/>
      <c r="E25" s="21" t="s">
        <v>638</v>
      </c>
      <c r="F25" s="19"/>
      <c r="G25" s="21"/>
      <c r="H25" s="21"/>
    </row>
    <row r="26" ht="14.25" spans="1:8">
      <c r="A26" s="21"/>
      <c r="B26" s="21"/>
      <c r="C26" s="21"/>
      <c r="D26" s="21"/>
      <c r="E26" s="21" t="s">
        <v>638</v>
      </c>
      <c r="F26" s="19"/>
      <c r="G26" s="21"/>
      <c r="H26" s="21"/>
    </row>
    <row r="27" ht="14.25" spans="1:8">
      <c r="A27" s="21"/>
      <c r="B27" s="21"/>
      <c r="C27" s="21"/>
      <c r="D27" s="21"/>
      <c r="E27" s="21" t="s">
        <v>638</v>
      </c>
      <c r="F27" s="19"/>
      <c r="G27" s="21"/>
      <c r="H27" s="21"/>
    </row>
    <row r="28" ht="14.25" spans="1:8">
      <c r="A28" s="21"/>
      <c r="B28" s="21"/>
      <c r="C28" s="20" t="s">
        <v>733</v>
      </c>
      <c r="D28" s="21"/>
      <c r="E28" s="21" t="s">
        <v>638</v>
      </c>
      <c r="F28" s="19"/>
      <c r="G28" s="21"/>
      <c r="H28" s="21"/>
    </row>
    <row r="29" ht="14.25" spans="1:8">
      <c r="A29" s="21">
        <v>201</v>
      </c>
      <c r="B29" s="21" t="s">
        <v>734</v>
      </c>
      <c r="C29" s="21" t="s">
        <v>216</v>
      </c>
      <c r="D29" s="21"/>
      <c r="E29" s="21" t="s">
        <v>638</v>
      </c>
      <c r="F29" s="19"/>
      <c r="G29" s="21"/>
      <c r="H29" s="21" t="s">
        <v>696</v>
      </c>
    </row>
    <row r="30" ht="14.25" spans="1:8">
      <c r="A30" s="21">
        <v>202</v>
      </c>
      <c r="B30" s="21" t="s">
        <v>219</v>
      </c>
      <c r="C30" s="21" t="s">
        <v>220</v>
      </c>
      <c r="D30" s="21">
        <v>13</v>
      </c>
      <c r="E30" s="21" t="s">
        <v>638</v>
      </c>
      <c r="F30" s="19"/>
      <c r="G30" s="21" t="s">
        <v>735</v>
      </c>
      <c r="H30" s="21" t="s">
        <v>696</v>
      </c>
    </row>
    <row r="31" ht="14.25" spans="1:8">
      <c r="A31" s="21">
        <v>203</v>
      </c>
      <c r="B31" s="21" t="s">
        <v>736</v>
      </c>
      <c r="C31" s="21" t="s">
        <v>577</v>
      </c>
      <c r="D31" s="21"/>
      <c r="E31" s="21" t="s">
        <v>638</v>
      </c>
      <c r="F31" s="19"/>
      <c r="G31" s="21"/>
      <c r="H31" s="21" t="s">
        <v>693</v>
      </c>
    </row>
    <row r="32" ht="14.25" spans="1:8">
      <c r="A32" s="21">
        <v>204</v>
      </c>
      <c r="B32" s="21" t="s">
        <v>737</v>
      </c>
      <c r="C32" s="21" t="s">
        <v>738</v>
      </c>
      <c r="D32" s="21"/>
      <c r="E32" s="21" t="s">
        <v>638</v>
      </c>
      <c r="F32" s="21"/>
      <c r="G32" s="21"/>
      <c r="H32" s="21" t="s">
        <v>696</v>
      </c>
    </row>
    <row r="33" ht="14.25" spans="1:8">
      <c r="A33" s="21">
        <v>205</v>
      </c>
      <c r="B33" s="21" t="s">
        <v>739</v>
      </c>
      <c r="C33" s="21" t="s">
        <v>740</v>
      </c>
      <c r="D33" s="21"/>
      <c r="E33" s="21" t="s">
        <v>638</v>
      </c>
      <c r="F33" s="21"/>
      <c r="G33" s="21"/>
      <c r="H33" s="21" t="s">
        <v>696</v>
      </c>
    </row>
    <row r="34" ht="14.25" spans="1:8">
      <c r="A34" s="21">
        <v>206</v>
      </c>
      <c r="B34" s="21" t="s">
        <v>741</v>
      </c>
      <c r="C34" s="21" t="s">
        <v>742</v>
      </c>
      <c r="D34" s="21"/>
      <c r="E34" s="21"/>
      <c r="F34" s="19"/>
      <c r="G34" s="21"/>
      <c r="H34" s="21" t="s">
        <v>696</v>
      </c>
    </row>
    <row r="35" ht="14.25" spans="1:8">
      <c r="A35" s="21">
        <v>207</v>
      </c>
      <c r="B35" s="21" t="s">
        <v>743</v>
      </c>
      <c r="C35" s="21" t="s">
        <v>744</v>
      </c>
      <c r="D35" s="21"/>
      <c r="E35" s="21" t="s">
        <v>745</v>
      </c>
      <c r="F35" s="19"/>
      <c r="G35" s="21"/>
      <c r="H35" s="21" t="s">
        <v>696</v>
      </c>
    </row>
    <row r="36" ht="14.25" spans="1:8">
      <c r="A36" s="21">
        <v>208</v>
      </c>
      <c r="B36" s="21" t="s">
        <v>746</v>
      </c>
      <c r="C36" s="21" t="s">
        <v>747</v>
      </c>
      <c r="D36" s="21"/>
      <c r="E36" s="21"/>
      <c r="F36" s="19"/>
      <c r="G36" s="21"/>
      <c r="H36" s="21" t="s">
        <v>696</v>
      </c>
    </row>
    <row r="37" ht="14.25" spans="1:8">
      <c r="A37" s="21">
        <v>209</v>
      </c>
      <c r="B37" s="21" t="s">
        <v>748</v>
      </c>
      <c r="C37" s="21" t="s">
        <v>749</v>
      </c>
      <c r="D37" s="21"/>
      <c r="E37" s="21"/>
      <c r="F37" s="19"/>
      <c r="G37" s="21"/>
      <c r="H37" s="21" t="s">
        <v>696</v>
      </c>
    </row>
    <row r="38" ht="16.5" spans="1:8">
      <c r="A38" s="21">
        <v>210</v>
      </c>
      <c r="B38" s="21" t="s">
        <v>750</v>
      </c>
      <c r="C38" s="22" t="s">
        <v>751</v>
      </c>
      <c r="D38" s="21"/>
      <c r="E38" s="21"/>
      <c r="F38" s="19"/>
      <c r="G38" s="21"/>
      <c r="H38" s="21" t="s">
        <v>696</v>
      </c>
    </row>
    <row r="39" ht="16.5" spans="1:8">
      <c r="A39" s="21">
        <v>211</v>
      </c>
      <c r="B39" s="21" t="s">
        <v>752</v>
      </c>
      <c r="C39" s="22" t="s">
        <v>753</v>
      </c>
      <c r="D39" s="21"/>
      <c r="E39" s="21"/>
      <c r="F39" s="19"/>
      <c r="G39" s="21"/>
      <c r="H39" s="21" t="s">
        <v>696</v>
      </c>
    </row>
    <row r="40" ht="16.5" spans="1:8">
      <c r="A40" s="21">
        <v>212</v>
      </c>
      <c r="B40" s="21" t="s">
        <v>754</v>
      </c>
      <c r="C40" s="22" t="s">
        <v>755</v>
      </c>
      <c r="D40" s="21"/>
      <c r="E40" s="21"/>
      <c r="F40" s="19"/>
      <c r="G40" s="21"/>
      <c r="H40" s="21" t="s">
        <v>696</v>
      </c>
    </row>
    <row r="41" ht="16.5" spans="1:8">
      <c r="A41" s="21">
        <v>213</v>
      </c>
      <c r="B41" s="21" t="s">
        <v>756</v>
      </c>
      <c r="C41" s="22" t="s">
        <v>757</v>
      </c>
      <c r="D41" s="21"/>
      <c r="E41" s="21"/>
      <c r="F41" s="19"/>
      <c r="G41" s="21"/>
      <c r="H41" s="21" t="s">
        <v>696</v>
      </c>
    </row>
    <row r="42" ht="16.5" spans="1:8">
      <c r="A42" s="21">
        <v>214</v>
      </c>
      <c r="B42" s="21" t="s">
        <v>758</v>
      </c>
      <c r="C42" s="22" t="s">
        <v>759</v>
      </c>
      <c r="D42" s="21"/>
      <c r="E42" s="21"/>
      <c r="F42" s="19"/>
      <c r="G42" s="21"/>
      <c r="H42" s="21" t="s">
        <v>696</v>
      </c>
    </row>
    <row r="43" ht="16.5" spans="1:8">
      <c r="A43" s="23">
        <v>215</v>
      </c>
      <c r="B43" s="23" t="s">
        <v>760</v>
      </c>
      <c r="C43" s="23" t="s">
        <v>761</v>
      </c>
      <c r="D43" s="21"/>
      <c r="E43" s="21" t="s">
        <v>638</v>
      </c>
      <c r="F43" s="19"/>
      <c r="G43" s="21"/>
      <c r="H43" s="21"/>
    </row>
    <row r="44" ht="16.5" spans="1:8">
      <c r="A44" s="23">
        <v>216</v>
      </c>
      <c r="B44" s="23" t="s">
        <v>222</v>
      </c>
      <c r="C44" s="23" t="s">
        <v>762</v>
      </c>
      <c r="D44" s="21"/>
      <c r="E44" s="21" t="s">
        <v>638</v>
      </c>
      <c r="F44" s="19"/>
      <c r="G44" s="21"/>
      <c r="H44" s="21"/>
    </row>
    <row r="45" ht="16.5" spans="1:8">
      <c r="A45" s="23">
        <v>217</v>
      </c>
      <c r="B45" s="24" t="s">
        <v>244</v>
      </c>
      <c r="C45" s="23" t="s">
        <v>245</v>
      </c>
      <c r="D45" s="21"/>
      <c r="E45" s="21" t="s">
        <v>638</v>
      </c>
      <c r="F45" s="21"/>
      <c r="G45" s="21"/>
      <c r="H45" s="21"/>
    </row>
    <row r="46" ht="16.5" spans="1:8">
      <c r="A46" s="23">
        <v>218</v>
      </c>
      <c r="B46" s="24" t="s">
        <v>294</v>
      </c>
      <c r="C46" s="23" t="s">
        <v>295</v>
      </c>
      <c r="D46" s="21"/>
      <c r="E46" s="21" t="s">
        <v>638</v>
      </c>
      <c r="F46" s="21"/>
      <c r="G46" s="21"/>
      <c r="H46" s="21" t="s">
        <v>696</v>
      </c>
    </row>
    <row r="47" ht="16.5" spans="1:8">
      <c r="A47" s="23">
        <v>219</v>
      </c>
      <c r="B47" s="24" t="s">
        <v>327</v>
      </c>
      <c r="C47" s="23" t="s">
        <v>328</v>
      </c>
      <c r="D47" s="21"/>
      <c r="E47" s="21" t="s">
        <v>638</v>
      </c>
      <c r="F47" s="21"/>
      <c r="G47" s="21"/>
      <c r="H47" s="21" t="s">
        <v>696</v>
      </c>
    </row>
    <row r="48" ht="16.5" spans="1:8">
      <c r="A48" s="23">
        <v>220</v>
      </c>
      <c r="B48" s="24" t="s">
        <v>388</v>
      </c>
      <c r="C48" s="23" t="s">
        <v>389</v>
      </c>
      <c r="D48" s="21"/>
      <c r="E48" s="21" t="s">
        <v>638</v>
      </c>
      <c r="F48" s="21"/>
      <c r="G48" s="21"/>
      <c r="H48" s="21" t="s">
        <v>693</v>
      </c>
    </row>
    <row r="49" ht="16.5" spans="1:8">
      <c r="A49" s="23">
        <v>221</v>
      </c>
      <c r="B49" s="24" t="s">
        <v>356</v>
      </c>
      <c r="C49" s="23" t="s">
        <v>357</v>
      </c>
      <c r="D49" s="21"/>
      <c r="E49" s="21" t="s">
        <v>638</v>
      </c>
      <c r="F49" s="21"/>
      <c r="G49" s="21"/>
      <c r="H49" s="21" t="s">
        <v>696</v>
      </c>
    </row>
    <row r="50" ht="16.5" spans="1:8">
      <c r="A50" s="23">
        <v>222</v>
      </c>
      <c r="B50" s="24" t="s">
        <v>422</v>
      </c>
      <c r="C50" s="23" t="s">
        <v>423</v>
      </c>
      <c r="D50" s="21"/>
      <c r="E50" s="21" t="s">
        <v>638</v>
      </c>
      <c r="F50" s="21"/>
      <c r="G50" s="21"/>
      <c r="H50" s="21" t="s">
        <v>696</v>
      </c>
    </row>
    <row r="51" ht="14.25" spans="1:8">
      <c r="A51" s="21"/>
      <c r="B51" s="21"/>
      <c r="C51" s="21" t="s">
        <v>763</v>
      </c>
      <c r="D51" s="21"/>
      <c r="E51" s="21" t="s">
        <v>638</v>
      </c>
      <c r="F51" s="21"/>
      <c r="G51" s="21"/>
      <c r="H51" s="21" t="s">
        <v>693</v>
      </c>
    </row>
    <row r="52" ht="14.25" spans="1:8">
      <c r="A52" s="21">
        <v>301</v>
      </c>
      <c r="B52" s="21" t="s">
        <v>764</v>
      </c>
      <c r="C52" s="21" t="s">
        <v>765</v>
      </c>
      <c r="D52" s="21"/>
      <c r="E52" s="21" t="s">
        <v>638</v>
      </c>
      <c r="F52" s="21"/>
      <c r="G52" s="21"/>
      <c r="H52" s="21" t="s">
        <v>696</v>
      </c>
    </row>
    <row r="53" ht="14.25" spans="1:8">
      <c r="A53" s="21">
        <v>302</v>
      </c>
      <c r="B53" s="21" t="s">
        <v>766</v>
      </c>
      <c r="C53" s="21" t="s">
        <v>767</v>
      </c>
      <c r="D53" s="21"/>
      <c r="E53" s="21" t="s">
        <v>638</v>
      </c>
      <c r="F53" s="21"/>
      <c r="G53" s="21"/>
      <c r="H53" s="21" t="s">
        <v>696</v>
      </c>
    </row>
    <row r="54" ht="14.25" spans="1:8">
      <c r="A54" s="21">
        <v>303</v>
      </c>
      <c r="B54" s="21" t="s">
        <v>768</v>
      </c>
      <c r="C54" s="21" t="s">
        <v>769</v>
      </c>
      <c r="D54" s="21"/>
      <c r="E54" s="21" t="s">
        <v>638</v>
      </c>
      <c r="F54" s="21"/>
      <c r="G54" s="21"/>
      <c r="H54" s="21" t="s">
        <v>693</v>
      </c>
    </row>
    <row r="55" ht="14.25" spans="1:8">
      <c r="A55" s="21">
        <v>304</v>
      </c>
      <c r="B55" s="21" t="s">
        <v>770</v>
      </c>
      <c r="C55" s="21" t="s">
        <v>771</v>
      </c>
      <c r="D55" s="21"/>
      <c r="E55" s="21" t="s">
        <v>638</v>
      </c>
      <c r="F55" s="21"/>
      <c r="G55" s="21"/>
      <c r="H55" s="21" t="s">
        <v>696</v>
      </c>
    </row>
    <row r="56" ht="14.25" spans="1:8">
      <c r="A56" s="21">
        <v>305</v>
      </c>
      <c r="B56" s="21" t="s">
        <v>772</v>
      </c>
      <c r="C56" s="21" t="s">
        <v>773</v>
      </c>
      <c r="D56" s="21"/>
      <c r="E56" s="21" t="s">
        <v>638</v>
      </c>
      <c r="F56" s="21"/>
      <c r="G56" s="21"/>
      <c r="H56" s="21" t="s">
        <v>696</v>
      </c>
    </row>
    <row r="57" ht="14.25" spans="1:8">
      <c r="A57" s="21">
        <v>306</v>
      </c>
      <c r="B57" s="21" t="s">
        <v>774</v>
      </c>
      <c r="C57" s="21" t="s">
        <v>775</v>
      </c>
      <c r="D57" s="21"/>
      <c r="E57" s="21" t="s">
        <v>638</v>
      </c>
      <c r="F57" s="21"/>
      <c r="G57" s="21"/>
      <c r="H57" s="21" t="s">
        <v>693</v>
      </c>
    </row>
    <row r="58" ht="14.25" spans="1:8">
      <c r="A58" s="21">
        <v>307</v>
      </c>
      <c r="B58" s="21" t="s">
        <v>776</v>
      </c>
      <c r="C58" s="21" t="s">
        <v>777</v>
      </c>
      <c r="D58" s="21"/>
      <c r="E58" s="21" t="s">
        <v>638</v>
      </c>
      <c r="F58" s="21"/>
      <c r="G58" s="21"/>
      <c r="H58" s="21" t="s">
        <v>696</v>
      </c>
    </row>
    <row r="59" ht="14.25" spans="1:8">
      <c r="A59" s="21">
        <v>308</v>
      </c>
      <c r="B59" s="21" t="s">
        <v>778</v>
      </c>
      <c r="C59" s="21" t="s">
        <v>779</v>
      </c>
      <c r="D59" s="21"/>
      <c r="E59" s="21" t="s">
        <v>638</v>
      </c>
      <c r="F59" s="21"/>
      <c r="G59" s="21"/>
      <c r="H59" s="21" t="s">
        <v>696</v>
      </c>
    </row>
    <row r="60" ht="14.25" spans="1:8">
      <c r="A60" s="21">
        <v>309</v>
      </c>
      <c r="B60" s="21" t="s">
        <v>780</v>
      </c>
      <c r="C60" s="21" t="s">
        <v>781</v>
      </c>
      <c r="D60" s="21"/>
      <c r="E60" s="21" t="s">
        <v>638</v>
      </c>
      <c r="F60" s="21"/>
      <c r="G60" s="21"/>
      <c r="H60" s="21" t="s">
        <v>693</v>
      </c>
    </row>
    <row r="61" ht="14.25" spans="1:8">
      <c r="A61" s="21">
        <v>310</v>
      </c>
      <c r="B61" s="21" t="s">
        <v>782</v>
      </c>
      <c r="C61" s="21" t="s">
        <v>783</v>
      </c>
      <c r="D61" s="21"/>
      <c r="E61" s="21" t="s">
        <v>638</v>
      </c>
      <c r="F61" s="21"/>
      <c r="G61" s="21"/>
      <c r="H61" s="21" t="s">
        <v>696</v>
      </c>
    </row>
    <row r="62" ht="14.25" spans="1:8">
      <c r="A62" s="21">
        <v>311</v>
      </c>
      <c r="B62" s="21" t="s">
        <v>784</v>
      </c>
      <c r="C62" s="21" t="s">
        <v>785</v>
      </c>
      <c r="D62" s="21"/>
      <c r="E62" s="21" t="s">
        <v>638</v>
      </c>
      <c r="F62" s="21"/>
      <c r="G62" s="21"/>
      <c r="H62" s="21" t="s">
        <v>696</v>
      </c>
    </row>
    <row r="63" ht="14.25" spans="1:8">
      <c r="A63" s="21">
        <v>312</v>
      </c>
      <c r="B63" s="21" t="s">
        <v>786</v>
      </c>
      <c r="C63" s="21" t="s">
        <v>787</v>
      </c>
      <c r="D63" s="21"/>
      <c r="E63" s="21" t="s">
        <v>638</v>
      </c>
      <c r="F63" s="21"/>
      <c r="G63" s="21"/>
      <c r="H63" s="21" t="s">
        <v>693</v>
      </c>
    </row>
    <row r="64" ht="14.25" spans="1:8">
      <c r="A64" s="21">
        <v>313</v>
      </c>
      <c r="B64" s="21" t="s">
        <v>788</v>
      </c>
      <c r="C64" s="21" t="s">
        <v>789</v>
      </c>
      <c r="D64" s="21"/>
      <c r="E64" s="21" t="s">
        <v>638</v>
      </c>
      <c r="F64" s="21"/>
      <c r="G64" s="21"/>
      <c r="H64" s="21" t="s">
        <v>696</v>
      </c>
    </row>
    <row r="65" ht="14.25" spans="1:8">
      <c r="A65" s="21">
        <v>314</v>
      </c>
      <c r="B65" s="21" t="s">
        <v>790</v>
      </c>
      <c r="C65" s="21" t="s">
        <v>791</v>
      </c>
      <c r="D65" s="21"/>
      <c r="E65" s="21" t="s">
        <v>638</v>
      </c>
      <c r="F65" s="21"/>
      <c r="G65" s="21"/>
      <c r="H65" s="21" t="s">
        <v>696</v>
      </c>
    </row>
    <row r="66" ht="14.25" spans="1:8">
      <c r="A66" s="21">
        <v>315</v>
      </c>
      <c r="B66" s="21" t="s">
        <v>792</v>
      </c>
      <c r="C66" s="21" t="s">
        <v>793</v>
      </c>
      <c r="D66" s="21"/>
      <c r="E66" s="21" t="s">
        <v>638</v>
      </c>
      <c r="F66" s="21"/>
      <c r="G66" s="21"/>
      <c r="H66" s="21" t="s">
        <v>693</v>
      </c>
    </row>
    <row r="67" ht="14.25" spans="1:8">
      <c r="A67" s="21">
        <v>316</v>
      </c>
      <c r="B67" s="21" t="s">
        <v>794</v>
      </c>
      <c r="C67" s="21" t="s">
        <v>795</v>
      </c>
      <c r="D67" s="21"/>
      <c r="E67" s="21"/>
      <c r="F67" s="21"/>
      <c r="G67" s="21"/>
      <c r="H67" s="21" t="s">
        <v>696</v>
      </c>
    </row>
    <row r="68" ht="14.25" spans="1:8">
      <c r="A68" s="21">
        <v>317</v>
      </c>
      <c r="B68" s="21" t="s">
        <v>796</v>
      </c>
      <c r="C68" s="21" t="s">
        <v>797</v>
      </c>
      <c r="D68" s="21"/>
      <c r="E68" s="21"/>
      <c r="F68" s="21"/>
      <c r="G68" s="21"/>
      <c r="H68" s="21" t="s">
        <v>696</v>
      </c>
    </row>
    <row r="69" ht="14.25" spans="1:8">
      <c r="A69" s="21">
        <v>318</v>
      </c>
      <c r="B69" s="21" t="s">
        <v>798</v>
      </c>
      <c r="C69" s="21" t="s">
        <v>799</v>
      </c>
      <c r="D69" s="21"/>
      <c r="E69" s="21"/>
      <c r="F69" s="21"/>
      <c r="G69" s="21"/>
      <c r="H69" s="21" t="s">
        <v>693</v>
      </c>
    </row>
    <row r="70" ht="14.25" spans="1:8">
      <c r="A70" s="21">
        <v>319</v>
      </c>
      <c r="B70" s="21" t="s">
        <v>800</v>
      </c>
      <c r="C70" s="21" t="s">
        <v>801</v>
      </c>
      <c r="D70" s="21"/>
      <c r="E70" s="21" t="s">
        <v>638</v>
      </c>
      <c r="F70" s="21"/>
      <c r="G70" s="21"/>
      <c r="H70" s="21"/>
    </row>
    <row r="71" ht="14.25" spans="1:8">
      <c r="A71" s="21">
        <v>320</v>
      </c>
      <c r="B71" s="21" t="s">
        <v>802</v>
      </c>
      <c r="C71" s="21" t="s">
        <v>803</v>
      </c>
      <c r="D71" s="21"/>
      <c r="E71" s="21" t="s">
        <v>638</v>
      </c>
      <c r="F71" s="21"/>
      <c r="G71" s="21"/>
      <c r="H71" s="21"/>
    </row>
    <row r="72" ht="14.25" spans="1:8">
      <c r="A72" s="21">
        <v>321</v>
      </c>
      <c r="B72" s="21" t="s">
        <v>804</v>
      </c>
      <c r="C72" s="20" t="s">
        <v>805</v>
      </c>
      <c r="D72" s="21"/>
      <c r="E72" s="21" t="s">
        <v>638</v>
      </c>
      <c r="F72" s="21"/>
      <c r="G72" s="21"/>
      <c r="H72" s="21"/>
    </row>
    <row r="73" ht="14.25" spans="1:8">
      <c r="A73" s="21">
        <v>322</v>
      </c>
      <c r="B73" s="21" t="s">
        <v>806</v>
      </c>
      <c r="C73" s="21" t="s">
        <v>807</v>
      </c>
      <c r="D73" s="21"/>
      <c r="E73" s="21" t="s">
        <v>638</v>
      </c>
      <c r="F73" s="21"/>
      <c r="G73" s="21"/>
      <c r="H73" s="21" t="s">
        <v>696</v>
      </c>
    </row>
    <row r="74" ht="14.25" spans="1:8">
      <c r="A74" s="21">
        <v>323</v>
      </c>
      <c r="B74" s="21" t="s">
        <v>808</v>
      </c>
      <c r="C74" s="21" t="s">
        <v>809</v>
      </c>
      <c r="D74" s="21"/>
      <c r="E74" s="21" t="s">
        <v>638</v>
      </c>
      <c r="F74" s="21"/>
      <c r="G74" s="21"/>
      <c r="H74" s="21" t="s">
        <v>696</v>
      </c>
    </row>
    <row r="75" ht="14.25" spans="1:8">
      <c r="A75" s="21">
        <v>324</v>
      </c>
      <c r="B75" s="21" t="s">
        <v>810</v>
      </c>
      <c r="C75" s="21" t="s">
        <v>811</v>
      </c>
      <c r="D75" s="21"/>
      <c r="E75" s="21" t="s">
        <v>638</v>
      </c>
      <c r="F75" s="21"/>
      <c r="G75" s="21"/>
      <c r="H75" s="21" t="s">
        <v>696</v>
      </c>
    </row>
    <row r="76" ht="14.25" spans="1:8">
      <c r="A76" s="21"/>
      <c r="B76" s="21"/>
      <c r="C76" s="21"/>
      <c r="D76" s="21"/>
      <c r="E76" s="21" t="s">
        <v>638</v>
      </c>
      <c r="F76" s="21"/>
      <c r="G76" s="21"/>
      <c r="H76" s="21" t="s">
        <v>696</v>
      </c>
    </row>
    <row r="77" ht="14.25" spans="1:8">
      <c r="A77" s="21"/>
      <c r="B77" s="21"/>
      <c r="C77" s="21"/>
      <c r="D77" s="21">
        <v>50</v>
      </c>
      <c r="E77" s="21" t="s">
        <v>745</v>
      </c>
      <c r="F77" s="21"/>
      <c r="G77" s="21" t="s">
        <v>735</v>
      </c>
      <c r="H77" s="21" t="s">
        <v>696</v>
      </c>
    </row>
    <row r="78" ht="14.25" spans="1:8">
      <c r="A78" s="21"/>
      <c r="B78" s="21"/>
      <c r="C78" s="21" t="s">
        <v>812</v>
      </c>
      <c r="D78" s="21"/>
      <c r="E78" s="21" t="s">
        <v>638</v>
      </c>
      <c r="F78" s="21"/>
      <c r="G78" s="21"/>
      <c r="H78" s="21" t="s">
        <v>696</v>
      </c>
    </row>
    <row r="79" ht="14.25" spans="1:8">
      <c r="A79" s="21">
        <v>401</v>
      </c>
      <c r="B79" s="21" t="s">
        <v>813</v>
      </c>
      <c r="C79" s="21" t="s">
        <v>814</v>
      </c>
      <c r="D79" s="21"/>
      <c r="E79" s="21" t="s">
        <v>638</v>
      </c>
      <c r="F79" s="21"/>
      <c r="G79" s="21"/>
      <c r="H79" s="21" t="s">
        <v>696</v>
      </c>
    </row>
    <row r="80" ht="14.25" spans="1:8">
      <c r="A80" s="21">
        <v>402</v>
      </c>
      <c r="B80" s="21" t="s">
        <v>815</v>
      </c>
      <c r="C80" s="21" t="s">
        <v>816</v>
      </c>
      <c r="D80" s="21"/>
      <c r="E80" s="21" t="s">
        <v>638</v>
      </c>
      <c r="F80" s="21"/>
      <c r="G80" s="21"/>
      <c r="H80" s="21" t="s">
        <v>696</v>
      </c>
    </row>
    <row r="81" ht="14.25" spans="1:8">
      <c r="A81" s="21">
        <v>403</v>
      </c>
      <c r="B81" s="21" t="s">
        <v>817</v>
      </c>
      <c r="C81" s="21" t="s">
        <v>818</v>
      </c>
      <c r="D81" s="21"/>
      <c r="E81" s="21" t="s">
        <v>638</v>
      </c>
      <c r="F81" s="21"/>
      <c r="G81" s="21"/>
      <c r="H81" s="21" t="s">
        <v>696</v>
      </c>
    </row>
    <row r="82" ht="14.25" spans="1:8">
      <c r="A82" s="21">
        <v>404</v>
      </c>
      <c r="B82" s="21" t="s">
        <v>819</v>
      </c>
      <c r="C82" s="21" t="s">
        <v>820</v>
      </c>
      <c r="D82" s="21">
        <v>51</v>
      </c>
      <c r="E82" s="21" t="s">
        <v>745</v>
      </c>
      <c r="F82" s="21"/>
      <c r="G82" s="21" t="s">
        <v>735</v>
      </c>
      <c r="H82" s="21" t="s">
        <v>696</v>
      </c>
    </row>
    <row r="83" ht="14.25" spans="1:8">
      <c r="A83" s="21">
        <v>405</v>
      </c>
      <c r="B83" s="21" t="s">
        <v>821</v>
      </c>
      <c r="C83" s="21" t="s">
        <v>822</v>
      </c>
      <c r="D83" s="21"/>
      <c r="E83" s="21" t="s">
        <v>638</v>
      </c>
      <c r="F83" s="21"/>
      <c r="G83" s="21"/>
      <c r="H83" s="21" t="s">
        <v>696</v>
      </c>
    </row>
    <row r="84" ht="14.25" spans="1:8">
      <c r="A84" s="21">
        <v>406</v>
      </c>
      <c r="B84" s="21" t="s">
        <v>823</v>
      </c>
      <c r="C84" s="21" t="s">
        <v>824</v>
      </c>
      <c r="D84" s="21"/>
      <c r="E84" s="21" t="s">
        <v>638</v>
      </c>
      <c r="F84" s="21"/>
      <c r="G84" s="21"/>
      <c r="H84" s="21"/>
    </row>
    <row r="85" ht="14.25" spans="1:8">
      <c r="A85" s="21">
        <v>407</v>
      </c>
      <c r="B85" s="21" t="s">
        <v>825</v>
      </c>
      <c r="C85" s="21" t="s">
        <v>826</v>
      </c>
      <c r="D85" s="21"/>
      <c r="E85" s="21" t="s">
        <v>638</v>
      </c>
      <c r="F85" s="21"/>
      <c r="G85" s="21"/>
      <c r="H85" s="21"/>
    </row>
    <row r="86" ht="14.25" spans="1:8">
      <c r="A86" s="21">
        <v>408</v>
      </c>
      <c r="B86" s="21" t="s">
        <v>827</v>
      </c>
      <c r="C86" s="20" t="s">
        <v>828</v>
      </c>
      <c r="D86" s="21"/>
      <c r="E86" s="21" t="s">
        <v>638</v>
      </c>
      <c r="F86" s="21"/>
      <c r="G86" s="21"/>
      <c r="H86" s="21"/>
    </row>
    <row r="87" ht="14.25" spans="1:8">
      <c r="A87" s="21">
        <v>409</v>
      </c>
      <c r="B87" s="21" t="s">
        <v>829</v>
      </c>
      <c r="C87" s="21" t="s">
        <v>830</v>
      </c>
      <c r="D87" s="21">
        <v>52</v>
      </c>
      <c r="E87" s="21" t="s">
        <v>282</v>
      </c>
      <c r="F87" s="21"/>
      <c r="G87" s="21" t="s">
        <v>735</v>
      </c>
      <c r="H87" s="21" t="s">
        <v>696</v>
      </c>
    </row>
    <row r="88" ht="14.25" spans="1:8">
      <c r="A88" s="21">
        <v>410</v>
      </c>
      <c r="B88" s="21" t="s">
        <v>831</v>
      </c>
      <c r="C88" s="21" t="s">
        <v>832</v>
      </c>
      <c r="D88" s="21">
        <v>53</v>
      </c>
      <c r="E88" s="21" t="s">
        <v>282</v>
      </c>
      <c r="F88" s="21"/>
      <c r="G88" s="21" t="s">
        <v>735</v>
      </c>
      <c r="H88" s="21" t="s">
        <v>696</v>
      </c>
    </row>
    <row r="89" ht="14.25" spans="1:8">
      <c r="A89" s="21">
        <v>411</v>
      </c>
      <c r="B89" s="21" t="s">
        <v>833</v>
      </c>
      <c r="C89" s="21" t="s">
        <v>834</v>
      </c>
      <c r="D89" s="21"/>
      <c r="E89" s="21" t="s">
        <v>638</v>
      </c>
      <c r="F89" s="21"/>
      <c r="G89" s="21"/>
      <c r="H89" s="21" t="s">
        <v>696</v>
      </c>
    </row>
    <row r="90" ht="14.25" spans="1:8">
      <c r="A90" s="21"/>
      <c r="B90" s="21"/>
      <c r="C90" s="21"/>
      <c r="D90" s="21"/>
      <c r="E90" s="21" t="s">
        <v>638</v>
      </c>
      <c r="F90" s="21"/>
      <c r="G90" s="21"/>
      <c r="H90" s="21" t="s">
        <v>696</v>
      </c>
    </row>
    <row r="91" ht="14.25" spans="1:8">
      <c r="A91" s="21"/>
      <c r="B91" s="21"/>
      <c r="C91" s="21"/>
      <c r="D91" s="21"/>
      <c r="E91" s="21" t="s">
        <v>638</v>
      </c>
      <c r="F91" s="21"/>
      <c r="G91" s="21"/>
      <c r="H91" s="21" t="s">
        <v>696</v>
      </c>
    </row>
    <row r="92" ht="14.25" spans="1:8">
      <c r="A92" s="21"/>
      <c r="B92" s="21"/>
      <c r="C92" s="21" t="s">
        <v>835</v>
      </c>
      <c r="D92" s="21"/>
      <c r="E92" s="21" t="s">
        <v>638</v>
      </c>
      <c r="F92" s="21"/>
      <c r="G92" s="21"/>
      <c r="H92" s="21" t="s">
        <v>696</v>
      </c>
    </row>
    <row r="93" ht="14.25" spans="1:8">
      <c r="A93" s="21">
        <v>501</v>
      </c>
      <c r="B93" s="21" t="s">
        <v>836</v>
      </c>
      <c r="C93" s="21" t="s">
        <v>837</v>
      </c>
      <c r="D93" s="21"/>
      <c r="E93" s="21" t="s">
        <v>638</v>
      </c>
      <c r="F93" s="25"/>
      <c r="G93" s="21"/>
      <c r="H93" s="21" t="s">
        <v>693</v>
      </c>
    </row>
    <row r="94" ht="14.25" spans="1:8">
      <c r="A94" s="21">
        <v>502</v>
      </c>
      <c r="B94" s="21" t="s">
        <v>838</v>
      </c>
      <c r="C94" s="21" t="s">
        <v>839</v>
      </c>
      <c r="D94" s="21"/>
      <c r="E94" s="21" t="s">
        <v>638</v>
      </c>
      <c r="F94" s="25"/>
      <c r="G94" s="21"/>
      <c r="H94" s="21" t="s">
        <v>696</v>
      </c>
    </row>
    <row r="95" ht="14.25" spans="1:8">
      <c r="A95" s="21">
        <v>503</v>
      </c>
      <c r="B95" s="21" t="s">
        <v>840</v>
      </c>
      <c r="C95" s="21" t="s">
        <v>841</v>
      </c>
      <c r="D95" s="21"/>
      <c r="E95" s="21" t="s">
        <v>638</v>
      </c>
      <c r="F95" s="25"/>
      <c r="G95" s="21"/>
      <c r="H95" s="21" t="s">
        <v>708</v>
      </c>
    </row>
    <row r="96" ht="14.25" spans="1:8">
      <c r="A96" s="21">
        <v>504</v>
      </c>
      <c r="B96" s="21" t="s">
        <v>842</v>
      </c>
      <c r="C96" s="21" t="s">
        <v>843</v>
      </c>
      <c r="D96" s="21"/>
      <c r="E96" s="21" t="s">
        <v>638</v>
      </c>
      <c r="F96" s="25"/>
      <c r="G96" s="21"/>
      <c r="H96" s="21" t="s">
        <v>696</v>
      </c>
    </row>
    <row r="97" ht="14.25" spans="1:8">
      <c r="A97" s="21">
        <v>505</v>
      </c>
      <c r="B97" s="21" t="s">
        <v>844</v>
      </c>
      <c r="C97" s="21" t="s">
        <v>845</v>
      </c>
      <c r="D97" s="21">
        <v>54</v>
      </c>
      <c r="E97" s="21" t="s">
        <v>745</v>
      </c>
      <c r="F97" s="25"/>
      <c r="G97" s="21" t="s">
        <v>735</v>
      </c>
      <c r="H97" s="21" t="s">
        <v>696</v>
      </c>
    </row>
    <row r="98" ht="14.25" spans="1:8">
      <c r="A98" s="21">
        <v>506</v>
      </c>
      <c r="B98" s="21" t="s">
        <v>846</v>
      </c>
      <c r="C98" s="21" t="s">
        <v>847</v>
      </c>
      <c r="D98" s="21"/>
      <c r="E98" s="21" t="s">
        <v>745</v>
      </c>
      <c r="F98" s="25"/>
      <c r="G98" s="21" t="s">
        <v>735</v>
      </c>
      <c r="H98" s="21" t="s">
        <v>696</v>
      </c>
    </row>
    <row r="99" ht="14.25" spans="1:8">
      <c r="A99" s="21">
        <v>507</v>
      </c>
      <c r="B99" s="21" t="s">
        <v>848</v>
      </c>
      <c r="C99" s="21" t="s">
        <v>849</v>
      </c>
      <c r="D99" s="21"/>
      <c r="E99" s="21"/>
      <c r="F99" s="25"/>
      <c r="G99" s="21"/>
      <c r="H99" s="21" t="s">
        <v>696</v>
      </c>
    </row>
    <row r="100" ht="14.25" spans="1:8">
      <c r="A100" s="21">
        <v>508</v>
      </c>
      <c r="B100" s="21" t="s">
        <v>850</v>
      </c>
      <c r="C100" s="21" t="s">
        <v>851</v>
      </c>
      <c r="D100" s="21"/>
      <c r="E100" s="21"/>
      <c r="F100" s="25"/>
      <c r="G100" s="21"/>
      <c r="H100" s="21" t="s">
        <v>696</v>
      </c>
    </row>
    <row r="101" ht="14.25" spans="1:8">
      <c r="A101" s="21">
        <v>511</v>
      </c>
      <c r="B101" s="21" t="s">
        <v>852</v>
      </c>
      <c r="C101" s="21" t="s">
        <v>853</v>
      </c>
      <c r="D101" s="21"/>
      <c r="E101" s="21"/>
      <c r="F101" s="25"/>
      <c r="G101" s="21"/>
      <c r="H101" s="21" t="s">
        <v>696</v>
      </c>
    </row>
    <row r="102" ht="14.25" spans="1:8">
      <c r="A102" s="21">
        <v>512</v>
      </c>
      <c r="B102" s="21" t="s">
        <v>854</v>
      </c>
      <c r="C102" s="21" t="s">
        <v>855</v>
      </c>
      <c r="D102" s="21"/>
      <c r="E102" s="21"/>
      <c r="F102" s="25"/>
      <c r="G102" s="21"/>
      <c r="H102" s="21" t="s">
        <v>696</v>
      </c>
    </row>
    <row r="103" ht="14.25" spans="1:8">
      <c r="A103" s="21">
        <v>513</v>
      </c>
      <c r="B103" s="21" t="s">
        <v>856</v>
      </c>
      <c r="C103" s="21" t="s">
        <v>857</v>
      </c>
      <c r="D103" s="21"/>
      <c r="E103" s="21"/>
      <c r="F103" s="25"/>
      <c r="G103" s="21"/>
      <c r="H103" s="21" t="s">
        <v>693</v>
      </c>
    </row>
    <row r="104" ht="14.25" spans="1:8">
      <c r="A104" s="21">
        <v>514</v>
      </c>
      <c r="B104" s="21" t="s">
        <v>858</v>
      </c>
      <c r="C104" s="21" t="s">
        <v>859</v>
      </c>
      <c r="D104" s="21"/>
      <c r="E104" s="21" t="s">
        <v>282</v>
      </c>
      <c r="F104" s="21"/>
      <c r="G104" s="21"/>
      <c r="H104" s="21" t="s">
        <v>696</v>
      </c>
    </row>
    <row r="105" ht="14.25" spans="1:8">
      <c r="A105" s="21">
        <v>515</v>
      </c>
      <c r="B105" s="21" t="s">
        <v>860</v>
      </c>
      <c r="C105" s="21" t="s">
        <v>861</v>
      </c>
      <c r="D105" s="21"/>
      <c r="E105" s="21"/>
      <c r="F105" s="25"/>
      <c r="G105" s="21"/>
      <c r="H105" s="21"/>
    </row>
    <row r="106" ht="14.25" spans="1:8">
      <c r="A106" s="21">
        <v>516</v>
      </c>
      <c r="B106" s="21" t="s">
        <v>862</v>
      </c>
      <c r="C106" s="21" t="s">
        <v>863</v>
      </c>
      <c r="D106" s="21"/>
      <c r="E106" s="21"/>
      <c r="F106" s="25"/>
      <c r="G106" s="21"/>
      <c r="H106" s="21"/>
    </row>
    <row r="107" ht="14.25" spans="1:8">
      <c r="A107" s="21">
        <v>517</v>
      </c>
      <c r="B107" s="21" t="s">
        <v>864</v>
      </c>
      <c r="C107" s="21" t="s">
        <v>865</v>
      </c>
      <c r="D107" s="21"/>
      <c r="E107" s="21"/>
      <c r="F107" s="25"/>
      <c r="G107" s="21"/>
      <c r="H107" s="21"/>
    </row>
    <row r="108" ht="14.25" spans="1:8">
      <c r="A108" s="21">
        <v>518</v>
      </c>
      <c r="B108" s="21" t="s">
        <v>866</v>
      </c>
      <c r="C108" s="21" t="s">
        <v>867</v>
      </c>
      <c r="D108" s="21"/>
      <c r="E108" s="21"/>
      <c r="F108" s="25"/>
      <c r="G108" s="21"/>
      <c r="H108" s="21"/>
    </row>
    <row r="109" ht="14.25" spans="1:8">
      <c r="A109" s="21">
        <v>519</v>
      </c>
      <c r="B109" s="21" t="s">
        <v>868</v>
      </c>
      <c r="C109" s="21" t="s">
        <v>869</v>
      </c>
      <c r="D109" s="21"/>
      <c r="E109" s="21"/>
      <c r="F109" s="25"/>
      <c r="G109" s="21"/>
      <c r="H109" s="21"/>
    </row>
    <row r="110" ht="14.25" spans="1:8">
      <c r="A110" s="21">
        <v>520</v>
      </c>
      <c r="B110" s="21" t="s">
        <v>870</v>
      </c>
      <c r="C110" s="20" t="s">
        <v>871</v>
      </c>
      <c r="D110" s="21"/>
      <c r="E110" s="21" t="s">
        <v>638</v>
      </c>
      <c r="F110" s="21"/>
      <c r="G110" s="21"/>
      <c r="H110" s="21"/>
    </row>
    <row r="111" ht="14.25" spans="1:8">
      <c r="A111" s="21"/>
      <c r="B111" s="21"/>
      <c r="C111" s="20"/>
      <c r="D111" s="21"/>
      <c r="E111" s="21" t="s">
        <v>638</v>
      </c>
      <c r="F111" s="21"/>
      <c r="G111" s="21"/>
      <c r="H111" s="21"/>
    </row>
    <row r="112" ht="14.25" spans="1:8">
      <c r="A112" s="21"/>
      <c r="B112" s="21"/>
      <c r="C112" s="21"/>
      <c r="D112" s="21"/>
      <c r="E112" s="21" t="s">
        <v>638</v>
      </c>
      <c r="F112" s="25" t="s">
        <v>697</v>
      </c>
      <c r="G112" s="21"/>
      <c r="H112" s="21" t="s">
        <v>696</v>
      </c>
    </row>
    <row r="113" ht="14.25" spans="1:8">
      <c r="A113" s="21"/>
      <c r="B113" s="21"/>
      <c r="C113" s="21"/>
      <c r="D113" s="21"/>
      <c r="E113" s="21" t="s">
        <v>318</v>
      </c>
      <c r="F113" s="25"/>
      <c r="G113" s="21"/>
      <c r="H113" s="21" t="s">
        <v>693</v>
      </c>
    </row>
    <row r="114" ht="14.25" spans="1:8">
      <c r="A114" s="21"/>
      <c r="B114" s="21"/>
      <c r="C114" s="21"/>
      <c r="D114" s="21"/>
      <c r="E114" s="21" t="s">
        <v>318</v>
      </c>
      <c r="F114" s="25"/>
      <c r="G114" s="21"/>
      <c r="H114" s="21" t="s">
        <v>696</v>
      </c>
    </row>
    <row r="115" ht="14.25" spans="1:8">
      <c r="A115" s="21"/>
      <c r="B115" s="21"/>
      <c r="C115" s="21"/>
      <c r="D115" s="21"/>
      <c r="E115" s="21" t="s">
        <v>318</v>
      </c>
      <c r="F115" s="25"/>
      <c r="G115" s="21"/>
      <c r="H115" s="21" t="s">
        <v>693</v>
      </c>
    </row>
    <row r="116" ht="14.25" spans="1:8">
      <c r="A116" s="21"/>
      <c r="B116" s="21"/>
      <c r="C116" s="21"/>
      <c r="D116" s="21"/>
      <c r="E116" s="21" t="s">
        <v>318</v>
      </c>
      <c r="F116" s="25"/>
      <c r="G116" s="21"/>
      <c r="H116" s="21" t="s">
        <v>693</v>
      </c>
    </row>
    <row r="117" ht="14.25" spans="1:8">
      <c r="A117" s="21"/>
      <c r="B117" s="21"/>
      <c r="C117" s="21" t="s">
        <v>872</v>
      </c>
      <c r="D117" s="21"/>
      <c r="E117" s="21" t="s">
        <v>318</v>
      </c>
      <c r="F117" s="25"/>
      <c r="G117" s="21"/>
      <c r="H117" s="21" t="s">
        <v>693</v>
      </c>
    </row>
    <row r="118" ht="14.25" spans="1:8">
      <c r="A118" s="21">
        <v>601</v>
      </c>
      <c r="B118" s="21" t="s">
        <v>873</v>
      </c>
      <c r="C118" s="21" t="s">
        <v>874</v>
      </c>
      <c r="D118" s="21"/>
      <c r="E118" s="21" t="s">
        <v>318</v>
      </c>
      <c r="F118" s="25"/>
      <c r="G118" s="21"/>
      <c r="H118" s="21" t="s">
        <v>693</v>
      </c>
    </row>
    <row r="119" ht="14.25" spans="1:8">
      <c r="A119" s="21">
        <v>602</v>
      </c>
      <c r="B119" s="21" t="s">
        <v>875</v>
      </c>
      <c r="C119" s="21" t="s">
        <v>876</v>
      </c>
      <c r="D119" s="21">
        <v>43</v>
      </c>
      <c r="E119" s="21" t="s">
        <v>745</v>
      </c>
      <c r="F119" s="25"/>
      <c r="G119" s="21" t="s">
        <v>735</v>
      </c>
      <c r="H119" s="21" t="s">
        <v>696</v>
      </c>
    </row>
    <row r="120" ht="14.25" spans="1:8">
      <c r="A120" s="21">
        <v>603</v>
      </c>
      <c r="B120" s="21" t="s">
        <v>877</v>
      </c>
      <c r="C120" s="21" t="s">
        <v>878</v>
      </c>
      <c r="D120" s="21">
        <v>42</v>
      </c>
      <c r="E120" s="21" t="s">
        <v>745</v>
      </c>
      <c r="F120" s="25"/>
      <c r="G120" s="21" t="s">
        <v>735</v>
      </c>
      <c r="H120" s="21" t="s">
        <v>696</v>
      </c>
    </row>
    <row r="121" ht="14.25" spans="1:8">
      <c r="A121" s="21">
        <v>604</v>
      </c>
      <c r="B121" s="21" t="s">
        <v>879</v>
      </c>
      <c r="C121" s="21" t="s">
        <v>880</v>
      </c>
      <c r="D121" s="21">
        <v>41</v>
      </c>
      <c r="E121" s="21" t="s">
        <v>745</v>
      </c>
      <c r="F121" s="25"/>
      <c r="G121" s="21" t="s">
        <v>735</v>
      </c>
      <c r="H121" s="21" t="s">
        <v>696</v>
      </c>
    </row>
    <row r="122" ht="14.25" spans="1:8">
      <c r="A122" s="21">
        <v>605</v>
      </c>
      <c r="B122" s="21" t="s">
        <v>881</v>
      </c>
      <c r="C122" s="21" t="s">
        <v>882</v>
      </c>
      <c r="D122" s="21">
        <v>44</v>
      </c>
      <c r="E122" s="21" t="s">
        <v>745</v>
      </c>
      <c r="F122" s="25"/>
      <c r="G122" s="21" t="s">
        <v>735</v>
      </c>
      <c r="H122" s="21" t="s">
        <v>696</v>
      </c>
    </row>
    <row r="123" ht="14.25" spans="1:8">
      <c r="A123" s="21">
        <v>606</v>
      </c>
      <c r="B123" s="21" t="s">
        <v>883</v>
      </c>
      <c r="C123" s="21" t="s">
        <v>884</v>
      </c>
      <c r="D123" s="21">
        <v>45</v>
      </c>
      <c r="E123" s="21" t="s">
        <v>745</v>
      </c>
      <c r="F123" s="25"/>
      <c r="G123" s="21" t="s">
        <v>735</v>
      </c>
      <c r="H123" s="21" t="s">
        <v>696</v>
      </c>
    </row>
    <row r="124" ht="14.25" spans="1:8">
      <c r="A124" s="21">
        <v>607</v>
      </c>
      <c r="B124" s="21" t="s">
        <v>885</v>
      </c>
      <c r="C124" s="21" t="s">
        <v>886</v>
      </c>
      <c r="D124" s="21">
        <v>46</v>
      </c>
      <c r="E124" s="21" t="s">
        <v>745</v>
      </c>
      <c r="F124" s="25"/>
      <c r="G124" s="21" t="s">
        <v>735</v>
      </c>
      <c r="H124" s="21" t="s">
        <v>696</v>
      </c>
    </row>
    <row r="125" ht="14.25" spans="1:8">
      <c r="A125" s="21">
        <v>608</v>
      </c>
      <c r="B125" s="21" t="s">
        <v>887</v>
      </c>
      <c r="C125" s="21" t="s">
        <v>888</v>
      </c>
      <c r="D125" s="21">
        <v>47</v>
      </c>
      <c r="E125" s="21" t="s">
        <v>745</v>
      </c>
      <c r="F125" s="25"/>
      <c r="G125" s="21" t="s">
        <v>735</v>
      </c>
      <c r="H125" s="21" t="s">
        <v>696</v>
      </c>
    </row>
    <row r="126" ht="14.25" spans="1:8">
      <c r="A126" s="21">
        <v>609</v>
      </c>
      <c r="B126" s="21" t="s">
        <v>380</v>
      </c>
      <c r="C126" s="21" t="s">
        <v>381</v>
      </c>
      <c r="D126" s="21">
        <v>48</v>
      </c>
      <c r="E126" s="21" t="s">
        <v>745</v>
      </c>
      <c r="F126" s="25"/>
      <c r="G126" s="21" t="s">
        <v>735</v>
      </c>
      <c r="H126" s="21" t="s">
        <v>696</v>
      </c>
    </row>
    <row r="127" ht="14.25" spans="1:8">
      <c r="A127" s="21">
        <v>610</v>
      </c>
      <c r="B127" s="21" t="s">
        <v>889</v>
      </c>
      <c r="C127" s="21" t="s">
        <v>890</v>
      </c>
      <c r="D127" s="21">
        <v>31</v>
      </c>
      <c r="E127" s="21" t="s">
        <v>745</v>
      </c>
      <c r="F127" s="21"/>
      <c r="G127" s="21" t="s">
        <v>735</v>
      </c>
      <c r="H127" s="21" t="s">
        <v>696</v>
      </c>
    </row>
    <row r="128" ht="14.25" spans="1:8">
      <c r="A128" s="21">
        <v>611</v>
      </c>
      <c r="B128" s="21" t="s">
        <v>891</v>
      </c>
      <c r="C128" s="21" t="s">
        <v>892</v>
      </c>
      <c r="D128" s="21">
        <v>32</v>
      </c>
      <c r="E128" s="21" t="s">
        <v>745</v>
      </c>
      <c r="F128" s="21"/>
      <c r="G128" s="21" t="s">
        <v>735</v>
      </c>
      <c r="H128" s="21" t="s">
        <v>696</v>
      </c>
    </row>
    <row r="129" ht="14.25" spans="1:8">
      <c r="A129" s="21">
        <v>612</v>
      </c>
      <c r="B129" s="21" t="s">
        <v>893</v>
      </c>
      <c r="C129" s="21" t="s">
        <v>894</v>
      </c>
      <c r="D129" s="21">
        <v>33</v>
      </c>
      <c r="E129" s="21" t="s">
        <v>745</v>
      </c>
      <c r="F129" s="21"/>
      <c r="G129" s="21" t="s">
        <v>735</v>
      </c>
      <c r="H129" s="21" t="s">
        <v>696</v>
      </c>
    </row>
    <row r="130" ht="14.25" spans="1:8">
      <c r="A130" s="21">
        <v>613</v>
      </c>
      <c r="B130" s="21" t="s">
        <v>895</v>
      </c>
      <c r="C130" s="21" t="s">
        <v>896</v>
      </c>
      <c r="D130" s="21"/>
      <c r="E130" s="21" t="s">
        <v>318</v>
      </c>
      <c r="F130" s="21"/>
      <c r="G130" s="21"/>
      <c r="H130" s="21" t="s">
        <v>693</v>
      </c>
    </row>
    <row r="131" ht="14.25" spans="1:8">
      <c r="A131" s="21">
        <v>614</v>
      </c>
      <c r="B131" s="21" t="s">
        <v>897</v>
      </c>
      <c r="C131" s="21" t="s">
        <v>898</v>
      </c>
      <c r="D131" s="21"/>
      <c r="E131" s="21" t="s">
        <v>318</v>
      </c>
      <c r="F131" s="21"/>
      <c r="G131" s="21"/>
      <c r="H131" s="21" t="s">
        <v>696</v>
      </c>
    </row>
    <row r="132" ht="14.25" spans="1:8">
      <c r="A132" s="21">
        <v>615</v>
      </c>
      <c r="B132" s="21" t="s">
        <v>899</v>
      </c>
      <c r="C132" s="21" t="s">
        <v>900</v>
      </c>
      <c r="D132" s="21"/>
      <c r="E132" s="21" t="s">
        <v>318</v>
      </c>
      <c r="F132" s="21"/>
      <c r="G132" s="21"/>
      <c r="H132" s="21" t="s">
        <v>693</v>
      </c>
    </row>
    <row r="133" ht="14.25" spans="1:8">
      <c r="A133" s="21">
        <v>616</v>
      </c>
      <c r="B133" s="21" t="s">
        <v>286</v>
      </c>
      <c r="C133" s="21" t="s">
        <v>287</v>
      </c>
      <c r="D133" s="21"/>
      <c r="E133" s="21" t="s">
        <v>745</v>
      </c>
      <c r="F133" s="21"/>
      <c r="G133" s="21"/>
      <c r="H133" s="21" t="s">
        <v>693</v>
      </c>
    </row>
    <row r="134" ht="14.25" spans="1:8">
      <c r="A134" s="21">
        <v>617</v>
      </c>
      <c r="B134" s="21" t="s">
        <v>901</v>
      </c>
      <c r="C134" s="21" t="s">
        <v>902</v>
      </c>
      <c r="D134" s="21"/>
      <c r="E134" s="21" t="s">
        <v>318</v>
      </c>
      <c r="F134" s="21"/>
      <c r="G134" s="21"/>
      <c r="H134" s="21" t="s">
        <v>693</v>
      </c>
    </row>
    <row r="135" ht="14.25" spans="1:8">
      <c r="A135" s="26">
        <v>618</v>
      </c>
      <c r="B135" s="26" t="s">
        <v>903</v>
      </c>
      <c r="C135" s="26" t="s">
        <v>904</v>
      </c>
      <c r="D135" s="26">
        <v>34</v>
      </c>
      <c r="E135" s="26" t="s">
        <v>745</v>
      </c>
      <c r="F135" s="26"/>
      <c r="G135" s="26" t="s">
        <v>735</v>
      </c>
      <c r="H135" s="26" t="s">
        <v>696</v>
      </c>
    </row>
    <row r="136" ht="14.25" spans="1:8">
      <c r="A136" s="21">
        <v>619</v>
      </c>
      <c r="B136" s="21" t="s">
        <v>905</v>
      </c>
      <c r="C136" s="20" t="s">
        <v>906</v>
      </c>
      <c r="D136" s="21"/>
      <c r="E136" s="21" t="s">
        <v>745</v>
      </c>
      <c r="F136" s="21"/>
      <c r="G136" s="21"/>
      <c r="H136" s="21"/>
    </row>
    <row r="137" ht="14.25" spans="1:8">
      <c r="A137" s="21">
        <v>620</v>
      </c>
      <c r="B137" s="21" t="s">
        <v>907</v>
      </c>
      <c r="C137" s="20" t="s">
        <v>908</v>
      </c>
      <c r="D137" s="21"/>
      <c r="E137" s="21" t="s">
        <v>638</v>
      </c>
      <c r="F137" s="21"/>
      <c r="G137" s="21"/>
      <c r="H137" s="21"/>
    </row>
    <row r="138" ht="14.25" spans="1:8">
      <c r="A138" s="21">
        <v>621</v>
      </c>
      <c r="B138" s="21" t="s">
        <v>909</v>
      </c>
      <c r="C138" s="20" t="s">
        <v>910</v>
      </c>
      <c r="D138" s="21"/>
      <c r="E138" s="21" t="s">
        <v>638</v>
      </c>
      <c r="F138" s="21"/>
      <c r="G138" s="21"/>
      <c r="H138" s="21"/>
    </row>
    <row r="139" ht="14.25" spans="1:8">
      <c r="A139" s="21">
        <v>622</v>
      </c>
      <c r="B139" s="21" t="s">
        <v>911</v>
      </c>
      <c r="C139" s="21" t="s">
        <v>912</v>
      </c>
      <c r="D139" s="21"/>
      <c r="E139" s="21" t="s">
        <v>638</v>
      </c>
      <c r="F139" s="21"/>
      <c r="G139" s="21"/>
      <c r="H139" s="21" t="s">
        <v>696</v>
      </c>
    </row>
    <row r="140" ht="14.25" spans="1:8">
      <c r="A140" s="21">
        <v>623</v>
      </c>
      <c r="B140" s="21" t="s">
        <v>913</v>
      </c>
      <c r="C140" s="21" t="s">
        <v>914</v>
      </c>
      <c r="D140" s="21"/>
      <c r="E140" s="21" t="s">
        <v>638</v>
      </c>
      <c r="F140" s="21"/>
      <c r="G140" s="21"/>
      <c r="H140" s="21" t="s">
        <v>696</v>
      </c>
    </row>
    <row r="141" ht="14.25" spans="1:8">
      <c r="A141" s="21">
        <v>624</v>
      </c>
      <c r="B141" s="21" t="s">
        <v>235</v>
      </c>
      <c r="C141" s="20" t="s">
        <v>236</v>
      </c>
      <c r="D141" s="21"/>
      <c r="E141" s="21" t="s">
        <v>638</v>
      </c>
      <c r="F141" s="21"/>
      <c r="G141" s="21"/>
      <c r="H141" s="21"/>
    </row>
    <row r="142" ht="14.25" spans="1:8">
      <c r="A142" s="21">
        <v>625</v>
      </c>
      <c r="B142" s="21" t="s">
        <v>915</v>
      </c>
      <c r="C142" s="20" t="s">
        <v>916</v>
      </c>
      <c r="D142" s="21"/>
      <c r="E142" s="21" t="s">
        <v>638</v>
      </c>
      <c r="F142" s="21"/>
      <c r="G142" s="21"/>
      <c r="H142" s="21"/>
    </row>
    <row r="143" ht="14.25" spans="1:8">
      <c r="A143" s="21"/>
      <c r="B143" s="21"/>
      <c r="C143" s="20"/>
      <c r="D143" s="21"/>
      <c r="E143" s="21" t="s">
        <v>638</v>
      </c>
      <c r="F143" s="21"/>
      <c r="G143" s="21"/>
      <c r="H143" s="21"/>
    </row>
    <row r="144" ht="14.25" spans="1:8">
      <c r="A144" s="21"/>
      <c r="B144" s="21"/>
      <c r="C144" s="21" t="s">
        <v>917</v>
      </c>
      <c r="D144" s="21"/>
      <c r="E144" s="21" t="s">
        <v>638</v>
      </c>
      <c r="F144" s="27"/>
      <c r="G144" s="21"/>
      <c r="H144" s="21" t="s">
        <v>708</v>
      </c>
    </row>
    <row r="145" ht="14.25" spans="1:8">
      <c r="A145" s="21">
        <v>701</v>
      </c>
      <c r="B145" s="21" t="s">
        <v>918</v>
      </c>
      <c r="C145" s="21" t="s">
        <v>699</v>
      </c>
      <c r="D145" s="21"/>
      <c r="E145" s="21" t="s">
        <v>638</v>
      </c>
      <c r="F145" s="21"/>
      <c r="G145" s="21"/>
      <c r="H145" s="21" t="s">
        <v>693</v>
      </c>
    </row>
    <row r="146" ht="14.25" spans="1:8">
      <c r="A146" s="21">
        <v>702</v>
      </c>
      <c r="B146" s="21" t="s">
        <v>919</v>
      </c>
      <c r="C146" s="21" t="s">
        <v>695</v>
      </c>
      <c r="D146" s="21"/>
      <c r="E146" s="21" t="s">
        <v>638</v>
      </c>
      <c r="F146" s="21"/>
      <c r="G146" s="21"/>
      <c r="H146" s="21" t="s">
        <v>693</v>
      </c>
    </row>
    <row r="147" ht="14.25" spans="1:8">
      <c r="A147" s="21"/>
      <c r="B147" s="21"/>
      <c r="C147" s="21"/>
      <c r="D147" s="21"/>
      <c r="E147" s="21" t="s">
        <v>638</v>
      </c>
      <c r="F147" s="21"/>
      <c r="G147" s="21"/>
      <c r="H147" s="21"/>
    </row>
    <row r="148" ht="14.25" spans="1:8">
      <c r="A148" s="21"/>
      <c r="B148" s="21"/>
      <c r="C148" s="21"/>
      <c r="D148" s="21"/>
      <c r="E148" s="21" t="s">
        <v>638</v>
      </c>
      <c r="F148" s="21"/>
      <c r="G148" s="21"/>
      <c r="H148" s="21"/>
    </row>
    <row r="149" ht="14.25" spans="1:8">
      <c r="A149" s="21"/>
      <c r="B149" s="21"/>
      <c r="C149" s="20" t="s">
        <v>920</v>
      </c>
      <c r="D149" s="21"/>
      <c r="E149" s="21" t="s">
        <v>638</v>
      </c>
      <c r="F149" s="21"/>
      <c r="G149" s="21"/>
      <c r="H149" s="21"/>
    </row>
    <row r="150" ht="14.25" spans="1:8">
      <c r="A150" s="21">
        <v>10001</v>
      </c>
      <c r="B150" s="21" t="s">
        <v>921</v>
      </c>
      <c r="C150" s="21" t="s">
        <v>701</v>
      </c>
      <c r="D150" s="21">
        <v>4</v>
      </c>
      <c r="E150" s="21" t="s">
        <v>318</v>
      </c>
      <c r="F150" s="21"/>
      <c r="G150" s="21" t="s">
        <v>735</v>
      </c>
      <c r="H150" s="21" t="s">
        <v>693</v>
      </c>
    </row>
    <row r="151" ht="14.25" spans="1:8">
      <c r="A151" s="21">
        <v>10002</v>
      </c>
      <c r="B151" s="21" t="s">
        <v>560</v>
      </c>
      <c r="C151" s="21" t="s">
        <v>549</v>
      </c>
      <c r="D151" s="21"/>
      <c r="E151" s="21" t="s">
        <v>318</v>
      </c>
      <c r="F151" s="21"/>
      <c r="G151" s="21"/>
      <c r="H151" s="21" t="s">
        <v>696</v>
      </c>
    </row>
    <row r="152" ht="14.25" spans="1:8">
      <c r="A152" s="21">
        <v>10003</v>
      </c>
      <c r="B152" s="21" t="s">
        <v>922</v>
      </c>
      <c r="C152" s="21" t="s">
        <v>923</v>
      </c>
      <c r="D152" s="21">
        <v>3</v>
      </c>
      <c r="E152" s="21" t="s">
        <v>318</v>
      </c>
      <c r="F152" s="21"/>
      <c r="G152" s="21" t="s">
        <v>735</v>
      </c>
      <c r="H152" s="21" t="s">
        <v>693</v>
      </c>
    </row>
    <row r="153" ht="14.25" spans="1:8">
      <c r="A153" s="21"/>
      <c r="B153" s="21"/>
      <c r="C153" s="21"/>
      <c r="D153" s="21"/>
      <c r="E153" s="21" t="s">
        <v>318</v>
      </c>
      <c r="F153" s="21"/>
      <c r="G153" s="21"/>
      <c r="H153" s="21" t="s">
        <v>696</v>
      </c>
    </row>
    <row r="154" ht="14.25" spans="1:8">
      <c r="A154" s="21"/>
      <c r="B154" s="21"/>
      <c r="C154" s="21"/>
      <c r="D154" s="21">
        <v>7</v>
      </c>
      <c r="E154" s="21" t="s">
        <v>318</v>
      </c>
      <c r="F154" s="21"/>
      <c r="G154" s="21" t="s">
        <v>735</v>
      </c>
      <c r="H154" s="21" t="s">
        <v>696</v>
      </c>
    </row>
    <row r="155" ht="14.25" spans="1:8">
      <c r="A155" s="21"/>
      <c r="C155" s="21" t="s">
        <v>924</v>
      </c>
      <c r="D155" s="21"/>
      <c r="E155" s="21" t="s">
        <v>638</v>
      </c>
      <c r="F155" s="21"/>
      <c r="G155" s="21"/>
      <c r="H155" s="21"/>
    </row>
    <row r="156" ht="14.25" spans="1:8">
      <c r="A156" s="21">
        <v>801</v>
      </c>
      <c r="B156" s="21" t="s">
        <v>925</v>
      </c>
      <c r="C156" s="21" t="s">
        <v>926</v>
      </c>
      <c r="D156" s="21">
        <v>8</v>
      </c>
      <c r="E156" s="21" t="s">
        <v>318</v>
      </c>
      <c r="F156" s="21"/>
      <c r="G156" s="21" t="s">
        <v>735</v>
      </c>
      <c r="H156" s="21" t="s">
        <v>696</v>
      </c>
    </row>
    <row r="157" ht="14.25" spans="1:8">
      <c r="A157" s="21">
        <v>802</v>
      </c>
      <c r="B157" s="21" t="s">
        <v>927</v>
      </c>
      <c r="C157" s="21" t="s">
        <v>928</v>
      </c>
      <c r="D157" s="21">
        <v>25</v>
      </c>
      <c r="E157" s="21" t="s">
        <v>638</v>
      </c>
      <c r="F157" s="21"/>
      <c r="G157" s="21" t="s">
        <v>735</v>
      </c>
      <c r="H157" s="21" t="s">
        <v>696</v>
      </c>
    </row>
    <row r="158" ht="14.25" spans="1:8">
      <c r="A158" s="21">
        <v>803</v>
      </c>
      <c r="B158" s="21" t="s">
        <v>163</v>
      </c>
      <c r="C158" s="21" t="s">
        <v>929</v>
      </c>
      <c r="D158" s="21">
        <v>26</v>
      </c>
      <c r="E158" s="21" t="s">
        <v>638</v>
      </c>
      <c r="F158" s="21"/>
      <c r="G158" s="21" t="s">
        <v>735</v>
      </c>
      <c r="H158" s="21" t="s">
        <v>693</v>
      </c>
    </row>
    <row r="159" ht="14.25" spans="1:8">
      <c r="A159" s="21">
        <v>804</v>
      </c>
      <c r="B159" s="21" t="s">
        <v>930</v>
      </c>
      <c r="C159" s="21" t="s">
        <v>931</v>
      </c>
      <c r="D159" s="21"/>
      <c r="E159" s="21" t="s">
        <v>638</v>
      </c>
      <c r="F159" s="21"/>
      <c r="G159" s="21"/>
      <c r="H159" s="21"/>
    </row>
    <row r="160" ht="14.25" spans="1:8">
      <c r="A160" s="21">
        <v>805</v>
      </c>
      <c r="B160" s="21" t="s">
        <v>932</v>
      </c>
      <c r="C160" s="21" t="s">
        <v>933</v>
      </c>
      <c r="D160" s="21">
        <v>5</v>
      </c>
      <c r="E160" s="21" t="s">
        <v>318</v>
      </c>
      <c r="F160" s="21"/>
      <c r="G160" s="21" t="s">
        <v>735</v>
      </c>
      <c r="H160" s="21" t="s">
        <v>696</v>
      </c>
    </row>
    <row r="161" ht="14.25" spans="1:8">
      <c r="A161" s="21"/>
      <c r="B161" s="21"/>
      <c r="C161" s="21"/>
      <c r="D161" s="21"/>
      <c r="E161" s="21" t="s">
        <v>318</v>
      </c>
      <c r="F161" s="21"/>
      <c r="G161" s="21"/>
      <c r="H161" s="21" t="s">
        <v>696</v>
      </c>
    </row>
    <row r="162" ht="14.25" spans="1:8">
      <c r="A162" s="21">
        <v>806</v>
      </c>
      <c r="B162" s="21" t="s">
        <v>934</v>
      </c>
      <c r="C162" s="21" t="s">
        <v>935</v>
      </c>
      <c r="D162" s="21">
        <v>6</v>
      </c>
      <c r="E162" s="21" t="s">
        <v>318</v>
      </c>
      <c r="F162" s="21"/>
      <c r="G162" s="21" t="s">
        <v>735</v>
      </c>
      <c r="H162" s="21" t="s">
        <v>696</v>
      </c>
    </row>
    <row r="163" ht="14.25" spans="1:8">
      <c r="A163" s="21">
        <v>807</v>
      </c>
      <c r="B163" s="21" t="s">
        <v>936</v>
      </c>
      <c r="C163" s="21" t="s">
        <v>937</v>
      </c>
      <c r="D163" s="21">
        <v>17</v>
      </c>
      <c r="E163" s="21" t="s">
        <v>638</v>
      </c>
      <c r="F163" s="21"/>
      <c r="G163" s="21" t="s">
        <v>735</v>
      </c>
      <c r="H163" s="21" t="s">
        <v>696</v>
      </c>
    </row>
    <row r="164" ht="14.25" spans="1:8">
      <c r="A164" s="21">
        <v>808</v>
      </c>
      <c r="B164" s="28" t="s">
        <v>938</v>
      </c>
      <c r="C164" s="28" t="s">
        <v>939</v>
      </c>
      <c r="D164" s="21"/>
      <c r="E164" s="21" t="s">
        <v>638</v>
      </c>
      <c r="F164" s="21"/>
      <c r="G164" s="21"/>
      <c r="H164" s="21"/>
    </row>
    <row r="165" ht="14.25" spans="1:8">
      <c r="A165" s="21"/>
      <c r="B165" s="21"/>
      <c r="C165" s="21"/>
      <c r="D165" s="21">
        <v>21</v>
      </c>
      <c r="E165" s="21" t="s">
        <v>638</v>
      </c>
      <c r="F165" s="21"/>
      <c r="G165" s="21" t="s">
        <v>735</v>
      </c>
      <c r="H165" s="21" t="s">
        <v>696</v>
      </c>
    </row>
    <row r="166" ht="14.25" spans="1:8">
      <c r="A166" s="21">
        <v>809</v>
      </c>
      <c r="B166" s="21" t="s">
        <v>940</v>
      </c>
      <c r="C166" s="21" t="s">
        <v>941</v>
      </c>
      <c r="D166" s="21">
        <v>22</v>
      </c>
      <c r="E166" s="21" t="s">
        <v>638</v>
      </c>
      <c r="F166" s="21"/>
      <c r="G166" s="21" t="s">
        <v>735</v>
      </c>
      <c r="H166" s="21" t="s">
        <v>696</v>
      </c>
    </row>
    <row r="167" ht="14.25" spans="1:8">
      <c r="A167" s="21">
        <v>810</v>
      </c>
      <c r="B167" s="21" t="s">
        <v>942</v>
      </c>
      <c r="C167" s="28" t="s">
        <v>943</v>
      </c>
      <c r="D167" s="21"/>
      <c r="E167" s="21" t="s">
        <v>638</v>
      </c>
      <c r="F167" s="21"/>
      <c r="G167" s="21"/>
      <c r="H167" s="21"/>
    </row>
    <row r="168" ht="14.25" spans="1:8">
      <c r="A168" s="21">
        <v>811</v>
      </c>
      <c r="B168" s="28" t="s">
        <v>944</v>
      </c>
      <c r="C168" s="20" t="s">
        <v>945</v>
      </c>
      <c r="D168" s="21"/>
      <c r="E168" s="21" t="s">
        <v>638</v>
      </c>
      <c r="F168" s="21"/>
      <c r="G168" s="21"/>
      <c r="H168" s="21"/>
    </row>
    <row r="169" ht="14.25" spans="1:8">
      <c r="A169" s="21">
        <v>812</v>
      </c>
      <c r="B169" s="21" t="s">
        <v>946</v>
      </c>
      <c r="C169" s="21" t="s">
        <v>947</v>
      </c>
      <c r="D169" s="21">
        <v>2</v>
      </c>
      <c r="E169" s="21" t="s">
        <v>745</v>
      </c>
      <c r="F169" s="21"/>
      <c r="G169" s="21" t="s">
        <v>735</v>
      </c>
      <c r="H169" s="21" t="s">
        <v>693</v>
      </c>
    </row>
    <row r="170" ht="14.25" spans="1:8">
      <c r="A170" s="21"/>
      <c r="B170" s="21"/>
      <c r="C170" s="21"/>
      <c r="D170" s="21">
        <v>9</v>
      </c>
      <c r="E170" s="21" t="s">
        <v>745</v>
      </c>
      <c r="F170" s="21"/>
      <c r="G170" s="21" t="s">
        <v>735</v>
      </c>
      <c r="H170" s="21" t="s">
        <v>696</v>
      </c>
    </row>
    <row r="171" ht="14.25" spans="1:8">
      <c r="A171" s="21">
        <v>813</v>
      </c>
      <c r="B171" s="21" t="s">
        <v>948</v>
      </c>
      <c r="C171" s="21" t="s">
        <v>949</v>
      </c>
      <c r="D171" s="21">
        <v>1</v>
      </c>
      <c r="E171" s="21" t="s">
        <v>745</v>
      </c>
      <c r="F171" s="21"/>
      <c r="G171" s="21" t="s">
        <v>735</v>
      </c>
      <c r="H171" s="21" t="s">
        <v>693</v>
      </c>
    </row>
    <row r="172" ht="14.25" spans="1:8">
      <c r="A172" s="21">
        <v>814</v>
      </c>
      <c r="B172" s="21" t="s">
        <v>950</v>
      </c>
      <c r="C172" s="21" t="s">
        <v>951</v>
      </c>
      <c r="D172" s="21">
        <v>9</v>
      </c>
      <c r="E172" s="21" t="s">
        <v>745</v>
      </c>
      <c r="F172" s="21"/>
      <c r="G172" s="21" t="s">
        <v>735</v>
      </c>
      <c r="H172" s="21" t="s">
        <v>696</v>
      </c>
    </row>
    <row r="173" ht="14.25" spans="1:8">
      <c r="A173" s="21"/>
      <c r="B173" s="21"/>
      <c r="C173" s="21"/>
      <c r="D173" s="21"/>
      <c r="E173" s="21" t="s">
        <v>745</v>
      </c>
      <c r="F173" s="21"/>
      <c r="G173" s="21"/>
      <c r="H173" s="21" t="s">
        <v>696</v>
      </c>
    </row>
    <row r="174" ht="14.25" spans="1:8">
      <c r="A174" s="21"/>
      <c r="B174" s="21"/>
      <c r="C174" s="20" t="s">
        <v>952</v>
      </c>
      <c r="D174" s="21"/>
      <c r="E174" s="21" t="s">
        <v>638</v>
      </c>
      <c r="F174" s="21"/>
      <c r="G174" s="21"/>
      <c r="H174" s="21"/>
    </row>
    <row r="175" ht="14.25" spans="1:8">
      <c r="A175" s="21">
        <v>901</v>
      </c>
      <c r="B175" s="21" t="s">
        <v>953</v>
      </c>
      <c r="C175" s="21" t="s">
        <v>45</v>
      </c>
      <c r="D175" s="21">
        <v>11</v>
      </c>
      <c r="E175" s="21" t="s">
        <v>745</v>
      </c>
      <c r="F175" s="21"/>
      <c r="G175" s="21" t="s">
        <v>735</v>
      </c>
      <c r="H175" s="21" t="s">
        <v>696</v>
      </c>
    </row>
    <row r="176" ht="14.25" spans="1:8">
      <c r="A176" s="21">
        <v>902</v>
      </c>
      <c r="B176" s="21" t="s">
        <v>954</v>
      </c>
      <c r="C176" s="21" t="s">
        <v>695</v>
      </c>
      <c r="D176" s="21">
        <v>12</v>
      </c>
      <c r="E176" s="21" t="s">
        <v>745</v>
      </c>
      <c r="F176" s="21"/>
      <c r="G176" s="21" t="s">
        <v>735</v>
      </c>
      <c r="H176" s="21" t="s">
        <v>696</v>
      </c>
    </row>
    <row r="177" ht="14.25" spans="1:8">
      <c r="A177" s="21">
        <v>903</v>
      </c>
      <c r="B177" s="21" t="s">
        <v>955</v>
      </c>
      <c r="C177" s="20" t="s">
        <v>44</v>
      </c>
      <c r="D177" s="21"/>
      <c r="E177" s="21" t="s">
        <v>638</v>
      </c>
      <c r="F177" s="21"/>
      <c r="G177" s="21"/>
      <c r="H177" s="21"/>
    </row>
    <row r="178" ht="14.25" spans="1:8">
      <c r="A178" s="21">
        <v>904</v>
      </c>
      <c r="B178" s="21" t="s">
        <v>956</v>
      </c>
      <c r="C178" s="21" t="s">
        <v>699</v>
      </c>
      <c r="D178" s="21">
        <v>10</v>
      </c>
      <c r="E178" s="21" t="s">
        <v>745</v>
      </c>
      <c r="F178" s="21"/>
      <c r="G178" s="21" t="s">
        <v>735</v>
      </c>
      <c r="H178" s="21" t="s">
        <v>696</v>
      </c>
    </row>
    <row r="179" ht="14.25" spans="1:8">
      <c r="A179" s="21">
        <v>905</v>
      </c>
      <c r="B179" s="21" t="s">
        <v>957</v>
      </c>
      <c r="C179" s="20" t="s">
        <v>701</v>
      </c>
      <c r="D179" s="21"/>
      <c r="E179" s="21" t="s">
        <v>638</v>
      </c>
      <c r="F179" s="21"/>
      <c r="G179" s="21"/>
      <c r="H179" s="21"/>
    </row>
    <row r="180" ht="14.25" spans="1:8">
      <c r="A180" s="21"/>
      <c r="B180" s="21"/>
      <c r="C180" s="21"/>
      <c r="D180" s="21">
        <v>21</v>
      </c>
      <c r="E180" s="21" t="s">
        <v>638</v>
      </c>
      <c r="F180" s="21"/>
      <c r="G180" s="21" t="s">
        <v>735</v>
      </c>
      <c r="H180" s="21" t="s">
        <v>696</v>
      </c>
    </row>
    <row r="181" ht="14.25" spans="1:8">
      <c r="A181" s="21">
        <v>906</v>
      </c>
      <c r="B181" s="21" t="s">
        <v>99</v>
      </c>
      <c r="C181" s="21" t="s">
        <v>574</v>
      </c>
      <c r="D181" s="21">
        <v>22</v>
      </c>
      <c r="E181" s="21" t="s">
        <v>638</v>
      </c>
      <c r="F181" s="21"/>
      <c r="G181" s="21" t="s">
        <v>735</v>
      </c>
      <c r="H181" s="21" t="s">
        <v>696</v>
      </c>
    </row>
    <row r="182" ht="14.25" spans="1:8">
      <c r="A182" s="21">
        <v>907</v>
      </c>
      <c r="B182" s="28" t="s">
        <v>958</v>
      </c>
      <c r="C182" s="20" t="s">
        <v>575</v>
      </c>
      <c r="D182" s="21"/>
      <c r="E182" s="21"/>
      <c r="F182" s="21"/>
      <c r="G182" s="21"/>
      <c r="H182" s="21"/>
    </row>
    <row r="183" ht="14.25" spans="1:8">
      <c r="A183" s="21"/>
      <c r="B183" s="28"/>
      <c r="C183" s="20"/>
      <c r="D183" s="21"/>
      <c r="E183" s="21"/>
      <c r="F183" s="21"/>
      <c r="G183" s="21"/>
      <c r="H183" s="21"/>
    </row>
    <row r="184" ht="14.25" spans="1:8">
      <c r="A184" s="21">
        <v>908</v>
      </c>
      <c r="B184" s="28" t="s">
        <v>215</v>
      </c>
      <c r="C184" s="20" t="s">
        <v>216</v>
      </c>
      <c r="D184" s="21"/>
      <c r="E184" s="21"/>
      <c r="F184" s="21"/>
      <c r="G184" s="21"/>
      <c r="H184" s="21"/>
    </row>
    <row r="185" ht="14.25" spans="1:8">
      <c r="A185" s="21"/>
      <c r="B185" s="28"/>
      <c r="C185" s="20"/>
      <c r="D185" s="21"/>
      <c r="E185" s="21"/>
      <c r="F185" s="21"/>
      <c r="G185" s="21"/>
      <c r="H185" s="21"/>
    </row>
    <row r="186" ht="14.25" spans="1:8">
      <c r="A186" s="21">
        <v>909</v>
      </c>
      <c r="B186" s="28" t="s">
        <v>959</v>
      </c>
      <c r="C186" s="20" t="s">
        <v>732</v>
      </c>
      <c r="D186" s="21"/>
      <c r="E186" s="21"/>
      <c r="F186" s="21"/>
      <c r="G186" s="21"/>
      <c r="H186" s="21"/>
    </row>
    <row r="187" ht="14.25" spans="1:8">
      <c r="A187" s="21">
        <v>910</v>
      </c>
      <c r="B187" s="28" t="s">
        <v>960</v>
      </c>
      <c r="C187" s="20" t="s">
        <v>961</v>
      </c>
      <c r="D187" s="21"/>
      <c r="E187" s="21" t="s">
        <v>638</v>
      </c>
      <c r="F187" s="21"/>
      <c r="G187" s="21"/>
      <c r="H187" s="21"/>
    </row>
    <row r="188" ht="14.25" spans="1:8">
      <c r="A188" s="21"/>
      <c r="B188" s="28"/>
      <c r="C188" s="20"/>
      <c r="D188" s="21"/>
      <c r="E188" s="21" t="s">
        <v>638</v>
      </c>
      <c r="F188" s="21"/>
      <c r="G188" s="21"/>
      <c r="H188" s="21"/>
    </row>
    <row r="189" ht="14.25" spans="1:8">
      <c r="A189" s="21"/>
      <c r="B189" s="21"/>
      <c r="C189" s="21"/>
      <c r="D189" s="26">
        <v>21</v>
      </c>
      <c r="E189" s="21" t="s">
        <v>282</v>
      </c>
      <c r="F189" s="21"/>
      <c r="G189" s="21" t="s">
        <v>735</v>
      </c>
      <c r="H189" s="21" t="s">
        <v>693</v>
      </c>
    </row>
    <row r="190" ht="14.25" spans="1:8">
      <c r="A190" s="21"/>
      <c r="B190" s="21"/>
      <c r="C190" s="21"/>
      <c r="D190" s="26"/>
      <c r="E190" s="21" t="s">
        <v>282</v>
      </c>
      <c r="F190" s="21"/>
      <c r="G190" s="21"/>
      <c r="H190" s="21" t="s">
        <v>696</v>
      </c>
    </row>
    <row r="191" ht="14.25" spans="1:8">
      <c r="A191" s="21"/>
      <c r="B191" s="21"/>
      <c r="C191" s="21"/>
      <c r="D191" s="26">
        <v>20</v>
      </c>
      <c r="E191" s="21" t="s">
        <v>282</v>
      </c>
      <c r="F191" s="21"/>
      <c r="G191" s="21" t="s">
        <v>735</v>
      </c>
      <c r="H191" s="21" t="s">
        <v>693</v>
      </c>
    </row>
    <row r="192" ht="14.25" spans="1:8">
      <c r="A192" s="21"/>
      <c r="B192" s="21"/>
      <c r="C192" s="21"/>
      <c r="D192" s="26"/>
      <c r="E192" s="21" t="s">
        <v>282</v>
      </c>
      <c r="F192" s="21"/>
      <c r="G192" s="21"/>
      <c r="H192" s="21" t="s">
        <v>696</v>
      </c>
    </row>
    <row r="193" ht="14.25" spans="1:8">
      <c r="A193" s="21"/>
      <c r="B193" s="21"/>
      <c r="C193" s="21"/>
      <c r="D193" s="26">
        <v>28</v>
      </c>
      <c r="E193" s="21" t="s">
        <v>282</v>
      </c>
      <c r="F193" s="21"/>
      <c r="G193" s="21" t="s">
        <v>735</v>
      </c>
      <c r="H193" s="21" t="s">
        <v>696</v>
      </c>
    </row>
    <row r="194" ht="14.25" spans="1:8">
      <c r="A194" s="21"/>
      <c r="B194" s="21"/>
      <c r="C194" s="21" t="s">
        <v>962</v>
      </c>
      <c r="D194" s="26">
        <v>22</v>
      </c>
      <c r="E194" s="21" t="s">
        <v>282</v>
      </c>
      <c r="F194" s="21"/>
      <c r="G194" s="21" t="s">
        <v>963</v>
      </c>
      <c r="H194" s="21" t="s">
        <v>696</v>
      </c>
    </row>
    <row r="195" ht="14.25" spans="1:8">
      <c r="A195" s="21">
        <v>1001</v>
      </c>
      <c r="B195" s="21" t="s">
        <v>964</v>
      </c>
      <c r="C195" s="21" t="s">
        <v>965</v>
      </c>
      <c r="D195" s="26">
        <v>25</v>
      </c>
      <c r="E195" s="21" t="s">
        <v>282</v>
      </c>
      <c r="F195" s="21"/>
      <c r="G195" s="21" t="s">
        <v>735</v>
      </c>
      <c r="H195" s="21" t="s">
        <v>696</v>
      </c>
    </row>
    <row r="196" ht="14.25" spans="1:8">
      <c r="A196" s="21">
        <v>1002</v>
      </c>
      <c r="B196" s="21" t="s">
        <v>966</v>
      </c>
      <c r="C196" s="21" t="s">
        <v>967</v>
      </c>
      <c r="D196" s="21">
        <v>26</v>
      </c>
      <c r="E196" s="21" t="s">
        <v>638</v>
      </c>
      <c r="F196" s="21"/>
      <c r="G196" s="21" t="s">
        <v>735</v>
      </c>
      <c r="H196" s="21" t="s">
        <v>693</v>
      </c>
    </row>
    <row r="197" ht="14.25" spans="1:8">
      <c r="A197" s="21">
        <v>1003</v>
      </c>
      <c r="B197" s="21" t="s">
        <v>157</v>
      </c>
      <c r="C197" s="21" t="s">
        <v>968</v>
      </c>
      <c r="D197" s="26">
        <v>23</v>
      </c>
      <c r="E197" s="21" t="s">
        <v>282</v>
      </c>
      <c r="F197" s="21"/>
      <c r="G197" s="21" t="s">
        <v>735</v>
      </c>
      <c r="H197" s="21" t="s">
        <v>696</v>
      </c>
    </row>
    <row r="198" ht="14.25" spans="1:8">
      <c r="A198" s="21">
        <v>1004</v>
      </c>
      <c r="B198" s="21" t="s">
        <v>969</v>
      </c>
      <c r="C198" s="21" t="s">
        <v>970</v>
      </c>
      <c r="D198" s="26">
        <v>26</v>
      </c>
      <c r="E198" s="21" t="s">
        <v>282</v>
      </c>
      <c r="F198" s="21"/>
      <c r="G198" s="21" t="s">
        <v>735</v>
      </c>
      <c r="H198" s="21" t="s">
        <v>696</v>
      </c>
    </row>
    <row r="199" ht="14.25" spans="1:8">
      <c r="A199" s="21">
        <v>1005</v>
      </c>
      <c r="B199" s="21" t="s">
        <v>971</v>
      </c>
      <c r="C199" s="21" t="s">
        <v>972</v>
      </c>
      <c r="D199" s="26">
        <v>24</v>
      </c>
      <c r="E199" s="21" t="s">
        <v>282</v>
      </c>
      <c r="F199" s="21"/>
      <c r="G199" s="21" t="s">
        <v>735</v>
      </c>
      <c r="H199" s="21" t="s">
        <v>696</v>
      </c>
    </row>
    <row r="200" ht="14.25" spans="1:8">
      <c r="A200" s="21">
        <v>1006</v>
      </c>
      <c r="B200" s="21" t="s">
        <v>94</v>
      </c>
      <c r="C200" s="21" t="s">
        <v>242</v>
      </c>
      <c r="D200" s="26">
        <v>27</v>
      </c>
      <c r="E200" s="21" t="s">
        <v>282</v>
      </c>
      <c r="F200" s="21"/>
      <c r="G200" s="21" t="s">
        <v>735</v>
      </c>
      <c r="H200" s="21" t="s">
        <v>696</v>
      </c>
    </row>
    <row r="201" ht="14.25" spans="1:8">
      <c r="A201" s="21">
        <v>1007</v>
      </c>
      <c r="B201" s="21" t="s">
        <v>239</v>
      </c>
      <c r="C201" s="21" t="s">
        <v>240</v>
      </c>
      <c r="D201" s="26">
        <v>29</v>
      </c>
      <c r="E201" s="21" t="s">
        <v>282</v>
      </c>
      <c r="F201" s="21"/>
      <c r="G201" s="21" t="s">
        <v>735</v>
      </c>
      <c r="H201" s="21" t="s">
        <v>696</v>
      </c>
    </row>
    <row r="202" ht="14.25" spans="1:8">
      <c r="A202" s="21">
        <v>1008</v>
      </c>
      <c r="B202" s="21" t="s">
        <v>973</v>
      </c>
      <c r="C202" s="21" t="s">
        <v>974</v>
      </c>
      <c r="D202" s="26">
        <v>30</v>
      </c>
      <c r="E202" s="21" t="s">
        <v>282</v>
      </c>
      <c r="F202" s="21"/>
      <c r="G202" s="21" t="s">
        <v>735</v>
      </c>
      <c r="H202" s="21" t="s">
        <v>696</v>
      </c>
    </row>
    <row r="203" ht="14.25" spans="1:8">
      <c r="A203" s="21">
        <v>1009</v>
      </c>
      <c r="B203" s="21" t="s">
        <v>975</v>
      </c>
      <c r="C203" s="21" t="s">
        <v>976</v>
      </c>
      <c r="D203" s="21"/>
      <c r="E203" s="21" t="s">
        <v>638</v>
      </c>
      <c r="F203" s="21"/>
      <c r="G203" s="21"/>
      <c r="H203" s="21"/>
    </row>
    <row r="204" ht="14.25" spans="1:8">
      <c r="A204" s="21">
        <v>1010</v>
      </c>
      <c r="B204" s="21" t="s">
        <v>977</v>
      </c>
      <c r="C204" s="21" t="s">
        <v>978</v>
      </c>
      <c r="D204" s="21">
        <v>21</v>
      </c>
      <c r="E204" s="21" t="s">
        <v>282</v>
      </c>
      <c r="F204" s="21"/>
      <c r="G204" s="21" t="s">
        <v>735</v>
      </c>
      <c r="H204" s="21" t="s">
        <v>693</v>
      </c>
    </row>
    <row r="205" ht="14.25" spans="1:8">
      <c r="A205" s="21">
        <v>1011</v>
      </c>
      <c r="B205" s="21" t="s">
        <v>247</v>
      </c>
      <c r="C205" s="21" t="s">
        <v>979</v>
      </c>
      <c r="D205" s="21"/>
      <c r="E205" s="21" t="s">
        <v>282</v>
      </c>
      <c r="F205" s="21"/>
      <c r="G205" s="21"/>
      <c r="H205" s="21" t="s">
        <v>696</v>
      </c>
    </row>
    <row r="206" ht="14.25" spans="1:8">
      <c r="A206" s="21">
        <v>1012</v>
      </c>
      <c r="B206" s="21" t="s">
        <v>980</v>
      </c>
      <c r="C206" s="21" t="s">
        <v>981</v>
      </c>
      <c r="D206" s="21">
        <v>20</v>
      </c>
      <c r="E206" s="21" t="s">
        <v>282</v>
      </c>
      <c r="F206" s="21"/>
      <c r="G206" s="21" t="s">
        <v>735</v>
      </c>
      <c r="H206" s="21" t="s">
        <v>693</v>
      </c>
    </row>
    <row r="207" ht="14.25" spans="1:8">
      <c r="A207" s="21">
        <v>1013</v>
      </c>
      <c r="B207" s="21" t="s">
        <v>982</v>
      </c>
      <c r="C207" s="21" t="s">
        <v>983</v>
      </c>
      <c r="D207" s="21"/>
      <c r="E207" s="21" t="s">
        <v>282</v>
      </c>
      <c r="F207" s="21"/>
      <c r="G207" s="21"/>
      <c r="H207" s="21" t="s">
        <v>696</v>
      </c>
    </row>
    <row r="208" ht="14.25" spans="1:8">
      <c r="A208" s="21">
        <v>1014</v>
      </c>
      <c r="B208" s="21" t="s">
        <v>984</v>
      </c>
      <c r="C208" s="21" t="s">
        <v>985</v>
      </c>
      <c r="D208" s="21">
        <v>28</v>
      </c>
      <c r="E208" s="21" t="s">
        <v>282</v>
      </c>
      <c r="F208" s="21"/>
      <c r="G208" s="21" t="s">
        <v>735</v>
      </c>
      <c r="H208" s="21" t="s">
        <v>696</v>
      </c>
    </row>
    <row r="209" ht="14.25" spans="1:8">
      <c r="A209" s="21"/>
      <c r="B209" s="21"/>
      <c r="C209" s="21"/>
      <c r="D209" s="21">
        <v>22</v>
      </c>
      <c r="E209" s="21" t="s">
        <v>282</v>
      </c>
      <c r="F209" s="21"/>
      <c r="G209" s="21" t="s">
        <v>963</v>
      </c>
      <c r="H209" s="21" t="s">
        <v>696</v>
      </c>
    </row>
    <row r="210" ht="14.25" spans="1:8">
      <c r="A210" s="21">
        <v>1101</v>
      </c>
      <c r="B210" s="21" t="s">
        <v>986</v>
      </c>
      <c r="C210" s="21" t="s">
        <v>987</v>
      </c>
      <c r="D210" s="21">
        <v>25</v>
      </c>
      <c r="E210" s="21" t="s">
        <v>282</v>
      </c>
      <c r="F210" s="21"/>
      <c r="G210" s="21" t="s">
        <v>735</v>
      </c>
      <c r="H210" s="21" t="s">
        <v>696</v>
      </c>
    </row>
    <row r="211" ht="14.25" spans="1:8">
      <c r="A211" s="21">
        <v>1102</v>
      </c>
      <c r="B211" s="21" t="s">
        <v>988</v>
      </c>
      <c r="C211" s="21" t="s">
        <v>989</v>
      </c>
      <c r="D211" s="21">
        <v>26</v>
      </c>
      <c r="E211" s="21" t="s">
        <v>638</v>
      </c>
      <c r="F211" s="21"/>
      <c r="G211" s="21" t="s">
        <v>735</v>
      </c>
      <c r="H211" s="21" t="s">
        <v>693</v>
      </c>
    </row>
    <row r="212" ht="14.25" spans="1:8">
      <c r="A212" s="21">
        <v>1103</v>
      </c>
      <c r="B212" s="21" t="s">
        <v>158</v>
      </c>
      <c r="C212" s="21" t="s">
        <v>990</v>
      </c>
      <c r="D212" s="21">
        <v>23</v>
      </c>
      <c r="E212" s="21" t="s">
        <v>282</v>
      </c>
      <c r="F212" s="21"/>
      <c r="G212" s="21" t="s">
        <v>735</v>
      </c>
      <c r="H212" s="21" t="s">
        <v>696</v>
      </c>
    </row>
    <row r="213" ht="14.25" spans="1:8">
      <c r="A213" s="21">
        <v>1104</v>
      </c>
      <c r="B213" s="21" t="s">
        <v>991</v>
      </c>
      <c r="C213" s="21" t="s">
        <v>992</v>
      </c>
      <c r="D213" s="21">
        <v>26</v>
      </c>
      <c r="E213" s="21" t="s">
        <v>282</v>
      </c>
      <c r="F213" s="21"/>
      <c r="G213" s="21" t="s">
        <v>735</v>
      </c>
      <c r="H213" s="21" t="s">
        <v>696</v>
      </c>
    </row>
    <row r="214" ht="14.25" spans="1:8">
      <c r="A214" s="21">
        <v>1105</v>
      </c>
      <c r="B214" s="21" t="s">
        <v>993</v>
      </c>
      <c r="C214" s="21" t="s">
        <v>994</v>
      </c>
      <c r="D214" s="21">
        <v>24</v>
      </c>
      <c r="E214" s="21" t="s">
        <v>282</v>
      </c>
      <c r="F214" s="21"/>
      <c r="G214" s="21" t="s">
        <v>735</v>
      </c>
      <c r="H214" s="21" t="s">
        <v>696</v>
      </c>
    </row>
    <row r="215" ht="14.25" spans="1:8">
      <c r="A215" s="21">
        <v>1106</v>
      </c>
      <c r="B215" s="21" t="s">
        <v>97</v>
      </c>
      <c r="C215" s="21" t="s">
        <v>292</v>
      </c>
      <c r="D215" s="21">
        <v>27</v>
      </c>
      <c r="E215" s="21" t="s">
        <v>282</v>
      </c>
      <c r="F215" s="21"/>
      <c r="G215" s="21" t="s">
        <v>735</v>
      </c>
      <c r="H215" s="21" t="s">
        <v>696</v>
      </c>
    </row>
    <row r="216" ht="14.25" spans="1:8">
      <c r="A216" s="21">
        <v>1107</v>
      </c>
      <c r="B216" s="21" t="s">
        <v>289</v>
      </c>
      <c r="C216" s="21" t="s">
        <v>290</v>
      </c>
      <c r="D216" s="21">
        <v>29</v>
      </c>
      <c r="E216" s="21" t="s">
        <v>282</v>
      </c>
      <c r="F216" s="21"/>
      <c r="G216" s="21" t="s">
        <v>735</v>
      </c>
      <c r="H216" s="21" t="s">
        <v>696</v>
      </c>
    </row>
    <row r="217" ht="14.25" spans="1:8">
      <c r="A217" s="21">
        <v>1108</v>
      </c>
      <c r="B217" s="21" t="s">
        <v>995</v>
      </c>
      <c r="C217" s="21" t="s">
        <v>996</v>
      </c>
      <c r="D217" s="21">
        <v>30</v>
      </c>
      <c r="E217" s="21" t="s">
        <v>282</v>
      </c>
      <c r="F217" s="21"/>
      <c r="G217" s="21" t="s">
        <v>735</v>
      </c>
      <c r="H217" s="21" t="s">
        <v>696</v>
      </c>
    </row>
    <row r="218" ht="14.25" spans="1:8">
      <c r="A218" s="21">
        <v>1109</v>
      </c>
      <c r="B218" s="21" t="s">
        <v>997</v>
      </c>
      <c r="C218" s="21" t="s">
        <v>998</v>
      </c>
      <c r="D218" s="21"/>
      <c r="E218" s="21" t="s">
        <v>638</v>
      </c>
      <c r="F218" s="21"/>
      <c r="G218" s="21"/>
      <c r="H218" s="21"/>
    </row>
    <row r="219" ht="14.25" spans="1:8">
      <c r="A219" s="21">
        <v>1110</v>
      </c>
      <c r="B219" s="21" t="s">
        <v>999</v>
      </c>
      <c r="C219" s="21" t="s">
        <v>1000</v>
      </c>
      <c r="D219" s="21">
        <v>21</v>
      </c>
      <c r="E219" s="21" t="s">
        <v>282</v>
      </c>
      <c r="F219" s="21"/>
      <c r="G219" s="21" t="s">
        <v>735</v>
      </c>
      <c r="H219" s="21" t="s">
        <v>693</v>
      </c>
    </row>
    <row r="220" ht="14.25" spans="1:8">
      <c r="A220" s="21">
        <v>1111</v>
      </c>
      <c r="B220" s="21" t="s">
        <v>297</v>
      </c>
      <c r="C220" s="21" t="s">
        <v>1001</v>
      </c>
      <c r="D220" s="21"/>
      <c r="E220" s="21" t="s">
        <v>282</v>
      </c>
      <c r="F220" s="21"/>
      <c r="G220" s="21"/>
      <c r="H220" s="21" t="s">
        <v>696</v>
      </c>
    </row>
    <row r="221" ht="14.25" spans="1:8">
      <c r="A221" s="21">
        <v>1112</v>
      </c>
      <c r="B221" s="21" t="s">
        <v>1002</v>
      </c>
      <c r="C221" s="21" t="s">
        <v>1003</v>
      </c>
      <c r="D221" s="21">
        <v>20</v>
      </c>
      <c r="E221" s="21" t="s">
        <v>282</v>
      </c>
      <c r="F221" s="21"/>
      <c r="G221" s="21" t="s">
        <v>735</v>
      </c>
      <c r="H221" s="21" t="s">
        <v>693</v>
      </c>
    </row>
    <row r="222" ht="14.25" spans="1:8">
      <c r="A222" s="21">
        <v>1113</v>
      </c>
      <c r="B222" s="21" t="s">
        <v>1004</v>
      </c>
      <c r="C222" s="21" t="s">
        <v>1005</v>
      </c>
      <c r="D222" s="21"/>
      <c r="E222" s="21" t="s">
        <v>282</v>
      </c>
      <c r="F222" s="21"/>
      <c r="G222" s="21"/>
      <c r="H222" s="21" t="s">
        <v>696</v>
      </c>
    </row>
    <row r="223" ht="14.25" spans="1:8">
      <c r="A223" s="21">
        <v>1114</v>
      </c>
      <c r="B223" s="21" t="s">
        <v>1006</v>
      </c>
      <c r="C223" s="21" t="s">
        <v>1007</v>
      </c>
      <c r="D223" s="21">
        <v>28</v>
      </c>
      <c r="E223" s="21" t="s">
        <v>282</v>
      </c>
      <c r="F223" s="21"/>
      <c r="G223" s="21" t="s">
        <v>735</v>
      </c>
      <c r="H223" s="21" t="s">
        <v>696</v>
      </c>
    </row>
    <row r="224" ht="14.25" spans="1:8">
      <c r="A224" s="21"/>
      <c r="B224" s="21"/>
      <c r="C224" s="21"/>
      <c r="D224" s="21">
        <v>22</v>
      </c>
      <c r="E224" s="21" t="s">
        <v>282</v>
      </c>
      <c r="F224" s="21"/>
      <c r="G224" s="21" t="s">
        <v>963</v>
      </c>
      <c r="H224" s="21" t="s">
        <v>696</v>
      </c>
    </row>
    <row r="225" ht="14.25" spans="1:8">
      <c r="A225" s="21">
        <v>1201</v>
      </c>
      <c r="B225" s="21" t="s">
        <v>1008</v>
      </c>
      <c r="C225" s="21" t="s">
        <v>1009</v>
      </c>
      <c r="D225" s="21">
        <v>25</v>
      </c>
      <c r="E225" s="21" t="s">
        <v>282</v>
      </c>
      <c r="F225" s="21"/>
      <c r="G225" s="21" t="s">
        <v>735</v>
      </c>
      <c r="H225" s="21" t="s">
        <v>696</v>
      </c>
    </row>
    <row r="226" ht="14.25" spans="1:8">
      <c r="A226" s="21">
        <v>1202</v>
      </c>
      <c r="B226" s="21" t="s">
        <v>1010</v>
      </c>
      <c r="C226" s="21" t="s">
        <v>1011</v>
      </c>
      <c r="D226" s="21">
        <v>26</v>
      </c>
      <c r="E226" s="21" t="s">
        <v>638</v>
      </c>
      <c r="F226" s="21"/>
      <c r="G226" s="21" t="s">
        <v>735</v>
      </c>
      <c r="H226" s="21" t="s">
        <v>693</v>
      </c>
    </row>
    <row r="227" ht="14.25" spans="1:8">
      <c r="A227" s="21">
        <v>1203</v>
      </c>
      <c r="B227" s="21" t="s">
        <v>159</v>
      </c>
      <c r="C227" s="21" t="s">
        <v>1012</v>
      </c>
      <c r="D227" s="21">
        <v>23</v>
      </c>
      <c r="E227" s="21" t="s">
        <v>282</v>
      </c>
      <c r="F227" s="21"/>
      <c r="G227" s="21" t="s">
        <v>735</v>
      </c>
      <c r="H227" s="21" t="s">
        <v>696</v>
      </c>
    </row>
    <row r="228" ht="14.25" spans="1:8">
      <c r="A228" s="21">
        <v>1204</v>
      </c>
      <c r="B228" s="21" t="s">
        <v>1013</v>
      </c>
      <c r="C228" s="21" t="s">
        <v>1014</v>
      </c>
      <c r="D228" s="21">
        <v>26</v>
      </c>
      <c r="E228" s="21" t="s">
        <v>282</v>
      </c>
      <c r="F228" s="21"/>
      <c r="G228" s="21" t="s">
        <v>735</v>
      </c>
      <c r="H228" s="21" t="s">
        <v>696</v>
      </c>
    </row>
    <row r="229" ht="14.25" spans="1:8">
      <c r="A229" s="21">
        <v>1205</v>
      </c>
      <c r="B229" s="21" t="s">
        <v>1015</v>
      </c>
      <c r="C229" s="21" t="s">
        <v>1016</v>
      </c>
      <c r="D229" s="21">
        <v>24</v>
      </c>
      <c r="E229" s="21" t="s">
        <v>282</v>
      </c>
      <c r="F229" s="21"/>
      <c r="G229" s="21" t="s">
        <v>735</v>
      </c>
      <c r="H229" s="21" t="s">
        <v>696</v>
      </c>
    </row>
    <row r="230" ht="14.25" spans="1:8">
      <c r="A230" s="21">
        <v>1206</v>
      </c>
      <c r="B230" s="21" t="s">
        <v>98</v>
      </c>
      <c r="C230" s="21" t="s">
        <v>325</v>
      </c>
      <c r="D230" s="21">
        <v>27</v>
      </c>
      <c r="E230" s="21" t="s">
        <v>282</v>
      </c>
      <c r="F230" s="21"/>
      <c r="G230" s="21" t="s">
        <v>735</v>
      </c>
      <c r="H230" s="21" t="s">
        <v>696</v>
      </c>
    </row>
    <row r="231" ht="14.25" spans="1:8">
      <c r="A231" s="21">
        <v>1207</v>
      </c>
      <c r="B231" s="21" t="s">
        <v>322</v>
      </c>
      <c r="C231" s="21" t="s">
        <v>323</v>
      </c>
      <c r="D231" s="21">
        <v>29</v>
      </c>
      <c r="E231" s="21" t="s">
        <v>282</v>
      </c>
      <c r="F231" s="21"/>
      <c r="G231" s="21" t="s">
        <v>735</v>
      </c>
      <c r="H231" s="21" t="s">
        <v>696</v>
      </c>
    </row>
    <row r="232" ht="14.25" spans="1:8">
      <c r="A232" s="21">
        <v>1208</v>
      </c>
      <c r="B232" s="21" t="s">
        <v>1017</v>
      </c>
      <c r="C232" s="21" t="s">
        <v>1018</v>
      </c>
      <c r="D232" s="21">
        <v>30</v>
      </c>
      <c r="E232" s="21" t="s">
        <v>282</v>
      </c>
      <c r="F232" s="21"/>
      <c r="G232" s="21" t="s">
        <v>735</v>
      </c>
      <c r="H232" s="21" t="s">
        <v>696</v>
      </c>
    </row>
    <row r="233" ht="14.25" spans="1:8">
      <c r="A233" s="21">
        <v>1209</v>
      </c>
      <c r="B233" s="21" t="s">
        <v>1019</v>
      </c>
      <c r="C233" s="21" t="s">
        <v>1020</v>
      </c>
      <c r="D233" s="21"/>
      <c r="E233" s="21" t="s">
        <v>638</v>
      </c>
      <c r="F233" s="21"/>
      <c r="G233" s="21"/>
      <c r="H233" s="21"/>
    </row>
    <row r="234" ht="14.25" spans="1:8">
      <c r="A234" s="21">
        <v>1210</v>
      </c>
      <c r="B234" s="21" t="s">
        <v>1021</v>
      </c>
      <c r="C234" s="21" t="s">
        <v>1022</v>
      </c>
      <c r="D234" s="21">
        <v>21</v>
      </c>
      <c r="E234" s="21" t="s">
        <v>282</v>
      </c>
      <c r="F234" s="21"/>
      <c r="G234" s="21" t="s">
        <v>735</v>
      </c>
      <c r="H234" s="21" t="s">
        <v>693</v>
      </c>
    </row>
    <row r="235" ht="14.25" spans="1:8">
      <c r="A235" s="21">
        <v>1211</v>
      </c>
      <c r="B235" s="21" t="s">
        <v>330</v>
      </c>
      <c r="C235" s="21" t="s">
        <v>1023</v>
      </c>
      <c r="D235" s="21"/>
      <c r="E235" s="21" t="s">
        <v>282</v>
      </c>
      <c r="F235" s="21"/>
      <c r="G235" s="21"/>
      <c r="H235" s="21" t="s">
        <v>696</v>
      </c>
    </row>
    <row r="236" ht="14.25" spans="1:8">
      <c r="A236" s="21">
        <v>1212</v>
      </c>
      <c r="B236" s="21" t="s">
        <v>1024</v>
      </c>
      <c r="C236" s="21" t="s">
        <v>1025</v>
      </c>
      <c r="D236" s="21">
        <v>20</v>
      </c>
      <c r="E236" s="21" t="s">
        <v>282</v>
      </c>
      <c r="F236" s="21"/>
      <c r="G236" s="21" t="s">
        <v>735</v>
      </c>
      <c r="H236" s="21" t="s">
        <v>693</v>
      </c>
    </row>
    <row r="237" ht="14.25" spans="1:8">
      <c r="A237" s="21">
        <v>1213</v>
      </c>
      <c r="B237" s="21" t="s">
        <v>1026</v>
      </c>
      <c r="C237" s="21" t="s">
        <v>1027</v>
      </c>
      <c r="D237" s="21"/>
      <c r="E237" s="21" t="s">
        <v>282</v>
      </c>
      <c r="F237" s="21"/>
      <c r="G237" s="21"/>
      <c r="H237" s="21" t="s">
        <v>696</v>
      </c>
    </row>
    <row r="238" ht="14.25" spans="1:8">
      <c r="A238" s="21">
        <v>1214</v>
      </c>
      <c r="B238" s="21" t="s">
        <v>1028</v>
      </c>
      <c r="C238" s="21" t="s">
        <v>1029</v>
      </c>
      <c r="D238" s="21">
        <v>28</v>
      </c>
      <c r="E238" s="21" t="s">
        <v>282</v>
      </c>
      <c r="F238" s="21"/>
      <c r="G238" s="21" t="s">
        <v>735</v>
      </c>
      <c r="H238" s="21" t="s">
        <v>696</v>
      </c>
    </row>
    <row r="239" ht="14.25" spans="1:8">
      <c r="A239" s="21"/>
      <c r="B239" s="21"/>
      <c r="C239" s="21"/>
      <c r="D239" s="21">
        <v>22</v>
      </c>
      <c r="E239" s="21" t="s">
        <v>282</v>
      </c>
      <c r="F239" s="21"/>
      <c r="G239" s="21" t="s">
        <v>735</v>
      </c>
      <c r="H239" s="21" t="s">
        <v>696</v>
      </c>
    </row>
    <row r="240" ht="14.25" spans="1:8">
      <c r="A240" s="21">
        <v>1301</v>
      </c>
      <c r="B240" s="21" t="s">
        <v>1030</v>
      </c>
      <c r="C240" s="21" t="s">
        <v>1031</v>
      </c>
      <c r="D240" s="21">
        <v>25</v>
      </c>
      <c r="E240" s="21" t="s">
        <v>282</v>
      </c>
      <c r="F240" s="21"/>
      <c r="G240" s="21" t="s">
        <v>735</v>
      </c>
      <c r="H240" s="21" t="s">
        <v>696</v>
      </c>
    </row>
    <row r="241" ht="14.25" spans="1:8">
      <c r="A241" s="21">
        <v>1302</v>
      </c>
      <c r="B241" s="21" t="s">
        <v>1032</v>
      </c>
      <c r="C241" s="21" t="s">
        <v>1033</v>
      </c>
      <c r="D241" s="21">
        <v>26</v>
      </c>
      <c r="E241" s="21" t="s">
        <v>638</v>
      </c>
      <c r="F241" s="21"/>
      <c r="G241" s="21" t="s">
        <v>735</v>
      </c>
      <c r="H241" s="21" t="s">
        <v>693</v>
      </c>
    </row>
    <row r="242" ht="14.25" spans="1:8">
      <c r="A242" s="21">
        <v>1303</v>
      </c>
      <c r="B242" s="21" t="s">
        <v>160</v>
      </c>
      <c r="C242" s="21" t="s">
        <v>1034</v>
      </c>
      <c r="D242" s="21">
        <v>23</v>
      </c>
      <c r="E242" s="21" t="s">
        <v>282</v>
      </c>
      <c r="F242" s="21"/>
      <c r="G242" s="21" t="s">
        <v>735</v>
      </c>
      <c r="H242" s="21" t="s">
        <v>696</v>
      </c>
    </row>
    <row r="243" ht="14.25" spans="1:8">
      <c r="A243" s="21">
        <v>1304</v>
      </c>
      <c r="B243" s="21" t="s">
        <v>1035</v>
      </c>
      <c r="C243" s="21" t="s">
        <v>1036</v>
      </c>
      <c r="D243" s="21">
        <v>26</v>
      </c>
      <c r="E243" s="21" t="s">
        <v>282</v>
      </c>
      <c r="F243" s="21"/>
      <c r="G243" s="21" t="s">
        <v>735</v>
      </c>
      <c r="H243" s="21" t="s">
        <v>696</v>
      </c>
    </row>
    <row r="244" ht="14.25" spans="1:8">
      <c r="A244" s="21">
        <v>1305</v>
      </c>
      <c r="B244" s="21" t="s">
        <v>1037</v>
      </c>
      <c r="C244" s="21" t="s">
        <v>1038</v>
      </c>
      <c r="D244" s="21">
        <v>24</v>
      </c>
      <c r="E244" s="21" t="s">
        <v>282</v>
      </c>
      <c r="F244" s="21"/>
      <c r="G244" s="21" t="s">
        <v>735</v>
      </c>
      <c r="H244" s="21" t="s">
        <v>696</v>
      </c>
    </row>
    <row r="245" ht="14.25" spans="1:8">
      <c r="A245" s="21">
        <v>1306</v>
      </c>
      <c r="B245" s="21" t="s">
        <v>1039</v>
      </c>
      <c r="C245" s="21" t="s">
        <v>1040</v>
      </c>
      <c r="D245" s="21">
        <v>27</v>
      </c>
      <c r="E245" s="21" t="s">
        <v>282</v>
      </c>
      <c r="F245" s="21"/>
      <c r="G245" s="21" t="s">
        <v>735</v>
      </c>
      <c r="H245" s="21" t="s">
        <v>696</v>
      </c>
    </row>
    <row r="246" ht="14.25" spans="1:8">
      <c r="A246" s="21">
        <v>1307</v>
      </c>
      <c r="B246" s="21" t="s">
        <v>1041</v>
      </c>
      <c r="C246" s="21" t="s">
        <v>1042</v>
      </c>
      <c r="D246" s="21">
        <v>29</v>
      </c>
      <c r="E246" s="21" t="s">
        <v>282</v>
      </c>
      <c r="F246" s="21"/>
      <c r="G246" s="21" t="s">
        <v>735</v>
      </c>
      <c r="H246" s="21" t="s">
        <v>696</v>
      </c>
    </row>
    <row r="247" ht="14.25" spans="1:8">
      <c r="A247" s="21">
        <v>1308</v>
      </c>
      <c r="B247" s="21" t="s">
        <v>1043</v>
      </c>
      <c r="C247" s="21" t="s">
        <v>1044</v>
      </c>
      <c r="D247" s="21">
        <v>30</v>
      </c>
      <c r="E247" s="21" t="s">
        <v>282</v>
      </c>
      <c r="F247" s="21"/>
      <c r="G247" s="21" t="s">
        <v>735</v>
      </c>
      <c r="H247" s="21" t="s">
        <v>696</v>
      </c>
    </row>
    <row r="248" ht="14.25" spans="1:8">
      <c r="A248" s="21">
        <v>1309</v>
      </c>
      <c r="B248" s="21" t="s">
        <v>1045</v>
      </c>
      <c r="C248" s="21" t="s">
        <v>1046</v>
      </c>
      <c r="D248" s="21"/>
      <c r="E248" s="21" t="s">
        <v>638</v>
      </c>
      <c r="F248" s="21"/>
      <c r="G248" s="21"/>
      <c r="H248" s="21"/>
    </row>
    <row r="249" ht="14.25" spans="1:8">
      <c r="A249" s="21">
        <v>1310</v>
      </c>
      <c r="B249" s="21" t="s">
        <v>1047</v>
      </c>
      <c r="C249" s="21" t="s">
        <v>1048</v>
      </c>
      <c r="D249" s="21">
        <v>21</v>
      </c>
      <c r="E249" s="21" t="s">
        <v>282</v>
      </c>
      <c r="F249" s="21"/>
      <c r="G249" s="21" t="s">
        <v>735</v>
      </c>
      <c r="H249" s="21" t="s">
        <v>693</v>
      </c>
    </row>
    <row r="250" ht="14.25" spans="1:8">
      <c r="A250" s="21">
        <v>1311</v>
      </c>
      <c r="B250" s="21" t="s">
        <v>1049</v>
      </c>
      <c r="C250" s="21" t="s">
        <v>1050</v>
      </c>
      <c r="D250" s="21"/>
      <c r="E250" s="21" t="s">
        <v>282</v>
      </c>
      <c r="F250" s="21"/>
      <c r="G250" s="21"/>
      <c r="H250" s="21" t="s">
        <v>696</v>
      </c>
    </row>
    <row r="251" ht="14.25" spans="1:8">
      <c r="A251" s="21">
        <v>1312</v>
      </c>
      <c r="B251" s="21" t="s">
        <v>1051</v>
      </c>
      <c r="C251" s="21" t="s">
        <v>1052</v>
      </c>
      <c r="D251" s="21">
        <v>20</v>
      </c>
      <c r="E251" s="21" t="s">
        <v>282</v>
      </c>
      <c r="F251" s="21"/>
      <c r="G251" s="21" t="s">
        <v>735</v>
      </c>
      <c r="H251" s="21" t="s">
        <v>693</v>
      </c>
    </row>
    <row r="252" ht="14.25" spans="1:8">
      <c r="A252" s="21">
        <v>1313</v>
      </c>
      <c r="B252" s="21" t="s">
        <v>1053</v>
      </c>
      <c r="C252" s="21" t="s">
        <v>1054</v>
      </c>
      <c r="D252" s="21"/>
      <c r="E252" s="21" t="s">
        <v>282</v>
      </c>
      <c r="F252" s="21"/>
      <c r="G252" s="21"/>
      <c r="H252" s="21" t="s">
        <v>696</v>
      </c>
    </row>
    <row r="253" ht="14.25" spans="1:8">
      <c r="A253" s="21">
        <v>1314</v>
      </c>
      <c r="B253" s="21" t="s">
        <v>1055</v>
      </c>
      <c r="C253" s="21" t="s">
        <v>1056</v>
      </c>
      <c r="D253" s="21">
        <v>28</v>
      </c>
      <c r="E253" s="21" t="s">
        <v>282</v>
      </c>
      <c r="F253" s="21"/>
      <c r="G253" s="21" t="s">
        <v>735</v>
      </c>
      <c r="H253" s="21" t="s">
        <v>696</v>
      </c>
    </row>
    <row r="254" ht="14.25" spans="1:8">
      <c r="A254" s="21"/>
      <c r="B254" s="21"/>
      <c r="C254" s="21"/>
      <c r="D254" s="21">
        <v>22</v>
      </c>
      <c r="E254" s="21" t="s">
        <v>282</v>
      </c>
      <c r="F254" s="21"/>
      <c r="G254" s="21" t="s">
        <v>963</v>
      </c>
      <c r="H254" s="21" t="s">
        <v>696</v>
      </c>
    </row>
    <row r="255" ht="14.25" spans="1:8">
      <c r="A255" s="21">
        <v>1401</v>
      </c>
      <c r="B255" s="21" t="s">
        <v>1057</v>
      </c>
      <c r="C255" s="21" t="s">
        <v>1058</v>
      </c>
      <c r="D255" s="21">
        <v>25</v>
      </c>
      <c r="E255" s="21" t="s">
        <v>282</v>
      </c>
      <c r="F255" s="21"/>
      <c r="G255" s="21" t="s">
        <v>735</v>
      </c>
      <c r="H255" s="21" t="s">
        <v>696</v>
      </c>
    </row>
    <row r="256" ht="14.25" spans="1:8">
      <c r="A256" s="21">
        <v>1402</v>
      </c>
      <c r="B256" s="21" t="s">
        <v>1059</v>
      </c>
      <c r="C256" s="21" t="s">
        <v>1060</v>
      </c>
      <c r="D256" s="21">
        <v>26</v>
      </c>
      <c r="E256" s="21" t="s">
        <v>638</v>
      </c>
      <c r="F256" s="21"/>
      <c r="G256" s="21" t="s">
        <v>735</v>
      </c>
      <c r="H256" s="21" t="s">
        <v>693</v>
      </c>
    </row>
    <row r="257" ht="14.25" spans="1:8">
      <c r="A257" s="21">
        <v>1403</v>
      </c>
      <c r="B257" s="21" t="s">
        <v>161</v>
      </c>
      <c r="C257" s="21" t="s">
        <v>1061</v>
      </c>
      <c r="D257" s="21">
        <v>23</v>
      </c>
      <c r="E257" s="21" t="s">
        <v>282</v>
      </c>
      <c r="F257" s="21"/>
      <c r="G257" s="21" t="s">
        <v>735</v>
      </c>
      <c r="H257" s="21" t="s">
        <v>696</v>
      </c>
    </row>
    <row r="258" ht="14.25" spans="1:8">
      <c r="A258" s="21">
        <v>1404</v>
      </c>
      <c r="B258" s="21" t="s">
        <v>1062</v>
      </c>
      <c r="C258" s="21" t="s">
        <v>1063</v>
      </c>
      <c r="D258" s="21">
        <v>26</v>
      </c>
      <c r="E258" s="21" t="s">
        <v>282</v>
      </c>
      <c r="F258" s="21"/>
      <c r="G258" s="21" t="s">
        <v>735</v>
      </c>
      <c r="H258" s="21" t="s">
        <v>696</v>
      </c>
    </row>
    <row r="259" ht="14.25" spans="1:8">
      <c r="A259" s="21">
        <v>1405</v>
      </c>
      <c r="B259" s="21" t="s">
        <v>1064</v>
      </c>
      <c r="C259" s="21" t="s">
        <v>1065</v>
      </c>
      <c r="D259" s="21">
        <v>24</v>
      </c>
      <c r="E259" s="21" t="s">
        <v>282</v>
      </c>
      <c r="F259" s="21"/>
      <c r="G259" s="21" t="s">
        <v>735</v>
      </c>
      <c r="H259" s="21" t="s">
        <v>696</v>
      </c>
    </row>
    <row r="260" ht="14.25" spans="1:8">
      <c r="A260" s="21">
        <v>1406</v>
      </c>
      <c r="B260" s="21" t="s">
        <v>100</v>
      </c>
      <c r="C260" s="21" t="s">
        <v>383</v>
      </c>
      <c r="D260" s="21">
        <v>27</v>
      </c>
      <c r="E260" s="21" t="s">
        <v>282</v>
      </c>
      <c r="F260" s="21"/>
      <c r="G260" s="21" t="s">
        <v>735</v>
      </c>
      <c r="H260" s="21" t="s">
        <v>696</v>
      </c>
    </row>
    <row r="261" ht="14.25" spans="1:8">
      <c r="A261" s="21">
        <v>1407</v>
      </c>
      <c r="B261" s="21" t="s">
        <v>385</v>
      </c>
      <c r="C261" s="21" t="s">
        <v>386</v>
      </c>
      <c r="D261" s="21">
        <v>29</v>
      </c>
      <c r="E261" s="21" t="s">
        <v>282</v>
      </c>
      <c r="F261" s="21"/>
      <c r="G261" s="21" t="s">
        <v>735</v>
      </c>
      <c r="H261" s="21" t="s">
        <v>696</v>
      </c>
    </row>
    <row r="262" ht="14.25" spans="1:8">
      <c r="A262" s="21">
        <v>1408</v>
      </c>
      <c r="B262" s="21" t="s">
        <v>1066</v>
      </c>
      <c r="C262" s="21" t="s">
        <v>1067</v>
      </c>
      <c r="D262" s="21">
        <v>30</v>
      </c>
      <c r="E262" s="21" t="s">
        <v>282</v>
      </c>
      <c r="F262" s="21"/>
      <c r="G262" s="21" t="s">
        <v>735</v>
      </c>
      <c r="H262" s="21" t="s">
        <v>696</v>
      </c>
    </row>
    <row r="263" ht="14.25" spans="1:8">
      <c r="A263" s="21">
        <v>1409</v>
      </c>
      <c r="B263" s="21" t="s">
        <v>1068</v>
      </c>
      <c r="C263" s="21" t="s">
        <v>1069</v>
      </c>
      <c r="D263" s="21"/>
      <c r="E263" s="21" t="s">
        <v>638</v>
      </c>
      <c r="F263" s="21"/>
      <c r="G263" s="21"/>
      <c r="H263" s="21"/>
    </row>
    <row r="264" ht="14.25" spans="1:8">
      <c r="A264" s="21">
        <v>1410</v>
      </c>
      <c r="B264" s="21" t="s">
        <v>1070</v>
      </c>
      <c r="C264" s="21" t="s">
        <v>1071</v>
      </c>
      <c r="D264" s="21">
        <v>21</v>
      </c>
      <c r="E264" s="21" t="s">
        <v>282</v>
      </c>
      <c r="F264" s="21"/>
      <c r="G264" s="21" t="s">
        <v>735</v>
      </c>
      <c r="H264" s="21" t="s">
        <v>693</v>
      </c>
    </row>
    <row r="265" ht="14.25" spans="1:8">
      <c r="A265" s="21">
        <v>1411</v>
      </c>
      <c r="B265" s="21" t="s">
        <v>391</v>
      </c>
      <c r="C265" s="21" t="s">
        <v>1072</v>
      </c>
      <c r="D265" s="21"/>
      <c r="E265" s="21" t="s">
        <v>282</v>
      </c>
      <c r="F265" s="21"/>
      <c r="G265" s="21"/>
      <c r="H265" s="21" t="s">
        <v>696</v>
      </c>
    </row>
    <row r="266" ht="14.25" spans="1:8">
      <c r="A266" s="21">
        <v>1412</v>
      </c>
      <c r="B266" s="21" t="s">
        <v>1073</v>
      </c>
      <c r="C266" s="21" t="s">
        <v>1074</v>
      </c>
      <c r="D266" s="21">
        <v>20</v>
      </c>
      <c r="E266" s="21" t="s">
        <v>282</v>
      </c>
      <c r="F266" s="21"/>
      <c r="G266" s="21" t="s">
        <v>735</v>
      </c>
      <c r="H266" s="21" t="s">
        <v>693</v>
      </c>
    </row>
    <row r="267" ht="14.25" spans="1:8">
      <c r="A267" s="21">
        <v>1413</v>
      </c>
      <c r="B267" s="21" t="s">
        <v>1075</v>
      </c>
      <c r="C267" s="21" t="s">
        <v>1076</v>
      </c>
      <c r="D267" s="21"/>
      <c r="E267" s="21" t="s">
        <v>282</v>
      </c>
      <c r="F267" s="21"/>
      <c r="G267" s="21"/>
      <c r="H267" s="21" t="s">
        <v>696</v>
      </c>
    </row>
    <row r="268" ht="14.25" spans="1:8">
      <c r="A268" s="21">
        <v>1414</v>
      </c>
      <c r="B268" s="21" t="s">
        <v>1077</v>
      </c>
      <c r="C268" s="21" t="s">
        <v>1078</v>
      </c>
      <c r="D268" s="21">
        <v>28</v>
      </c>
      <c r="E268" s="21" t="s">
        <v>282</v>
      </c>
      <c r="F268" s="21"/>
      <c r="G268" s="21" t="s">
        <v>735</v>
      </c>
      <c r="H268" s="21" t="s">
        <v>696</v>
      </c>
    </row>
    <row r="269" ht="14.25" spans="1:8">
      <c r="A269" s="21"/>
      <c r="B269" s="21"/>
      <c r="C269" s="21"/>
      <c r="D269" s="21">
        <v>22</v>
      </c>
      <c r="E269" s="21" t="s">
        <v>282</v>
      </c>
      <c r="F269" s="21"/>
      <c r="G269" s="21" t="s">
        <v>963</v>
      </c>
      <c r="H269" s="21" t="s">
        <v>696</v>
      </c>
    </row>
    <row r="270" ht="14.25" spans="1:8">
      <c r="A270" s="21">
        <v>1501</v>
      </c>
      <c r="B270" s="21" t="s">
        <v>1079</v>
      </c>
      <c r="C270" s="21" t="s">
        <v>1080</v>
      </c>
      <c r="D270" s="21">
        <v>25</v>
      </c>
      <c r="E270" s="21" t="s">
        <v>282</v>
      </c>
      <c r="F270" s="21"/>
      <c r="G270" s="21" t="s">
        <v>735</v>
      </c>
      <c r="H270" s="21" t="s">
        <v>696</v>
      </c>
    </row>
    <row r="271" ht="14.25" spans="1:8">
      <c r="A271" s="21">
        <v>1502</v>
      </c>
      <c r="B271" s="21" t="s">
        <v>1081</v>
      </c>
      <c r="C271" s="21" t="s">
        <v>1082</v>
      </c>
      <c r="D271" s="21">
        <v>26</v>
      </c>
      <c r="E271" s="21" t="s">
        <v>638</v>
      </c>
      <c r="F271" s="21"/>
      <c r="G271" s="21" t="s">
        <v>735</v>
      </c>
      <c r="H271" s="21" t="s">
        <v>693</v>
      </c>
    </row>
    <row r="272" ht="14.25" spans="1:8">
      <c r="A272" s="21">
        <v>1503</v>
      </c>
      <c r="B272" s="21" t="s">
        <v>162</v>
      </c>
      <c r="C272" s="21" t="s">
        <v>1083</v>
      </c>
      <c r="D272" s="21">
        <v>23</v>
      </c>
      <c r="E272" s="21" t="s">
        <v>282</v>
      </c>
      <c r="F272" s="21"/>
      <c r="G272" s="21" t="s">
        <v>735</v>
      </c>
      <c r="H272" s="21" t="s">
        <v>696</v>
      </c>
    </row>
    <row r="273" ht="14.25" spans="1:8">
      <c r="A273" s="21">
        <v>1504</v>
      </c>
      <c r="B273" s="21" t="s">
        <v>1084</v>
      </c>
      <c r="C273" s="21" t="s">
        <v>1085</v>
      </c>
      <c r="D273" s="21">
        <v>26</v>
      </c>
      <c r="E273" s="21" t="s">
        <v>282</v>
      </c>
      <c r="F273" s="21"/>
      <c r="G273" s="21" t="s">
        <v>735</v>
      </c>
      <c r="H273" s="21" t="s">
        <v>696</v>
      </c>
    </row>
    <row r="274" ht="14.25" spans="1:8">
      <c r="A274" s="21">
        <v>1505</v>
      </c>
      <c r="B274" s="21" t="s">
        <v>1086</v>
      </c>
      <c r="C274" s="21" t="s">
        <v>1087</v>
      </c>
      <c r="D274" s="21">
        <v>24</v>
      </c>
      <c r="E274" s="21" t="s">
        <v>282</v>
      </c>
      <c r="F274" s="21"/>
      <c r="G274" s="21" t="s">
        <v>735</v>
      </c>
      <c r="H274" s="21" t="s">
        <v>696</v>
      </c>
    </row>
    <row r="275" ht="14.25" spans="1:8">
      <c r="A275" s="21">
        <v>1506</v>
      </c>
      <c r="B275" s="21" t="s">
        <v>101</v>
      </c>
      <c r="C275" s="21" t="s">
        <v>354</v>
      </c>
      <c r="D275" s="21">
        <v>27</v>
      </c>
      <c r="E275" s="21" t="s">
        <v>282</v>
      </c>
      <c r="F275" s="21"/>
      <c r="G275" s="21" t="s">
        <v>735</v>
      </c>
      <c r="H275" s="21" t="s">
        <v>696</v>
      </c>
    </row>
    <row r="276" ht="14.25" spans="1:8">
      <c r="A276" s="21">
        <v>1507</v>
      </c>
      <c r="B276" s="21" t="s">
        <v>351</v>
      </c>
      <c r="C276" s="21" t="s">
        <v>352</v>
      </c>
      <c r="D276" s="21">
        <v>29</v>
      </c>
      <c r="E276" s="21" t="s">
        <v>282</v>
      </c>
      <c r="F276" s="21"/>
      <c r="G276" s="21" t="s">
        <v>735</v>
      </c>
      <c r="H276" s="21" t="s">
        <v>696</v>
      </c>
    </row>
    <row r="277" ht="14.25" spans="1:8">
      <c r="A277" s="21">
        <v>1508</v>
      </c>
      <c r="B277" s="21" t="s">
        <v>1088</v>
      </c>
      <c r="C277" s="21" t="s">
        <v>1089</v>
      </c>
      <c r="D277" s="21">
        <v>30</v>
      </c>
      <c r="E277" s="21" t="s">
        <v>282</v>
      </c>
      <c r="F277" s="21"/>
      <c r="G277" s="21" t="s">
        <v>735</v>
      </c>
      <c r="H277" s="21" t="s">
        <v>696</v>
      </c>
    </row>
    <row r="278" ht="14.25" spans="1:8">
      <c r="A278" s="21">
        <v>1509</v>
      </c>
      <c r="B278" s="21" t="s">
        <v>1090</v>
      </c>
      <c r="C278" s="21" t="s">
        <v>1091</v>
      </c>
      <c r="D278" s="21"/>
      <c r="E278" s="21"/>
      <c r="F278" s="21"/>
      <c r="G278" s="21"/>
      <c r="H278" s="21"/>
    </row>
    <row r="279" ht="14.25" spans="1:8">
      <c r="A279" s="21">
        <v>1510</v>
      </c>
      <c r="B279" s="21" t="s">
        <v>1092</v>
      </c>
      <c r="C279" s="21" t="s">
        <v>1093</v>
      </c>
      <c r="D279" s="21"/>
      <c r="E279" s="21"/>
      <c r="F279" s="21"/>
      <c r="G279" s="21"/>
      <c r="H279" s="21"/>
    </row>
    <row r="280" ht="14.25" spans="1:8">
      <c r="A280" s="21">
        <v>1511</v>
      </c>
      <c r="B280" s="21" t="s">
        <v>359</v>
      </c>
      <c r="C280" s="21" t="s">
        <v>1094</v>
      </c>
      <c r="D280" s="21"/>
      <c r="E280" s="21"/>
      <c r="F280" s="21"/>
      <c r="G280" s="21"/>
      <c r="H280" s="21"/>
    </row>
    <row r="281" ht="14.25" spans="1:8">
      <c r="A281" s="21">
        <v>1512</v>
      </c>
      <c r="B281" s="21" t="s">
        <v>1095</v>
      </c>
      <c r="C281" s="21" t="s">
        <v>1096</v>
      </c>
      <c r="D281" s="21"/>
      <c r="E281" s="21"/>
      <c r="F281" s="21"/>
      <c r="G281" s="21"/>
      <c r="H281" s="21"/>
    </row>
    <row r="282" ht="14.25" spans="1:8">
      <c r="A282" s="21">
        <v>1513</v>
      </c>
      <c r="B282" s="21" t="s">
        <v>1097</v>
      </c>
      <c r="C282" s="21" t="s">
        <v>1098</v>
      </c>
      <c r="D282" s="21"/>
      <c r="E282" s="21"/>
      <c r="F282" s="21"/>
      <c r="G282" s="21"/>
      <c r="H282" s="21"/>
    </row>
    <row r="283" ht="14.25" spans="1:8">
      <c r="A283" s="21">
        <v>1514</v>
      </c>
      <c r="B283" s="21" t="s">
        <v>1099</v>
      </c>
      <c r="C283" s="20" t="s">
        <v>1100</v>
      </c>
      <c r="D283" s="21"/>
      <c r="E283" s="21"/>
      <c r="F283" s="21"/>
      <c r="G283" s="21"/>
      <c r="H283" s="21"/>
    </row>
    <row r="284" ht="14.25" spans="1:8">
      <c r="A284" s="21"/>
      <c r="B284" s="21"/>
      <c r="C284" s="21"/>
      <c r="D284" s="21"/>
      <c r="E284" s="21" t="s">
        <v>282</v>
      </c>
      <c r="F284" s="21"/>
      <c r="G284" s="21"/>
      <c r="H284" s="21" t="s">
        <v>696</v>
      </c>
    </row>
    <row r="285" ht="14.25" spans="1:8">
      <c r="A285" s="21"/>
      <c r="B285" s="21"/>
      <c r="C285" s="21"/>
      <c r="D285" s="21"/>
      <c r="E285" s="21"/>
      <c r="F285" s="21"/>
      <c r="G285" s="21"/>
      <c r="H285" s="21"/>
    </row>
    <row r="286" ht="14.25" spans="1:8">
      <c r="A286" s="21"/>
      <c r="B286" s="21"/>
      <c r="C286" s="21"/>
      <c r="D286" s="21">
        <v>21</v>
      </c>
      <c r="E286" s="21" t="s">
        <v>282</v>
      </c>
      <c r="F286" s="21"/>
      <c r="G286" s="21" t="s">
        <v>735</v>
      </c>
      <c r="H286" s="21" t="s">
        <v>693</v>
      </c>
    </row>
    <row r="287" ht="14.25" spans="1:8">
      <c r="A287" s="21"/>
      <c r="B287" s="21"/>
      <c r="C287" s="21"/>
      <c r="D287" s="21"/>
      <c r="E287" s="21" t="s">
        <v>282</v>
      </c>
      <c r="F287" s="21"/>
      <c r="G287" s="21"/>
      <c r="H287" s="21" t="s">
        <v>696</v>
      </c>
    </row>
    <row r="288" ht="14.25" spans="1:8">
      <c r="A288" s="21"/>
      <c r="B288" s="21"/>
      <c r="C288" s="21"/>
      <c r="D288" s="21">
        <v>20</v>
      </c>
      <c r="E288" s="21" t="s">
        <v>282</v>
      </c>
      <c r="F288" s="21"/>
      <c r="G288" s="21" t="s">
        <v>735</v>
      </c>
      <c r="H288" s="21" t="s">
        <v>693</v>
      </c>
    </row>
    <row r="289" ht="14.25" spans="1:8">
      <c r="A289" s="21"/>
      <c r="B289" s="21"/>
      <c r="C289" s="21" t="s">
        <v>1101</v>
      </c>
      <c r="D289" s="21"/>
      <c r="E289" s="21" t="s">
        <v>282</v>
      </c>
      <c r="F289" s="21"/>
      <c r="G289" s="21"/>
      <c r="H289" s="21" t="s">
        <v>696</v>
      </c>
    </row>
    <row r="290" ht="14.25" spans="1:8">
      <c r="A290" s="21">
        <v>1601</v>
      </c>
      <c r="B290" s="21" t="s">
        <v>1102</v>
      </c>
      <c r="C290" s="21" t="s">
        <v>1103</v>
      </c>
      <c r="D290" s="21">
        <v>28</v>
      </c>
      <c r="E290" s="21" t="s">
        <v>282</v>
      </c>
      <c r="F290" s="21"/>
      <c r="G290" s="21" t="s">
        <v>735</v>
      </c>
      <c r="H290" s="21" t="s">
        <v>696</v>
      </c>
    </row>
    <row r="291" ht="14.25" spans="1:8">
      <c r="A291" s="21"/>
      <c r="B291" s="21"/>
      <c r="C291" s="21"/>
      <c r="D291" s="21">
        <v>22</v>
      </c>
      <c r="E291" s="21" t="s">
        <v>282</v>
      </c>
      <c r="F291" s="21"/>
      <c r="G291" s="21" t="s">
        <v>963</v>
      </c>
      <c r="H291" s="21" t="s">
        <v>696</v>
      </c>
    </row>
    <row r="292" ht="14.25" spans="1:8">
      <c r="A292" s="21">
        <v>1701</v>
      </c>
      <c r="B292" s="21" t="s">
        <v>1104</v>
      </c>
      <c r="C292" s="21" t="s">
        <v>1105</v>
      </c>
      <c r="D292" s="21">
        <v>25</v>
      </c>
      <c r="E292" s="21" t="s">
        <v>282</v>
      </c>
      <c r="F292" s="21"/>
      <c r="G292" s="21" t="s">
        <v>735</v>
      </c>
      <c r="H292" s="21" t="s">
        <v>696</v>
      </c>
    </row>
    <row r="293" ht="14.25" spans="1:8">
      <c r="A293" s="21">
        <v>1702</v>
      </c>
      <c r="B293" s="21" t="s">
        <v>1106</v>
      </c>
      <c r="C293" s="21" t="s">
        <v>1107</v>
      </c>
      <c r="D293" s="21">
        <v>26</v>
      </c>
      <c r="E293" s="21" t="s">
        <v>638</v>
      </c>
      <c r="F293" s="21"/>
      <c r="G293" s="21" t="s">
        <v>735</v>
      </c>
      <c r="H293" s="21" t="s">
        <v>693</v>
      </c>
    </row>
    <row r="294" ht="14.25" spans="1:8">
      <c r="A294" s="21">
        <v>1703</v>
      </c>
      <c r="B294" s="21" t="s">
        <v>1108</v>
      </c>
      <c r="C294" s="21" t="s">
        <v>1109</v>
      </c>
      <c r="D294" s="21">
        <v>23</v>
      </c>
      <c r="E294" s="21" t="s">
        <v>282</v>
      </c>
      <c r="F294" s="21"/>
      <c r="G294" s="21" t="s">
        <v>735</v>
      </c>
      <c r="H294" s="21" t="s">
        <v>696</v>
      </c>
    </row>
    <row r="295" ht="14.25" spans="1:8">
      <c r="A295" s="21">
        <v>1704</v>
      </c>
      <c r="B295" s="21" t="s">
        <v>1110</v>
      </c>
      <c r="C295" s="21" t="s">
        <v>1111</v>
      </c>
      <c r="D295" s="21">
        <v>26</v>
      </c>
      <c r="E295" s="21" t="s">
        <v>282</v>
      </c>
      <c r="F295" s="21"/>
      <c r="G295" s="21" t="s">
        <v>735</v>
      </c>
      <c r="H295" s="21" t="s">
        <v>696</v>
      </c>
    </row>
    <row r="296" ht="14.25" spans="1:8">
      <c r="A296" s="21">
        <v>1705</v>
      </c>
      <c r="B296" s="21" t="s">
        <v>1112</v>
      </c>
      <c r="C296" s="21" t="s">
        <v>1113</v>
      </c>
      <c r="D296" s="21">
        <v>24</v>
      </c>
      <c r="E296" s="21" t="s">
        <v>282</v>
      </c>
      <c r="F296" s="21"/>
      <c r="G296" s="21" t="s">
        <v>735</v>
      </c>
      <c r="H296" s="21" t="s">
        <v>696</v>
      </c>
    </row>
    <row r="297" ht="14.25" spans="1:8">
      <c r="A297" s="21">
        <v>1706</v>
      </c>
      <c r="B297" s="21" t="s">
        <v>416</v>
      </c>
      <c r="C297" s="21" t="s">
        <v>417</v>
      </c>
      <c r="D297" s="21">
        <v>27</v>
      </c>
      <c r="E297" s="21" t="s">
        <v>282</v>
      </c>
      <c r="F297" s="21"/>
      <c r="G297" s="21" t="s">
        <v>735</v>
      </c>
      <c r="H297" s="21" t="s">
        <v>696</v>
      </c>
    </row>
    <row r="298" ht="14.25" spans="1:8">
      <c r="A298" s="21">
        <v>1707</v>
      </c>
      <c r="B298" s="21" t="s">
        <v>419</v>
      </c>
      <c r="C298" s="21" t="s">
        <v>420</v>
      </c>
      <c r="D298" s="21">
        <v>29</v>
      </c>
      <c r="E298" s="21" t="s">
        <v>282</v>
      </c>
      <c r="F298" s="21"/>
      <c r="G298" s="21" t="s">
        <v>735</v>
      </c>
      <c r="H298" s="21" t="s">
        <v>696</v>
      </c>
    </row>
    <row r="299" ht="14.25" spans="1:8">
      <c r="A299" s="21">
        <v>1708</v>
      </c>
      <c r="B299" s="21" t="s">
        <v>1114</v>
      </c>
      <c r="C299" s="21" t="s">
        <v>1115</v>
      </c>
      <c r="D299" s="21">
        <v>30</v>
      </c>
      <c r="E299" s="21" t="s">
        <v>282</v>
      </c>
      <c r="F299" s="21"/>
      <c r="G299" s="21" t="s">
        <v>735</v>
      </c>
      <c r="H299" s="21" t="s">
        <v>696</v>
      </c>
    </row>
    <row r="300" ht="14.25" spans="1:8">
      <c r="A300" s="21">
        <v>1709</v>
      </c>
      <c r="B300" s="21" t="s">
        <v>1116</v>
      </c>
      <c r="C300" s="21" t="s">
        <v>1117</v>
      </c>
      <c r="D300" s="21"/>
      <c r="E300" s="21"/>
      <c r="F300" s="21"/>
      <c r="G300" s="21"/>
      <c r="H300" s="21"/>
    </row>
    <row r="301" ht="14.25" spans="1:8">
      <c r="A301" s="21">
        <v>1710</v>
      </c>
      <c r="B301" s="21" t="s">
        <v>1118</v>
      </c>
      <c r="C301" s="21" t="s">
        <v>1119</v>
      </c>
      <c r="D301" s="21"/>
      <c r="E301" s="21"/>
      <c r="F301" s="21"/>
      <c r="G301" s="21"/>
      <c r="H301" s="21"/>
    </row>
    <row r="302" ht="14.25" spans="1:8">
      <c r="A302" s="21">
        <v>1711</v>
      </c>
      <c r="B302" s="21" t="s">
        <v>425</v>
      </c>
      <c r="C302" s="21" t="s">
        <v>1120</v>
      </c>
      <c r="D302" s="21"/>
      <c r="E302" s="21"/>
      <c r="F302" s="21"/>
      <c r="G302" s="21"/>
      <c r="H302" s="21"/>
    </row>
    <row r="303" ht="14.25" spans="1:8">
      <c r="A303" s="26">
        <v>1712</v>
      </c>
      <c r="B303" s="26" t="s">
        <v>1121</v>
      </c>
      <c r="C303" s="29" t="s">
        <v>1122</v>
      </c>
      <c r="D303" s="26"/>
      <c r="E303" s="26"/>
      <c r="F303" s="26"/>
      <c r="G303" s="26"/>
      <c r="H303" s="26"/>
    </row>
    <row r="304" ht="14.25" spans="1:8">
      <c r="A304" s="26">
        <v>1713</v>
      </c>
      <c r="B304" s="26" t="s">
        <v>1123</v>
      </c>
      <c r="C304" s="30" t="s">
        <v>1124</v>
      </c>
      <c r="D304" s="26"/>
      <c r="E304" s="26"/>
      <c r="F304" s="26"/>
      <c r="G304" s="26"/>
      <c r="H304" s="26" t="s">
        <v>696</v>
      </c>
    </row>
    <row r="305" ht="14.25" spans="1:8">
      <c r="A305" s="26">
        <v>1714</v>
      </c>
      <c r="B305" s="26" t="s">
        <v>1125</v>
      </c>
      <c r="C305" s="30" t="s">
        <v>1126</v>
      </c>
      <c r="D305" s="26"/>
      <c r="E305" s="26"/>
      <c r="F305" s="26"/>
      <c r="G305" s="26"/>
      <c r="H305" s="26" t="s">
        <v>696</v>
      </c>
    </row>
    <row r="306" ht="14.25" spans="1:8">
      <c r="A306" s="26"/>
      <c r="B306" s="26"/>
      <c r="C306" s="30"/>
      <c r="D306" s="26"/>
      <c r="E306" s="26"/>
      <c r="F306" s="26"/>
      <c r="G306" s="26"/>
      <c r="H306" s="26" t="s">
        <v>696</v>
      </c>
    </row>
    <row r="307" ht="14.25" spans="1:8">
      <c r="A307" s="26"/>
      <c r="B307" s="26"/>
      <c r="C307" s="30"/>
      <c r="D307" s="26"/>
      <c r="E307" s="26"/>
      <c r="F307" s="26"/>
      <c r="G307" s="26"/>
      <c r="H307" s="26" t="s">
        <v>693</v>
      </c>
    </row>
    <row r="308" ht="14.25" spans="1:8">
      <c r="A308" s="26"/>
      <c r="B308" s="26"/>
      <c r="C308" s="30"/>
      <c r="D308" s="26"/>
      <c r="E308" s="26"/>
      <c r="F308" s="26"/>
      <c r="G308" s="26"/>
      <c r="H308" s="26" t="s">
        <v>696</v>
      </c>
    </row>
    <row r="309" ht="14.25" spans="1:8">
      <c r="A309" s="26"/>
      <c r="B309" s="26"/>
      <c r="C309" s="30" t="s">
        <v>1127</v>
      </c>
      <c r="D309" s="26"/>
      <c r="E309" s="26"/>
      <c r="F309" s="26"/>
      <c r="G309" s="26"/>
      <c r="H309" s="26" t="s">
        <v>696</v>
      </c>
    </row>
    <row r="310" ht="14.25" spans="1:8">
      <c r="A310" s="26">
        <v>2001</v>
      </c>
      <c r="B310" s="26" t="s">
        <v>1128</v>
      </c>
      <c r="C310" s="30" t="s">
        <v>1129</v>
      </c>
      <c r="D310" s="26"/>
      <c r="E310" s="26"/>
      <c r="F310" s="26"/>
      <c r="G310" s="26"/>
      <c r="H310" s="26" t="s">
        <v>696</v>
      </c>
    </row>
    <row r="311" ht="14.25" spans="1:8">
      <c r="A311" s="31">
        <v>2002</v>
      </c>
      <c r="B311" s="31" t="s">
        <v>1130</v>
      </c>
      <c r="C311" s="32" t="s">
        <v>1131</v>
      </c>
      <c r="D311" s="31"/>
      <c r="E311" s="31"/>
      <c r="F311" s="31"/>
      <c r="G311" s="31"/>
      <c r="H311" s="31" t="s">
        <v>696</v>
      </c>
    </row>
    <row r="312" ht="14.25" spans="1:8">
      <c r="A312" s="31">
        <v>2003</v>
      </c>
      <c r="B312" s="31" t="s">
        <v>1132</v>
      </c>
      <c r="C312" s="32" t="s">
        <v>1133</v>
      </c>
      <c r="D312" s="31"/>
      <c r="E312" s="31"/>
      <c r="F312" s="31"/>
      <c r="G312" s="31"/>
      <c r="H312" s="31" t="s">
        <v>696</v>
      </c>
    </row>
    <row r="313" ht="14.25" spans="1:8">
      <c r="A313" s="31">
        <v>2004</v>
      </c>
      <c r="B313" s="31" t="s">
        <v>1134</v>
      </c>
      <c r="C313" s="32" t="s">
        <v>1135</v>
      </c>
      <c r="D313" s="31"/>
      <c r="E313" s="31"/>
      <c r="F313" s="31"/>
      <c r="G313" s="31"/>
      <c r="H313" s="31" t="s">
        <v>696</v>
      </c>
    </row>
    <row r="314" ht="14.25" spans="1:8">
      <c r="A314" s="31">
        <v>2005</v>
      </c>
      <c r="B314" s="31" t="s">
        <v>1136</v>
      </c>
      <c r="C314" s="32" t="s">
        <v>1137</v>
      </c>
      <c r="D314" s="31"/>
      <c r="E314" s="31"/>
      <c r="F314" s="31"/>
      <c r="G314" s="31"/>
      <c r="H314" s="31" t="s">
        <v>696</v>
      </c>
    </row>
    <row r="315" ht="14.25" spans="1:8">
      <c r="A315" s="31">
        <v>2006</v>
      </c>
      <c r="B315" s="31" t="s">
        <v>1138</v>
      </c>
      <c r="C315" s="32" t="s">
        <v>1139</v>
      </c>
      <c r="D315" s="31"/>
      <c r="E315" s="31"/>
      <c r="F315" s="31"/>
      <c r="G315" s="31"/>
      <c r="H315" s="31" t="s">
        <v>693</v>
      </c>
    </row>
    <row r="316" ht="14.25" spans="1:8">
      <c r="A316" s="31">
        <v>2007</v>
      </c>
      <c r="B316" s="31" t="s">
        <v>1140</v>
      </c>
      <c r="C316" s="32" t="s">
        <v>1141</v>
      </c>
      <c r="D316" s="31"/>
      <c r="E316" s="31"/>
      <c r="F316" s="31"/>
      <c r="G316" s="31"/>
      <c r="H316" s="31" t="s">
        <v>693</v>
      </c>
    </row>
    <row r="317" ht="14.25" spans="1:8">
      <c r="A317" s="31">
        <v>2008</v>
      </c>
      <c r="B317" s="31" t="s">
        <v>1142</v>
      </c>
      <c r="C317" s="32" t="s">
        <v>1143</v>
      </c>
      <c r="D317" s="31"/>
      <c r="E317" s="31"/>
      <c r="F317" s="31"/>
      <c r="G317" s="31"/>
      <c r="H317" s="31" t="s">
        <v>693</v>
      </c>
    </row>
    <row r="318" ht="14.25" spans="1:8">
      <c r="A318" s="31">
        <v>2009</v>
      </c>
      <c r="B318" s="31" t="s">
        <v>1144</v>
      </c>
      <c r="C318" s="32" t="s">
        <v>1145</v>
      </c>
      <c r="D318" s="26"/>
      <c r="E318" s="26"/>
      <c r="F318" s="26"/>
      <c r="G318" s="26"/>
      <c r="H318" s="31" t="s">
        <v>696</v>
      </c>
    </row>
    <row r="319" ht="14.25" spans="1:8">
      <c r="A319" s="31">
        <v>2010</v>
      </c>
      <c r="B319" s="31" t="s">
        <v>1146</v>
      </c>
      <c r="C319" s="32" t="s">
        <v>1147</v>
      </c>
      <c r="D319" s="26"/>
      <c r="E319" s="26"/>
      <c r="F319" s="26"/>
      <c r="G319" s="26"/>
      <c r="H319" s="31" t="s">
        <v>696</v>
      </c>
    </row>
    <row r="320" ht="14.25" spans="1:8">
      <c r="A320" s="31">
        <v>2011</v>
      </c>
      <c r="B320" s="31" t="s">
        <v>1148</v>
      </c>
      <c r="C320" s="32" t="s">
        <v>1149</v>
      </c>
      <c r="D320" s="26"/>
      <c r="E320" s="26"/>
      <c r="F320" s="26"/>
      <c r="G320" s="26"/>
      <c r="H320" s="31" t="s">
        <v>693</v>
      </c>
    </row>
    <row r="321" ht="14.25" spans="1:8">
      <c r="A321" s="26">
        <v>2012</v>
      </c>
      <c r="B321" s="26" t="s">
        <v>1150</v>
      </c>
      <c r="C321" s="30" t="s">
        <v>1151</v>
      </c>
      <c r="D321" s="26"/>
      <c r="E321" s="26"/>
      <c r="F321" s="26"/>
      <c r="G321" s="26"/>
      <c r="H321" s="26"/>
    </row>
    <row r="322" ht="14.25" spans="1:8">
      <c r="A322" s="26">
        <v>2013</v>
      </c>
      <c r="B322" s="26" t="s">
        <v>1152</v>
      </c>
      <c r="C322" s="30" t="s">
        <v>1153</v>
      </c>
      <c r="D322" s="26"/>
      <c r="E322" s="26"/>
      <c r="F322" s="26"/>
      <c r="G322" s="26"/>
      <c r="H322" s="26" t="s">
        <v>693</v>
      </c>
    </row>
    <row r="323" ht="14.25" spans="1:8">
      <c r="A323" s="26">
        <v>2014</v>
      </c>
      <c r="B323" s="26" t="s">
        <v>1154</v>
      </c>
      <c r="C323" s="30" t="s">
        <v>1155</v>
      </c>
      <c r="D323" s="26"/>
      <c r="E323" s="26"/>
      <c r="F323" s="26"/>
      <c r="G323" s="26"/>
      <c r="H323" s="26" t="s">
        <v>693</v>
      </c>
    </row>
    <row r="324" ht="14.25" spans="1:8">
      <c r="A324" s="26">
        <v>2015</v>
      </c>
      <c r="B324" s="26" t="s">
        <v>1156</v>
      </c>
      <c r="C324" s="30" t="s">
        <v>1157</v>
      </c>
      <c r="D324" s="26"/>
      <c r="E324" s="26"/>
      <c r="F324" s="26"/>
      <c r="G324" s="26"/>
      <c r="H324" s="26" t="s">
        <v>693</v>
      </c>
    </row>
    <row r="325" ht="14.25" spans="1:8">
      <c r="A325" s="21">
        <v>2016</v>
      </c>
      <c r="B325" s="21" t="s">
        <v>1158</v>
      </c>
      <c r="C325" s="21" t="s">
        <v>1159</v>
      </c>
      <c r="D325" s="21"/>
      <c r="E325" s="21"/>
      <c r="F325" s="21"/>
      <c r="G325" s="21"/>
      <c r="H325" s="21"/>
    </row>
    <row r="326" ht="14.25" spans="1:8">
      <c r="A326" s="21">
        <v>2017</v>
      </c>
      <c r="B326" s="21" t="s">
        <v>1160</v>
      </c>
      <c r="C326" s="21" t="s">
        <v>1161</v>
      </c>
      <c r="D326" s="21"/>
      <c r="E326" s="21"/>
      <c r="F326" s="21"/>
      <c r="G326" s="21"/>
      <c r="H326" s="21"/>
    </row>
    <row r="327" ht="14.25" spans="1:8">
      <c r="A327" s="21">
        <v>2018</v>
      </c>
      <c r="B327" s="21" t="s">
        <v>1162</v>
      </c>
      <c r="C327" s="21" t="s">
        <v>1163</v>
      </c>
      <c r="D327" s="21"/>
      <c r="E327" s="21"/>
      <c r="F327" s="21"/>
      <c r="G327" s="21"/>
      <c r="H327" s="21"/>
    </row>
    <row r="328" ht="14.25" spans="1:8">
      <c r="A328" s="21">
        <v>2101</v>
      </c>
      <c r="B328" s="21" t="s">
        <v>1164</v>
      </c>
      <c r="C328" s="21" t="s">
        <v>1165</v>
      </c>
      <c r="D328" s="21"/>
      <c r="E328" s="21"/>
      <c r="F328" s="21"/>
      <c r="G328" s="21"/>
      <c r="H328" s="21"/>
    </row>
    <row r="329" ht="14.25" spans="1:8">
      <c r="A329" s="21">
        <v>2102</v>
      </c>
      <c r="B329" s="21" t="s">
        <v>1166</v>
      </c>
      <c r="C329" s="21" t="s">
        <v>1167</v>
      </c>
      <c r="D329" s="21"/>
      <c r="E329" s="21"/>
      <c r="F329" s="21"/>
      <c r="G329" s="21"/>
      <c r="H329" s="21"/>
    </row>
    <row r="330" ht="14.25" spans="1:8">
      <c r="A330" s="21">
        <v>2103</v>
      </c>
      <c r="B330" s="21" t="s">
        <v>1168</v>
      </c>
      <c r="C330" s="21" t="s">
        <v>1169</v>
      </c>
      <c r="D330" s="21"/>
      <c r="E330" s="21"/>
      <c r="F330" s="21"/>
      <c r="G330" s="21"/>
      <c r="H330" s="21"/>
    </row>
    <row r="331" ht="14.25" spans="1:8">
      <c r="A331" s="21"/>
      <c r="B331" s="21"/>
      <c r="C331" s="21"/>
      <c r="D331" s="21"/>
      <c r="E331" s="21"/>
      <c r="F331" s="21"/>
      <c r="G331" s="21"/>
      <c r="H331" s="21"/>
    </row>
    <row r="332" ht="14.25" spans="1:8">
      <c r="A332" s="21"/>
      <c r="B332" s="21"/>
      <c r="C332" s="21"/>
      <c r="D332" s="21"/>
      <c r="E332" s="21"/>
      <c r="F332" s="21"/>
      <c r="G332" s="21"/>
      <c r="H332" s="21"/>
    </row>
    <row r="333" ht="14.25" spans="1:8">
      <c r="A333" s="21">
        <v>2201</v>
      </c>
      <c r="B333" s="21" t="s">
        <v>225</v>
      </c>
      <c r="C333" s="21" t="s">
        <v>226</v>
      </c>
      <c r="D333" s="21"/>
      <c r="E333" s="21"/>
      <c r="F333" s="21"/>
      <c r="G333" s="21"/>
      <c r="H333" s="21"/>
    </row>
    <row r="334" ht="14.25" spans="1:8">
      <c r="A334" s="21">
        <v>2202</v>
      </c>
      <c r="B334" s="21" t="s">
        <v>229</v>
      </c>
      <c r="C334" s="21" t="s">
        <v>230</v>
      </c>
      <c r="D334" s="21"/>
      <c r="E334" s="21"/>
      <c r="F334" s="21"/>
      <c r="G334" s="21"/>
      <c r="H334" s="21"/>
    </row>
    <row r="335" ht="14.25" spans="1:8">
      <c r="A335" s="21">
        <v>2203</v>
      </c>
      <c r="B335" s="21" t="s">
        <v>232</v>
      </c>
      <c r="C335" s="21" t="s">
        <v>233</v>
      </c>
      <c r="D335" s="21"/>
      <c r="E335" s="21"/>
      <c r="F335" s="21"/>
      <c r="G335" s="21"/>
      <c r="H335" s="21"/>
    </row>
    <row r="336" ht="14.25" spans="1:8">
      <c r="A336" s="21">
        <v>2204</v>
      </c>
      <c r="B336" s="21" t="s">
        <v>283</v>
      </c>
      <c r="C336" s="21" t="s">
        <v>1170</v>
      </c>
      <c r="D336" s="21"/>
      <c r="E336" s="21"/>
      <c r="F336" s="21"/>
      <c r="G336" s="21"/>
      <c r="H336" s="21"/>
    </row>
    <row r="337" ht="14.25" spans="1:8">
      <c r="A337" s="21">
        <v>2205</v>
      </c>
      <c r="B337" s="21" t="s">
        <v>348</v>
      </c>
      <c r="C337" s="21" t="s">
        <v>1171</v>
      </c>
      <c r="D337" s="21"/>
      <c r="E337" s="21"/>
      <c r="F337" s="21"/>
      <c r="G337" s="21"/>
      <c r="H337" s="21"/>
    </row>
    <row r="338" ht="14.25" spans="1:8">
      <c r="A338" s="21">
        <v>2206</v>
      </c>
      <c r="B338" s="21" t="s">
        <v>319</v>
      </c>
      <c r="C338" s="21" t="s">
        <v>1172</v>
      </c>
      <c r="D338" s="21"/>
      <c r="E338" s="21"/>
      <c r="F338" s="21"/>
      <c r="G338" s="21"/>
      <c r="H338" s="21"/>
    </row>
    <row r="339" ht="14.25" spans="1:8">
      <c r="A339" s="21">
        <v>2207</v>
      </c>
      <c r="B339" s="21" t="s">
        <v>413</v>
      </c>
      <c r="C339" s="21" t="s">
        <v>1173</v>
      </c>
      <c r="D339" s="21"/>
      <c r="E339" s="21"/>
      <c r="F339" s="21"/>
      <c r="G339" s="21"/>
      <c r="H339" s="21"/>
    </row>
    <row r="340" ht="14.25" spans="1:8">
      <c r="A340" s="21">
        <v>2208</v>
      </c>
      <c r="B340" s="21" t="s">
        <v>377</v>
      </c>
      <c r="C340" s="21" t="s">
        <v>1174</v>
      </c>
      <c r="D340" s="21"/>
      <c r="E340" s="21"/>
      <c r="F340" s="21"/>
      <c r="G340" s="21"/>
      <c r="H340" s="21"/>
    </row>
    <row r="341" ht="14.25" spans="1:8">
      <c r="A341" s="21">
        <v>2209</v>
      </c>
      <c r="B341" s="21" t="s">
        <v>249</v>
      </c>
      <c r="C341" s="21" t="s">
        <v>1175</v>
      </c>
      <c r="D341" s="21"/>
      <c r="E341" s="21"/>
      <c r="F341" s="21"/>
      <c r="G341" s="21"/>
      <c r="H341" s="21"/>
    </row>
    <row r="342" ht="14.25" spans="1:8">
      <c r="A342" s="21">
        <v>2210</v>
      </c>
      <c r="B342" s="21" t="s">
        <v>167</v>
      </c>
      <c r="C342" s="21" t="s">
        <v>1176</v>
      </c>
      <c r="D342" s="21"/>
      <c r="E342" s="21"/>
      <c r="F342" s="21"/>
      <c r="G342" s="21"/>
      <c r="H342" s="21"/>
    </row>
    <row r="343" ht="14.25" spans="1:8">
      <c r="A343" s="21">
        <v>2211</v>
      </c>
      <c r="B343" s="21" t="s">
        <v>168</v>
      </c>
      <c r="C343" s="21" t="s">
        <v>1177</v>
      </c>
      <c r="D343" s="21"/>
      <c r="E343" s="21"/>
      <c r="F343" s="21"/>
      <c r="G343" s="21"/>
      <c r="H343" s="21"/>
    </row>
    <row r="344" ht="14.25" spans="1:8">
      <c r="A344" s="21">
        <v>2212</v>
      </c>
      <c r="B344" s="21" t="s">
        <v>1178</v>
      </c>
      <c r="C344" s="21" t="s">
        <v>1179</v>
      </c>
      <c r="D344" s="21"/>
      <c r="E344" s="21"/>
      <c r="F344" s="21"/>
      <c r="G344" s="21"/>
      <c r="H344" s="21"/>
    </row>
    <row r="345" ht="14.25" spans="1:8">
      <c r="A345" s="21">
        <v>2213</v>
      </c>
      <c r="B345" s="21" t="s">
        <v>169</v>
      </c>
      <c r="C345" s="21" t="s">
        <v>1180</v>
      </c>
      <c r="D345" s="21"/>
      <c r="E345" s="21"/>
      <c r="F345" s="21"/>
      <c r="G345" s="21"/>
      <c r="H345" s="21"/>
    </row>
    <row r="346" ht="14.25" spans="1:8">
      <c r="A346" s="21">
        <v>2214</v>
      </c>
      <c r="B346" s="21" t="s">
        <v>170</v>
      </c>
      <c r="C346" s="21" t="s">
        <v>1181</v>
      </c>
      <c r="D346" s="21"/>
      <c r="E346" s="21"/>
      <c r="F346" s="21"/>
      <c r="G346" s="21"/>
      <c r="H346" s="21"/>
    </row>
    <row r="347" ht="14.25" spans="1:8">
      <c r="A347" s="21">
        <v>2215</v>
      </c>
      <c r="B347" s="21" t="s">
        <v>171</v>
      </c>
      <c r="C347" s="21" t="s">
        <v>1182</v>
      </c>
      <c r="D347" s="21"/>
      <c r="E347" s="21"/>
      <c r="F347" s="21"/>
      <c r="G347" s="21"/>
      <c r="H347" s="21"/>
    </row>
    <row r="348" ht="14.25" spans="1:8">
      <c r="A348" s="21">
        <v>2216</v>
      </c>
      <c r="B348" s="21" t="s">
        <v>172</v>
      </c>
      <c r="C348" s="21" t="s">
        <v>1183</v>
      </c>
      <c r="D348" s="21"/>
      <c r="E348" s="21"/>
      <c r="F348" s="21"/>
      <c r="G348" s="21"/>
      <c r="H348" s="21"/>
    </row>
    <row r="349" ht="14.25" spans="1:8">
      <c r="A349" s="21">
        <v>2217</v>
      </c>
      <c r="B349" s="21" t="s">
        <v>173</v>
      </c>
      <c r="C349" s="21" t="s">
        <v>1184</v>
      </c>
      <c r="D349" s="21"/>
      <c r="E349" s="21"/>
      <c r="F349" s="21"/>
      <c r="G349" s="21"/>
      <c r="H349" s="21"/>
    </row>
    <row r="350" ht="14.25" spans="1:8">
      <c r="A350" s="21">
        <v>2218</v>
      </c>
      <c r="B350" s="21" t="s">
        <v>174</v>
      </c>
      <c r="C350" s="21" t="s">
        <v>1185</v>
      </c>
      <c r="D350" s="21"/>
      <c r="E350" s="21"/>
      <c r="F350" s="21"/>
      <c r="G350" s="21"/>
      <c r="H350" s="21"/>
    </row>
    <row r="351" ht="14.25" spans="1:8">
      <c r="A351" s="21">
        <v>2219</v>
      </c>
      <c r="B351" s="21" t="s">
        <v>175</v>
      </c>
      <c r="C351" s="21" t="s">
        <v>1184</v>
      </c>
      <c r="D351" s="21"/>
      <c r="E351" s="21"/>
      <c r="F351" s="21"/>
      <c r="G351" s="21"/>
      <c r="H351" s="21"/>
    </row>
    <row r="352" ht="14.25" spans="1:8">
      <c r="A352" s="21">
        <v>2220</v>
      </c>
      <c r="B352" s="21" t="s">
        <v>1186</v>
      </c>
      <c r="C352" s="21" t="s">
        <v>1187</v>
      </c>
      <c r="D352" s="21"/>
      <c r="E352" s="21"/>
      <c r="F352" s="21"/>
      <c r="G352" s="21"/>
      <c r="H352" s="21"/>
    </row>
    <row r="353" ht="14.25" spans="1:8">
      <c r="A353" s="21">
        <v>2221</v>
      </c>
      <c r="B353" s="21" t="s">
        <v>1188</v>
      </c>
      <c r="C353" s="21" t="s">
        <v>1189</v>
      </c>
      <c r="D353" s="21"/>
      <c r="E353" s="21"/>
      <c r="F353" s="21"/>
      <c r="G353" s="21"/>
      <c r="H353" s="21"/>
    </row>
    <row r="354" ht="14.25" spans="1:8">
      <c r="A354" s="21">
        <v>2222</v>
      </c>
      <c r="B354" s="21" t="s">
        <v>1190</v>
      </c>
      <c r="C354" s="21" t="s">
        <v>1191</v>
      </c>
      <c r="D354" s="21"/>
      <c r="E354" s="21"/>
      <c r="F354" s="21"/>
      <c r="G354" s="21"/>
      <c r="H354" s="21"/>
    </row>
    <row r="355" ht="14.25" spans="1:8">
      <c r="A355" s="21">
        <v>2223</v>
      </c>
      <c r="B355" s="21" t="s">
        <v>1192</v>
      </c>
      <c r="C355" s="21" t="s">
        <v>1193</v>
      </c>
      <c r="D355" s="21"/>
      <c r="E355" s="21"/>
      <c r="F355" s="21"/>
      <c r="G355" s="21"/>
      <c r="H355" s="21"/>
    </row>
    <row r="356" ht="14.25" spans="1:8">
      <c r="A356" s="21">
        <v>2224</v>
      </c>
      <c r="B356" s="21" t="s">
        <v>1194</v>
      </c>
      <c r="C356" s="21" t="s">
        <v>1195</v>
      </c>
      <c r="D356" s="21"/>
      <c r="E356" s="21"/>
      <c r="F356" s="21"/>
      <c r="G356" s="21"/>
      <c r="H356" s="21"/>
    </row>
    <row r="357" ht="14.25" spans="1:8">
      <c r="A357" s="21">
        <v>2225</v>
      </c>
      <c r="B357" s="21" t="s">
        <v>1196</v>
      </c>
      <c r="C357" s="21" t="s">
        <v>1193</v>
      </c>
      <c r="D357" s="21"/>
      <c r="E357" s="21"/>
      <c r="F357" s="21"/>
      <c r="G357" s="21"/>
      <c r="H357" s="21"/>
    </row>
    <row r="358" ht="14.25" spans="1:8">
      <c r="A358" s="21">
        <v>2226</v>
      </c>
      <c r="B358" s="21" t="s">
        <v>1197</v>
      </c>
      <c r="C358" s="21" t="s">
        <v>1198</v>
      </c>
      <c r="D358" s="21"/>
      <c r="E358" s="21"/>
      <c r="F358" s="21"/>
      <c r="G358" s="21"/>
      <c r="H358" s="21"/>
    </row>
    <row r="359" ht="14.25" spans="1:8">
      <c r="A359" s="21">
        <v>2227</v>
      </c>
      <c r="B359" s="21" t="s">
        <v>1199</v>
      </c>
      <c r="C359" s="21" t="s">
        <v>1200</v>
      </c>
      <c r="D359" s="21"/>
      <c r="E359" s="21"/>
      <c r="F359" s="21"/>
      <c r="G359" s="21"/>
      <c r="H359" s="21"/>
    </row>
    <row r="360" ht="14.25" spans="1:8">
      <c r="A360" s="21">
        <v>2228</v>
      </c>
      <c r="B360" s="21" t="s">
        <v>1201</v>
      </c>
      <c r="C360" s="21" t="s">
        <v>1202</v>
      </c>
      <c r="D360" s="21"/>
      <c r="E360" s="21"/>
      <c r="F360" s="21"/>
      <c r="G360" s="21"/>
      <c r="H360" s="21"/>
    </row>
    <row r="361" ht="14.25" spans="1:8">
      <c r="A361" s="21">
        <v>2229</v>
      </c>
      <c r="B361" s="21" t="s">
        <v>1203</v>
      </c>
      <c r="C361" s="21" t="s">
        <v>1204</v>
      </c>
      <c r="D361" s="21"/>
      <c r="E361" s="21"/>
      <c r="F361" s="21"/>
      <c r="G361" s="21"/>
      <c r="H361" s="21"/>
    </row>
    <row r="362" ht="14.25" spans="1:8">
      <c r="A362" s="21">
        <v>2230</v>
      </c>
      <c r="B362" s="21" t="s">
        <v>1205</v>
      </c>
      <c r="C362" s="21" t="s">
        <v>1206</v>
      </c>
      <c r="D362" s="21"/>
      <c r="E362" s="21"/>
      <c r="F362" s="21"/>
      <c r="G362" s="21"/>
      <c r="H362" s="21"/>
    </row>
    <row r="363" ht="14.25" spans="1:8">
      <c r="A363" s="21">
        <v>2231</v>
      </c>
      <c r="B363" s="21" t="s">
        <v>1207</v>
      </c>
      <c r="C363" s="21" t="s">
        <v>1204</v>
      </c>
      <c r="D363" s="21"/>
      <c r="E363" s="21"/>
      <c r="F363" s="21"/>
      <c r="G363" s="21"/>
      <c r="H363" s="21"/>
    </row>
    <row r="364" ht="14.25" spans="1:8">
      <c r="A364" s="21">
        <v>2232</v>
      </c>
      <c r="B364" s="21" t="s">
        <v>1208</v>
      </c>
      <c r="C364" s="21" t="s">
        <v>1209</v>
      </c>
      <c r="D364" s="21"/>
      <c r="E364" s="21"/>
      <c r="F364" s="21"/>
      <c r="G364" s="21"/>
      <c r="H364" s="21"/>
    </row>
    <row r="365" ht="14.25" spans="1:8">
      <c r="A365" s="21">
        <v>2233</v>
      </c>
      <c r="B365" s="21" t="s">
        <v>1210</v>
      </c>
      <c r="C365" s="21" t="s">
        <v>1211</v>
      </c>
      <c r="D365" s="21"/>
      <c r="E365" s="21"/>
      <c r="F365" s="21"/>
      <c r="G365" s="21"/>
      <c r="H365" s="21"/>
    </row>
    <row r="366" ht="14.25" spans="1:8">
      <c r="A366" s="21">
        <v>2234</v>
      </c>
      <c r="B366" s="21" t="s">
        <v>1212</v>
      </c>
      <c r="C366" s="21" t="s">
        <v>1213</v>
      </c>
      <c r="D366" s="21"/>
      <c r="E366" s="21"/>
      <c r="F366" s="21"/>
      <c r="G366" s="21"/>
      <c r="H366" s="21"/>
    </row>
    <row r="367" ht="14.25" spans="1:8">
      <c r="A367" s="21">
        <v>2235</v>
      </c>
      <c r="B367" s="21" t="s">
        <v>1214</v>
      </c>
      <c r="C367" s="21" t="s">
        <v>1215</v>
      </c>
      <c r="D367" s="21"/>
      <c r="E367" s="21"/>
      <c r="F367" s="21"/>
      <c r="G367" s="21"/>
      <c r="H367" s="21"/>
    </row>
    <row r="368" ht="14.25" spans="1:8">
      <c r="A368" s="21">
        <v>2236</v>
      </c>
      <c r="B368" s="21" t="s">
        <v>1216</v>
      </c>
      <c r="C368" s="21" t="s">
        <v>1217</v>
      </c>
      <c r="D368" s="21"/>
      <c r="E368" s="21"/>
      <c r="F368" s="21"/>
      <c r="G368" s="21"/>
      <c r="H368" s="21"/>
    </row>
    <row r="369" ht="14.25" spans="1:8">
      <c r="A369" s="21">
        <v>2237</v>
      </c>
      <c r="B369" s="21" t="s">
        <v>1218</v>
      </c>
      <c r="C369" s="21" t="s">
        <v>1215</v>
      </c>
      <c r="D369" s="21"/>
      <c r="E369" s="21"/>
      <c r="F369" s="21"/>
      <c r="G369" s="21"/>
      <c r="H369" s="21"/>
    </row>
    <row r="370" ht="14.25" spans="1:8">
      <c r="A370" s="21"/>
      <c r="B370" s="21"/>
      <c r="C370" s="21"/>
      <c r="D370" s="21"/>
      <c r="E370" s="21"/>
      <c r="F370" s="21"/>
      <c r="G370" s="21"/>
      <c r="H370" s="21"/>
    </row>
    <row r="371" ht="14.25" spans="1:8">
      <c r="A371" s="21"/>
      <c r="B371" s="21"/>
      <c r="C371" s="21"/>
      <c r="D371" s="21"/>
      <c r="E371" s="21"/>
      <c r="F371" s="21"/>
      <c r="G371" s="21"/>
      <c r="H371" s="21"/>
    </row>
    <row r="372" ht="14.25" spans="1:8">
      <c r="A372" s="21"/>
      <c r="B372" s="21"/>
      <c r="C372" s="21"/>
      <c r="D372" s="21"/>
      <c r="E372" s="21"/>
      <c r="F372" s="21"/>
      <c r="G372" s="21"/>
      <c r="H372" s="21"/>
    </row>
    <row r="373" ht="14.25" spans="1:8">
      <c r="A373" s="21"/>
      <c r="B373" s="21"/>
      <c r="C373" s="21"/>
      <c r="D373" s="21"/>
      <c r="E373" s="21"/>
      <c r="F373" s="21"/>
      <c r="G373" s="21"/>
      <c r="H373" s="21"/>
    </row>
    <row r="374" ht="14.25" spans="1:8">
      <c r="A374" s="21"/>
      <c r="B374" s="21"/>
      <c r="C374" s="21"/>
      <c r="D374" s="21"/>
      <c r="E374" s="21"/>
      <c r="F374" s="21"/>
      <c r="G374" s="21"/>
      <c r="H374" s="21"/>
    </row>
    <row r="375" ht="14.25" spans="1:8">
      <c r="A375" s="21"/>
      <c r="B375" s="21"/>
      <c r="C375" s="21"/>
      <c r="D375" s="21"/>
      <c r="E375" s="21"/>
      <c r="F375" s="21"/>
      <c r="G375" s="21"/>
      <c r="H375" s="21"/>
    </row>
    <row r="376" ht="14.25" spans="1:8">
      <c r="A376" s="21"/>
      <c r="B376" s="21"/>
      <c r="C376" s="21"/>
      <c r="D376" s="21"/>
      <c r="E376" s="21"/>
      <c r="F376" s="21"/>
      <c r="G376" s="21"/>
      <c r="H376" s="21"/>
    </row>
    <row r="377" ht="14.25" spans="1:8">
      <c r="A377" s="21"/>
      <c r="B377" s="21"/>
      <c r="C377" s="21"/>
      <c r="D377" s="21"/>
      <c r="E377" s="21"/>
      <c r="F377" s="21"/>
      <c r="G377" s="21"/>
      <c r="H377" s="21"/>
    </row>
    <row r="378" ht="14.25" spans="1:8">
      <c r="A378" s="21"/>
      <c r="B378" s="21"/>
      <c r="C378" s="21"/>
      <c r="D378" s="21"/>
      <c r="E378" s="21"/>
      <c r="F378" s="21"/>
      <c r="G378" s="21"/>
      <c r="H378" s="21"/>
    </row>
    <row r="379" ht="14.25" spans="1:8">
      <c r="A379" s="21"/>
      <c r="B379" s="21"/>
      <c r="C379" s="21"/>
      <c r="D379" s="21"/>
      <c r="E379" s="21"/>
      <c r="F379" s="21"/>
      <c r="G379" s="21"/>
      <c r="H379" s="21"/>
    </row>
    <row r="380" ht="14.25" spans="1:8">
      <c r="A380" s="21"/>
      <c r="B380" s="21"/>
      <c r="C380" s="21"/>
      <c r="D380" s="21"/>
      <c r="E380" s="21"/>
      <c r="F380" s="21"/>
      <c r="G380" s="21"/>
      <c r="H380" s="21"/>
    </row>
    <row r="381" ht="14.25" spans="1:8">
      <c r="A381" s="21"/>
      <c r="B381" s="21"/>
      <c r="C381" s="21"/>
      <c r="D381" s="21"/>
      <c r="E381" s="21"/>
      <c r="F381" s="21"/>
      <c r="G381" s="21"/>
      <c r="H381" s="21"/>
    </row>
    <row r="382" ht="14.25" spans="1:8">
      <c r="A382" s="21"/>
      <c r="B382" s="21"/>
      <c r="C382" s="21"/>
      <c r="D382" s="21"/>
      <c r="E382" s="21"/>
      <c r="F382" s="21"/>
      <c r="G382" s="21"/>
      <c r="H382" s="21"/>
    </row>
    <row r="383" ht="14.25" spans="1:8">
      <c r="A383" s="21"/>
      <c r="B383" s="21"/>
      <c r="C383" s="21"/>
      <c r="D383" s="21"/>
      <c r="E383" s="21"/>
      <c r="F383" s="21"/>
      <c r="G383" s="21"/>
      <c r="H383" s="21"/>
    </row>
    <row r="384" ht="14.25" spans="1:8">
      <c r="A384" s="21"/>
      <c r="B384" s="21"/>
      <c r="C384" s="21"/>
      <c r="D384" s="21"/>
      <c r="E384" s="21"/>
      <c r="F384" s="21"/>
      <c r="G384" s="21"/>
      <c r="H384" s="21"/>
    </row>
    <row r="385" ht="14.25" spans="1:8">
      <c r="A385" s="21"/>
      <c r="B385" s="21"/>
      <c r="C385" s="21"/>
      <c r="D385" s="21"/>
      <c r="E385" s="21"/>
      <c r="F385" s="21"/>
      <c r="G385" s="21"/>
      <c r="H385" s="21"/>
    </row>
    <row r="386" ht="14.25" spans="1:8">
      <c r="A386" s="21"/>
      <c r="B386" s="21"/>
      <c r="C386" s="21"/>
      <c r="D386" s="21"/>
      <c r="E386" s="21"/>
      <c r="F386" s="21"/>
      <c r="G386" s="21"/>
      <c r="H386" s="21"/>
    </row>
    <row r="387" ht="14.25" spans="1:8">
      <c r="A387" s="21"/>
      <c r="B387" s="21"/>
      <c r="C387" s="21"/>
      <c r="D387" s="21"/>
      <c r="E387" s="21"/>
      <c r="F387" s="21"/>
      <c r="G387" s="21"/>
      <c r="H387" s="21"/>
    </row>
    <row r="388" ht="14.25" spans="1:8">
      <c r="A388" s="21"/>
      <c r="B388" s="21"/>
      <c r="C388" s="21"/>
      <c r="D388" s="21"/>
      <c r="E388" s="21"/>
      <c r="F388" s="21"/>
      <c r="G388" s="21"/>
      <c r="H388" s="21"/>
    </row>
    <row r="389" ht="14.25" spans="1:8">
      <c r="A389" s="21"/>
      <c r="B389" s="21"/>
      <c r="C389" s="21"/>
      <c r="D389" s="21"/>
      <c r="E389" s="21"/>
      <c r="F389" s="21"/>
      <c r="G389" s="21"/>
      <c r="H389" s="21"/>
    </row>
    <row r="390" ht="14.25" spans="1:8">
      <c r="A390" s="21"/>
      <c r="B390" s="21"/>
      <c r="C390" s="21"/>
      <c r="D390" s="21"/>
      <c r="E390" s="21"/>
      <c r="F390" s="21"/>
      <c r="G390" s="21"/>
      <c r="H390" s="21"/>
    </row>
    <row r="391" ht="14.25" spans="1:8">
      <c r="A391" s="21"/>
      <c r="B391" s="21"/>
      <c r="C391" s="21"/>
      <c r="D391" s="21"/>
      <c r="E391" s="21"/>
      <c r="F391" s="21"/>
      <c r="G391" s="21"/>
      <c r="H391" s="21"/>
    </row>
    <row r="392" ht="14.25" spans="1:8">
      <c r="A392" s="21"/>
      <c r="B392" s="21"/>
      <c r="C392" s="21"/>
      <c r="D392" s="21"/>
      <c r="E392" s="21"/>
      <c r="F392" s="21"/>
      <c r="G392" s="21"/>
      <c r="H392" s="21"/>
    </row>
    <row r="393" ht="14.25" spans="1:8">
      <c r="A393" s="21"/>
      <c r="B393" s="21"/>
      <c r="C393" s="21"/>
      <c r="D393" s="21"/>
      <c r="E393" s="21"/>
      <c r="F393" s="21"/>
      <c r="G393" s="21"/>
      <c r="H393" s="21"/>
    </row>
    <row r="394" ht="14.25" spans="1:8">
      <c r="A394" s="21"/>
      <c r="B394" s="21"/>
      <c r="C394" s="21"/>
      <c r="D394" s="21"/>
      <c r="E394" s="21"/>
      <c r="F394" s="21"/>
      <c r="G394" s="21"/>
      <c r="H394" s="21"/>
    </row>
    <row r="395" ht="14.25" spans="1:8">
      <c r="A395" s="21"/>
      <c r="B395" s="21"/>
      <c r="C395" s="21"/>
      <c r="D395" s="21"/>
      <c r="E395" s="21"/>
      <c r="F395" s="21"/>
      <c r="G395" s="21"/>
      <c r="H395" s="21"/>
    </row>
    <row r="396" ht="14.25" spans="1:8">
      <c r="A396" s="21"/>
      <c r="B396" s="21"/>
      <c r="C396" s="21"/>
      <c r="D396" s="21"/>
      <c r="E396" s="21"/>
      <c r="F396" s="21"/>
      <c r="G396" s="21"/>
      <c r="H396" s="21"/>
    </row>
    <row r="397" ht="14.25" spans="1:8">
      <c r="A397" s="21"/>
      <c r="B397" s="21"/>
      <c r="C397" s="21"/>
      <c r="D397" s="21"/>
      <c r="E397" s="21"/>
      <c r="F397" s="21"/>
      <c r="G397" s="21"/>
      <c r="H397" s="21"/>
    </row>
    <row r="398" ht="14.25" spans="1:8">
      <c r="A398" s="21"/>
      <c r="B398" s="21"/>
      <c r="C398" s="21"/>
      <c r="D398" s="21"/>
      <c r="E398" s="21"/>
      <c r="F398" s="21"/>
      <c r="G398" s="21"/>
      <c r="H398" s="21"/>
    </row>
    <row r="399" ht="14.25" spans="1:8">
      <c r="A399" s="21"/>
      <c r="B399" s="21"/>
      <c r="C399" s="21"/>
      <c r="D399" s="21"/>
      <c r="E399" s="21"/>
      <c r="F399" s="21"/>
      <c r="G399" s="21"/>
      <c r="H399" s="21"/>
    </row>
    <row r="400" ht="14.25" spans="1:8">
      <c r="A400" s="21"/>
      <c r="B400" s="21"/>
      <c r="C400" s="21"/>
      <c r="D400" s="21"/>
      <c r="E400" s="21"/>
      <c r="F400" s="21"/>
      <c r="G400" s="21"/>
      <c r="H400" s="21"/>
    </row>
    <row r="401" ht="14.25" spans="1:8">
      <c r="A401" s="21"/>
      <c r="B401" s="21"/>
      <c r="C401" s="21"/>
      <c r="D401" s="21"/>
      <c r="E401" s="21"/>
      <c r="F401" s="21"/>
      <c r="G401" s="21"/>
      <c r="H401" s="21"/>
    </row>
    <row r="402" ht="14.25" spans="1:8">
      <c r="A402" s="21"/>
      <c r="B402" s="21"/>
      <c r="C402" s="21"/>
      <c r="D402" s="21"/>
      <c r="E402" s="21"/>
      <c r="F402" s="21"/>
      <c r="G402" s="21"/>
      <c r="H402" s="21"/>
    </row>
    <row r="403" ht="14.25" spans="1:8">
      <c r="A403" s="21"/>
      <c r="B403" s="21"/>
      <c r="C403" s="21"/>
      <c r="D403" s="21"/>
      <c r="E403" s="21"/>
      <c r="F403" s="21"/>
      <c r="G403" s="21"/>
      <c r="H403" s="21"/>
    </row>
    <row r="404" ht="14.25" spans="1:8">
      <c r="A404" s="21"/>
      <c r="B404" s="21"/>
      <c r="C404" s="21"/>
      <c r="D404" s="21"/>
      <c r="E404" s="21"/>
      <c r="F404" s="21"/>
      <c r="G404" s="21"/>
      <c r="H404" s="21"/>
    </row>
    <row r="405" ht="14.25" spans="1:8">
      <c r="A405" s="21"/>
      <c r="B405" s="21"/>
      <c r="C405" s="21"/>
      <c r="D405" s="21"/>
      <c r="E405" s="21"/>
      <c r="F405" s="21"/>
      <c r="G405" s="21"/>
      <c r="H405" s="21"/>
    </row>
    <row r="406" ht="14.25" spans="1:8">
      <c r="A406" s="21"/>
      <c r="B406" s="21"/>
      <c r="C406" s="21"/>
      <c r="D406" s="21"/>
      <c r="E406" s="21"/>
      <c r="F406" s="21"/>
      <c r="G406" s="21"/>
      <c r="H406" s="21"/>
    </row>
    <row r="407" ht="14.25" spans="1:8">
      <c r="A407" s="21"/>
      <c r="B407" s="21"/>
      <c r="C407" s="21"/>
      <c r="D407" s="21"/>
      <c r="E407" s="21"/>
      <c r="F407" s="21"/>
      <c r="G407" s="21"/>
      <c r="H407" s="21"/>
    </row>
    <row r="408" ht="14.25" spans="1:8">
      <c r="A408" s="21"/>
      <c r="B408" s="21"/>
      <c r="C408" s="21"/>
      <c r="D408" s="21"/>
      <c r="E408" s="21"/>
      <c r="F408" s="21"/>
      <c r="G408" s="21"/>
      <c r="H408" s="21"/>
    </row>
    <row r="409" ht="14.25" spans="1:8">
      <c r="A409" s="21"/>
      <c r="B409" s="21"/>
      <c r="C409" s="21"/>
      <c r="D409" s="21"/>
      <c r="E409" s="21"/>
      <c r="F409" s="21"/>
      <c r="G409" s="21"/>
      <c r="H409" s="21"/>
    </row>
    <row r="410" ht="14.25" spans="1:8">
      <c r="A410" s="21"/>
      <c r="B410" s="21"/>
      <c r="C410" s="21"/>
      <c r="D410" s="21"/>
      <c r="E410" s="21"/>
      <c r="F410" s="21"/>
      <c r="G410" s="21"/>
      <c r="H410" s="21"/>
    </row>
    <row r="411" ht="14.25" spans="1:8">
      <c r="A411" s="21"/>
      <c r="B411" s="21"/>
      <c r="C411" s="21"/>
      <c r="D411" s="21"/>
      <c r="E411" s="21"/>
      <c r="F411" s="21"/>
      <c r="G411" s="21"/>
      <c r="H411" s="21"/>
    </row>
    <row r="412" ht="14.25" spans="1:8">
      <c r="A412" s="21"/>
      <c r="B412" s="21"/>
      <c r="C412" s="21"/>
      <c r="D412" s="21"/>
      <c r="E412" s="21"/>
      <c r="F412" s="21"/>
      <c r="G412" s="21"/>
      <c r="H412" s="21"/>
    </row>
    <row r="413" ht="14.25" spans="1:8">
      <c r="A413" s="21"/>
      <c r="B413" s="21"/>
      <c r="C413" s="21"/>
      <c r="D413" s="21"/>
      <c r="E413" s="21"/>
      <c r="F413" s="21"/>
      <c r="G413" s="21"/>
      <c r="H413" s="21"/>
    </row>
    <row r="414" ht="14.25" spans="1:8">
      <c r="A414" s="21"/>
      <c r="B414" s="21"/>
      <c r="C414" s="21"/>
      <c r="D414" s="21"/>
      <c r="E414" s="21"/>
      <c r="F414" s="21"/>
      <c r="G414" s="21"/>
      <c r="H414" s="21"/>
    </row>
    <row r="415" ht="14.25" spans="1:8">
      <c r="A415" s="21"/>
      <c r="B415" s="21"/>
      <c r="C415" s="21"/>
      <c r="D415" s="21"/>
      <c r="E415" s="21"/>
      <c r="F415" s="21"/>
      <c r="G415" s="21"/>
      <c r="H415" s="21"/>
    </row>
    <row r="416" ht="14.25" spans="1:8">
      <c r="A416" s="21"/>
      <c r="B416" s="21"/>
      <c r="C416" s="21"/>
      <c r="D416" s="21"/>
      <c r="E416" s="21"/>
      <c r="F416" s="21"/>
      <c r="G416" s="21"/>
      <c r="H416" s="21"/>
    </row>
    <row r="417" ht="14.25" spans="1:8">
      <c r="A417" s="21"/>
      <c r="B417" s="21"/>
      <c r="C417" s="21"/>
      <c r="D417" s="21"/>
      <c r="E417" s="21"/>
      <c r="F417" s="21"/>
      <c r="G417" s="21"/>
      <c r="H417" s="21"/>
    </row>
    <row r="418" ht="14.25" spans="1:8">
      <c r="A418" s="21"/>
      <c r="B418" s="21"/>
      <c r="C418" s="21"/>
      <c r="D418" s="21"/>
      <c r="E418" s="21"/>
      <c r="F418" s="21"/>
      <c r="G418" s="21"/>
      <c r="H418" s="21"/>
    </row>
    <row r="419" ht="14.25" spans="1:8">
      <c r="A419" s="21"/>
      <c r="B419" s="21"/>
      <c r="C419" s="21"/>
      <c r="D419" s="21"/>
      <c r="E419" s="21"/>
      <c r="F419" s="21"/>
      <c r="G419" s="21"/>
      <c r="H419" s="21"/>
    </row>
    <row r="420" ht="14.25" spans="1:8">
      <c r="A420" s="21"/>
      <c r="B420" s="21"/>
      <c r="C420" s="21"/>
      <c r="D420" s="21"/>
      <c r="E420" s="21"/>
      <c r="F420" s="21"/>
      <c r="G420" s="21"/>
      <c r="H420" s="21"/>
    </row>
    <row r="421" ht="14.25" spans="1:8">
      <c r="A421" s="21"/>
      <c r="B421" s="21"/>
      <c r="C421" s="21"/>
      <c r="D421" s="21"/>
      <c r="E421" s="21"/>
      <c r="F421" s="21"/>
      <c r="G421" s="21"/>
      <c r="H421" s="21"/>
    </row>
    <row r="422" ht="14.25" spans="1:8">
      <c r="A422" s="21"/>
      <c r="B422" s="21"/>
      <c r="C422" s="21"/>
      <c r="D422" s="21"/>
      <c r="E422" s="21"/>
      <c r="F422" s="21"/>
      <c r="G422" s="21"/>
      <c r="H422" s="21"/>
    </row>
    <row r="423" ht="14.25" spans="1:8">
      <c r="A423" s="21"/>
      <c r="B423" s="21"/>
      <c r="C423" s="21"/>
      <c r="D423" s="21"/>
      <c r="E423" s="21"/>
      <c r="F423" s="21"/>
      <c r="G423" s="21"/>
      <c r="H423" s="21"/>
    </row>
    <row r="424" ht="14.25" spans="1:8">
      <c r="A424" s="21"/>
      <c r="B424" s="21"/>
      <c r="C424" s="21"/>
      <c r="D424" s="21"/>
      <c r="E424" s="21"/>
      <c r="F424" s="21"/>
      <c r="G424" s="21"/>
      <c r="H424" s="21"/>
    </row>
    <row r="425" ht="14.25" spans="1:8">
      <c r="A425" s="21"/>
      <c r="B425" s="21"/>
      <c r="C425" s="21"/>
      <c r="D425" s="21"/>
      <c r="E425" s="21"/>
      <c r="F425" s="21"/>
      <c r="G425" s="21"/>
      <c r="H425" s="21"/>
    </row>
    <row r="426" ht="14.25" spans="1:8">
      <c r="A426" s="21"/>
      <c r="B426" s="21"/>
      <c r="C426" s="21"/>
      <c r="D426" s="21"/>
      <c r="E426" s="21"/>
      <c r="F426" s="21"/>
      <c r="G426" s="21"/>
      <c r="H426" s="21"/>
    </row>
    <row r="427" ht="14.25" spans="1:8">
      <c r="A427" s="21"/>
      <c r="B427" s="21"/>
      <c r="C427" s="21"/>
      <c r="D427" s="21"/>
      <c r="E427" s="21"/>
      <c r="F427" s="21"/>
      <c r="G427" s="21"/>
      <c r="H427" s="21"/>
    </row>
    <row r="428" ht="14.25" spans="1:8">
      <c r="A428" s="21"/>
      <c r="B428" s="21"/>
      <c r="C428" s="21"/>
      <c r="D428" s="21"/>
      <c r="E428" s="21"/>
      <c r="F428" s="21"/>
      <c r="G428" s="21"/>
      <c r="H428" s="21"/>
    </row>
    <row r="429" ht="14.25" spans="1:8">
      <c r="A429" s="21"/>
      <c r="B429" s="21"/>
      <c r="C429" s="21"/>
      <c r="D429" s="21"/>
      <c r="E429" s="21"/>
      <c r="F429" s="21"/>
      <c r="G429" s="21"/>
      <c r="H429" s="21"/>
    </row>
    <row r="430" ht="14.25" spans="1:8">
      <c r="A430" s="21"/>
      <c r="B430" s="21"/>
      <c r="C430" s="21"/>
      <c r="D430" s="21"/>
      <c r="E430" s="21"/>
      <c r="F430" s="21"/>
      <c r="G430" s="21"/>
      <c r="H430" s="21"/>
    </row>
    <row r="431" ht="14.25" spans="1:8">
      <c r="A431" s="21"/>
      <c r="B431" s="21"/>
      <c r="C431" s="21"/>
      <c r="D431" s="21"/>
      <c r="E431" s="21"/>
      <c r="F431" s="21"/>
      <c r="G431" s="21"/>
      <c r="H431" s="21"/>
    </row>
    <row r="432" ht="14.25" spans="1:8">
      <c r="A432" s="21"/>
      <c r="B432" s="21"/>
      <c r="C432" s="21"/>
      <c r="D432" s="21"/>
      <c r="E432" s="21"/>
      <c r="F432" s="21"/>
      <c r="G432" s="21"/>
      <c r="H432" s="21"/>
    </row>
    <row r="433" ht="14.25" spans="1:8">
      <c r="A433" s="21"/>
      <c r="B433" s="21"/>
      <c r="C433" s="21"/>
      <c r="D433" s="21"/>
      <c r="E433" s="21"/>
      <c r="F433" s="21"/>
      <c r="G433" s="21"/>
      <c r="H433" s="21"/>
    </row>
    <row r="434" ht="14.25" spans="1:8">
      <c r="A434" s="21"/>
      <c r="B434" s="21"/>
      <c r="C434" s="21"/>
      <c r="D434" s="21"/>
      <c r="E434" s="21"/>
      <c r="F434" s="21"/>
      <c r="G434" s="21"/>
      <c r="H434" s="21"/>
    </row>
    <row r="435" ht="14.25" spans="1:8">
      <c r="A435" s="21"/>
      <c r="B435" s="21"/>
      <c r="C435" s="21"/>
      <c r="D435" s="21"/>
      <c r="E435" s="21"/>
      <c r="F435" s="21"/>
      <c r="G435" s="21"/>
      <c r="H435" s="21"/>
    </row>
    <row r="436" ht="14.25" spans="1:8">
      <c r="A436" s="21"/>
      <c r="B436" s="21"/>
      <c r="C436" s="21"/>
      <c r="D436" s="21"/>
      <c r="E436" s="21"/>
      <c r="F436" s="21"/>
      <c r="G436" s="21"/>
      <c r="H436" s="21"/>
    </row>
    <row r="437" ht="14.25" spans="1:8">
      <c r="A437" s="21"/>
      <c r="B437" s="21"/>
      <c r="C437" s="21"/>
      <c r="D437" s="21"/>
      <c r="E437" s="21"/>
      <c r="F437" s="21"/>
      <c r="G437" s="21"/>
      <c r="H437" s="21"/>
    </row>
    <row r="438" ht="14.25" spans="1:8">
      <c r="A438" s="21"/>
      <c r="B438" s="21"/>
      <c r="C438" s="21"/>
      <c r="D438" s="21"/>
      <c r="E438" s="21"/>
      <c r="F438" s="21"/>
      <c r="G438" s="21"/>
      <c r="H438" s="21"/>
    </row>
    <row r="439" ht="14.25" spans="1:8">
      <c r="A439" s="21"/>
      <c r="B439" s="21"/>
      <c r="C439" s="21"/>
      <c r="D439" s="21"/>
      <c r="E439" s="21"/>
      <c r="F439" s="21"/>
      <c r="G439" s="21"/>
      <c r="H439" s="21"/>
    </row>
    <row r="440" ht="14.25" spans="1:8">
      <c r="A440" s="21"/>
      <c r="B440" s="21"/>
      <c r="C440" s="21"/>
      <c r="D440" s="21"/>
      <c r="E440" s="21"/>
      <c r="F440" s="21"/>
      <c r="G440" s="21"/>
      <c r="H440" s="21"/>
    </row>
    <row r="441" ht="14.25" spans="1:8">
      <c r="A441" s="21"/>
      <c r="B441" s="21"/>
      <c r="C441" s="21"/>
      <c r="D441" s="21"/>
      <c r="E441" s="21"/>
      <c r="F441" s="21"/>
      <c r="G441" s="21"/>
      <c r="H441" s="21"/>
    </row>
    <row r="442" ht="14.25" spans="1:8">
      <c r="A442" s="21"/>
      <c r="B442" s="21"/>
      <c r="C442" s="21"/>
      <c r="D442" s="21"/>
      <c r="E442" s="21"/>
      <c r="F442" s="21"/>
      <c r="G442" s="21"/>
      <c r="H442" s="21"/>
    </row>
    <row r="443" ht="14.25" spans="1:8">
      <c r="A443" s="21"/>
      <c r="B443" s="21"/>
      <c r="C443" s="21"/>
      <c r="D443" s="21"/>
      <c r="E443" s="21"/>
      <c r="F443" s="21"/>
      <c r="G443" s="21"/>
      <c r="H443" s="21"/>
    </row>
    <row r="444" ht="14.25" spans="1:8">
      <c r="A444" s="21"/>
      <c r="B444" s="21"/>
      <c r="C444" s="21"/>
      <c r="D444" s="21"/>
      <c r="E444" s="21"/>
      <c r="F444" s="21"/>
      <c r="G444" s="21"/>
      <c r="H444" s="21"/>
    </row>
    <row r="445" ht="14.25" spans="1:8">
      <c r="A445" s="21"/>
      <c r="B445" s="21"/>
      <c r="C445" s="21"/>
      <c r="D445" s="21"/>
      <c r="E445" s="21"/>
      <c r="F445" s="21"/>
      <c r="G445" s="21"/>
      <c r="H445" s="21"/>
    </row>
    <row r="446" ht="14.25" spans="1:8">
      <c r="A446" s="21"/>
      <c r="B446" s="21"/>
      <c r="C446" s="21"/>
      <c r="D446" s="21"/>
      <c r="E446" s="21"/>
      <c r="F446" s="21"/>
      <c r="G446" s="21"/>
      <c r="H446" s="21"/>
    </row>
    <row r="447" ht="14.25" spans="1:8">
      <c r="A447" s="21"/>
      <c r="B447" s="21"/>
      <c r="C447" s="21"/>
      <c r="D447" s="21"/>
      <c r="E447" s="21"/>
      <c r="F447" s="21"/>
      <c r="G447" s="21"/>
      <c r="H447" s="21"/>
    </row>
    <row r="448" ht="14.25" spans="1:8">
      <c r="A448" s="21"/>
      <c r="B448" s="21"/>
      <c r="C448" s="21"/>
      <c r="D448" s="21"/>
      <c r="E448" s="21"/>
      <c r="F448" s="21"/>
      <c r="G448" s="21"/>
      <c r="H448" s="21"/>
    </row>
    <row r="449" ht="14.25" spans="1:8">
      <c r="A449" s="21"/>
      <c r="B449" s="21"/>
      <c r="C449" s="21"/>
      <c r="D449" s="21"/>
      <c r="E449" s="21"/>
      <c r="F449" s="21"/>
      <c r="G449" s="21"/>
      <c r="H449" s="21"/>
    </row>
    <row r="450" ht="14.25" spans="1:8">
      <c r="A450" s="21"/>
      <c r="B450" s="21"/>
      <c r="C450" s="21"/>
      <c r="D450" s="21"/>
      <c r="E450" s="21"/>
      <c r="F450" s="21"/>
      <c r="G450" s="21"/>
      <c r="H450" s="21"/>
    </row>
    <row r="451" ht="14.25" spans="1:8">
      <c r="A451" s="21"/>
      <c r="B451" s="21"/>
      <c r="C451" s="21"/>
      <c r="D451" s="21"/>
      <c r="E451" s="21"/>
      <c r="F451" s="21"/>
      <c r="G451" s="21"/>
      <c r="H451" s="21"/>
    </row>
    <row r="452" ht="14.25" spans="1:8">
      <c r="A452" s="21"/>
      <c r="B452" s="21"/>
      <c r="C452" s="21"/>
      <c r="D452" s="21"/>
      <c r="E452" s="21"/>
      <c r="F452" s="21"/>
      <c r="G452" s="21"/>
      <c r="H452" s="21"/>
    </row>
    <row r="453" ht="14.25" spans="1:8">
      <c r="A453" s="21"/>
      <c r="B453" s="21"/>
      <c r="C453" s="21"/>
      <c r="D453" s="21"/>
      <c r="E453" s="21"/>
      <c r="F453" s="21"/>
      <c r="G453" s="21"/>
      <c r="H453" s="21"/>
    </row>
    <row r="454" ht="14.25" spans="1:8">
      <c r="A454" s="21"/>
      <c r="B454" s="21"/>
      <c r="C454" s="21"/>
      <c r="D454" s="21"/>
      <c r="E454" s="21"/>
      <c r="F454" s="21"/>
      <c r="G454" s="21"/>
      <c r="H454" s="21"/>
    </row>
    <row r="455" ht="14.25" spans="1:8">
      <c r="A455" s="21"/>
      <c r="B455" s="21"/>
      <c r="C455" s="21"/>
      <c r="D455" s="21"/>
      <c r="E455" s="21"/>
      <c r="F455" s="21"/>
      <c r="G455" s="21"/>
      <c r="H455" s="21"/>
    </row>
    <row r="456" ht="14.25" spans="1:8">
      <c r="A456" s="21"/>
      <c r="B456" s="21"/>
      <c r="C456" s="21"/>
      <c r="D456" s="21"/>
      <c r="E456" s="21"/>
      <c r="F456" s="21"/>
      <c r="G456" s="21"/>
      <c r="H456" s="21"/>
    </row>
    <row r="457" ht="14.25" spans="1:8">
      <c r="A457" s="21"/>
      <c r="B457" s="21"/>
      <c r="C457" s="21"/>
      <c r="D457" s="21"/>
      <c r="E457" s="21"/>
      <c r="F457" s="21"/>
      <c r="G457" s="21"/>
      <c r="H457" s="21"/>
    </row>
    <row r="458" ht="14.25" spans="1:8">
      <c r="A458" s="21"/>
      <c r="B458" s="21"/>
      <c r="C458" s="21"/>
      <c r="D458" s="21"/>
      <c r="E458" s="21"/>
      <c r="F458" s="21"/>
      <c r="G458" s="21"/>
      <c r="H458" s="21"/>
    </row>
    <row r="459" ht="14.25" spans="1:8">
      <c r="A459" s="21"/>
      <c r="B459" s="21"/>
      <c r="C459" s="21"/>
      <c r="D459" s="21"/>
      <c r="E459" s="21"/>
      <c r="F459" s="21"/>
      <c r="G459" s="21"/>
      <c r="H459" s="21"/>
    </row>
    <row r="460" ht="14.25" spans="1:8">
      <c r="A460" s="21"/>
      <c r="B460" s="21"/>
      <c r="C460" s="21"/>
      <c r="D460" s="21"/>
      <c r="E460" s="21"/>
      <c r="F460" s="21"/>
      <c r="G460" s="21"/>
      <c r="H460" s="21"/>
    </row>
    <row r="461" ht="14.25" spans="1:8">
      <c r="A461" s="21"/>
      <c r="B461" s="21"/>
      <c r="C461" s="21"/>
      <c r="D461" s="21"/>
      <c r="E461" s="21"/>
      <c r="F461" s="21"/>
      <c r="G461" s="21"/>
      <c r="H461" s="21"/>
    </row>
    <row r="462" ht="14.25" spans="1:8">
      <c r="A462" s="21"/>
      <c r="B462" s="21"/>
      <c r="C462" s="21"/>
      <c r="D462" s="21"/>
      <c r="E462" s="21"/>
      <c r="F462" s="21"/>
      <c r="G462" s="21"/>
      <c r="H462" s="21"/>
    </row>
    <row r="463" ht="14.25" spans="1:8">
      <c r="A463" s="21"/>
      <c r="B463" s="21"/>
      <c r="C463" s="21"/>
      <c r="D463" s="21"/>
      <c r="E463" s="21"/>
      <c r="F463" s="21"/>
      <c r="G463" s="21"/>
      <c r="H463" s="21"/>
    </row>
    <row r="464" ht="14.25" spans="1:8">
      <c r="A464" s="21"/>
      <c r="B464" s="21"/>
      <c r="C464" s="21"/>
      <c r="D464" s="21"/>
      <c r="E464" s="21"/>
      <c r="F464" s="21"/>
      <c r="G464" s="21"/>
      <c r="H464" s="21"/>
    </row>
    <row r="465" ht="14.25" spans="1:8">
      <c r="A465" s="21"/>
      <c r="B465" s="21"/>
      <c r="C465" s="21"/>
      <c r="D465" s="21"/>
      <c r="E465" s="21"/>
      <c r="F465" s="21"/>
      <c r="G465" s="21"/>
      <c r="H465" s="21"/>
    </row>
    <row r="466" ht="14.25" spans="1:8">
      <c r="A466" s="21"/>
      <c r="B466" s="21"/>
      <c r="C466" s="21"/>
      <c r="D466" s="21"/>
      <c r="E466" s="21"/>
      <c r="F466" s="21"/>
      <c r="G466" s="21"/>
      <c r="H466" s="21"/>
    </row>
    <row r="467" ht="14.25" spans="1:8">
      <c r="A467" s="21"/>
      <c r="B467" s="21"/>
      <c r="C467" s="21"/>
      <c r="D467" s="21"/>
      <c r="E467" s="21"/>
      <c r="F467" s="21"/>
      <c r="G467" s="21"/>
      <c r="H467" s="21"/>
    </row>
    <row r="468" ht="14.25" spans="1:8">
      <c r="A468" s="21"/>
      <c r="B468" s="21"/>
      <c r="C468" s="21"/>
      <c r="D468" s="21"/>
      <c r="E468" s="21"/>
      <c r="F468" s="21"/>
      <c r="G468" s="21"/>
      <c r="H468" s="21"/>
    </row>
    <row r="469" ht="14.25" spans="1:8">
      <c r="A469" s="21"/>
      <c r="B469" s="21"/>
      <c r="C469" s="21"/>
      <c r="D469" s="21"/>
      <c r="E469" s="21"/>
      <c r="F469" s="21"/>
      <c r="G469" s="21"/>
      <c r="H469" s="21"/>
    </row>
    <row r="470" ht="14.25" spans="1:8">
      <c r="A470" s="21"/>
      <c r="B470" s="21"/>
      <c r="C470" s="21"/>
      <c r="D470" s="21"/>
      <c r="E470" s="21"/>
      <c r="F470" s="21"/>
      <c r="G470" s="21"/>
      <c r="H470" s="21"/>
    </row>
    <row r="471" ht="14.25" spans="1:8">
      <c r="A471" s="21"/>
      <c r="B471" s="21"/>
      <c r="C471" s="21"/>
      <c r="D471" s="21"/>
      <c r="E471" s="21"/>
      <c r="F471" s="21"/>
      <c r="G471" s="21"/>
      <c r="H471" s="21"/>
    </row>
    <row r="472" ht="14.25" spans="1:8">
      <c r="A472" s="21"/>
      <c r="B472" s="21"/>
      <c r="C472" s="21"/>
      <c r="D472" s="21"/>
      <c r="E472" s="21"/>
      <c r="F472" s="21"/>
      <c r="G472" s="21"/>
      <c r="H472" s="21"/>
    </row>
    <row r="473" ht="14.25" spans="1:8">
      <c r="A473" s="21"/>
      <c r="B473" s="21"/>
      <c r="C473" s="21"/>
      <c r="D473" s="21"/>
      <c r="E473" s="21"/>
      <c r="F473" s="21"/>
      <c r="G473" s="21"/>
      <c r="H473" s="21"/>
    </row>
    <row r="474" ht="14.25" spans="1:8">
      <c r="A474" s="21"/>
      <c r="B474" s="21"/>
      <c r="C474" s="21"/>
      <c r="D474" s="21"/>
      <c r="E474" s="21"/>
      <c r="F474" s="21"/>
      <c r="G474" s="21"/>
      <c r="H474" s="21"/>
    </row>
    <row r="475" ht="14.25" spans="1:8">
      <c r="A475" s="21"/>
      <c r="B475" s="21"/>
      <c r="C475" s="21"/>
      <c r="D475" s="21"/>
      <c r="E475" s="21"/>
      <c r="F475" s="21"/>
      <c r="G475" s="21"/>
      <c r="H475" s="21"/>
    </row>
    <row r="476" ht="14.25" spans="1:8">
      <c r="A476" s="21"/>
      <c r="B476" s="21"/>
      <c r="C476" s="21"/>
      <c r="D476" s="21"/>
      <c r="E476" s="21"/>
      <c r="F476" s="21"/>
      <c r="G476" s="21"/>
      <c r="H476" s="21"/>
    </row>
    <row r="477" ht="14.25" spans="1:8">
      <c r="A477" s="21"/>
      <c r="B477" s="21"/>
      <c r="C477" s="21"/>
      <c r="D477" s="21"/>
      <c r="E477" s="21"/>
      <c r="F477" s="21"/>
      <c r="G477" s="21"/>
      <c r="H477" s="21"/>
    </row>
    <row r="478" ht="14.25" spans="1:8">
      <c r="A478" s="21"/>
      <c r="B478" s="21"/>
      <c r="C478" s="21"/>
      <c r="D478" s="21"/>
      <c r="E478" s="21"/>
      <c r="F478" s="21"/>
      <c r="G478" s="21"/>
      <c r="H478" s="21"/>
    </row>
    <row r="479" ht="14.25" spans="1:8">
      <c r="A479" s="21"/>
      <c r="B479" s="21"/>
      <c r="C479" s="21"/>
      <c r="D479" s="21"/>
      <c r="E479" s="21"/>
      <c r="F479" s="21"/>
      <c r="G479" s="21"/>
      <c r="H479" s="21"/>
    </row>
    <row r="480" ht="14.25" spans="1:8">
      <c r="A480" s="21"/>
      <c r="B480" s="21"/>
      <c r="C480" s="21"/>
      <c r="D480" s="21"/>
      <c r="E480" s="21"/>
      <c r="F480" s="21"/>
      <c r="G480" s="21"/>
      <c r="H480" s="21"/>
    </row>
    <row r="481" ht="14.25" spans="1:8">
      <c r="A481" s="21"/>
      <c r="B481" s="21"/>
      <c r="C481" s="21"/>
      <c r="D481" s="21"/>
      <c r="E481" s="21"/>
      <c r="F481" s="21"/>
      <c r="G481" s="21"/>
      <c r="H481" s="21"/>
    </row>
    <row r="482" ht="14.25" spans="1:8">
      <c r="A482" s="21"/>
      <c r="B482" s="21"/>
      <c r="C482" s="21"/>
      <c r="D482" s="21"/>
      <c r="E482" s="21"/>
      <c r="F482" s="21"/>
      <c r="G482" s="21"/>
      <c r="H482" s="21"/>
    </row>
    <row r="483" ht="14.25" spans="1:8">
      <c r="A483" s="21"/>
      <c r="B483" s="21"/>
      <c r="C483" s="21"/>
      <c r="D483" s="21"/>
      <c r="E483" s="21"/>
      <c r="F483" s="21"/>
      <c r="G483" s="21"/>
      <c r="H483" s="21"/>
    </row>
    <row r="484" ht="14.25" spans="1:8">
      <c r="A484" s="21"/>
      <c r="B484" s="21"/>
      <c r="C484" s="21"/>
      <c r="D484" s="21"/>
      <c r="E484" s="21"/>
      <c r="F484" s="21"/>
      <c r="G484" s="21"/>
      <c r="H484" s="21"/>
    </row>
    <row r="485" ht="14.25" spans="1:8">
      <c r="A485" s="21"/>
      <c r="B485" s="21"/>
      <c r="C485" s="21"/>
      <c r="D485" s="21"/>
      <c r="E485" s="21"/>
      <c r="F485" s="21"/>
      <c r="G485" s="21"/>
      <c r="H485" s="21"/>
    </row>
    <row r="486" ht="14.25" spans="1:8">
      <c r="A486" s="21"/>
      <c r="B486" s="21"/>
      <c r="C486" s="21"/>
      <c r="D486" s="21"/>
      <c r="E486" s="21"/>
      <c r="F486" s="21"/>
      <c r="G486" s="21"/>
      <c r="H486" s="21"/>
    </row>
    <row r="487" ht="14.25" spans="1:8">
      <c r="A487" s="21"/>
      <c r="B487" s="21"/>
      <c r="C487" s="21"/>
      <c r="D487" s="21"/>
      <c r="E487" s="21"/>
      <c r="F487" s="21"/>
      <c r="G487" s="21"/>
      <c r="H487" s="21"/>
    </row>
    <row r="488" ht="14.25" spans="1:8">
      <c r="A488" s="21"/>
      <c r="B488" s="21"/>
      <c r="C488" s="21"/>
      <c r="D488" s="21"/>
      <c r="E488" s="21"/>
      <c r="F488" s="21"/>
      <c r="G488" s="21"/>
      <c r="H488" s="21"/>
    </row>
    <row r="489" ht="14.25" spans="1:8">
      <c r="A489" s="21"/>
      <c r="B489" s="21"/>
      <c r="C489" s="21"/>
      <c r="D489" s="21"/>
      <c r="E489" s="21"/>
      <c r="F489" s="21"/>
      <c r="G489" s="21"/>
      <c r="H489" s="21"/>
    </row>
    <row r="490" ht="14.25" spans="1:8">
      <c r="A490" s="21"/>
      <c r="B490" s="21"/>
      <c r="C490" s="21"/>
      <c r="D490" s="21"/>
      <c r="E490" s="21"/>
      <c r="F490" s="21"/>
      <c r="G490" s="21"/>
      <c r="H490" s="21"/>
    </row>
    <row r="491" ht="14.25" spans="1:8">
      <c r="A491" s="21"/>
      <c r="B491" s="21"/>
      <c r="C491" s="21"/>
      <c r="D491" s="21"/>
      <c r="E491" s="21"/>
      <c r="F491" s="21"/>
      <c r="G491" s="21"/>
      <c r="H491" s="21"/>
    </row>
    <row r="492" ht="14.25" spans="1:8">
      <c r="A492" s="21"/>
      <c r="B492" s="21"/>
      <c r="C492" s="21"/>
      <c r="D492" s="21"/>
      <c r="E492" s="21"/>
      <c r="F492" s="21"/>
      <c r="G492" s="21"/>
      <c r="H492" s="21"/>
    </row>
    <row r="493" ht="14.25" spans="1:8">
      <c r="A493" s="21"/>
      <c r="B493" s="21"/>
      <c r="C493" s="21"/>
      <c r="D493" s="21"/>
      <c r="E493" s="21"/>
      <c r="F493" s="21"/>
      <c r="G493" s="21"/>
      <c r="H493" s="21"/>
    </row>
    <row r="494" ht="14.25" spans="1:8">
      <c r="A494" s="21"/>
      <c r="B494" s="21"/>
      <c r="C494" s="21"/>
      <c r="D494" s="21"/>
      <c r="E494" s="21"/>
      <c r="F494" s="21"/>
      <c r="G494" s="21"/>
      <c r="H494" s="21"/>
    </row>
    <row r="495" ht="14.25" spans="1:8">
      <c r="A495" s="21"/>
      <c r="B495" s="21"/>
      <c r="C495" s="21"/>
      <c r="D495" s="21"/>
      <c r="E495" s="21"/>
      <c r="F495" s="21"/>
      <c r="G495" s="21"/>
      <c r="H495" s="21"/>
    </row>
    <row r="496" ht="14.25" spans="1:8">
      <c r="A496" s="21"/>
      <c r="B496" s="21"/>
      <c r="C496" s="21"/>
      <c r="D496" s="21"/>
      <c r="E496" s="21"/>
      <c r="F496" s="21"/>
      <c r="G496" s="21"/>
      <c r="H496" s="21"/>
    </row>
    <row r="497" ht="14.25" spans="1:8">
      <c r="A497" s="21"/>
      <c r="B497" s="21"/>
      <c r="C497" s="21"/>
      <c r="D497" s="21"/>
      <c r="E497" s="21"/>
      <c r="F497" s="21"/>
      <c r="G497" s="21"/>
      <c r="H497" s="21"/>
    </row>
    <row r="498" ht="14.25" spans="1:8">
      <c r="A498" s="21"/>
      <c r="B498" s="21"/>
      <c r="C498" s="21"/>
      <c r="D498" s="21"/>
      <c r="E498" s="21"/>
      <c r="F498" s="21"/>
      <c r="G498" s="21"/>
      <c r="H498" s="21"/>
    </row>
    <row r="499" ht="14.25" spans="1:8">
      <c r="A499" s="21"/>
      <c r="B499" s="21"/>
      <c r="C499" s="21"/>
      <c r="D499" s="21"/>
      <c r="E499" s="21"/>
      <c r="F499" s="21"/>
      <c r="G499" s="21"/>
      <c r="H499" s="21"/>
    </row>
    <row r="500" ht="14.25" spans="1:8">
      <c r="A500" s="21"/>
      <c r="B500" s="21"/>
      <c r="C500" s="21"/>
      <c r="D500" s="21"/>
      <c r="E500" s="21"/>
      <c r="F500" s="21"/>
      <c r="G500" s="21"/>
      <c r="H500" s="21"/>
    </row>
    <row r="501" ht="14.25" spans="1:8">
      <c r="A501" s="21"/>
      <c r="B501" s="21"/>
      <c r="C501" s="21"/>
      <c r="D501" s="21"/>
      <c r="E501" s="21"/>
      <c r="F501" s="21"/>
      <c r="G501" s="21"/>
      <c r="H501" s="21"/>
    </row>
    <row r="502" ht="14.25" spans="1:8">
      <c r="A502" s="21"/>
      <c r="B502" s="21"/>
      <c r="C502" s="21"/>
      <c r="D502" s="21"/>
      <c r="E502" s="21"/>
      <c r="F502" s="21"/>
      <c r="G502" s="21"/>
      <c r="H502" s="21"/>
    </row>
    <row r="503" ht="14.25" spans="1:8">
      <c r="A503" s="21"/>
      <c r="B503" s="21"/>
      <c r="C503" s="21"/>
      <c r="D503" s="21"/>
      <c r="E503" s="21"/>
      <c r="F503" s="21"/>
      <c r="G503" s="21"/>
      <c r="H503" s="21"/>
    </row>
    <row r="504" ht="14.25" spans="1:8">
      <c r="A504" s="21"/>
      <c r="B504" s="21"/>
      <c r="C504" s="21"/>
      <c r="D504" s="21"/>
      <c r="E504" s="21"/>
      <c r="F504" s="21"/>
      <c r="G504" s="21"/>
      <c r="H504" s="21"/>
    </row>
    <row r="505" ht="14.25" spans="1:8">
      <c r="A505" s="21"/>
      <c r="B505" s="21"/>
      <c r="C505" s="21"/>
      <c r="D505" s="21"/>
      <c r="E505" s="21"/>
      <c r="F505" s="21"/>
      <c r="G505" s="21"/>
      <c r="H505" s="21"/>
    </row>
    <row r="506" ht="14.25" spans="1:8">
      <c r="A506" s="21"/>
      <c r="B506" s="21"/>
      <c r="C506" s="21"/>
      <c r="D506" s="21"/>
      <c r="E506" s="21"/>
      <c r="F506" s="21"/>
      <c r="G506" s="21"/>
      <c r="H506" s="21"/>
    </row>
    <row r="507" ht="14.25" spans="1:8">
      <c r="A507" s="21"/>
      <c r="B507" s="21"/>
      <c r="C507" s="21"/>
      <c r="D507" s="21"/>
      <c r="E507" s="21"/>
      <c r="F507" s="21"/>
      <c r="G507" s="21"/>
      <c r="H507" s="21"/>
    </row>
    <row r="508" ht="14.25" spans="1:8">
      <c r="A508" s="21"/>
      <c r="B508" s="21"/>
      <c r="C508" s="21"/>
      <c r="D508" s="21"/>
      <c r="E508" s="21"/>
      <c r="F508" s="21"/>
      <c r="G508" s="21"/>
      <c r="H508" s="21"/>
    </row>
    <row r="509" ht="14.25" spans="1:8">
      <c r="A509" s="21"/>
      <c r="B509" s="21"/>
      <c r="C509" s="21"/>
      <c r="D509" s="21"/>
      <c r="E509" s="21"/>
      <c r="F509" s="21"/>
      <c r="G509" s="21"/>
      <c r="H509" s="21"/>
    </row>
    <row r="510" ht="14.25" spans="1:8">
      <c r="A510" s="21"/>
      <c r="B510" s="21"/>
      <c r="C510" s="21"/>
      <c r="D510" s="21"/>
      <c r="E510" s="21"/>
      <c r="F510" s="21"/>
      <c r="G510" s="21"/>
      <c r="H510" s="21"/>
    </row>
    <row r="511" ht="14.25" spans="1:8">
      <c r="A511" s="21"/>
      <c r="B511" s="21"/>
      <c r="C511" s="21"/>
      <c r="D511" s="21"/>
      <c r="E511" s="21"/>
      <c r="F511" s="21"/>
      <c r="G511" s="21"/>
      <c r="H511" s="21"/>
    </row>
    <row r="512" ht="14.25" spans="1:8">
      <c r="A512" s="21"/>
      <c r="B512" s="21"/>
      <c r="C512" s="21"/>
      <c r="D512" s="21"/>
      <c r="E512" s="21"/>
      <c r="F512" s="21"/>
      <c r="G512" s="21"/>
      <c r="H512" s="21"/>
    </row>
    <row r="513" ht="14.25" spans="1:8">
      <c r="A513" s="21"/>
      <c r="B513" s="21"/>
      <c r="C513" s="21"/>
      <c r="D513" s="21"/>
      <c r="E513" s="21"/>
      <c r="F513" s="21"/>
      <c r="G513" s="21"/>
      <c r="H513" s="21"/>
    </row>
    <row r="514" ht="14.25" spans="1:8">
      <c r="A514" s="21"/>
      <c r="B514" s="21"/>
      <c r="C514" s="21"/>
      <c r="D514" s="21"/>
      <c r="E514" s="21"/>
      <c r="F514" s="21"/>
      <c r="G514" s="21"/>
      <c r="H514" s="21"/>
    </row>
    <row r="515" ht="14.25" spans="1:8">
      <c r="A515" s="21"/>
      <c r="B515" s="21"/>
      <c r="C515" s="21"/>
      <c r="D515" s="21"/>
      <c r="E515" s="21"/>
      <c r="F515" s="21"/>
      <c r="G515" s="21"/>
      <c r="H515" s="21"/>
    </row>
    <row r="516" ht="14.25" spans="1:8">
      <c r="A516" s="21"/>
      <c r="B516" s="21"/>
      <c r="C516" s="21"/>
      <c r="D516" s="21"/>
      <c r="E516" s="21"/>
      <c r="F516" s="21"/>
      <c r="G516" s="21"/>
      <c r="H516" s="21"/>
    </row>
    <row r="517" ht="14.25" spans="1:8">
      <c r="A517" s="21"/>
      <c r="B517" s="21"/>
      <c r="C517" s="21"/>
      <c r="D517" s="21"/>
      <c r="E517" s="21"/>
      <c r="F517" s="21"/>
      <c r="G517" s="21"/>
      <c r="H517" s="21"/>
    </row>
    <row r="518" ht="14.25" spans="1:8">
      <c r="A518" s="21"/>
      <c r="B518" s="21"/>
      <c r="C518" s="21"/>
      <c r="D518" s="21"/>
      <c r="E518" s="21"/>
      <c r="F518" s="21"/>
      <c r="G518" s="21"/>
      <c r="H518" s="21"/>
    </row>
    <row r="519" ht="14.25" spans="1:8">
      <c r="A519" s="21"/>
      <c r="B519" s="21"/>
      <c r="C519" s="21"/>
      <c r="D519" s="21"/>
      <c r="E519" s="21"/>
      <c r="F519" s="21"/>
      <c r="G519" s="21"/>
      <c r="H519" s="21"/>
    </row>
    <row r="520" ht="14.25" spans="1:8">
      <c r="A520" s="21"/>
      <c r="B520" s="21"/>
      <c r="C520" s="21"/>
      <c r="D520" s="21"/>
      <c r="E520" s="21"/>
      <c r="F520" s="21"/>
      <c r="G520" s="21"/>
      <c r="H520" s="21"/>
    </row>
    <row r="521" ht="14.25" spans="1:8">
      <c r="A521" s="21"/>
      <c r="B521" s="21"/>
      <c r="C521" s="21"/>
      <c r="D521" s="21"/>
      <c r="E521" s="21"/>
      <c r="F521" s="21"/>
      <c r="G521" s="21"/>
      <c r="H521" s="21"/>
    </row>
    <row r="522" ht="14.25" spans="1:8">
      <c r="A522" s="21"/>
      <c r="B522" s="21"/>
      <c r="C522" s="21"/>
      <c r="D522" s="21"/>
      <c r="E522" s="21"/>
      <c r="F522" s="21"/>
      <c r="G522" s="21"/>
      <c r="H522" s="21"/>
    </row>
    <row r="523" ht="14.25" spans="1:8">
      <c r="A523" s="21"/>
      <c r="B523" s="21"/>
      <c r="C523" s="21"/>
      <c r="D523" s="21"/>
      <c r="E523" s="21"/>
      <c r="F523" s="21"/>
      <c r="G523" s="21"/>
      <c r="H523" s="21"/>
    </row>
    <row r="524" ht="14.25" spans="1:8">
      <c r="A524" s="21"/>
      <c r="B524" s="21"/>
      <c r="C524" s="21"/>
      <c r="D524" s="21"/>
      <c r="E524" s="21"/>
      <c r="F524" s="21"/>
      <c r="G524" s="21"/>
      <c r="H524" s="21"/>
    </row>
    <row r="525" ht="14.25" spans="1:8">
      <c r="A525" s="21"/>
      <c r="B525" s="21"/>
      <c r="C525" s="21"/>
      <c r="D525" s="21"/>
      <c r="E525" s="21"/>
      <c r="F525" s="21"/>
      <c r="G525" s="21"/>
      <c r="H525" s="21"/>
    </row>
    <row r="526" ht="14.25" spans="1:8">
      <c r="A526" s="21"/>
      <c r="B526" s="21"/>
      <c r="C526" s="21"/>
      <c r="D526" s="21"/>
      <c r="E526" s="21"/>
      <c r="F526" s="21"/>
      <c r="G526" s="21"/>
      <c r="H526" s="21"/>
    </row>
    <row r="527" ht="14.25" spans="1:8">
      <c r="A527" s="21"/>
      <c r="B527" s="21"/>
      <c r="C527" s="21"/>
      <c r="D527" s="21"/>
      <c r="E527" s="21"/>
      <c r="F527" s="21"/>
      <c r="G527" s="21"/>
      <c r="H527" s="21"/>
    </row>
    <row r="528" ht="14.25" spans="1:8">
      <c r="A528" s="21"/>
      <c r="B528" s="21"/>
      <c r="C528" s="21"/>
      <c r="D528" s="21"/>
      <c r="E528" s="21"/>
      <c r="F528" s="21"/>
      <c r="G528" s="21"/>
      <c r="H528" s="21"/>
    </row>
    <row r="529" ht="14.25" spans="1:8">
      <c r="A529" s="21"/>
      <c r="B529" s="21"/>
      <c r="C529" s="21"/>
      <c r="D529" s="21"/>
      <c r="E529" s="21"/>
      <c r="F529" s="21"/>
      <c r="G529" s="21"/>
      <c r="H529" s="21"/>
    </row>
    <row r="530" ht="14.25" spans="1:8">
      <c r="A530" s="21"/>
      <c r="B530" s="21"/>
      <c r="C530" s="21"/>
      <c r="D530" s="21"/>
      <c r="E530" s="21"/>
      <c r="F530" s="21"/>
      <c r="G530" s="21"/>
      <c r="H530" s="21"/>
    </row>
    <row r="531" ht="14.25" spans="1:8">
      <c r="A531" s="21"/>
      <c r="B531" s="21"/>
      <c r="C531" s="21"/>
      <c r="D531" s="21"/>
      <c r="E531" s="21"/>
      <c r="F531" s="21"/>
      <c r="G531" s="21"/>
      <c r="H531" s="21"/>
    </row>
    <row r="532" ht="14.25" spans="1:8">
      <c r="A532" s="21"/>
      <c r="B532" s="21"/>
      <c r="C532" s="21"/>
      <c r="D532" s="21"/>
      <c r="E532" s="21"/>
      <c r="F532" s="21"/>
      <c r="G532" s="21"/>
      <c r="H532" s="21"/>
    </row>
    <row r="533" ht="14.25" spans="1:8">
      <c r="A533" s="21"/>
      <c r="B533" s="21"/>
      <c r="C533" s="21"/>
      <c r="D533" s="21"/>
      <c r="E533" s="21"/>
      <c r="F533" s="21"/>
      <c r="G533" s="21"/>
      <c r="H533" s="21"/>
    </row>
    <row r="534" ht="14.25" spans="1:8">
      <c r="A534" s="21"/>
      <c r="B534" s="21"/>
      <c r="C534" s="21"/>
      <c r="D534" s="21"/>
      <c r="E534" s="21"/>
      <c r="F534" s="21"/>
      <c r="G534" s="21"/>
      <c r="H534" s="21"/>
    </row>
    <row r="535" ht="14.25" spans="1:8">
      <c r="A535" s="21"/>
      <c r="B535" s="21"/>
      <c r="C535" s="21"/>
      <c r="D535" s="21"/>
      <c r="E535" s="21"/>
      <c r="F535" s="21"/>
      <c r="G535" s="21"/>
      <c r="H535" s="21"/>
    </row>
    <row r="536" ht="14.25" spans="1:8">
      <c r="A536" s="21"/>
      <c r="B536" s="21"/>
      <c r="C536" s="21"/>
      <c r="D536" s="21"/>
      <c r="E536" s="21"/>
      <c r="F536" s="21"/>
      <c r="G536" s="21"/>
      <c r="H536" s="21"/>
    </row>
    <row r="537" ht="14.25" spans="1:8">
      <c r="A537" s="21"/>
      <c r="B537" s="21"/>
      <c r="C537" s="21"/>
      <c r="D537" s="21"/>
      <c r="E537" s="21"/>
      <c r="F537" s="21"/>
      <c r="G537" s="21"/>
      <c r="H537" s="21"/>
    </row>
    <row r="538" ht="14.25" spans="1:8">
      <c r="A538" s="21"/>
      <c r="B538" s="21"/>
      <c r="C538" s="21"/>
      <c r="D538" s="21"/>
      <c r="E538" s="21"/>
      <c r="F538" s="21"/>
      <c r="G538" s="21"/>
      <c r="H538" s="21"/>
    </row>
    <row r="539" ht="14.25" spans="1:8">
      <c r="A539" s="21"/>
      <c r="B539" s="21"/>
      <c r="C539" s="21"/>
      <c r="D539" s="21"/>
      <c r="E539" s="21"/>
      <c r="F539" s="21"/>
      <c r="G539" s="21"/>
      <c r="H539" s="21"/>
    </row>
    <row r="540" ht="14.25" spans="1:8">
      <c r="A540" s="21"/>
      <c r="B540" s="21"/>
      <c r="C540" s="21"/>
      <c r="D540" s="21"/>
      <c r="E540" s="21"/>
      <c r="F540" s="21"/>
      <c r="G540" s="21"/>
      <c r="H540" s="21"/>
    </row>
    <row r="541" ht="14.25" spans="1:8">
      <c r="A541" s="21"/>
      <c r="B541" s="21"/>
      <c r="C541" s="21"/>
      <c r="D541" s="21"/>
      <c r="E541" s="21"/>
      <c r="F541" s="21"/>
      <c r="G541" s="21"/>
      <c r="H541" s="21"/>
    </row>
    <row r="542" ht="14.25" spans="1:8">
      <c r="A542" s="21"/>
      <c r="B542" s="21"/>
      <c r="C542" s="21"/>
      <c r="D542" s="21"/>
      <c r="E542" s="21"/>
      <c r="F542" s="21"/>
      <c r="G542" s="21"/>
      <c r="H542" s="21"/>
    </row>
    <row r="543" ht="14.25" spans="1:8">
      <c r="A543" s="21"/>
      <c r="B543" s="21"/>
      <c r="C543" s="21"/>
      <c r="D543" s="21"/>
      <c r="E543" s="21"/>
      <c r="F543" s="21"/>
      <c r="G543" s="21"/>
      <c r="H543" s="21"/>
    </row>
    <row r="544" ht="14.25" spans="1:8">
      <c r="A544" s="21"/>
      <c r="B544" s="21"/>
      <c r="C544" s="21"/>
      <c r="D544" s="21"/>
      <c r="E544" s="21"/>
      <c r="F544" s="21"/>
      <c r="G544" s="21"/>
      <c r="H544" s="21"/>
    </row>
    <row r="545" ht="14.25" spans="1:8">
      <c r="A545" s="21"/>
      <c r="B545" s="21"/>
      <c r="C545" s="21"/>
      <c r="D545" s="21"/>
      <c r="E545" s="21"/>
      <c r="F545" s="21"/>
      <c r="G545" s="21"/>
      <c r="H545" s="21"/>
    </row>
    <row r="546" ht="14.25" spans="1:8">
      <c r="A546" s="21"/>
      <c r="B546" s="21"/>
      <c r="C546" s="21"/>
      <c r="D546" s="21"/>
      <c r="E546" s="21"/>
      <c r="F546" s="21"/>
      <c r="G546" s="21"/>
      <c r="H546" s="21"/>
    </row>
    <row r="547" ht="14.25" spans="1:8">
      <c r="A547" s="21"/>
      <c r="B547" s="21"/>
      <c r="C547" s="21"/>
      <c r="D547" s="21"/>
      <c r="E547" s="21"/>
      <c r="F547" s="21"/>
      <c r="G547" s="21"/>
      <c r="H547" s="21"/>
    </row>
    <row r="548" ht="14.25" spans="1:8">
      <c r="A548" s="21"/>
      <c r="B548" s="21"/>
      <c r="C548" s="21"/>
      <c r="D548" s="21"/>
      <c r="E548" s="21"/>
      <c r="F548" s="21"/>
      <c r="G548" s="21"/>
      <c r="H548" s="21"/>
    </row>
    <row r="549" ht="14.25" spans="1:8">
      <c r="A549" s="21"/>
      <c r="B549" s="21"/>
      <c r="C549" s="21"/>
      <c r="D549" s="21"/>
      <c r="E549" s="21"/>
      <c r="F549" s="21"/>
      <c r="G549" s="21"/>
      <c r="H549" s="21"/>
    </row>
    <row r="550" ht="14.25" spans="1:8">
      <c r="A550" s="21"/>
      <c r="B550" s="21"/>
      <c r="C550" s="21"/>
      <c r="D550" s="21"/>
      <c r="E550" s="21"/>
      <c r="F550" s="21"/>
      <c r="G550" s="21"/>
      <c r="H550" s="21"/>
    </row>
    <row r="551" ht="14.25" spans="1:8">
      <c r="A551" s="21"/>
      <c r="B551" s="21"/>
      <c r="C551" s="21"/>
      <c r="D551" s="21"/>
      <c r="E551" s="21"/>
      <c r="F551" s="21"/>
      <c r="G551" s="21"/>
      <c r="H551" s="21"/>
    </row>
    <row r="552" ht="14.25" spans="1:8">
      <c r="A552" s="21"/>
      <c r="B552" s="21"/>
      <c r="C552" s="21"/>
      <c r="D552" s="21"/>
      <c r="E552" s="21"/>
      <c r="F552" s="21"/>
      <c r="G552" s="21"/>
      <c r="H552" s="21"/>
    </row>
    <row r="553" ht="14.25" spans="1:8">
      <c r="A553" s="21"/>
      <c r="B553" s="21"/>
      <c r="C553" s="21"/>
      <c r="D553" s="21"/>
      <c r="E553" s="21"/>
      <c r="F553" s="21"/>
      <c r="G553" s="21"/>
      <c r="H553" s="21"/>
    </row>
    <row r="554" ht="14.25" spans="1:8">
      <c r="A554" s="21"/>
      <c r="B554" s="21"/>
      <c r="C554" s="21"/>
      <c r="D554" s="21"/>
      <c r="E554" s="21"/>
      <c r="F554" s="21"/>
      <c r="G554" s="21"/>
      <c r="H554" s="21"/>
    </row>
    <row r="555" ht="14.25" spans="1:8">
      <c r="A555" s="21"/>
      <c r="B555" s="21"/>
      <c r="C555" s="21"/>
      <c r="D555" s="21"/>
      <c r="E555" s="21"/>
      <c r="F555" s="21"/>
      <c r="G555" s="21"/>
      <c r="H555" s="21"/>
    </row>
    <row r="556" ht="14.25" spans="1:8">
      <c r="A556" s="21"/>
      <c r="B556" s="21"/>
      <c r="C556" s="21"/>
      <c r="D556" s="21"/>
      <c r="E556" s="21"/>
      <c r="F556" s="21"/>
      <c r="G556" s="21"/>
      <c r="H556" s="21"/>
    </row>
    <row r="557" ht="14.25" spans="1:8">
      <c r="A557" s="21"/>
      <c r="B557" s="21"/>
      <c r="C557" s="21"/>
      <c r="D557" s="21"/>
      <c r="E557" s="21"/>
      <c r="F557" s="21"/>
      <c r="G557" s="21"/>
      <c r="H557" s="21"/>
    </row>
    <row r="558" ht="14.25" spans="1:8">
      <c r="A558" s="21"/>
      <c r="B558" s="21"/>
      <c r="C558" s="21"/>
      <c r="D558" s="21"/>
      <c r="E558" s="21"/>
      <c r="F558" s="21"/>
      <c r="G558" s="21"/>
      <c r="H558" s="21"/>
    </row>
    <row r="559" ht="14.25" spans="1:8">
      <c r="A559" s="21"/>
      <c r="B559" s="21"/>
      <c r="C559" s="21"/>
      <c r="D559" s="21"/>
      <c r="E559" s="21"/>
      <c r="F559" s="21"/>
      <c r="G559" s="21"/>
      <c r="H559" s="21"/>
    </row>
    <row r="560" ht="14.25" spans="1:8">
      <c r="A560" s="21"/>
      <c r="B560" s="21"/>
      <c r="C560" s="21"/>
      <c r="D560" s="21"/>
      <c r="E560" s="21"/>
      <c r="F560" s="21"/>
      <c r="G560" s="21"/>
      <c r="H560" s="21"/>
    </row>
    <row r="561" ht="14.25" spans="1:8">
      <c r="A561" s="21"/>
      <c r="B561" s="21"/>
      <c r="C561" s="21"/>
      <c r="D561" s="21"/>
      <c r="E561" s="21"/>
      <c r="F561" s="21"/>
      <c r="G561" s="21"/>
      <c r="H561" s="21"/>
    </row>
    <row r="562" ht="14.25" spans="1:8">
      <c r="A562" s="21"/>
      <c r="B562" s="21"/>
      <c r="C562" s="21"/>
      <c r="D562" s="21"/>
      <c r="E562" s="21"/>
      <c r="F562" s="21"/>
      <c r="G562" s="21"/>
      <c r="H562" s="21"/>
    </row>
    <row r="563" ht="14.25" spans="1:8">
      <c r="A563" s="21"/>
      <c r="B563" s="21"/>
      <c r="C563" s="21"/>
      <c r="D563" s="21"/>
      <c r="E563" s="21"/>
      <c r="F563" s="21"/>
      <c r="G563" s="21"/>
      <c r="H563" s="21"/>
    </row>
    <row r="564" ht="14.25" spans="1:8">
      <c r="A564" s="21"/>
      <c r="B564" s="21"/>
      <c r="C564" s="21"/>
      <c r="D564" s="21"/>
      <c r="E564" s="21"/>
      <c r="F564" s="21"/>
      <c r="G564" s="21"/>
      <c r="H564" s="21"/>
    </row>
    <row r="565" ht="14.25" spans="1:8">
      <c r="A565" s="21"/>
      <c r="B565" s="21"/>
      <c r="C565" s="21"/>
      <c r="D565" s="21"/>
      <c r="E565" s="21"/>
      <c r="F565" s="21"/>
      <c r="G565" s="21"/>
      <c r="H565" s="21"/>
    </row>
    <row r="566" ht="14.25" spans="1:8">
      <c r="A566" s="21"/>
      <c r="B566" s="21"/>
      <c r="C566" s="21"/>
      <c r="D566" s="21"/>
      <c r="E566" s="21"/>
      <c r="F566" s="21"/>
      <c r="G566" s="21"/>
      <c r="H566" s="21"/>
    </row>
    <row r="567" ht="14.25" spans="1:8">
      <c r="A567" s="21"/>
      <c r="B567" s="21"/>
      <c r="C567" s="21"/>
      <c r="D567" s="21"/>
      <c r="E567" s="21"/>
      <c r="F567" s="21"/>
      <c r="G567" s="21"/>
      <c r="H567" s="21"/>
    </row>
    <row r="568" ht="14.25" spans="1:8">
      <c r="A568" s="21"/>
      <c r="B568" s="21"/>
      <c r="C568" s="21"/>
      <c r="D568" s="21"/>
      <c r="E568" s="21"/>
      <c r="F568" s="21"/>
      <c r="G568" s="21"/>
      <c r="H568" s="21"/>
    </row>
    <row r="569" ht="14.25" spans="1:8">
      <c r="A569" s="21"/>
      <c r="B569" s="21"/>
      <c r="C569" s="21"/>
      <c r="D569" s="21"/>
      <c r="E569" s="21"/>
      <c r="F569" s="21"/>
      <c r="G569" s="21"/>
      <c r="H569" s="21"/>
    </row>
    <row r="570" ht="14.25" spans="1:8">
      <c r="A570" s="21"/>
      <c r="B570" s="21"/>
      <c r="C570" s="21"/>
      <c r="D570" s="21"/>
      <c r="E570" s="21"/>
      <c r="F570" s="21"/>
      <c r="G570" s="21"/>
      <c r="H570" s="21"/>
    </row>
    <row r="571" ht="14.25" spans="1:8">
      <c r="A571" s="21"/>
      <c r="B571" s="21"/>
      <c r="C571" s="21"/>
      <c r="D571" s="21"/>
      <c r="E571" s="21"/>
      <c r="F571" s="21"/>
      <c r="G571" s="21"/>
      <c r="H571" s="21"/>
    </row>
    <row r="572" ht="14.25" spans="1:8">
      <c r="A572" s="21"/>
      <c r="B572" s="21"/>
      <c r="C572" s="21"/>
      <c r="D572" s="21"/>
      <c r="E572" s="21"/>
      <c r="F572" s="21"/>
      <c r="G572" s="21"/>
      <c r="H572" s="21"/>
    </row>
    <row r="573" ht="14.25" spans="1:8">
      <c r="A573" s="21"/>
      <c r="B573" s="21"/>
      <c r="C573" s="21"/>
      <c r="D573" s="21"/>
      <c r="E573" s="21"/>
      <c r="F573" s="21"/>
      <c r="G573" s="21"/>
      <c r="H573" s="21"/>
    </row>
    <row r="574" ht="14.25" spans="1:8">
      <c r="A574" s="21"/>
      <c r="B574" s="21"/>
      <c r="C574" s="21"/>
      <c r="D574" s="21"/>
      <c r="E574" s="21"/>
      <c r="F574" s="21"/>
      <c r="G574" s="21"/>
      <c r="H574" s="21"/>
    </row>
    <row r="575" ht="14.25" spans="1:8">
      <c r="A575" s="21"/>
      <c r="B575" s="21"/>
      <c r="C575" s="21"/>
      <c r="D575" s="21"/>
      <c r="E575" s="21"/>
      <c r="F575" s="21"/>
      <c r="G575" s="21"/>
      <c r="H575" s="21"/>
    </row>
    <row r="576" ht="14.25" spans="1:8">
      <c r="A576" s="21"/>
      <c r="B576" s="21"/>
      <c r="C576" s="21"/>
      <c r="D576" s="21"/>
      <c r="E576" s="21"/>
      <c r="F576" s="21"/>
      <c r="G576" s="21"/>
      <c r="H576" s="21"/>
    </row>
    <row r="577" ht="14.25" spans="1:8">
      <c r="A577" s="21"/>
      <c r="B577" s="21"/>
      <c r="C577" s="21"/>
      <c r="D577" s="21"/>
      <c r="E577" s="21"/>
      <c r="F577" s="21"/>
      <c r="G577" s="21"/>
      <c r="H577" s="21"/>
    </row>
    <row r="578" ht="14.25" spans="1:8">
      <c r="A578" s="21"/>
      <c r="B578" s="21"/>
      <c r="C578" s="21"/>
      <c r="D578" s="21"/>
      <c r="E578" s="21"/>
      <c r="F578" s="21"/>
      <c r="G578" s="21"/>
      <c r="H578" s="21"/>
    </row>
    <row r="579" ht="14.25" spans="1:8">
      <c r="A579" s="21"/>
      <c r="B579" s="21"/>
      <c r="C579" s="21"/>
      <c r="D579" s="21"/>
      <c r="E579" s="21"/>
      <c r="F579" s="21"/>
      <c r="G579" s="21"/>
      <c r="H579" s="21"/>
    </row>
    <row r="580" ht="14.25" spans="1:8">
      <c r="A580" s="21"/>
      <c r="B580" s="21"/>
      <c r="C580" s="21"/>
      <c r="D580" s="21"/>
      <c r="E580" s="21"/>
      <c r="F580" s="21"/>
      <c r="G580" s="21"/>
      <c r="H580" s="21"/>
    </row>
    <row r="581" ht="14.25" spans="1:8">
      <c r="A581" s="21"/>
      <c r="B581" s="21"/>
      <c r="C581" s="21"/>
      <c r="D581" s="21"/>
      <c r="E581" s="21"/>
      <c r="F581" s="21"/>
      <c r="G581" s="21"/>
      <c r="H581" s="21"/>
    </row>
    <row r="582" ht="14.25" spans="1:8">
      <c r="A582" s="21"/>
      <c r="B582" s="21"/>
      <c r="C582" s="21"/>
      <c r="D582" s="21"/>
      <c r="E582" s="21"/>
      <c r="F582" s="21"/>
      <c r="G582" s="21"/>
      <c r="H582" s="21"/>
    </row>
    <row r="583" ht="14.25" spans="1:8">
      <c r="A583" s="21"/>
      <c r="B583" s="21"/>
      <c r="C583" s="21"/>
      <c r="D583" s="21"/>
      <c r="E583" s="21"/>
      <c r="F583" s="21"/>
      <c r="G583" s="21"/>
      <c r="H583" s="21"/>
    </row>
    <row r="584" ht="14.25" spans="1:8">
      <c r="A584" s="21"/>
      <c r="B584" s="21"/>
      <c r="C584" s="21"/>
      <c r="D584" s="21"/>
      <c r="E584" s="21"/>
      <c r="F584" s="21"/>
      <c r="G584" s="21"/>
      <c r="H584" s="21"/>
    </row>
    <row r="585" ht="14.25" spans="1:8">
      <c r="A585" s="21"/>
      <c r="B585" s="21"/>
      <c r="C585" s="21"/>
      <c r="D585" s="21"/>
      <c r="E585" s="21"/>
      <c r="F585" s="21"/>
      <c r="G585" s="21"/>
      <c r="H585" s="21"/>
    </row>
    <row r="586" ht="14.25" spans="1:8">
      <c r="A586" s="21"/>
      <c r="B586" s="21"/>
      <c r="C586" s="21"/>
      <c r="D586" s="21"/>
      <c r="E586" s="21"/>
      <c r="F586" s="21"/>
      <c r="G586" s="21"/>
      <c r="H586" s="21"/>
    </row>
    <row r="587" ht="14.25" spans="1:8">
      <c r="A587" s="21"/>
      <c r="B587" s="21"/>
      <c r="C587" s="21"/>
      <c r="D587" s="21"/>
      <c r="E587" s="21"/>
      <c r="F587" s="21"/>
      <c r="G587" s="21"/>
      <c r="H587" s="21"/>
    </row>
    <row r="588" ht="14.25" spans="1:8">
      <c r="A588" s="21"/>
      <c r="B588" s="21"/>
      <c r="C588" s="21"/>
      <c r="D588" s="21"/>
      <c r="E588" s="21"/>
      <c r="F588" s="21"/>
      <c r="G588" s="21"/>
      <c r="H588" s="21"/>
    </row>
    <row r="589" ht="14.25" spans="1:8">
      <c r="A589" s="21"/>
      <c r="B589" s="21"/>
      <c r="C589" s="21"/>
      <c r="D589" s="21"/>
      <c r="E589" s="21"/>
      <c r="F589" s="21"/>
      <c r="G589" s="21"/>
      <c r="H589" s="21"/>
    </row>
    <row r="590" ht="14.25" spans="1:8">
      <c r="A590" s="21"/>
      <c r="B590" s="21"/>
      <c r="C590" s="21"/>
      <c r="D590" s="21"/>
      <c r="E590" s="21"/>
      <c r="F590" s="21"/>
      <c r="G590" s="21"/>
      <c r="H590" s="21"/>
    </row>
    <row r="591" ht="14.25" spans="1:8">
      <c r="A591" s="21"/>
      <c r="B591" s="21"/>
      <c r="C591" s="21"/>
      <c r="D591" s="21"/>
      <c r="E591" s="21"/>
      <c r="F591" s="21"/>
      <c r="G591" s="21"/>
      <c r="H591" s="21"/>
    </row>
    <row r="592" ht="14.25" spans="1:8">
      <c r="A592" s="21"/>
      <c r="B592" s="21"/>
      <c r="C592" s="21"/>
      <c r="D592" s="21"/>
      <c r="E592" s="21"/>
      <c r="F592" s="21"/>
      <c r="G592" s="21"/>
      <c r="H592" s="21"/>
    </row>
    <row r="593" ht="14.25" spans="1:8">
      <c r="A593" s="21"/>
      <c r="B593" s="21"/>
      <c r="C593" s="21"/>
      <c r="D593" s="21"/>
      <c r="E593" s="21"/>
      <c r="F593" s="21"/>
      <c r="G593" s="21"/>
      <c r="H593" s="21"/>
    </row>
    <row r="594" ht="14.25" spans="1:8">
      <c r="A594" s="21"/>
      <c r="B594" s="21"/>
      <c r="C594" s="21"/>
      <c r="D594" s="21"/>
      <c r="E594" s="21"/>
      <c r="F594" s="21"/>
      <c r="G594" s="21"/>
      <c r="H594" s="21"/>
    </row>
    <row r="595" ht="14.25" spans="1:8">
      <c r="A595" s="21"/>
      <c r="B595" s="21"/>
      <c r="C595" s="21"/>
      <c r="D595" s="21"/>
      <c r="E595" s="21"/>
      <c r="F595" s="21"/>
      <c r="G595" s="21"/>
      <c r="H595" s="21"/>
    </row>
    <row r="596" ht="14.25" spans="1:8">
      <c r="A596" s="21"/>
      <c r="B596" s="21"/>
      <c r="C596" s="21"/>
      <c r="D596" s="21"/>
      <c r="E596" s="21"/>
      <c r="F596" s="21"/>
      <c r="G596" s="21"/>
      <c r="H596" s="21"/>
    </row>
    <row r="597" ht="14.25" spans="1:8">
      <c r="A597" s="21"/>
      <c r="B597" s="21"/>
      <c r="C597" s="21"/>
      <c r="D597" s="21"/>
      <c r="E597" s="21"/>
      <c r="F597" s="21"/>
      <c r="G597" s="21"/>
      <c r="H597" s="21"/>
    </row>
    <row r="598" ht="14.25" spans="1:8">
      <c r="A598" s="21"/>
      <c r="B598" s="21"/>
      <c r="C598" s="21"/>
      <c r="D598" s="21"/>
      <c r="E598" s="21"/>
      <c r="F598" s="21"/>
      <c r="G598" s="21"/>
      <c r="H598" s="21"/>
    </row>
    <row r="599" ht="14.25" spans="1:8">
      <c r="A599" s="21"/>
      <c r="B599" s="21"/>
      <c r="C599" s="21"/>
      <c r="D599" s="21"/>
      <c r="E599" s="21"/>
      <c r="F599" s="21"/>
      <c r="G599" s="21"/>
      <c r="H599" s="21"/>
    </row>
    <row r="600" ht="14.25" spans="1:8">
      <c r="A600" s="21"/>
      <c r="B600" s="21"/>
      <c r="C600" s="21"/>
      <c r="D600" s="21"/>
      <c r="E600" s="21"/>
      <c r="F600" s="21"/>
      <c r="G600" s="21"/>
      <c r="H600" s="21"/>
    </row>
    <row r="601" ht="14.25" spans="1:8">
      <c r="A601" s="21"/>
      <c r="B601" s="21"/>
      <c r="C601" s="21"/>
      <c r="D601" s="21"/>
      <c r="E601" s="21"/>
      <c r="F601" s="21"/>
      <c r="G601" s="21"/>
      <c r="H601" s="21"/>
    </row>
    <row r="602" ht="14.25" spans="1:8">
      <c r="A602" s="21"/>
      <c r="B602" s="21"/>
      <c r="C602" s="21"/>
      <c r="D602" s="21"/>
      <c r="E602" s="21"/>
      <c r="F602" s="21"/>
      <c r="G602" s="21"/>
      <c r="H602" s="21"/>
    </row>
    <row r="603" ht="14.25" spans="1:8">
      <c r="A603" s="21"/>
      <c r="B603" s="21"/>
      <c r="C603" s="21"/>
      <c r="D603" s="21"/>
      <c r="E603" s="21"/>
      <c r="F603" s="21"/>
      <c r="G603" s="21"/>
      <c r="H603" s="21"/>
    </row>
    <row r="604" ht="14.25" spans="1:8">
      <c r="A604" s="21"/>
      <c r="B604" s="21"/>
      <c r="C604" s="21"/>
      <c r="D604" s="21"/>
      <c r="E604" s="21"/>
      <c r="F604" s="21"/>
      <c r="G604" s="21"/>
      <c r="H604" s="21"/>
    </row>
    <row r="605" ht="14.25" spans="1:8">
      <c r="A605" s="21"/>
      <c r="B605" s="21"/>
      <c r="C605" s="21"/>
      <c r="D605" s="21"/>
      <c r="E605" s="21"/>
      <c r="F605" s="21"/>
      <c r="G605" s="21"/>
      <c r="H605" s="21"/>
    </row>
    <row r="606" ht="14.25" spans="1:8">
      <c r="A606" s="21"/>
      <c r="B606" s="21"/>
      <c r="C606" s="21"/>
      <c r="D606" s="21"/>
      <c r="E606" s="21"/>
      <c r="F606" s="21"/>
      <c r="G606" s="21"/>
      <c r="H606" s="21"/>
    </row>
    <row r="607" ht="14.25" spans="1:8">
      <c r="A607" s="21"/>
      <c r="B607" s="21"/>
      <c r="C607" s="21"/>
      <c r="D607" s="21"/>
      <c r="E607" s="21"/>
      <c r="F607" s="21"/>
      <c r="G607" s="21"/>
      <c r="H607" s="21"/>
    </row>
    <row r="608" ht="14.25" spans="1:8">
      <c r="A608" s="21"/>
      <c r="B608" s="21"/>
      <c r="C608" s="21"/>
      <c r="D608" s="21"/>
      <c r="E608" s="21"/>
      <c r="F608" s="21"/>
      <c r="G608" s="21"/>
      <c r="H608" s="21"/>
    </row>
    <row r="609" ht="14.25" spans="1:8">
      <c r="A609" s="21"/>
      <c r="B609" s="21"/>
      <c r="C609" s="21"/>
      <c r="D609" s="21"/>
      <c r="E609" s="21"/>
      <c r="F609" s="21"/>
      <c r="G609" s="21"/>
      <c r="H609" s="21"/>
    </row>
    <row r="610" ht="14.25" spans="1:8">
      <c r="A610" s="21"/>
      <c r="B610" s="21"/>
      <c r="C610" s="21"/>
      <c r="D610" s="21"/>
      <c r="E610" s="21"/>
      <c r="F610" s="21"/>
      <c r="G610" s="21"/>
      <c r="H610" s="21"/>
    </row>
    <row r="611" ht="14.25" spans="1:8">
      <c r="A611" s="21"/>
      <c r="B611" s="21"/>
      <c r="C611" s="21"/>
      <c r="D611" s="21"/>
      <c r="E611" s="21"/>
      <c r="F611" s="21"/>
      <c r="G611" s="21"/>
      <c r="H611" s="21"/>
    </row>
    <row r="612" ht="14.25" spans="1:8">
      <c r="A612" s="21"/>
      <c r="B612" s="21"/>
      <c r="C612" s="21"/>
      <c r="D612" s="21"/>
      <c r="E612" s="21"/>
      <c r="F612" s="21"/>
      <c r="G612" s="21"/>
      <c r="H612" s="21"/>
    </row>
    <row r="613" ht="14.25" spans="1:8">
      <c r="A613" s="21"/>
      <c r="B613" s="21"/>
      <c r="C613" s="21"/>
      <c r="D613" s="21"/>
      <c r="E613" s="21"/>
      <c r="F613" s="21"/>
      <c r="G613" s="21"/>
      <c r="H613" s="21"/>
    </row>
    <row r="614" ht="14.25" spans="1:8">
      <c r="A614" s="21"/>
      <c r="B614" s="21"/>
      <c r="C614" s="21"/>
      <c r="D614" s="21"/>
      <c r="E614" s="21"/>
      <c r="F614" s="21"/>
      <c r="G614" s="21"/>
      <c r="H614" s="21"/>
    </row>
    <row r="615" ht="14.25" spans="1:8">
      <c r="A615" s="21"/>
      <c r="B615" s="21"/>
      <c r="C615" s="21"/>
      <c r="D615" s="21"/>
      <c r="E615" s="21"/>
      <c r="F615" s="21"/>
      <c r="G615" s="21"/>
      <c r="H615" s="21"/>
    </row>
    <row r="616" ht="14.25" spans="1:8">
      <c r="A616" s="21"/>
      <c r="B616" s="21"/>
      <c r="C616" s="21"/>
      <c r="D616" s="21"/>
      <c r="E616" s="21"/>
      <c r="F616" s="21"/>
      <c r="G616" s="21"/>
      <c r="H616" s="21"/>
    </row>
    <row r="617" ht="14.25" spans="1:8">
      <c r="A617" s="21"/>
      <c r="B617" s="21"/>
      <c r="C617" s="21"/>
      <c r="D617" s="21"/>
      <c r="E617" s="21"/>
      <c r="F617" s="21"/>
      <c r="G617" s="21"/>
      <c r="H617" s="21"/>
    </row>
    <row r="618" ht="14.25" spans="1:8">
      <c r="A618" s="21"/>
      <c r="B618" s="21"/>
      <c r="C618" s="21"/>
      <c r="D618" s="21"/>
      <c r="E618" s="21"/>
      <c r="F618" s="21"/>
      <c r="G618" s="21"/>
      <c r="H618" s="21"/>
    </row>
    <row r="619" ht="14.25" spans="1:8">
      <c r="A619" s="21"/>
      <c r="B619" s="21"/>
      <c r="C619" s="21"/>
      <c r="D619" s="21"/>
      <c r="E619" s="21"/>
      <c r="F619" s="21"/>
      <c r="G619" s="21"/>
      <c r="H619" s="21"/>
    </row>
    <row r="620" ht="14.25" spans="1:8">
      <c r="A620" s="21"/>
      <c r="B620" s="21"/>
      <c r="C620" s="21"/>
      <c r="D620" s="21"/>
      <c r="E620" s="21"/>
      <c r="F620" s="21"/>
      <c r="G620" s="21"/>
      <c r="H620" s="21"/>
    </row>
    <row r="621" ht="14.25" spans="1:8">
      <c r="A621" s="21"/>
      <c r="B621" s="21"/>
      <c r="C621" s="21"/>
      <c r="D621" s="21"/>
      <c r="E621" s="21"/>
      <c r="F621" s="21"/>
      <c r="G621" s="21"/>
      <c r="H621" s="21"/>
    </row>
    <row r="622" ht="14.25" spans="1:8">
      <c r="A622" s="21"/>
      <c r="B622" s="21"/>
      <c r="C622" s="21"/>
      <c r="D622" s="21"/>
      <c r="E622" s="21"/>
      <c r="F622" s="21"/>
      <c r="G622" s="21"/>
      <c r="H622" s="21"/>
    </row>
    <row r="623" ht="14.25" spans="1:8">
      <c r="A623" s="21"/>
      <c r="B623" s="21"/>
      <c r="C623" s="21"/>
      <c r="D623" s="21"/>
      <c r="E623" s="21"/>
      <c r="F623" s="21"/>
      <c r="G623" s="21"/>
      <c r="H623" s="21"/>
    </row>
    <row r="624" ht="14.25" spans="1:8">
      <c r="A624" s="21"/>
      <c r="B624" s="21"/>
      <c r="C624" s="21"/>
      <c r="D624" s="21"/>
      <c r="E624" s="21"/>
      <c r="F624" s="21"/>
      <c r="G624" s="21"/>
      <c r="H624" s="21"/>
    </row>
    <row r="625" ht="14.25" spans="1:8">
      <c r="A625" s="21"/>
      <c r="B625" s="21"/>
      <c r="C625" s="21"/>
      <c r="D625" s="21"/>
      <c r="E625" s="21"/>
      <c r="F625" s="21"/>
      <c r="G625" s="21"/>
      <c r="H625" s="21"/>
    </row>
    <row r="626" ht="14.25" spans="1:8">
      <c r="A626" s="21"/>
      <c r="B626" s="21"/>
      <c r="C626" s="21"/>
      <c r="D626" s="21"/>
      <c r="E626" s="21"/>
      <c r="F626" s="21"/>
      <c r="G626" s="21"/>
      <c r="H626" s="21"/>
    </row>
    <row r="627" ht="14.25" spans="1:8">
      <c r="A627" s="21"/>
      <c r="B627" s="21"/>
      <c r="C627" s="21"/>
      <c r="D627" s="21"/>
      <c r="E627" s="21"/>
      <c r="F627" s="21"/>
      <c r="G627" s="21"/>
      <c r="H627" s="21"/>
    </row>
    <row r="628" ht="14.25" spans="1:8">
      <c r="A628" s="21"/>
      <c r="B628" s="21"/>
      <c r="C628" s="21"/>
      <c r="D628" s="21"/>
      <c r="E628" s="21"/>
      <c r="F628" s="21"/>
      <c r="G628" s="21"/>
      <c r="H628" s="21"/>
    </row>
    <row r="629" ht="14.25" spans="1:8">
      <c r="A629" s="21"/>
      <c r="B629" s="21"/>
      <c r="C629" s="21"/>
      <c r="D629" s="21"/>
      <c r="E629" s="21"/>
      <c r="F629" s="21"/>
      <c r="G629" s="21"/>
      <c r="H629" s="21"/>
    </row>
    <row r="630" ht="14.25" spans="1:8">
      <c r="A630" s="21"/>
      <c r="B630" s="21"/>
      <c r="C630" s="21"/>
      <c r="D630" s="21"/>
      <c r="E630" s="21"/>
      <c r="F630" s="21"/>
      <c r="G630" s="21"/>
      <c r="H630" s="21"/>
    </row>
    <row r="631" ht="14.25" spans="1:8">
      <c r="A631" s="21"/>
      <c r="B631" s="21"/>
      <c r="C631" s="21"/>
      <c r="D631" s="21"/>
      <c r="E631" s="21"/>
      <c r="F631" s="21"/>
      <c r="G631" s="21"/>
      <c r="H631" s="21"/>
    </row>
    <row r="632" ht="14.25" spans="1:8">
      <c r="A632" s="21"/>
      <c r="B632" s="21"/>
      <c r="C632" s="21"/>
      <c r="D632" s="21"/>
      <c r="E632" s="21"/>
      <c r="F632" s="21"/>
      <c r="G632" s="21"/>
      <c r="H632" s="21"/>
    </row>
    <row r="633" ht="14.25" spans="1:8">
      <c r="A633" s="21"/>
      <c r="B633" s="21"/>
      <c r="C633" s="21"/>
      <c r="D633" s="21"/>
      <c r="E633" s="21"/>
      <c r="F633" s="21"/>
      <c r="G633" s="21"/>
      <c r="H633" s="21"/>
    </row>
    <row r="634" ht="14.25" spans="1:8">
      <c r="A634" s="21"/>
      <c r="B634" s="21"/>
      <c r="C634" s="21"/>
      <c r="D634" s="21"/>
      <c r="E634" s="21"/>
      <c r="F634" s="21"/>
      <c r="G634" s="21"/>
      <c r="H634" s="21"/>
    </row>
    <row r="635" ht="14.25" spans="1:8">
      <c r="A635" s="21"/>
      <c r="B635" s="21"/>
      <c r="C635" s="21"/>
      <c r="D635" s="21"/>
      <c r="E635" s="21"/>
      <c r="F635" s="21"/>
      <c r="G635" s="21"/>
      <c r="H635" s="21"/>
    </row>
    <row r="636" ht="14.25" spans="1:8">
      <c r="A636" s="21"/>
      <c r="B636" s="21"/>
      <c r="C636" s="21"/>
      <c r="D636" s="21"/>
      <c r="E636" s="21"/>
      <c r="F636" s="21"/>
      <c r="G636" s="21"/>
      <c r="H636" s="21"/>
    </row>
    <row r="637" ht="14.25" spans="1:8">
      <c r="A637" s="21"/>
      <c r="B637" s="21"/>
      <c r="C637" s="21"/>
      <c r="D637" s="21"/>
      <c r="E637" s="21"/>
      <c r="F637" s="21"/>
      <c r="G637" s="21"/>
      <c r="H637" s="21"/>
    </row>
    <row r="638" ht="14.25" spans="1:8">
      <c r="A638" s="21"/>
      <c r="B638" s="21"/>
      <c r="C638" s="21"/>
      <c r="D638" s="21"/>
      <c r="E638" s="21"/>
      <c r="F638" s="21"/>
      <c r="G638" s="21"/>
      <c r="H638" s="21"/>
    </row>
    <row r="639" ht="14.25" spans="1:8">
      <c r="A639" s="21"/>
      <c r="B639" s="21"/>
      <c r="C639" s="21"/>
      <c r="D639" s="21"/>
      <c r="E639" s="21"/>
      <c r="F639" s="21"/>
      <c r="G639" s="21"/>
      <c r="H639" s="21"/>
    </row>
    <row r="640" ht="14.25" spans="1:8">
      <c r="A640" s="21"/>
      <c r="B640" s="21"/>
      <c r="C640" s="21"/>
      <c r="D640" s="21"/>
      <c r="E640" s="21"/>
      <c r="F640" s="21"/>
      <c r="G640" s="21"/>
      <c r="H640" s="21"/>
    </row>
    <row r="641" ht="14.25" spans="1:8">
      <c r="A641" s="21"/>
      <c r="B641" s="21"/>
      <c r="C641" s="21"/>
      <c r="D641" s="21"/>
      <c r="E641" s="21"/>
      <c r="F641" s="21"/>
      <c r="G641" s="21"/>
      <c r="H641" s="21"/>
    </row>
    <row r="642" ht="14.25" spans="1:8">
      <c r="A642" s="21"/>
      <c r="B642" s="21"/>
      <c r="C642" s="21"/>
      <c r="D642" s="21"/>
      <c r="E642" s="21"/>
      <c r="F642" s="21"/>
      <c r="G642" s="21"/>
      <c r="H642" s="21"/>
    </row>
    <row r="643" ht="14.25" spans="1:8">
      <c r="A643" s="21"/>
      <c r="B643" s="21"/>
      <c r="C643" s="21"/>
      <c r="D643" s="21"/>
      <c r="E643" s="21"/>
      <c r="F643" s="21"/>
      <c r="G643" s="21"/>
      <c r="H643" s="21"/>
    </row>
    <row r="644" ht="14.25" spans="1:8">
      <c r="A644" s="21"/>
      <c r="B644" s="21"/>
      <c r="C644" s="21"/>
      <c r="D644" s="21"/>
      <c r="E644" s="21"/>
      <c r="F644" s="21"/>
      <c r="G644" s="21"/>
      <c r="H644" s="21"/>
    </row>
    <row r="645" ht="14.25" spans="1:8">
      <c r="A645" s="21"/>
      <c r="B645" s="21"/>
      <c r="C645" s="21"/>
      <c r="D645" s="21"/>
      <c r="E645" s="21"/>
      <c r="F645" s="21"/>
      <c r="G645" s="21"/>
      <c r="H645" s="21"/>
    </row>
    <row r="646" ht="14.25" spans="1:8">
      <c r="A646" s="21"/>
      <c r="B646" s="21"/>
      <c r="C646" s="21"/>
      <c r="D646" s="21"/>
      <c r="E646" s="21"/>
      <c r="F646" s="21"/>
      <c r="G646" s="21"/>
      <c r="H646" s="21"/>
    </row>
    <row r="647" ht="14.25" spans="1:8">
      <c r="A647" s="21"/>
      <c r="B647" s="21"/>
      <c r="C647" s="21"/>
      <c r="D647" s="21"/>
      <c r="E647" s="21"/>
      <c r="F647" s="21"/>
      <c r="G647" s="21"/>
      <c r="H647" s="21"/>
    </row>
    <row r="648" ht="14.25" spans="1:8">
      <c r="A648" s="21"/>
      <c r="B648" s="21"/>
      <c r="C648" s="21"/>
      <c r="D648" s="21"/>
      <c r="E648" s="21"/>
      <c r="F648" s="21"/>
      <c r="G648" s="21"/>
      <c r="H648" s="21"/>
    </row>
    <row r="649" ht="14.25" spans="1:8">
      <c r="A649" s="21"/>
      <c r="B649" s="21"/>
      <c r="C649" s="21"/>
      <c r="D649" s="21"/>
      <c r="E649" s="21"/>
      <c r="F649" s="21"/>
      <c r="G649" s="21"/>
      <c r="H649" s="21"/>
    </row>
    <row r="650" ht="14.25" spans="1:8">
      <c r="A650" s="21"/>
      <c r="B650" s="21"/>
      <c r="C650" s="21"/>
      <c r="D650" s="21"/>
      <c r="E650" s="21"/>
      <c r="F650" s="21"/>
      <c r="G650" s="21"/>
      <c r="H650" s="21"/>
    </row>
    <row r="651" ht="14.25" spans="1:8">
      <c r="A651" s="21"/>
      <c r="B651" s="21"/>
      <c r="C651" s="21"/>
      <c r="D651" s="21"/>
      <c r="E651" s="21"/>
      <c r="F651" s="21"/>
      <c r="G651" s="21"/>
      <c r="H651" s="21"/>
    </row>
    <row r="652" ht="14.25" spans="1:8">
      <c r="A652" s="21"/>
      <c r="B652" s="21"/>
      <c r="C652" s="21"/>
      <c r="D652" s="21"/>
      <c r="E652" s="21"/>
      <c r="F652" s="21"/>
      <c r="G652" s="21"/>
      <c r="H652" s="21"/>
    </row>
    <row r="653" ht="14.25" spans="1:8">
      <c r="A653" s="21"/>
      <c r="B653" s="21"/>
      <c r="C653" s="21"/>
      <c r="D653" s="21"/>
      <c r="E653" s="21"/>
      <c r="F653" s="21"/>
      <c r="G653" s="21"/>
      <c r="H653" s="21"/>
    </row>
    <row r="654" ht="14.25" spans="1:8">
      <c r="A654" s="21"/>
      <c r="B654" s="21"/>
      <c r="C654" s="21"/>
      <c r="D654" s="21"/>
      <c r="E654" s="21"/>
      <c r="F654" s="21"/>
      <c r="G654" s="21"/>
      <c r="H654" s="21"/>
    </row>
    <row r="655" ht="14.25" spans="1:8">
      <c r="A655" s="21"/>
      <c r="B655" s="21"/>
      <c r="C655" s="21"/>
      <c r="D655" s="21"/>
      <c r="E655" s="21"/>
      <c r="F655" s="21"/>
      <c r="G655" s="21"/>
      <c r="H655" s="21"/>
    </row>
    <row r="656" ht="14.25" spans="1:8">
      <c r="A656" s="21"/>
      <c r="B656" s="21"/>
      <c r="C656" s="21"/>
      <c r="D656" s="21"/>
      <c r="E656" s="21"/>
      <c r="F656" s="21"/>
      <c r="G656" s="21"/>
      <c r="H656" s="21"/>
    </row>
    <row r="657" ht="14.25" spans="1:8">
      <c r="A657" s="21"/>
      <c r="B657" s="21"/>
      <c r="C657" s="21"/>
      <c r="D657" s="21"/>
      <c r="E657" s="21"/>
      <c r="F657" s="21"/>
      <c r="G657" s="21"/>
      <c r="H657" s="21"/>
    </row>
    <row r="658" ht="14.25" spans="1:8">
      <c r="A658" s="21"/>
      <c r="B658" s="21"/>
      <c r="C658" s="21"/>
      <c r="D658" s="21"/>
      <c r="E658" s="21"/>
      <c r="F658" s="21"/>
      <c r="G658" s="21"/>
      <c r="H658" s="21"/>
    </row>
    <row r="659" ht="14.25" spans="1:8">
      <c r="A659" s="21"/>
      <c r="B659" s="21"/>
      <c r="C659" s="21"/>
      <c r="D659" s="21"/>
      <c r="E659" s="21"/>
      <c r="F659" s="21"/>
      <c r="G659" s="21"/>
      <c r="H659" s="21"/>
    </row>
    <row r="660" ht="14.25" spans="1:8">
      <c r="A660" s="21"/>
      <c r="B660" s="21"/>
      <c r="C660" s="21"/>
      <c r="D660" s="21"/>
      <c r="E660" s="21"/>
      <c r="F660" s="21"/>
      <c r="G660" s="21"/>
      <c r="H660" s="21"/>
    </row>
    <row r="661" ht="14.25" spans="1:8">
      <c r="A661" s="21"/>
      <c r="B661" s="21"/>
      <c r="C661" s="21"/>
      <c r="D661" s="21"/>
      <c r="E661" s="21"/>
      <c r="F661" s="21"/>
      <c r="G661" s="21"/>
      <c r="H661" s="21"/>
    </row>
    <row r="662" ht="14.25" spans="1:8">
      <c r="A662" s="21"/>
      <c r="B662" s="21"/>
      <c r="C662" s="21"/>
      <c r="D662" s="21"/>
      <c r="E662" s="21"/>
      <c r="F662" s="21"/>
      <c r="G662" s="21"/>
      <c r="H662" s="21"/>
    </row>
    <row r="663" ht="14.25" spans="1:8">
      <c r="A663" s="21"/>
      <c r="B663" s="21"/>
      <c r="C663" s="21"/>
      <c r="D663" s="21"/>
      <c r="E663" s="21"/>
      <c r="F663" s="21"/>
      <c r="G663" s="21"/>
      <c r="H663" s="21"/>
    </row>
    <row r="664" ht="14.25" spans="1:8">
      <c r="A664" s="21"/>
      <c r="B664" s="21"/>
      <c r="C664" s="21"/>
      <c r="D664" s="21"/>
      <c r="E664" s="21"/>
      <c r="F664" s="21"/>
      <c r="G664" s="21"/>
      <c r="H664" s="21"/>
    </row>
    <row r="665" ht="14.25" spans="1:8">
      <c r="A665" s="21"/>
      <c r="B665" s="21"/>
      <c r="C665" s="21"/>
      <c r="D665" s="21"/>
      <c r="E665" s="21"/>
      <c r="F665" s="21"/>
      <c r="G665" s="21"/>
      <c r="H665" s="21"/>
    </row>
    <row r="666" ht="14.25" spans="1:8">
      <c r="A666" s="21"/>
      <c r="B666" s="21"/>
      <c r="C666" s="21"/>
      <c r="D666" s="21"/>
      <c r="E666" s="21"/>
      <c r="F666" s="21"/>
      <c r="G666" s="21"/>
      <c r="H666" s="21"/>
    </row>
    <row r="667" ht="14.25" spans="1:8">
      <c r="A667" s="21"/>
      <c r="B667" s="21"/>
      <c r="C667" s="21"/>
      <c r="D667" s="21"/>
      <c r="E667" s="21"/>
      <c r="F667" s="21"/>
      <c r="G667" s="21"/>
      <c r="H667" s="21"/>
    </row>
    <row r="668" ht="14.25" spans="1:8">
      <c r="A668" s="21"/>
      <c r="B668" s="21"/>
      <c r="C668" s="21"/>
      <c r="D668" s="21"/>
      <c r="E668" s="21"/>
      <c r="F668" s="21"/>
      <c r="G668" s="21"/>
      <c r="H668" s="21"/>
    </row>
    <row r="669" ht="14.25" spans="1:8">
      <c r="A669" s="21"/>
      <c r="B669" s="21"/>
      <c r="C669" s="21"/>
      <c r="D669" s="21"/>
      <c r="E669" s="21"/>
      <c r="F669" s="21"/>
      <c r="G669" s="21"/>
      <c r="H669" s="21"/>
    </row>
    <row r="670" ht="14.25" spans="1:8">
      <c r="A670" s="21"/>
      <c r="B670" s="21"/>
      <c r="C670" s="21"/>
      <c r="D670" s="21"/>
      <c r="E670" s="21"/>
      <c r="F670" s="21"/>
      <c r="G670" s="21"/>
      <c r="H670" s="21"/>
    </row>
    <row r="671" ht="14.25" spans="1:8">
      <c r="A671" s="21"/>
      <c r="B671" s="21"/>
      <c r="C671" s="21"/>
      <c r="D671" s="21"/>
      <c r="E671" s="21"/>
      <c r="F671" s="21"/>
      <c r="G671" s="21"/>
      <c r="H671" s="21"/>
    </row>
    <row r="672" ht="14.25" spans="1:8">
      <c r="A672" s="21"/>
      <c r="B672" s="21"/>
      <c r="C672" s="21"/>
      <c r="D672" s="21"/>
      <c r="E672" s="21"/>
      <c r="F672" s="21"/>
      <c r="G672" s="21"/>
      <c r="H672" s="21"/>
    </row>
    <row r="673" ht="14.25" spans="1:8">
      <c r="A673" s="21"/>
      <c r="B673" s="21"/>
      <c r="C673" s="21"/>
      <c r="D673" s="21"/>
      <c r="E673" s="21"/>
      <c r="F673" s="21"/>
      <c r="G673" s="21"/>
      <c r="H673" s="21"/>
    </row>
    <row r="674" ht="14.25" spans="1:8">
      <c r="A674" s="21"/>
      <c r="B674" s="21"/>
      <c r="C674" s="21"/>
      <c r="D674" s="21"/>
      <c r="E674" s="21"/>
      <c r="F674" s="21"/>
      <c r="G674" s="21"/>
      <c r="H674" s="21"/>
    </row>
    <row r="675" ht="14.25" spans="1:8">
      <c r="A675" s="21"/>
      <c r="B675" s="21"/>
      <c r="C675" s="21"/>
      <c r="D675" s="21"/>
      <c r="E675" s="21"/>
      <c r="F675" s="21"/>
      <c r="G675" s="21"/>
      <c r="H675" s="21"/>
    </row>
    <row r="676" ht="14.25" spans="1:8">
      <c r="A676" s="21"/>
      <c r="B676" s="21"/>
      <c r="C676" s="21"/>
      <c r="D676" s="21"/>
      <c r="E676" s="21"/>
      <c r="F676" s="21"/>
      <c r="G676" s="21"/>
      <c r="H676" s="21"/>
    </row>
    <row r="677" ht="14.25" spans="1:8">
      <c r="A677" s="21"/>
      <c r="B677" s="21"/>
      <c r="C677" s="21"/>
      <c r="D677" s="21"/>
      <c r="E677" s="21"/>
      <c r="F677" s="21"/>
      <c r="G677" s="21"/>
      <c r="H677" s="21"/>
    </row>
    <row r="678" ht="14.25" spans="1:8">
      <c r="A678" s="21"/>
      <c r="B678" s="21"/>
      <c r="C678" s="21"/>
      <c r="D678" s="21"/>
      <c r="E678" s="21"/>
      <c r="F678" s="21"/>
      <c r="G678" s="21"/>
      <c r="H678" s="21"/>
    </row>
    <row r="679" ht="14.25" spans="1:8">
      <c r="A679" s="21"/>
      <c r="B679" s="21"/>
      <c r="C679" s="21"/>
      <c r="D679" s="21"/>
      <c r="E679" s="21"/>
      <c r="F679" s="21"/>
      <c r="G679" s="21"/>
      <c r="H679" s="21"/>
    </row>
    <row r="680" ht="14.25" spans="1:8">
      <c r="A680" s="21"/>
      <c r="B680" s="21"/>
      <c r="C680" s="21"/>
      <c r="D680" s="21"/>
      <c r="E680" s="21"/>
      <c r="F680" s="21"/>
      <c r="G680" s="21"/>
      <c r="H680" s="21"/>
    </row>
    <row r="681" ht="14.25" spans="1:8">
      <c r="A681" s="21"/>
      <c r="B681" s="21"/>
      <c r="C681" s="21"/>
      <c r="D681" s="21"/>
      <c r="E681" s="21"/>
      <c r="F681" s="21"/>
      <c r="G681" s="21"/>
      <c r="H681" s="21"/>
    </row>
    <row r="682" ht="14.25" spans="1:8">
      <c r="A682" s="21"/>
      <c r="B682" s="21"/>
      <c r="C682" s="21"/>
      <c r="D682" s="21"/>
      <c r="E682" s="21"/>
      <c r="F682" s="21"/>
      <c r="G682" s="21"/>
      <c r="H682" s="21"/>
    </row>
    <row r="683" ht="14.25" spans="1:8">
      <c r="A683" s="21"/>
      <c r="B683" s="21"/>
      <c r="C683" s="21"/>
      <c r="D683" s="21"/>
      <c r="E683" s="21"/>
      <c r="F683" s="21"/>
      <c r="G683" s="21"/>
      <c r="H683" s="21"/>
    </row>
    <row r="684" ht="14.25" spans="1:8">
      <c r="A684" s="21"/>
      <c r="B684" s="21"/>
      <c r="C684" s="21"/>
      <c r="D684" s="21"/>
      <c r="E684" s="21"/>
      <c r="F684" s="21"/>
      <c r="G684" s="21"/>
      <c r="H684" s="21"/>
    </row>
    <row r="685" ht="14.25" spans="1:8">
      <c r="A685" s="21"/>
      <c r="B685" s="21"/>
      <c r="C685" s="21"/>
      <c r="D685" s="21"/>
      <c r="E685" s="21"/>
      <c r="F685" s="21"/>
      <c r="G685" s="21"/>
      <c r="H685" s="21"/>
    </row>
    <row r="686" ht="14.25" spans="1:8">
      <c r="A686" s="21"/>
      <c r="B686" s="21"/>
      <c r="C686" s="21"/>
      <c r="D686" s="21"/>
      <c r="E686" s="21"/>
      <c r="F686" s="21"/>
      <c r="G686" s="21"/>
      <c r="H686" s="21"/>
    </row>
    <row r="687" ht="14.25" spans="1:8">
      <c r="A687" s="21"/>
      <c r="B687" s="21"/>
      <c r="C687" s="21"/>
      <c r="D687" s="21"/>
      <c r="E687" s="21"/>
      <c r="F687" s="21"/>
      <c r="G687" s="21"/>
      <c r="H687" s="21"/>
    </row>
    <row r="688" ht="14.25" spans="1:8">
      <c r="A688" s="21"/>
      <c r="B688" s="21"/>
      <c r="C688" s="21"/>
      <c r="D688" s="21"/>
      <c r="E688" s="21"/>
      <c r="F688" s="21"/>
      <c r="G688" s="21"/>
      <c r="H688" s="21"/>
    </row>
    <row r="689" ht="14.25" spans="1:8">
      <c r="A689" s="21"/>
      <c r="B689" s="21"/>
      <c r="C689" s="21"/>
      <c r="D689" s="21"/>
      <c r="E689" s="21"/>
      <c r="F689" s="21"/>
      <c r="G689" s="21"/>
      <c r="H689" s="21"/>
    </row>
    <row r="690" ht="14.25" spans="1:8">
      <c r="A690" s="21"/>
      <c r="B690" s="21"/>
      <c r="C690" s="21"/>
      <c r="D690" s="21"/>
      <c r="E690" s="21"/>
      <c r="F690" s="21"/>
      <c r="G690" s="21"/>
      <c r="H690" s="21"/>
    </row>
    <row r="691" ht="14.25" spans="1:8">
      <c r="A691" s="21"/>
      <c r="B691" s="21"/>
      <c r="C691" s="21"/>
      <c r="D691" s="21"/>
      <c r="E691" s="21"/>
      <c r="F691" s="21"/>
      <c r="G691" s="21"/>
      <c r="H691" s="21"/>
    </row>
    <row r="692" ht="14.25" spans="1:8">
      <c r="A692" s="21"/>
      <c r="B692" s="21"/>
      <c r="C692" s="21"/>
      <c r="D692" s="21"/>
      <c r="E692" s="21"/>
      <c r="F692" s="21"/>
      <c r="G692" s="21"/>
      <c r="H692" s="21"/>
    </row>
    <row r="693" ht="14.25" spans="1:8">
      <c r="A693" s="21"/>
      <c r="B693" s="21"/>
      <c r="C693" s="21"/>
      <c r="D693" s="21"/>
      <c r="E693" s="21"/>
      <c r="F693" s="21"/>
      <c r="G693" s="21"/>
      <c r="H693" s="21"/>
    </row>
    <row r="694" ht="14.25" spans="1:8">
      <c r="A694" s="21"/>
      <c r="B694" s="21"/>
      <c r="C694" s="21"/>
      <c r="D694" s="21"/>
      <c r="E694" s="21"/>
      <c r="F694" s="21"/>
      <c r="G694" s="21"/>
      <c r="H694" s="21"/>
    </row>
    <row r="695" ht="14.25" spans="1:8">
      <c r="A695" s="21"/>
      <c r="B695" s="21"/>
      <c r="C695" s="21"/>
      <c r="D695" s="21"/>
      <c r="E695" s="21"/>
      <c r="F695" s="21"/>
      <c r="G695" s="21"/>
      <c r="H695" s="21"/>
    </row>
    <row r="696" ht="14.25" spans="1:8">
      <c r="A696" s="21"/>
      <c r="B696" s="21"/>
      <c r="C696" s="21"/>
      <c r="D696" s="21"/>
      <c r="E696" s="21"/>
      <c r="F696" s="21"/>
      <c r="G696" s="21"/>
      <c r="H696" s="21"/>
    </row>
    <row r="697" ht="14.25" spans="1:8">
      <c r="A697" s="21"/>
      <c r="B697" s="21"/>
      <c r="C697" s="21"/>
      <c r="D697" s="21"/>
      <c r="E697" s="21"/>
      <c r="F697" s="21"/>
      <c r="G697" s="21"/>
      <c r="H697" s="21"/>
    </row>
    <row r="698" ht="14.25" spans="1:8">
      <c r="A698" s="21"/>
      <c r="B698" s="21"/>
      <c r="C698" s="21"/>
      <c r="D698" s="21"/>
      <c r="E698" s="21"/>
      <c r="F698" s="21"/>
      <c r="G698" s="21"/>
      <c r="H698" s="21"/>
    </row>
    <row r="699" ht="14.25" spans="1:8">
      <c r="A699" s="21"/>
      <c r="B699" s="21"/>
      <c r="C699" s="21"/>
      <c r="D699" s="21"/>
      <c r="E699" s="21"/>
      <c r="F699" s="21"/>
      <c r="G699" s="21"/>
      <c r="H699" s="21"/>
    </row>
    <row r="700" ht="14.25" spans="1:8">
      <c r="A700" s="21"/>
      <c r="B700" s="21"/>
      <c r="C700" s="21"/>
      <c r="D700" s="21"/>
      <c r="E700" s="21"/>
      <c r="F700" s="21"/>
      <c r="G700" s="21"/>
      <c r="H700" s="21"/>
    </row>
    <row r="701" ht="14.25" spans="1:8">
      <c r="A701" s="21"/>
      <c r="B701" s="21"/>
      <c r="C701" s="21"/>
      <c r="D701" s="21"/>
      <c r="E701" s="21"/>
      <c r="F701" s="21"/>
      <c r="G701" s="21"/>
      <c r="H701" s="21"/>
    </row>
    <row r="702" ht="14.25" spans="1:8">
      <c r="A702" s="21"/>
      <c r="B702" s="21"/>
      <c r="C702" s="21"/>
      <c r="D702" s="21"/>
      <c r="E702" s="21"/>
      <c r="F702" s="21"/>
      <c r="G702" s="21"/>
      <c r="H702" s="21"/>
    </row>
    <row r="703" ht="14.25" spans="1:8">
      <c r="A703" s="21"/>
      <c r="B703" s="21"/>
      <c r="C703" s="21"/>
      <c r="D703" s="21"/>
      <c r="E703" s="21"/>
      <c r="F703" s="21"/>
      <c r="G703" s="21"/>
      <c r="H703" s="21"/>
    </row>
    <row r="704" ht="14.25" spans="1:8">
      <c r="A704" s="21"/>
      <c r="B704" s="21"/>
      <c r="C704" s="21"/>
      <c r="D704" s="21"/>
      <c r="E704" s="21"/>
      <c r="F704" s="21"/>
      <c r="G704" s="21"/>
      <c r="H704" s="21"/>
    </row>
    <row r="705" ht="14.25" spans="1:8">
      <c r="A705" s="21"/>
      <c r="B705" s="21"/>
      <c r="C705" s="21"/>
      <c r="D705" s="21"/>
      <c r="E705" s="21"/>
      <c r="F705" s="21"/>
      <c r="G705" s="21"/>
      <c r="H705" s="21"/>
    </row>
    <row r="706" ht="14.25" spans="1:8">
      <c r="A706" s="21"/>
      <c r="B706" s="21"/>
      <c r="C706" s="21"/>
      <c r="D706" s="21"/>
      <c r="E706" s="21"/>
      <c r="F706" s="21"/>
      <c r="G706" s="21"/>
      <c r="H706" s="21"/>
    </row>
    <row r="707" ht="14.25" spans="1:8">
      <c r="A707" s="21"/>
      <c r="B707" s="21"/>
      <c r="C707" s="21"/>
      <c r="D707" s="21"/>
      <c r="E707" s="21"/>
      <c r="F707" s="21"/>
      <c r="G707" s="21"/>
      <c r="H707" s="21"/>
    </row>
    <row r="708" ht="14.25" spans="1:8">
      <c r="A708" s="21"/>
      <c r="B708" s="21"/>
      <c r="C708" s="21"/>
      <c r="D708" s="21"/>
      <c r="E708" s="21"/>
      <c r="F708" s="21"/>
      <c r="G708" s="21"/>
      <c r="H708" s="21"/>
    </row>
    <row r="709" ht="14.25" spans="1:8">
      <c r="A709" s="21"/>
      <c r="B709" s="21"/>
      <c r="C709" s="21"/>
      <c r="D709" s="21"/>
      <c r="E709" s="21"/>
      <c r="F709" s="21"/>
      <c r="G709" s="21"/>
      <c r="H709" s="21"/>
    </row>
    <row r="710" ht="14.25" spans="1:8">
      <c r="A710" s="21"/>
      <c r="B710" s="21"/>
      <c r="C710" s="21"/>
      <c r="D710" s="21"/>
      <c r="E710" s="21"/>
      <c r="F710" s="21"/>
      <c r="G710" s="21"/>
      <c r="H710" s="21"/>
    </row>
    <row r="711" ht="14.25" spans="1:8">
      <c r="A711" s="21"/>
      <c r="B711" s="21"/>
      <c r="C711" s="21"/>
      <c r="D711" s="21"/>
      <c r="E711" s="21"/>
      <c r="F711" s="21"/>
      <c r="G711" s="21"/>
      <c r="H711" s="21"/>
    </row>
    <row r="712" ht="14.25" spans="1:8">
      <c r="A712" s="21"/>
      <c r="B712" s="21"/>
      <c r="C712" s="21"/>
      <c r="D712" s="21"/>
      <c r="E712" s="21"/>
      <c r="F712" s="21"/>
      <c r="G712" s="21"/>
      <c r="H712" s="21"/>
    </row>
    <row r="713" ht="14.25" spans="1:8">
      <c r="A713" s="21"/>
      <c r="B713" s="21"/>
      <c r="C713" s="21"/>
      <c r="D713" s="21"/>
      <c r="E713" s="21"/>
      <c r="F713" s="21"/>
      <c r="G713" s="21"/>
      <c r="H713" s="21"/>
    </row>
    <row r="714" ht="14.25" spans="1:8">
      <c r="A714" s="21"/>
      <c r="B714" s="21"/>
      <c r="C714" s="21"/>
      <c r="D714" s="21"/>
      <c r="E714" s="21"/>
      <c r="F714" s="21"/>
      <c r="G714" s="21"/>
      <c r="H714" s="21"/>
    </row>
    <row r="715" ht="14.25" spans="1:8">
      <c r="A715" s="21"/>
      <c r="B715" s="21"/>
      <c r="C715" s="21"/>
      <c r="D715" s="21"/>
      <c r="E715" s="21"/>
      <c r="F715" s="21"/>
      <c r="G715" s="21"/>
      <c r="H715" s="21"/>
    </row>
    <row r="716" ht="14.25" spans="1:8">
      <c r="A716" s="21"/>
      <c r="B716" s="21"/>
      <c r="C716" s="21"/>
      <c r="D716" s="21"/>
      <c r="E716" s="21"/>
      <c r="F716" s="21"/>
      <c r="G716" s="21"/>
      <c r="H716" s="21"/>
    </row>
    <row r="717" ht="14.25" spans="1:8">
      <c r="A717" s="21"/>
      <c r="B717" s="21"/>
      <c r="C717" s="21"/>
      <c r="D717" s="21"/>
      <c r="E717" s="21"/>
      <c r="F717" s="21"/>
      <c r="G717" s="21"/>
      <c r="H717" s="21"/>
    </row>
    <row r="718" ht="14.25" spans="1:8">
      <c r="A718" s="21"/>
      <c r="B718" s="21"/>
      <c r="C718" s="21"/>
      <c r="D718" s="21"/>
      <c r="E718" s="21"/>
      <c r="F718" s="21"/>
      <c r="G718" s="21"/>
      <c r="H718" s="21"/>
    </row>
    <row r="719" ht="14.25" spans="1:8">
      <c r="A719" s="21"/>
      <c r="B719" s="21"/>
      <c r="C719" s="21"/>
      <c r="D719" s="21"/>
      <c r="E719" s="21"/>
      <c r="F719" s="21"/>
      <c r="G719" s="21"/>
      <c r="H719" s="21"/>
    </row>
    <row r="720" ht="14.25" spans="1:8">
      <c r="A720" s="21"/>
      <c r="B720" s="21"/>
      <c r="C720" s="21"/>
      <c r="D720" s="21"/>
      <c r="E720" s="21"/>
      <c r="F720" s="21"/>
      <c r="G720" s="21"/>
      <c r="H720" s="21"/>
    </row>
    <row r="721" ht="14.25" spans="1:8">
      <c r="A721" s="21"/>
      <c r="B721" s="21"/>
      <c r="C721" s="21"/>
      <c r="D721" s="21"/>
      <c r="E721" s="21"/>
      <c r="F721" s="21"/>
      <c r="G721" s="21"/>
      <c r="H721" s="21"/>
    </row>
    <row r="722" ht="14.25" spans="1:8">
      <c r="A722" s="21"/>
      <c r="B722" s="21"/>
      <c r="C722" s="21"/>
      <c r="D722" s="21"/>
      <c r="E722" s="21"/>
      <c r="F722" s="21"/>
      <c r="G722" s="21"/>
      <c r="H722" s="21"/>
    </row>
    <row r="723" ht="14.25" spans="1:8">
      <c r="A723" s="21"/>
      <c r="B723" s="21"/>
      <c r="C723" s="21"/>
      <c r="D723" s="21"/>
      <c r="E723" s="21"/>
      <c r="F723" s="21"/>
      <c r="G723" s="21"/>
      <c r="H723" s="21"/>
    </row>
    <row r="724" ht="14.25" spans="1:8">
      <c r="A724" s="21"/>
      <c r="B724" s="21"/>
      <c r="C724" s="21"/>
      <c r="D724" s="21"/>
      <c r="E724" s="21"/>
      <c r="F724" s="21"/>
      <c r="G724" s="21"/>
      <c r="H724" s="21"/>
    </row>
    <row r="725" ht="14.25" spans="1:8">
      <c r="A725" s="21"/>
      <c r="B725" s="21"/>
      <c r="C725" s="21"/>
      <c r="D725" s="21"/>
      <c r="E725" s="21"/>
      <c r="F725" s="21"/>
      <c r="G725" s="21"/>
      <c r="H725" s="21"/>
    </row>
    <row r="726" ht="14.25" spans="1:8">
      <c r="A726" s="21"/>
      <c r="B726" s="21"/>
      <c r="C726" s="21"/>
      <c r="D726" s="21"/>
      <c r="E726" s="21"/>
      <c r="F726" s="21"/>
      <c r="G726" s="21"/>
      <c r="H726" s="21"/>
    </row>
    <row r="727" ht="14.25" spans="1:8">
      <c r="A727" s="21"/>
      <c r="B727" s="21"/>
      <c r="C727" s="21"/>
      <c r="D727" s="21"/>
      <c r="E727" s="21"/>
      <c r="F727" s="21"/>
      <c r="G727" s="21"/>
      <c r="H727" s="21"/>
    </row>
    <row r="728" ht="14.25" spans="1:8">
      <c r="A728" s="21"/>
      <c r="B728" s="21"/>
      <c r="C728" s="21"/>
      <c r="D728" s="21"/>
      <c r="E728" s="21"/>
      <c r="F728" s="21"/>
      <c r="G728" s="21"/>
      <c r="H728" s="21"/>
    </row>
    <row r="729" ht="14.25" spans="1:8">
      <c r="A729" s="21"/>
      <c r="B729" s="21"/>
      <c r="C729" s="21"/>
      <c r="D729" s="21"/>
      <c r="E729" s="21"/>
      <c r="F729" s="21"/>
      <c r="G729" s="21"/>
      <c r="H729" s="21"/>
    </row>
    <row r="730" ht="14.25" spans="1:8">
      <c r="A730" s="21"/>
      <c r="B730" s="21"/>
      <c r="C730" s="21"/>
      <c r="D730" s="21"/>
      <c r="E730" s="21"/>
      <c r="F730" s="21"/>
      <c r="G730" s="21"/>
      <c r="H730" s="21"/>
    </row>
    <row r="731" ht="14.25" spans="1:8">
      <c r="A731" s="21"/>
      <c r="B731" s="21"/>
      <c r="C731" s="21"/>
      <c r="D731" s="21"/>
      <c r="E731" s="21"/>
      <c r="F731" s="21"/>
      <c r="G731" s="21"/>
      <c r="H731" s="21"/>
    </row>
    <row r="732" ht="14.25" spans="1:8">
      <c r="A732" s="21"/>
      <c r="B732" s="21"/>
      <c r="C732" s="21"/>
      <c r="D732" s="21"/>
      <c r="E732" s="21"/>
      <c r="F732" s="21"/>
      <c r="G732" s="21"/>
      <c r="H732" s="21"/>
    </row>
    <row r="733" ht="14.25" spans="1:8">
      <c r="A733" s="21"/>
      <c r="B733" s="21"/>
      <c r="C733" s="21"/>
      <c r="D733" s="21"/>
      <c r="E733" s="21"/>
      <c r="F733" s="21"/>
      <c r="G733" s="21"/>
      <c r="H733" s="21"/>
    </row>
    <row r="734" ht="14.25" spans="1:8">
      <c r="A734" s="21"/>
      <c r="B734" s="21"/>
      <c r="C734" s="21"/>
      <c r="D734" s="21"/>
      <c r="E734" s="21"/>
      <c r="F734" s="21"/>
      <c r="G734" s="21"/>
      <c r="H734" s="21"/>
    </row>
    <row r="735" ht="14.25" spans="1:8">
      <c r="A735" s="21"/>
      <c r="B735" s="21"/>
      <c r="C735" s="21"/>
      <c r="D735" s="21"/>
      <c r="E735" s="21"/>
      <c r="F735" s="21"/>
      <c r="G735" s="21"/>
      <c r="H735" s="21"/>
    </row>
    <row r="736" ht="14.25" spans="1:8">
      <c r="A736" s="21"/>
      <c r="B736" s="21"/>
      <c r="C736" s="21"/>
      <c r="D736" s="21"/>
      <c r="E736" s="21"/>
      <c r="F736" s="21"/>
      <c r="G736" s="21"/>
      <c r="H736" s="21"/>
    </row>
    <row r="737" ht="14.25" spans="1:8">
      <c r="A737" s="21"/>
      <c r="B737" s="21"/>
      <c r="C737" s="21"/>
      <c r="D737" s="21"/>
      <c r="E737" s="21"/>
      <c r="F737" s="21"/>
      <c r="G737" s="21"/>
      <c r="H737" s="21"/>
    </row>
    <row r="738" ht="14.25" spans="1:8">
      <c r="A738" s="21"/>
      <c r="B738" s="21"/>
      <c r="C738" s="21"/>
      <c r="D738" s="21"/>
      <c r="E738" s="21"/>
      <c r="F738" s="21"/>
      <c r="G738" s="21"/>
      <c r="H738" s="21"/>
    </row>
    <row r="739" ht="14.25" spans="1:8">
      <c r="A739" s="21"/>
      <c r="B739" s="21"/>
      <c r="C739" s="21"/>
      <c r="D739" s="21"/>
      <c r="E739" s="21"/>
      <c r="F739" s="21"/>
      <c r="G739" s="21"/>
      <c r="H739" s="21"/>
    </row>
    <row r="740" ht="14.25" spans="1:8">
      <c r="A740" s="21"/>
      <c r="B740" s="21"/>
      <c r="C740" s="21"/>
      <c r="D740" s="21"/>
      <c r="E740" s="21"/>
      <c r="F740" s="21"/>
      <c r="G740" s="21"/>
      <c r="H740" s="21"/>
    </row>
    <row r="741" ht="14.25" spans="1:8">
      <c r="A741" s="21"/>
      <c r="B741" s="21"/>
      <c r="C741" s="21"/>
      <c r="D741" s="21"/>
      <c r="E741" s="21"/>
      <c r="F741" s="21"/>
      <c r="G741" s="21"/>
      <c r="H741" s="21"/>
    </row>
    <row r="742" ht="14.25" spans="1:8">
      <c r="A742" s="21"/>
      <c r="B742" s="21"/>
      <c r="C742" s="21"/>
      <c r="D742" s="21"/>
      <c r="E742" s="21"/>
      <c r="F742" s="21"/>
      <c r="G742" s="21"/>
      <c r="H742" s="21"/>
    </row>
    <row r="743" ht="14.25" spans="1:8">
      <c r="A743" s="21"/>
      <c r="B743" s="21"/>
      <c r="C743" s="21"/>
      <c r="D743" s="21"/>
      <c r="E743" s="21"/>
      <c r="F743" s="21"/>
      <c r="G743" s="21"/>
      <c r="H743" s="21"/>
    </row>
    <row r="744" ht="14.25" spans="1:8">
      <c r="A744" s="21"/>
      <c r="B744" s="21"/>
      <c r="C744" s="21"/>
      <c r="D744" s="21"/>
      <c r="E744" s="21"/>
      <c r="F744" s="21"/>
      <c r="G744" s="21"/>
      <c r="H744" s="21"/>
    </row>
    <row r="745" ht="14.25" spans="1:8">
      <c r="A745" s="21"/>
      <c r="B745" s="21"/>
      <c r="C745" s="21"/>
      <c r="D745" s="21"/>
      <c r="E745" s="21"/>
      <c r="F745" s="21"/>
      <c r="G745" s="21"/>
      <c r="H745" s="21"/>
    </row>
    <row r="746" ht="14.25" spans="1:8">
      <c r="A746" s="21"/>
      <c r="B746" s="21"/>
      <c r="C746" s="21"/>
      <c r="D746" s="21"/>
      <c r="E746" s="21"/>
      <c r="F746" s="21"/>
      <c r="G746" s="21"/>
      <c r="H746" s="21"/>
    </row>
    <row r="747" ht="14.25" spans="1:8">
      <c r="A747" s="21"/>
      <c r="B747" s="21"/>
      <c r="C747" s="21"/>
      <c r="D747" s="21"/>
      <c r="E747" s="21"/>
      <c r="F747" s="21"/>
      <c r="G747" s="21"/>
      <c r="H747" s="21"/>
    </row>
    <row r="748" ht="14.25" spans="1:8">
      <c r="A748" s="21"/>
      <c r="B748" s="21"/>
      <c r="C748" s="21"/>
      <c r="D748" s="21"/>
      <c r="E748" s="21"/>
      <c r="F748" s="21"/>
      <c r="G748" s="21"/>
      <c r="H748" s="21"/>
    </row>
    <row r="749" ht="14.25" spans="1:8">
      <c r="A749" s="21"/>
      <c r="B749" s="21"/>
      <c r="C749" s="21"/>
      <c r="D749" s="21"/>
      <c r="E749" s="21"/>
      <c r="F749" s="21"/>
      <c r="G749" s="21"/>
      <c r="H749" s="21"/>
    </row>
    <row r="750" ht="14.25" spans="1:8">
      <c r="A750" s="21"/>
      <c r="B750" s="21"/>
      <c r="C750" s="21"/>
      <c r="D750" s="21"/>
      <c r="E750" s="21"/>
      <c r="F750" s="21"/>
      <c r="G750" s="21"/>
      <c r="H750" s="21"/>
    </row>
    <row r="751" ht="14.25" spans="1:8">
      <c r="A751" s="21"/>
      <c r="B751" s="21"/>
      <c r="C751" s="21"/>
      <c r="D751" s="21"/>
      <c r="E751" s="21"/>
      <c r="F751" s="21"/>
      <c r="G751" s="21"/>
      <c r="H751" s="21"/>
    </row>
    <row r="752" ht="14.25" spans="1:8">
      <c r="A752" s="21"/>
      <c r="B752" s="21"/>
      <c r="C752" s="21"/>
      <c r="D752" s="21"/>
      <c r="E752" s="21"/>
      <c r="F752" s="21"/>
      <c r="G752" s="21"/>
      <c r="H752" s="21"/>
    </row>
    <row r="753" ht="14.25" spans="1:8">
      <c r="A753" s="21"/>
      <c r="B753" s="21"/>
      <c r="C753" s="21"/>
      <c r="D753" s="21"/>
      <c r="E753" s="21"/>
      <c r="F753" s="21"/>
      <c r="G753" s="21"/>
      <c r="H753" s="21"/>
    </row>
    <row r="754" ht="14.25" spans="1:8">
      <c r="A754" s="21"/>
      <c r="B754" s="21"/>
      <c r="C754" s="21"/>
      <c r="D754" s="21"/>
      <c r="E754" s="21"/>
      <c r="F754" s="21"/>
      <c r="G754" s="21"/>
      <c r="H754" s="21"/>
    </row>
    <row r="755" ht="14.25" spans="1:8">
      <c r="A755" s="21"/>
      <c r="B755" s="21"/>
      <c r="C755" s="21"/>
      <c r="D755" s="21"/>
      <c r="E755" s="21"/>
      <c r="F755" s="21"/>
      <c r="G755" s="21"/>
      <c r="H755" s="21"/>
    </row>
    <row r="756" ht="14.25" spans="1:8">
      <c r="A756" s="21"/>
      <c r="B756" s="21"/>
      <c r="C756" s="21"/>
      <c r="D756" s="21"/>
      <c r="E756" s="21"/>
      <c r="F756" s="21"/>
      <c r="G756" s="21"/>
      <c r="H756" s="21"/>
    </row>
    <row r="757" ht="14.25" spans="1:8">
      <c r="A757" s="21"/>
      <c r="B757" s="21"/>
      <c r="C757" s="21"/>
      <c r="D757" s="21"/>
      <c r="E757" s="21"/>
      <c r="F757" s="21"/>
      <c r="G757" s="21"/>
      <c r="H757" s="21"/>
    </row>
    <row r="758" ht="14.25" spans="1:8">
      <c r="A758" s="21"/>
      <c r="B758" s="21"/>
      <c r="C758" s="21"/>
      <c r="D758" s="21"/>
      <c r="E758" s="21"/>
      <c r="F758" s="21"/>
      <c r="G758" s="21"/>
      <c r="H758" s="21"/>
    </row>
    <row r="759" ht="14.25" spans="1:8">
      <c r="A759" s="21"/>
      <c r="B759" s="21"/>
      <c r="C759" s="21"/>
      <c r="D759" s="21"/>
      <c r="E759" s="21"/>
      <c r="F759" s="21"/>
      <c r="G759" s="21"/>
      <c r="H759" s="21"/>
    </row>
    <row r="760" ht="14.25" spans="1:8">
      <c r="A760" s="21"/>
      <c r="B760" s="21"/>
      <c r="C760" s="21"/>
      <c r="D760" s="21"/>
      <c r="E760" s="21"/>
      <c r="F760" s="21"/>
      <c r="G760" s="21"/>
      <c r="H760" s="21"/>
    </row>
    <row r="761" ht="14.25" spans="1:8">
      <c r="A761" s="21"/>
      <c r="B761" s="21"/>
      <c r="C761" s="21"/>
      <c r="D761" s="21"/>
      <c r="E761" s="21"/>
      <c r="F761" s="21"/>
      <c r="G761" s="21"/>
      <c r="H761" s="21"/>
    </row>
    <row r="762" ht="14.25" spans="1:8">
      <c r="A762" s="21"/>
      <c r="B762" s="21"/>
      <c r="C762" s="21"/>
      <c r="D762" s="21"/>
      <c r="E762" s="21"/>
      <c r="F762" s="21"/>
      <c r="G762" s="21"/>
      <c r="H762" s="21"/>
    </row>
    <row r="763" ht="14.25" spans="1:8">
      <c r="A763" s="21"/>
      <c r="B763" s="21"/>
      <c r="C763" s="21"/>
      <c r="D763" s="21"/>
      <c r="E763" s="21"/>
      <c r="F763" s="21"/>
      <c r="G763" s="21"/>
      <c r="H763" s="21"/>
    </row>
    <row r="764" ht="14.25" spans="1:8">
      <c r="A764" s="21"/>
      <c r="B764" s="21"/>
      <c r="C764" s="21"/>
      <c r="D764" s="21"/>
      <c r="E764" s="21"/>
      <c r="F764" s="21"/>
      <c r="G764" s="21"/>
      <c r="H764" s="21"/>
    </row>
    <row r="765" ht="14.25" spans="1:8">
      <c r="A765" s="21"/>
      <c r="B765" s="21"/>
      <c r="C765" s="21"/>
      <c r="D765" s="21"/>
      <c r="E765" s="21"/>
      <c r="F765" s="21"/>
      <c r="G765" s="21"/>
      <c r="H765" s="21"/>
    </row>
    <row r="766" ht="14.25" spans="1:8">
      <c r="A766" s="21"/>
      <c r="B766" s="21"/>
      <c r="C766" s="21"/>
      <c r="D766" s="21"/>
      <c r="E766" s="21"/>
      <c r="F766" s="21"/>
      <c r="G766" s="21"/>
      <c r="H766" s="21"/>
    </row>
    <row r="767" ht="14.25" spans="1:8">
      <c r="A767" s="21"/>
      <c r="B767" s="21"/>
      <c r="C767" s="21"/>
      <c r="D767" s="21"/>
      <c r="E767" s="21"/>
      <c r="F767" s="21"/>
      <c r="G767" s="21"/>
      <c r="H767" s="21"/>
    </row>
    <row r="768" ht="14.25" spans="1:8">
      <c r="A768" s="21"/>
      <c r="B768" s="21"/>
      <c r="C768" s="21"/>
      <c r="D768" s="21"/>
      <c r="E768" s="21"/>
      <c r="F768" s="21"/>
      <c r="G768" s="21"/>
      <c r="H768" s="21"/>
    </row>
    <row r="769" ht="14.25" spans="1:8">
      <c r="A769" s="21"/>
      <c r="B769" s="21"/>
      <c r="C769" s="21"/>
      <c r="D769" s="21"/>
      <c r="E769" s="21"/>
      <c r="F769" s="21"/>
      <c r="G769" s="21"/>
      <c r="H769" s="21"/>
    </row>
    <row r="770" ht="14.25" spans="1:8">
      <c r="A770" s="21"/>
      <c r="B770" s="21"/>
      <c r="C770" s="21"/>
      <c r="D770" s="21"/>
      <c r="E770" s="21"/>
      <c r="F770" s="21"/>
      <c r="G770" s="21"/>
      <c r="H770" s="21"/>
    </row>
    <row r="771" ht="14.25" spans="1:8">
      <c r="A771" s="21"/>
      <c r="B771" s="21"/>
      <c r="C771" s="21"/>
      <c r="D771" s="21"/>
      <c r="E771" s="21"/>
      <c r="F771" s="21"/>
      <c r="G771" s="21"/>
      <c r="H771" s="21"/>
    </row>
    <row r="772" ht="14.25" spans="1:8">
      <c r="A772" s="21"/>
      <c r="B772" s="21"/>
      <c r="C772" s="21"/>
      <c r="D772" s="21"/>
      <c r="E772" s="21"/>
      <c r="F772" s="21"/>
      <c r="G772" s="21"/>
      <c r="H772" s="21"/>
    </row>
    <row r="773" ht="14.25" spans="1:8">
      <c r="A773" s="21"/>
      <c r="B773" s="21"/>
      <c r="C773" s="21"/>
      <c r="D773" s="21"/>
      <c r="E773" s="21"/>
      <c r="F773" s="21"/>
      <c r="G773" s="21"/>
      <c r="H773" s="21"/>
    </row>
    <row r="774" ht="14.25" spans="1:8">
      <c r="A774" s="21"/>
      <c r="B774" s="21"/>
      <c r="C774" s="21"/>
      <c r="D774" s="21"/>
      <c r="E774" s="21"/>
      <c r="F774" s="21"/>
      <c r="G774" s="21"/>
      <c r="H774" s="21"/>
    </row>
    <row r="775" ht="14.25" spans="1:8">
      <c r="A775" s="21"/>
      <c r="B775" s="21"/>
      <c r="C775" s="21"/>
      <c r="D775" s="21"/>
      <c r="E775" s="21"/>
      <c r="F775" s="21"/>
      <c r="G775" s="21"/>
      <c r="H775" s="21"/>
    </row>
    <row r="776" ht="14.25" spans="1:8">
      <c r="A776" s="21"/>
      <c r="B776" s="21"/>
      <c r="C776" s="21"/>
      <c r="D776" s="21"/>
      <c r="E776" s="21"/>
      <c r="F776" s="21"/>
      <c r="G776" s="21"/>
      <c r="H776" s="21"/>
    </row>
    <row r="777" ht="14.25" spans="1:8">
      <c r="A777" s="21"/>
      <c r="B777" s="21"/>
      <c r="C777" s="21"/>
      <c r="D777" s="21"/>
      <c r="E777" s="21"/>
      <c r="F777" s="21"/>
      <c r="G777" s="21"/>
      <c r="H777" s="21"/>
    </row>
    <row r="778" ht="14.25" spans="1:8">
      <c r="A778" s="21"/>
      <c r="B778" s="21"/>
      <c r="C778" s="21"/>
      <c r="D778" s="21"/>
      <c r="E778" s="21"/>
      <c r="F778" s="21"/>
      <c r="G778" s="21"/>
      <c r="H778" s="21"/>
    </row>
    <row r="779" ht="14.25" spans="1:8">
      <c r="A779" s="21"/>
      <c r="B779" s="21"/>
      <c r="C779" s="21"/>
      <c r="D779" s="21"/>
      <c r="E779" s="21"/>
      <c r="F779" s="21"/>
      <c r="G779" s="21"/>
      <c r="H779" s="21"/>
    </row>
    <row r="780" ht="14.25" spans="1:8">
      <c r="A780" s="21"/>
      <c r="B780" s="21"/>
      <c r="C780" s="21"/>
      <c r="D780" s="21"/>
      <c r="E780" s="21"/>
      <c r="F780" s="21"/>
      <c r="G780" s="21"/>
      <c r="H780" s="21"/>
    </row>
    <row r="781" ht="14.25" spans="1:8">
      <c r="A781" s="21"/>
      <c r="B781" s="21"/>
      <c r="C781" s="21"/>
      <c r="D781" s="21"/>
      <c r="E781" s="21"/>
      <c r="F781" s="21"/>
      <c r="G781" s="21"/>
      <c r="H781" s="21"/>
    </row>
    <row r="782" ht="14.25" spans="1:8">
      <c r="A782" s="21"/>
      <c r="B782" s="21"/>
      <c r="C782" s="21"/>
      <c r="D782" s="21"/>
      <c r="E782" s="21"/>
      <c r="F782" s="21"/>
      <c r="G782" s="21"/>
      <c r="H782" s="21"/>
    </row>
    <row r="783" ht="14.25" spans="1:8">
      <c r="A783" s="21"/>
      <c r="B783" s="21"/>
      <c r="C783" s="21"/>
      <c r="D783" s="21"/>
      <c r="E783" s="21"/>
      <c r="F783" s="21"/>
      <c r="G783" s="21"/>
      <c r="H783" s="21"/>
    </row>
    <row r="784" ht="14.25" spans="1:8">
      <c r="A784" s="21"/>
      <c r="B784" s="21"/>
      <c r="C784" s="21"/>
      <c r="D784" s="21"/>
      <c r="E784" s="21"/>
      <c r="F784" s="21"/>
      <c r="G784" s="21"/>
      <c r="H784" s="21"/>
    </row>
    <row r="785" ht="14.25" spans="1:8">
      <c r="A785" s="21"/>
      <c r="B785" s="21"/>
      <c r="C785" s="21"/>
      <c r="D785" s="21"/>
      <c r="E785" s="21"/>
      <c r="F785" s="21"/>
      <c r="G785" s="21"/>
      <c r="H785" s="21"/>
    </row>
    <row r="786" ht="14.25" spans="1:8">
      <c r="A786" s="21"/>
      <c r="B786" s="21"/>
      <c r="C786" s="21"/>
      <c r="D786" s="21"/>
      <c r="E786" s="21"/>
      <c r="F786" s="21"/>
      <c r="G786" s="21"/>
      <c r="H786" s="21"/>
    </row>
    <row r="787" ht="14.25" spans="1:8">
      <c r="A787" s="21"/>
      <c r="B787" s="21"/>
      <c r="C787" s="21"/>
      <c r="D787" s="21"/>
      <c r="E787" s="21"/>
      <c r="F787" s="21"/>
      <c r="G787" s="21"/>
      <c r="H787" s="21"/>
    </row>
    <row r="788" ht="14.25" spans="1:8">
      <c r="A788" s="21"/>
      <c r="B788" s="21"/>
      <c r="C788" s="21"/>
      <c r="D788" s="21"/>
      <c r="E788" s="21"/>
      <c r="F788" s="21"/>
      <c r="G788" s="21"/>
      <c r="H788" s="21"/>
    </row>
    <row r="789" ht="14.25" spans="1:8">
      <c r="A789" s="21"/>
      <c r="B789" s="21"/>
      <c r="C789" s="21"/>
      <c r="D789" s="21"/>
      <c r="E789" s="21"/>
      <c r="F789" s="21"/>
      <c r="G789" s="21"/>
      <c r="H789" s="21"/>
    </row>
    <row r="790" ht="14.25" spans="1:8">
      <c r="A790" s="21"/>
      <c r="B790" s="21"/>
      <c r="C790" s="21"/>
      <c r="D790" s="21"/>
      <c r="E790" s="21"/>
      <c r="F790" s="21"/>
      <c r="G790" s="21"/>
      <c r="H790" s="21"/>
    </row>
    <row r="791" ht="14.25" spans="1:8">
      <c r="A791" s="21"/>
      <c r="B791" s="21"/>
      <c r="C791" s="21"/>
      <c r="D791" s="21"/>
      <c r="E791" s="21"/>
      <c r="F791" s="21"/>
      <c r="G791" s="21"/>
      <c r="H791" s="21"/>
    </row>
    <row r="792" ht="14.25" spans="1:8">
      <c r="A792" s="21"/>
      <c r="B792" s="21"/>
      <c r="C792" s="21"/>
      <c r="D792" s="21"/>
      <c r="E792" s="21"/>
      <c r="F792" s="21"/>
      <c r="G792" s="21"/>
      <c r="H792" s="21"/>
    </row>
    <row r="793" ht="14.25" spans="1:8">
      <c r="A793" s="21"/>
      <c r="B793" s="21"/>
      <c r="C793" s="21"/>
      <c r="D793" s="21"/>
      <c r="E793" s="21"/>
      <c r="F793" s="21"/>
      <c r="G793" s="21"/>
      <c r="H793" s="21"/>
    </row>
    <row r="794" ht="14.25" spans="1:8">
      <c r="A794" s="21"/>
      <c r="B794" s="21"/>
      <c r="C794" s="21"/>
      <c r="D794" s="21"/>
      <c r="E794" s="21"/>
      <c r="F794" s="21"/>
      <c r="G794" s="21"/>
      <c r="H794" s="21"/>
    </row>
    <row r="795" ht="14.25" spans="1:8">
      <c r="A795" s="21"/>
      <c r="B795" s="21"/>
      <c r="C795" s="21"/>
      <c r="D795" s="21"/>
      <c r="E795" s="21"/>
      <c r="F795" s="21"/>
      <c r="G795" s="21"/>
      <c r="H795" s="21"/>
    </row>
    <row r="796" ht="14.25" spans="1:8">
      <c r="A796" s="21"/>
      <c r="B796" s="21"/>
      <c r="C796" s="21"/>
      <c r="D796" s="21"/>
      <c r="E796" s="21"/>
      <c r="F796" s="21"/>
      <c r="G796" s="21"/>
      <c r="H796" s="21"/>
    </row>
    <row r="797" ht="14.25" spans="1:8">
      <c r="A797" s="21"/>
      <c r="B797" s="21"/>
      <c r="C797" s="21"/>
      <c r="D797" s="21"/>
      <c r="E797" s="21"/>
      <c r="F797" s="21"/>
      <c r="G797" s="21"/>
      <c r="H797" s="21"/>
    </row>
    <row r="798" ht="14.25" spans="1:8">
      <c r="A798" s="21"/>
      <c r="B798" s="21"/>
      <c r="C798" s="21"/>
      <c r="D798" s="21"/>
      <c r="E798" s="21"/>
      <c r="F798" s="21"/>
      <c r="G798" s="21"/>
      <c r="H798" s="21"/>
    </row>
    <row r="799" ht="14.25" spans="1:8">
      <c r="A799" s="21"/>
      <c r="B799" s="21"/>
      <c r="C799" s="21"/>
      <c r="D799" s="21"/>
      <c r="E799" s="21"/>
      <c r="F799" s="21"/>
      <c r="G799" s="21"/>
      <c r="H799" s="21"/>
    </row>
    <row r="800" ht="14.25" spans="1:8">
      <c r="A800" s="21"/>
      <c r="B800" s="21"/>
      <c r="C800" s="21"/>
      <c r="D800" s="21"/>
      <c r="E800" s="21"/>
      <c r="F800" s="21"/>
      <c r="G800" s="21"/>
      <c r="H800" s="21"/>
    </row>
    <row r="801" ht="14.25" spans="1:8">
      <c r="A801" s="21"/>
      <c r="B801" s="21"/>
      <c r="C801" s="21"/>
      <c r="D801" s="21"/>
      <c r="E801" s="21"/>
      <c r="F801" s="21"/>
      <c r="G801" s="21"/>
      <c r="H801" s="21"/>
    </row>
    <row r="802" ht="14.25" spans="1:8">
      <c r="A802" s="21"/>
      <c r="B802" s="21"/>
      <c r="C802" s="21"/>
      <c r="D802" s="21"/>
      <c r="E802" s="21"/>
      <c r="F802" s="21"/>
      <c r="G802" s="21"/>
      <c r="H802" s="21"/>
    </row>
    <row r="803" ht="14.25" spans="1:8">
      <c r="A803" s="21"/>
      <c r="B803" s="21"/>
      <c r="C803" s="21"/>
      <c r="D803" s="21"/>
      <c r="E803" s="21"/>
      <c r="F803" s="21"/>
      <c r="G803" s="21"/>
      <c r="H803" s="21"/>
    </row>
    <row r="804" ht="14.25" spans="1:8">
      <c r="A804" s="21"/>
      <c r="B804" s="21"/>
      <c r="C804" s="21"/>
      <c r="D804" s="21"/>
      <c r="E804" s="21"/>
      <c r="F804" s="21"/>
      <c r="G804" s="21"/>
      <c r="H804" s="21"/>
    </row>
    <row r="805" ht="14.25" spans="1:8">
      <c r="A805" s="21"/>
      <c r="B805" s="21"/>
      <c r="C805" s="21"/>
      <c r="D805" s="21"/>
      <c r="E805" s="21"/>
      <c r="F805" s="21"/>
      <c r="G805" s="21"/>
      <c r="H805" s="21"/>
    </row>
    <row r="806" ht="14.25" spans="1:8">
      <c r="A806" s="21"/>
      <c r="B806" s="21"/>
      <c r="C806" s="21"/>
      <c r="D806" s="21"/>
      <c r="E806" s="21"/>
      <c r="F806" s="21"/>
      <c r="G806" s="21"/>
      <c r="H806" s="21"/>
    </row>
    <row r="807" ht="14.25" spans="1:8">
      <c r="A807" s="21"/>
      <c r="B807" s="21"/>
      <c r="C807" s="21"/>
      <c r="D807" s="21"/>
      <c r="E807" s="21"/>
      <c r="F807" s="21"/>
      <c r="G807" s="21"/>
      <c r="H807" s="21"/>
    </row>
    <row r="808" ht="14.25" spans="1:8">
      <c r="A808" s="21"/>
      <c r="B808" s="21"/>
      <c r="C808" s="21"/>
      <c r="D808" s="21"/>
      <c r="E808" s="21"/>
      <c r="F808" s="21"/>
      <c r="G808" s="21"/>
      <c r="H808" s="21"/>
    </row>
    <row r="809" ht="14.25" spans="1:8">
      <c r="A809" s="21"/>
      <c r="B809" s="21"/>
      <c r="C809" s="21"/>
      <c r="D809" s="21"/>
      <c r="E809" s="21"/>
      <c r="F809" s="21"/>
      <c r="G809" s="21"/>
      <c r="H809" s="21"/>
    </row>
    <row r="810" ht="14.25" spans="1:8">
      <c r="A810" s="21"/>
      <c r="B810" s="21"/>
      <c r="C810" s="21"/>
      <c r="D810" s="21"/>
      <c r="E810" s="21"/>
      <c r="F810" s="21"/>
      <c r="G810" s="21"/>
      <c r="H810" s="21"/>
    </row>
    <row r="811" ht="14.25" spans="1:8">
      <c r="A811" s="21"/>
      <c r="B811" s="21"/>
      <c r="C811" s="21"/>
      <c r="D811" s="21"/>
      <c r="E811" s="21"/>
      <c r="F811" s="21"/>
      <c r="G811" s="21"/>
      <c r="H811" s="21"/>
    </row>
    <row r="812" ht="14.25" spans="1:8">
      <c r="A812" s="21"/>
      <c r="B812" s="21"/>
      <c r="C812" s="21"/>
      <c r="D812" s="21"/>
      <c r="E812" s="21"/>
      <c r="F812" s="21"/>
      <c r="G812" s="21"/>
      <c r="H812" s="21"/>
    </row>
    <row r="813" ht="14.25" spans="1:8">
      <c r="A813" s="21"/>
      <c r="B813" s="21"/>
      <c r="C813" s="21"/>
      <c r="D813" s="21"/>
      <c r="E813" s="21"/>
      <c r="F813" s="21"/>
      <c r="G813" s="21"/>
      <c r="H813" s="21"/>
    </row>
    <row r="814" ht="14.25" spans="1:8">
      <c r="A814" s="21"/>
      <c r="B814" s="21"/>
      <c r="C814" s="21"/>
      <c r="D814" s="21"/>
      <c r="E814" s="21"/>
      <c r="F814" s="21"/>
      <c r="G814" s="21"/>
      <c r="H814" s="21"/>
    </row>
    <row r="815" ht="14.25" spans="1:8">
      <c r="A815" s="21"/>
      <c r="B815" s="21"/>
      <c r="C815" s="21"/>
      <c r="D815" s="21"/>
      <c r="E815" s="21"/>
      <c r="F815" s="21"/>
      <c r="G815" s="21"/>
      <c r="H815" s="21"/>
    </row>
    <row r="816" ht="14.25" spans="1:8">
      <c r="A816" s="21"/>
      <c r="B816" s="21"/>
      <c r="C816" s="21"/>
      <c r="D816" s="21"/>
      <c r="E816" s="21"/>
      <c r="F816" s="21"/>
      <c r="G816" s="21"/>
      <c r="H816" s="21"/>
    </row>
    <row r="817" ht="14.25" spans="1:8">
      <c r="A817" s="21"/>
      <c r="B817" s="21"/>
      <c r="C817" s="21"/>
      <c r="D817" s="21"/>
      <c r="E817" s="21"/>
      <c r="F817" s="21"/>
      <c r="G817" s="21"/>
      <c r="H817" s="21"/>
    </row>
    <row r="818" ht="14.25" spans="1:8">
      <c r="A818" s="21"/>
      <c r="B818" s="21"/>
      <c r="C818" s="21"/>
      <c r="D818" s="21"/>
      <c r="E818" s="21"/>
      <c r="F818" s="21"/>
      <c r="G818" s="21"/>
      <c r="H818" s="21"/>
    </row>
    <row r="819" ht="14.25" spans="1:8">
      <c r="A819" s="21"/>
      <c r="B819" s="21"/>
      <c r="C819" s="21"/>
      <c r="D819" s="21"/>
      <c r="E819" s="21"/>
      <c r="F819" s="21"/>
      <c r="G819" s="21"/>
      <c r="H819" s="21"/>
    </row>
    <row r="820" ht="14.25" spans="1:8">
      <c r="A820" s="21"/>
      <c r="B820" s="21"/>
      <c r="C820" s="21"/>
      <c r="D820" s="21"/>
      <c r="E820" s="21"/>
      <c r="F820" s="21"/>
      <c r="G820" s="21"/>
      <c r="H820" s="21"/>
    </row>
    <row r="821" ht="14.25" spans="1:8">
      <c r="A821" s="21"/>
      <c r="B821" s="21"/>
      <c r="C821" s="21"/>
      <c r="D821" s="21"/>
      <c r="E821" s="21"/>
      <c r="F821" s="21"/>
      <c r="G821" s="21"/>
      <c r="H821" s="21"/>
    </row>
    <row r="822" ht="14.25" spans="1:8">
      <c r="A822" s="21"/>
      <c r="B822" s="21"/>
      <c r="C822" s="21"/>
      <c r="D822" s="21"/>
      <c r="E822" s="21"/>
      <c r="F822" s="21"/>
      <c r="G822" s="21"/>
      <c r="H822" s="21"/>
    </row>
    <row r="823" ht="14.25" spans="1:8">
      <c r="A823" s="21"/>
      <c r="B823" s="21"/>
      <c r="C823" s="21"/>
      <c r="D823" s="21"/>
      <c r="E823" s="21"/>
      <c r="F823" s="21"/>
      <c r="G823" s="21"/>
      <c r="H823" s="21"/>
    </row>
    <row r="824" ht="14.25" spans="1:8">
      <c r="A824" s="21"/>
      <c r="B824" s="21"/>
      <c r="C824" s="21"/>
      <c r="D824" s="21"/>
      <c r="E824" s="21"/>
      <c r="F824" s="21"/>
      <c r="G824" s="21"/>
      <c r="H824" s="21"/>
    </row>
    <row r="825" ht="14.25" spans="1:8">
      <c r="A825" s="21"/>
      <c r="B825" s="21"/>
      <c r="C825" s="21"/>
      <c r="D825" s="21"/>
      <c r="E825" s="21"/>
      <c r="F825" s="21"/>
      <c r="G825" s="21"/>
      <c r="H825" s="21"/>
    </row>
    <row r="826" ht="14.25" spans="1:8">
      <c r="A826" s="21"/>
      <c r="B826" s="21"/>
      <c r="C826" s="21"/>
      <c r="D826" s="21"/>
      <c r="E826" s="21"/>
      <c r="F826" s="21"/>
      <c r="G826" s="21"/>
      <c r="H826" s="21"/>
    </row>
    <row r="827" ht="14.25" spans="1:8">
      <c r="A827" s="21"/>
      <c r="B827" s="21"/>
      <c r="C827" s="21"/>
      <c r="D827" s="21"/>
      <c r="E827" s="21"/>
      <c r="F827" s="21"/>
      <c r="G827" s="21"/>
      <c r="H827" s="21"/>
    </row>
    <row r="828" ht="14.25" spans="1:8">
      <c r="A828" s="21"/>
      <c r="B828" s="21"/>
      <c r="C828" s="21"/>
      <c r="D828" s="21"/>
      <c r="E828" s="21"/>
      <c r="F828" s="21"/>
      <c r="G828" s="21"/>
      <c r="H828" s="21"/>
    </row>
    <row r="829" ht="14.25" spans="1:8">
      <c r="A829" s="21"/>
      <c r="B829" s="21"/>
      <c r="C829" s="21"/>
      <c r="D829" s="21"/>
      <c r="E829" s="21"/>
      <c r="F829" s="21"/>
      <c r="G829" s="21"/>
      <c r="H829" s="21"/>
    </row>
    <row r="830" ht="14.25" spans="1:8">
      <c r="A830" s="21"/>
      <c r="B830" s="21"/>
      <c r="C830" s="21"/>
      <c r="D830" s="21"/>
      <c r="E830" s="21"/>
      <c r="F830" s="21"/>
      <c r="G830" s="21"/>
      <c r="H830" s="21"/>
    </row>
    <row r="831" ht="14.25" spans="1:8">
      <c r="A831" s="21"/>
      <c r="B831" s="21"/>
      <c r="C831" s="21"/>
      <c r="D831" s="21"/>
      <c r="E831" s="21"/>
      <c r="F831" s="21"/>
      <c r="G831" s="21"/>
      <c r="H831" s="21"/>
    </row>
    <row r="832" ht="14.25" spans="1:8">
      <c r="A832" s="21"/>
      <c r="B832" s="21"/>
      <c r="C832" s="21"/>
      <c r="D832" s="21"/>
      <c r="E832" s="21"/>
      <c r="F832" s="21"/>
      <c r="G832" s="21"/>
      <c r="H832" s="21"/>
    </row>
    <row r="833" ht="14.25" spans="1:8">
      <c r="A833" s="21"/>
      <c r="B833" s="21"/>
      <c r="C833" s="21"/>
      <c r="D833" s="21"/>
      <c r="E833" s="21"/>
      <c r="F833" s="21"/>
      <c r="G833" s="21"/>
      <c r="H833" s="21"/>
    </row>
    <row r="834" ht="14.25" spans="1:8">
      <c r="A834" s="21"/>
      <c r="B834" s="21"/>
      <c r="C834" s="21"/>
      <c r="D834" s="21"/>
      <c r="E834" s="21"/>
      <c r="F834" s="21"/>
      <c r="G834" s="21"/>
      <c r="H834" s="21"/>
    </row>
    <row r="835" ht="14.25" spans="1:8">
      <c r="A835" s="21"/>
      <c r="B835" s="21"/>
      <c r="C835" s="21"/>
      <c r="D835" s="21"/>
      <c r="E835" s="21"/>
      <c r="F835" s="21"/>
      <c r="G835" s="21"/>
      <c r="H835" s="21"/>
    </row>
    <row r="836" ht="14.25" spans="1:8">
      <c r="A836" s="21"/>
      <c r="B836" s="21"/>
      <c r="C836" s="21"/>
      <c r="D836" s="21"/>
      <c r="E836" s="21"/>
      <c r="F836" s="21"/>
      <c r="G836" s="21"/>
      <c r="H836" s="21"/>
    </row>
    <row r="837" ht="14.25" spans="1:8">
      <c r="A837" s="21"/>
      <c r="B837" s="21"/>
      <c r="C837" s="21"/>
      <c r="D837" s="21"/>
      <c r="E837" s="21"/>
      <c r="F837" s="21"/>
      <c r="G837" s="21"/>
      <c r="H837" s="21"/>
    </row>
    <row r="838" ht="14.25" spans="1:8">
      <c r="A838" s="21"/>
      <c r="B838" s="21"/>
      <c r="C838" s="21"/>
      <c r="D838" s="21"/>
      <c r="E838" s="21"/>
      <c r="F838" s="21"/>
      <c r="G838" s="21"/>
      <c r="H838" s="21"/>
    </row>
    <row r="839" ht="14.25" spans="1:8">
      <c r="A839" s="21"/>
      <c r="B839" s="21"/>
      <c r="C839" s="21"/>
      <c r="D839" s="21"/>
      <c r="E839" s="21"/>
      <c r="F839" s="21"/>
      <c r="G839" s="21"/>
      <c r="H839" s="21"/>
    </row>
    <row r="840" ht="14.25" spans="1:8">
      <c r="A840" s="21"/>
      <c r="B840" s="21"/>
      <c r="C840" s="21"/>
      <c r="D840" s="21"/>
      <c r="E840" s="21"/>
      <c r="F840" s="21"/>
      <c r="G840" s="21"/>
      <c r="H840" s="21"/>
    </row>
    <row r="841" ht="14.25" spans="1:8">
      <c r="A841" s="21"/>
      <c r="B841" s="21"/>
      <c r="C841" s="21"/>
      <c r="D841" s="21"/>
      <c r="E841" s="21"/>
      <c r="F841" s="21"/>
      <c r="G841" s="21"/>
      <c r="H841" s="21"/>
    </row>
    <row r="842" ht="14.25" spans="1:8">
      <c r="A842" s="21"/>
      <c r="B842" s="21"/>
      <c r="C842" s="21"/>
      <c r="D842" s="21"/>
      <c r="E842" s="21"/>
      <c r="F842" s="21"/>
      <c r="G842" s="21"/>
      <c r="H842" s="21"/>
    </row>
    <row r="843" ht="14.25" spans="1:8">
      <c r="A843" s="21"/>
      <c r="B843" s="21"/>
      <c r="C843" s="21"/>
      <c r="D843" s="21"/>
      <c r="E843" s="21"/>
      <c r="F843" s="21"/>
      <c r="G843" s="21"/>
      <c r="H843" s="21"/>
    </row>
    <row r="844" ht="14.25" spans="1:8">
      <c r="A844" s="21"/>
      <c r="B844" s="21"/>
      <c r="C844" s="21"/>
      <c r="D844" s="21"/>
      <c r="E844" s="21"/>
      <c r="F844" s="21"/>
      <c r="G844" s="21"/>
      <c r="H844" s="21"/>
    </row>
    <row r="845" ht="14.25" spans="1:8">
      <c r="A845" s="21"/>
      <c r="B845" s="21"/>
      <c r="C845" s="21"/>
      <c r="D845" s="21"/>
      <c r="E845" s="21"/>
      <c r="F845" s="21"/>
      <c r="G845" s="21"/>
      <c r="H845" s="21"/>
    </row>
    <row r="846" ht="14.25" spans="1:8">
      <c r="A846" s="21"/>
      <c r="B846" s="21"/>
      <c r="C846" s="21"/>
      <c r="D846" s="21"/>
      <c r="E846" s="21"/>
      <c r="F846" s="21"/>
      <c r="G846" s="21"/>
      <c r="H846" s="21"/>
    </row>
    <row r="847" ht="14.25" spans="1:8">
      <c r="A847" s="21"/>
      <c r="B847" s="21"/>
      <c r="C847" s="21"/>
      <c r="D847" s="21"/>
      <c r="E847" s="21"/>
      <c r="F847" s="21"/>
      <c r="G847" s="21"/>
      <c r="H847" s="21"/>
    </row>
    <row r="848" ht="14.25" spans="1:8">
      <c r="A848" s="21"/>
      <c r="B848" s="21"/>
      <c r="C848" s="21"/>
      <c r="D848" s="21"/>
      <c r="E848" s="21"/>
      <c r="F848" s="21"/>
      <c r="G848" s="21"/>
      <c r="H848" s="21"/>
    </row>
    <row r="849" ht="14.25" spans="1:8">
      <c r="A849" s="21"/>
      <c r="B849" s="21"/>
      <c r="C849" s="21"/>
      <c r="D849" s="21"/>
      <c r="E849" s="21"/>
      <c r="F849" s="21"/>
      <c r="G849" s="21"/>
      <c r="H849" s="21"/>
    </row>
    <row r="850" ht="14.25" spans="1:8">
      <c r="A850" s="21"/>
      <c r="B850" s="21"/>
      <c r="C850" s="21"/>
      <c r="D850" s="21"/>
      <c r="E850" s="21"/>
      <c r="F850" s="21"/>
      <c r="G850" s="21"/>
      <c r="H850" s="21"/>
    </row>
    <row r="851" ht="14.25" spans="1:8">
      <c r="A851" s="21"/>
      <c r="B851" s="21"/>
      <c r="C851" s="21"/>
      <c r="D851" s="21"/>
      <c r="E851" s="21"/>
      <c r="F851" s="21"/>
      <c r="G851" s="21"/>
      <c r="H851" s="21"/>
    </row>
    <row r="852" ht="14.25" spans="1:8">
      <c r="A852" s="21"/>
      <c r="B852" s="21"/>
      <c r="C852" s="21"/>
      <c r="D852" s="21"/>
      <c r="E852" s="21"/>
      <c r="F852" s="21"/>
      <c r="G852" s="21"/>
      <c r="H852" s="21"/>
    </row>
    <row r="853" ht="14.25" spans="1:8">
      <c r="A853" s="21"/>
      <c r="B853" s="21"/>
      <c r="C853" s="21"/>
      <c r="D853" s="21"/>
      <c r="E853" s="21"/>
      <c r="F853" s="21"/>
      <c r="G853" s="21"/>
      <c r="H853" s="21"/>
    </row>
    <row r="854" ht="14.25" spans="1:8">
      <c r="A854" s="21"/>
      <c r="B854" s="21"/>
      <c r="C854" s="21"/>
      <c r="D854" s="21"/>
      <c r="E854" s="21"/>
      <c r="F854" s="21"/>
      <c r="G854" s="21"/>
      <c r="H854" s="21"/>
    </row>
    <row r="855" ht="14.25" spans="1:8">
      <c r="A855" s="21"/>
      <c r="B855" s="21"/>
      <c r="C855" s="21"/>
      <c r="D855" s="21"/>
      <c r="E855" s="21"/>
      <c r="F855" s="21"/>
      <c r="G855" s="21"/>
      <c r="H855" s="21"/>
    </row>
    <row r="856" ht="14.25" spans="1:8">
      <c r="A856" s="21"/>
      <c r="B856" s="21"/>
      <c r="C856" s="21"/>
      <c r="D856" s="21"/>
      <c r="E856" s="21"/>
      <c r="F856" s="21"/>
      <c r="G856" s="21"/>
      <c r="H856" s="21"/>
    </row>
    <row r="857" ht="14.25" spans="1:8">
      <c r="A857" s="21"/>
      <c r="B857" s="21"/>
      <c r="C857" s="21"/>
      <c r="D857" s="21"/>
      <c r="E857" s="21"/>
      <c r="F857" s="21"/>
      <c r="G857" s="21"/>
      <c r="H857" s="21"/>
    </row>
    <row r="858" ht="14.25" spans="1:8">
      <c r="A858" s="21"/>
      <c r="B858" s="21"/>
      <c r="C858" s="21"/>
      <c r="D858" s="21"/>
      <c r="E858" s="21"/>
      <c r="F858" s="21"/>
      <c r="G858" s="21"/>
      <c r="H858" s="21"/>
    </row>
    <row r="859" ht="14.25" spans="1:8">
      <c r="A859" s="21"/>
      <c r="B859" s="21"/>
      <c r="C859" s="21"/>
      <c r="D859" s="21"/>
      <c r="E859" s="21"/>
      <c r="F859" s="21"/>
      <c r="G859" s="21"/>
      <c r="H859" s="21"/>
    </row>
    <row r="860" ht="14.25" spans="1:8">
      <c r="A860" s="21"/>
      <c r="B860" s="21"/>
      <c r="C860" s="21"/>
      <c r="D860" s="21"/>
      <c r="E860" s="21"/>
      <c r="F860" s="21"/>
      <c r="G860" s="21"/>
      <c r="H860" s="21"/>
    </row>
    <row r="861" ht="14.25" spans="1:8">
      <c r="A861" s="21"/>
      <c r="B861" s="21"/>
      <c r="C861" s="21"/>
      <c r="D861" s="21"/>
      <c r="E861" s="21"/>
      <c r="F861" s="21"/>
      <c r="G861" s="21"/>
      <c r="H861" s="21"/>
    </row>
    <row r="862" ht="14.25" spans="1:8">
      <c r="A862" s="21"/>
      <c r="B862" s="21"/>
      <c r="C862" s="21"/>
      <c r="D862" s="21"/>
      <c r="E862" s="21"/>
      <c r="F862" s="21"/>
      <c r="G862" s="21"/>
      <c r="H862" s="21"/>
    </row>
    <row r="863" ht="14.25" spans="1:8">
      <c r="A863" s="21"/>
      <c r="B863" s="21"/>
      <c r="C863" s="21"/>
      <c r="D863" s="21"/>
      <c r="E863" s="21"/>
      <c r="F863" s="21"/>
      <c r="G863" s="21"/>
      <c r="H863" s="21"/>
    </row>
    <row r="864" ht="14.25" spans="1:8">
      <c r="A864" s="21"/>
      <c r="B864" s="21"/>
      <c r="C864" s="21"/>
      <c r="D864" s="21"/>
      <c r="E864" s="21"/>
      <c r="F864" s="21"/>
      <c r="G864" s="21"/>
      <c r="H864" s="21"/>
    </row>
    <row r="865" ht="14.25" spans="1:8">
      <c r="A865" s="21"/>
      <c r="B865" s="21"/>
      <c r="C865" s="21"/>
      <c r="D865" s="21"/>
      <c r="E865" s="21"/>
      <c r="F865" s="21"/>
      <c r="G865" s="21"/>
      <c r="H865" s="21"/>
    </row>
    <row r="866" ht="14.25" spans="1:8">
      <c r="A866" s="21"/>
      <c r="B866" s="21"/>
      <c r="C866" s="21"/>
      <c r="D866" s="21"/>
      <c r="E866" s="21"/>
      <c r="F866" s="21"/>
      <c r="G866" s="21"/>
      <c r="H866" s="21"/>
    </row>
    <row r="867" ht="14.25" spans="1:8">
      <c r="A867" s="21"/>
      <c r="B867" s="21"/>
      <c r="C867" s="21"/>
      <c r="D867" s="21"/>
      <c r="E867" s="21"/>
      <c r="F867" s="21"/>
      <c r="G867" s="21"/>
      <c r="H867" s="21"/>
    </row>
    <row r="868" ht="14.25" spans="1:8">
      <c r="A868" s="21"/>
      <c r="B868" s="21"/>
      <c r="C868" s="21"/>
      <c r="D868" s="21"/>
      <c r="E868" s="21"/>
      <c r="F868" s="21"/>
      <c r="G868" s="21"/>
      <c r="H868" s="21"/>
    </row>
    <row r="869" ht="14.25" spans="1:8">
      <c r="A869" s="21"/>
      <c r="B869" s="21"/>
      <c r="C869" s="21"/>
      <c r="D869" s="21"/>
      <c r="E869" s="21"/>
      <c r="F869" s="21"/>
      <c r="G869" s="21"/>
      <c r="H869" s="21"/>
    </row>
    <row r="870" ht="14.25" spans="1:8">
      <c r="A870" s="21"/>
      <c r="B870" s="21"/>
      <c r="C870" s="21"/>
      <c r="D870" s="21"/>
      <c r="E870" s="21"/>
      <c r="F870" s="21"/>
      <c r="G870" s="21"/>
      <c r="H870" s="21"/>
    </row>
    <row r="871" ht="14.25" spans="1:8">
      <c r="A871" s="21"/>
      <c r="B871" s="21"/>
      <c r="C871" s="21"/>
      <c r="D871" s="21"/>
      <c r="E871" s="21"/>
      <c r="F871" s="21"/>
      <c r="G871" s="21"/>
      <c r="H871" s="21"/>
    </row>
    <row r="872" ht="14.25" spans="1:8">
      <c r="A872" s="21"/>
      <c r="B872" s="21"/>
      <c r="C872" s="21"/>
      <c r="D872" s="21"/>
      <c r="E872" s="21"/>
      <c r="F872" s="21"/>
      <c r="G872" s="21"/>
      <c r="H872" s="21"/>
    </row>
    <row r="873" ht="14.25" spans="1:8">
      <c r="A873" s="21"/>
      <c r="B873" s="21"/>
      <c r="C873" s="21"/>
      <c r="D873" s="21"/>
      <c r="E873" s="21"/>
      <c r="F873" s="21"/>
      <c r="G873" s="21"/>
      <c r="H873" s="21"/>
    </row>
    <row r="874" ht="14.25" spans="1:8">
      <c r="A874" s="21"/>
      <c r="B874" s="21"/>
      <c r="C874" s="21"/>
      <c r="D874" s="21"/>
      <c r="E874" s="21"/>
      <c r="F874" s="21"/>
      <c r="G874" s="21"/>
      <c r="H874" s="21"/>
    </row>
    <row r="875" ht="14.25" spans="1:8">
      <c r="A875" s="21"/>
      <c r="B875" s="21"/>
      <c r="C875" s="21"/>
      <c r="D875" s="21"/>
      <c r="E875" s="21"/>
      <c r="F875" s="21"/>
      <c r="G875" s="21"/>
      <c r="H875" s="21"/>
    </row>
    <row r="876" ht="14.25" spans="1:8">
      <c r="A876" s="21"/>
      <c r="B876" s="21"/>
      <c r="C876" s="21"/>
      <c r="D876" s="21"/>
      <c r="E876" s="21"/>
      <c r="F876" s="21"/>
      <c r="G876" s="21"/>
      <c r="H876" s="21"/>
    </row>
    <row r="877" ht="14.25" spans="1:8">
      <c r="A877" s="21"/>
      <c r="B877" s="21"/>
      <c r="C877" s="21"/>
      <c r="D877" s="21"/>
      <c r="E877" s="21"/>
      <c r="F877" s="21"/>
      <c r="G877" s="21"/>
      <c r="H877" s="21"/>
    </row>
    <row r="878" ht="14.25" spans="1:8">
      <c r="A878" s="21"/>
      <c r="B878" s="21"/>
      <c r="C878" s="21"/>
      <c r="D878" s="21"/>
      <c r="E878" s="21"/>
      <c r="F878" s="21"/>
      <c r="G878" s="21"/>
      <c r="H878" s="21"/>
    </row>
    <row r="879" ht="14.25" spans="1:8">
      <c r="A879" s="21"/>
      <c r="B879" s="21"/>
      <c r="C879" s="21"/>
      <c r="D879" s="21"/>
      <c r="E879" s="21"/>
      <c r="F879" s="21"/>
      <c r="G879" s="21"/>
      <c r="H879" s="21"/>
    </row>
    <row r="880" ht="14.25" spans="1:8">
      <c r="A880" s="21"/>
      <c r="B880" s="21"/>
      <c r="C880" s="21"/>
      <c r="D880" s="21"/>
      <c r="E880" s="21"/>
      <c r="F880" s="21"/>
      <c r="G880" s="21"/>
      <c r="H880" s="21"/>
    </row>
    <row r="881" ht="14.25" spans="1:8">
      <c r="A881" s="21"/>
      <c r="B881" s="21"/>
      <c r="C881" s="21"/>
      <c r="D881" s="21"/>
      <c r="E881" s="21"/>
      <c r="F881" s="21"/>
      <c r="G881" s="21"/>
      <c r="H881" s="21"/>
    </row>
    <row r="882" ht="14.25" spans="1:8">
      <c r="A882" s="21"/>
      <c r="B882" s="21"/>
      <c r="C882" s="21"/>
      <c r="D882" s="21"/>
      <c r="E882" s="21"/>
      <c r="F882" s="21"/>
      <c r="G882" s="21"/>
      <c r="H882" s="21"/>
    </row>
    <row r="883" ht="14.25" spans="1:8">
      <c r="A883" s="21"/>
      <c r="B883" s="21"/>
      <c r="C883" s="21"/>
      <c r="D883" s="21"/>
      <c r="E883" s="21"/>
      <c r="F883" s="21"/>
      <c r="G883" s="21"/>
      <c r="H883" s="21"/>
    </row>
    <row r="884" ht="14.25" spans="1:8">
      <c r="A884" s="21"/>
      <c r="B884" s="21"/>
      <c r="C884" s="21"/>
      <c r="D884" s="21"/>
      <c r="E884" s="21"/>
      <c r="F884" s="21"/>
      <c r="G884" s="21"/>
      <c r="H884" s="21"/>
    </row>
    <row r="885" ht="14.25" spans="1:8">
      <c r="A885" s="21"/>
      <c r="B885" s="21"/>
      <c r="C885" s="21"/>
      <c r="D885" s="21"/>
      <c r="E885" s="21"/>
      <c r="F885" s="21"/>
      <c r="G885" s="21"/>
      <c r="H885" s="21"/>
    </row>
    <row r="886" ht="14.25" spans="1:8">
      <c r="A886" s="21"/>
      <c r="B886" s="21"/>
      <c r="C886" s="21"/>
      <c r="D886" s="21"/>
      <c r="E886" s="21"/>
      <c r="F886" s="21"/>
      <c r="G886" s="21"/>
      <c r="H886" s="21"/>
    </row>
    <row r="887" ht="14.25" spans="1:8">
      <c r="A887" s="21"/>
      <c r="B887" s="21"/>
      <c r="C887" s="21"/>
      <c r="D887" s="21"/>
      <c r="E887" s="21"/>
      <c r="F887" s="21"/>
      <c r="G887" s="21"/>
      <c r="H887" s="21"/>
    </row>
    <row r="888" ht="14.25" spans="1:8">
      <c r="A888" s="21"/>
      <c r="B888" s="21"/>
      <c r="C888" s="21"/>
      <c r="D888" s="21"/>
      <c r="E888" s="21"/>
      <c r="F888" s="21"/>
      <c r="G888" s="21"/>
      <c r="H888" s="21"/>
    </row>
    <row r="889" ht="14.25" spans="1:8">
      <c r="A889" s="21"/>
      <c r="B889" s="21"/>
      <c r="C889" s="21"/>
      <c r="D889" s="21"/>
      <c r="E889" s="21"/>
      <c r="F889" s="21"/>
      <c r="G889" s="21"/>
      <c r="H889" s="21"/>
    </row>
    <row r="890" ht="14.25" spans="1:8">
      <c r="A890" s="21"/>
      <c r="B890" s="21"/>
      <c r="C890" s="21"/>
      <c r="D890" s="21"/>
      <c r="E890" s="21"/>
      <c r="F890" s="21"/>
      <c r="G890" s="21"/>
      <c r="H890" s="21"/>
    </row>
    <row r="891" ht="14.25" spans="1:8">
      <c r="A891" s="21"/>
      <c r="B891" s="21"/>
      <c r="C891" s="21"/>
      <c r="D891" s="21"/>
      <c r="E891" s="21"/>
      <c r="F891" s="21"/>
      <c r="G891" s="21"/>
      <c r="H891" s="21"/>
    </row>
    <row r="892" ht="14.25" spans="1:8">
      <c r="A892" s="21"/>
      <c r="B892" s="21"/>
      <c r="C892" s="21"/>
      <c r="D892" s="21"/>
      <c r="E892" s="21"/>
      <c r="F892" s="21"/>
      <c r="G892" s="21"/>
      <c r="H892" s="21"/>
    </row>
    <row r="893" ht="14.25" spans="1:8">
      <c r="A893" s="21"/>
      <c r="B893" s="21"/>
      <c r="C893" s="21"/>
      <c r="D893" s="21"/>
      <c r="E893" s="21"/>
      <c r="F893" s="21"/>
      <c r="G893" s="21"/>
      <c r="H893" s="21"/>
    </row>
    <row r="894" ht="14.25" spans="1:8">
      <c r="A894" s="21"/>
      <c r="B894" s="21"/>
      <c r="C894" s="21"/>
      <c r="D894" s="21"/>
      <c r="E894" s="21"/>
      <c r="F894" s="21"/>
      <c r="G894" s="21"/>
      <c r="H894" s="21"/>
    </row>
    <row r="895" ht="14.25" spans="1:8">
      <c r="A895" s="21"/>
      <c r="B895" s="21"/>
      <c r="C895" s="21"/>
      <c r="D895" s="21"/>
      <c r="E895" s="21"/>
      <c r="F895" s="21"/>
      <c r="G895" s="21"/>
      <c r="H895" s="21"/>
    </row>
    <row r="896" ht="14.25" spans="1:8">
      <c r="A896" s="21"/>
      <c r="B896" s="21"/>
      <c r="C896" s="21"/>
      <c r="D896" s="21"/>
      <c r="E896" s="21"/>
      <c r="F896" s="21"/>
      <c r="G896" s="21"/>
      <c r="H896" s="21"/>
    </row>
    <row r="897" ht="14.25" spans="1:8">
      <c r="A897" s="21"/>
      <c r="B897" s="21"/>
      <c r="C897" s="21"/>
      <c r="D897" s="21"/>
      <c r="E897" s="21"/>
      <c r="F897" s="21"/>
      <c r="G897" s="21"/>
      <c r="H897" s="21"/>
    </row>
    <row r="898" ht="14.25" spans="1:8">
      <c r="A898" s="21"/>
      <c r="B898" s="21"/>
      <c r="C898" s="21"/>
      <c r="D898" s="21"/>
      <c r="E898" s="21"/>
      <c r="F898" s="21"/>
      <c r="G898" s="21"/>
      <c r="H898" s="21"/>
    </row>
    <row r="899" ht="14.25" spans="1:8">
      <c r="A899" s="21"/>
      <c r="B899" s="21"/>
      <c r="C899" s="21"/>
      <c r="D899" s="21"/>
      <c r="E899" s="21"/>
      <c r="F899" s="21"/>
      <c r="G899" s="21"/>
      <c r="H899" s="21"/>
    </row>
    <row r="900" ht="14.25" spans="1:8">
      <c r="A900" s="21"/>
      <c r="B900" s="21"/>
      <c r="C900" s="21"/>
      <c r="D900" s="21"/>
      <c r="E900" s="21"/>
      <c r="F900" s="21"/>
      <c r="G900" s="21"/>
      <c r="H900" s="21"/>
    </row>
    <row r="901" ht="14.25" spans="1:8">
      <c r="A901" s="21"/>
      <c r="B901" s="21"/>
      <c r="C901" s="21"/>
      <c r="D901" s="21"/>
      <c r="E901" s="21"/>
      <c r="F901" s="21"/>
      <c r="G901" s="21"/>
      <c r="H901" s="21"/>
    </row>
    <row r="902" ht="14.25" spans="1:8">
      <c r="A902" s="21"/>
      <c r="B902" s="21"/>
      <c r="C902" s="21"/>
      <c r="D902" s="21"/>
      <c r="E902" s="21"/>
      <c r="F902" s="21"/>
      <c r="G902" s="21"/>
      <c r="H902" s="21"/>
    </row>
    <row r="903" ht="14.25" spans="1:8">
      <c r="A903" s="21"/>
      <c r="B903" s="21"/>
      <c r="C903" s="21"/>
      <c r="D903" s="21"/>
      <c r="E903" s="21"/>
      <c r="F903" s="21"/>
      <c r="G903" s="21"/>
      <c r="H903" s="21"/>
    </row>
    <row r="904" ht="14.25" spans="1:8">
      <c r="A904" s="21"/>
      <c r="B904" s="21"/>
      <c r="C904" s="21"/>
      <c r="D904" s="21"/>
      <c r="E904" s="21"/>
      <c r="F904" s="21"/>
      <c r="G904" s="21"/>
      <c r="H904" s="21"/>
    </row>
    <row r="905" ht="14.25" spans="1:8">
      <c r="A905" s="21"/>
      <c r="B905" s="21"/>
      <c r="C905" s="21"/>
      <c r="D905" s="21"/>
      <c r="E905" s="21"/>
      <c r="F905" s="21"/>
      <c r="G905" s="21"/>
      <c r="H905" s="21"/>
    </row>
    <row r="906" ht="14.25" spans="1:8">
      <c r="A906" s="21"/>
      <c r="B906" s="21"/>
      <c r="C906" s="21"/>
      <c r="D906" s="21"/>
      <c r="E906" s="21"/>
      <c r="F906" s="21"/>
      <c r="G906" s="21"/>
      <c r="H906" s="21"/>
    </row>
    <row r="907" ht="14.25" spans="1:8">
      <c r="A907" s="21"/>
      <c r="B907" s="21"/>
      <c r="C907" s="21"/>
      <c r="D907" s="21"/>
      <c r="E907" s="21"/>
      <c r="F907" s="21"/>
      <c r="G907" s="21"/>
      <c r="H907" s="21"/>
    </row>
    <row r="908" ht="14.25" spans="1:8">
      <c r="A908" s="21"/>
      <c r="B908" s="21"/>
      <c r="C908" s="21"/>
      <c r="D908" s="21"/>
      <c r="E908" s="21"/>
      <c r="F908" s="21"/>
      <c r="G908" s="21"/>
      <c r="H908" s="21"/>
    </row>
    <row r="909" ht="14.25" spans="1:8">
      <c r="A909" s="21"/>
      <c r="B909" s="21"/>
      <c r="C909" s="21"/>
      <c r="D909" s="21"/>
      <c r="E909" s="21"/>
      <c r="F909" s="21"/>
      <c r="G909" s="21"/>
      <c r="H909" s="21"/>
    </row>
    <row r="910" ht="14.25" spans="1:8">
      <c r="A910" s="21"/>
      <c r="B910" s="21"/>
      <c r="C910" s="21"/>
      <c r="D910" s="21"/>
      <c r="E910" s="21"/>
      <c r="F910" s="21"/>
      <c r="G910" s="21"/>
      <c r="H910" s="21"/>
    </row>
    <row r="911" ht="14.25" spans="1:8">
      <c r="A911" s="21"/>
      <c r="B911" s="21"/>
      <c r="C911" s="21"/>
      <c r="D911" s="21"/>
      <c r="E911" s="21"/>
      <c r="F911" s="21"/>
      <c r="G911" s="21"/>
      <c r="H911" s="21"/>
    </row>
    <row r="912" ht="14.25" spans="1:8">
      <c r="A912" s="21"/>
      <c r="B912" s="21"/>
      <c r="C912" s="21"/>
      <c r="D912" s="21"/>
      <c r="E912" s="21"/>
      <c r="F912" s="21"/>
      <c r="G912" s="21"/>
      <c r="H912" s="21"/>
    </row>
    <row r="913" ht="14.25" spans="1:8">
      <c r="A913" s="21"/>
      <c r="B913" s="21"/>
      <c r="C913" s="21"/>
      <c r="D913" s="21"/>
      <c r="E913" s="21"/>
      <c r="F913" s="21"/>
      <c r="G913" s="21"/>
      <c r="H913" s="21"/>
    </row>
    <row r="914" ht="14.25" spans="1:8">
      <c r="A914" s="21"/>
      <c r="B914" s="21"/>
      <c r="C914" s="21"/>
      <c r="D914" s="21"/>
      <c r="E914" s="21"/>
      <c r="F914" s="21"/>
      <c r="G914" s="21"/>
      <c r="H914" s="21"/>
    </row>
    <row r="915" ht="14.25" spans="1:8">
      <c r="A915" s="21"/>
      <c r="B915" s="21"/>
      <c r="C915" s="21"/>
      <c r="D915" s="21"/>
      <c r="E915" s="21"/>
      <c r="F915" s="21"/>
      <c r="G915" s="21"/>
      <c r="H915" s="21"/>
    </row>
    <row r="916" ht="14.25" spans="1:8">
      <c r="A916" s="21"/>
      <c r="B916" s="21"/>
      <c r="C916" s="21"/>
      <c r="D916" s="21"/>
      <c r="E916" s="21"/>
      <c r="F916" s="21"/>
      <c r="G916" s="21"/>
      <c r="H916" s="21"/>
    </row>
    <row r="917" ht="14.25" spans="1:8">
      <c r="A917" s="21"/>
      <c r="B917" s="21"/>
      <c r="C917" s="21"/>
      <c r="D917" s="21"/>
      <c r="E917" s="21"/>
      <c r="F917" s="21"/>
      <c r="G917" s="21"/>
      <c r="H917" s="21"/>
    </row>
    <row r="918" ht="14.25" spans="1:8">
      <c r="A918" s="21"/>
      <c r="B918" s="21"/>
      <c r="C918" s="21"/>
      <c r="D918" s="21"/>
      <c r="E918" s="21"/>
      <c r="F918" s="21"/>
      <c r="G918" s="21"/>
      <c r="H918" s="21"/>
    </row>
    <row r="919" ht="14.25" spans="1:8">
      <c r="A919" s="21"/>
      <c r="B919" s="21"/>
      <c r="C919" s="21"/>
      <c r="D919" s="21"/>
      <c r="E919" s="21"/>
      <c r="F919" s="21"/>
      <c r="G919" s="21"/>
      <c r="H919" s="21"/>
    </row>
    <row r="920" ht="14.25" spans="1:8">
      <c r="A920" s="21"/>
      <c r="B920" s="21"/>
      <c r="C920" s="21"/>
      <c r="D920" s="21"/>
      <c r="E920" s="21"/>
      <c r="F920" s="21"/>
      <c r="G920" s="21"/>
      <c r="H920" s="21"/>
    </row>
    <row r="921" ht="14.25" spans="1:8">
      <c r="A921" s="21"/>
      <c r="B921" s="21"/>
      <c r="C921" s="21"/>
      <c r="D921" s="21"/>
      <c r="E921" s="21"/>
      <c r="F921" s="21"/>
      <c r="G921" s="21"/>
      <c r="H921" s="21"/>
    </row>
    <row r="922" ht="14.25" spans="1:8">
      <c r="A922" s="21"/>
      <c r="B922" s="21"/>
      <c r="C922" s="21"/>
      <c r="D922" s="21"/>
      <c r="E922" s="21"/>
      <c r="F922" s="21"/>
      <c r="G922" s="21"/>
      <c r="H922" s="21"/>
    </row>
    <row r="923" ht="14.25" spans="1:8">
      <c r="A923" s="21"/>
      <c r="B923" s="21"/>
      <c r="C923" s="21"/>
      <c r="D923" s="21"/>
      <c r="E923" s="21"/>
      <c r="F923" s="21"/>
      <c r="G923" s="21"/>
      <c r="H923" s="21"/>
    </row>
    <row r="924" ht="14.25" spans="1:8">
      <c r="A924" s="21"/>
      <c r="B924" s="21"/>
      <c r="C924" s="21"/>
      <c r="D924" s="21"/>
      <c r="E924" s="21"/>
      <c r="F924" s="21"/>
      <c r="G924" s="21"/>
      <c r="H924" s="21"/>
    </row>
    <row r="925" ht="14.25" spans="1:8">
      <c r="A925" s="21"/>
      <c r="B925" s="21"/>
      <c r="C925" s="21"/>
      <c r="D925" s="21"/>
      <c r="E925" s="21"/>
      <c r="F925" s="21"/>
      <c r="G925" s="21"/>
      <c r="H925" s="21"/>
    </row>
    <row r="926" ht="14.25" spans="1:8">
      <c r="A926" s="21"/>
      <c r="B926" s="21"/>
      <c r="C926" s="21"/>
      <c r="D926" s="21"/>
      <c r="E926" s="21"/>
      <c r="F926" s="21"/>
      <c r="G926" s="21"/>
      <c r="H926" s="21"/>
    </row>
    <row r="927" ht="14.25" spans="1:8">
      <c r="A927" s="21"/>
      <c r="B927" s="21"/>
      <c r="C927" s="21"/>
      <c r="D927" s="21"/>
      <c r="E927" s="21"/>
      <c r="F927" s="21"/>
      <c r="G927" s="21"/>
      <c r="H927" s="21"/>
    </row>
    <row r="928" ht="14.25" spans="1:8">
      <c r="A928" s="21"/>
      <c r="B928" s="21"/>
      <c r="C928" s="21"/>
      <c r="D928" s="21"/>
      <c r="E928" s="21"/>
      <c r="F928" s="21"/>
      <c r="G928" s="21"/>
      <c r="H928" s="21"/>
    </row>
    <row r="929" ht="14.25" spans="1:8">
      <c r="A929" s="21"/>
      <c r="B929" s="21"/>
      <c r="C929" s="21"/>
      <c r="D929" s="21"/>
      <c r="E929" s="21"/>
      <c r="F929" s="21"/>
      <c r="G929" s="21"/>
      <c r="H929" s="21"/>
    </row>
    <row r="930" ht="14.25" spans="1:8">
      <c r="A930" s="21"/>
      <c r="B930" s="21"/>
      <c r="C930" s="21"/>
      <c r="D930" s="21"/>
      <c r="E930" s="21"/>
      <c r="F930" s="21"/>
      <c r="G930" s="21"/>
      <c r="H930" s="21"/>
    </row>
    <row r="931" ht="14.25" spans="1:8">
      <c r="A931" s="21"/>
      <c r="B931" s="21"/>
      <c r="C931" s="21"/>
      <c r="D931" s="21"/>
      <c r="E931" s="21"/>
      <c r="F931" s="21"/>
      <c r="G931" s="21"/>
      <c r="H931" s="21"/>
    </row>
    <row r="932" ht="14.25" spans="1:8">
      <c r="A932" s="21"/>
      <c r="B932" s="21"/>
      <c r="C932" s="21"/>
      <c r="D932" s="21"/>
      <c r="E932" s="21"/>
      <c r="F932" s="21"/>
      <c r="G932" s="21"/>
      <c r="H932" s="21"/>
    </row>
    <row r="933" ht="14.25" spans="1:8">
      <c r="A933" s="21"/>
      <c r="B933" s="21"/>
      <c r="C933" s="21"/>
      <c r="D933" s="21"/>
      <c r="E933" s="21"/>
      <c r="F933" s="21"/>
      <c r="G933" s="21"/>
      <c r="H933" s="21"/>
    </row>
    <row r="934" ht="14.25" spans="1:8">
      <c r="A934" s="21"/>
      <c r="B934" s="21"/>
      <c r="C934" s="21"/>
      <c r="D934" s="21"/>
      <c r="E934" s="21"/>
      <c r="F934" s="21"/>
      <c r="G934" s="21"/>
      <c r="H934" s="21"/>
    </row>
    <row r="935" ht="14.25" spans="1:8">
      <c r="A935" s="21"/>
      <c r="B935" s="21"/>
      <c r="C935" s="21"/>
      <c r="D935" s="21"/>
      <c r="E935" s="21"/>
      <c r="F935" s="21"/>
      <c r="G935" s="21"/>
      <c r="H935" s="21"/>
    </row>
    <row r="936" ht="14.25" spans="1:8">
      <c r="A936" s="21"/>
      <c r="B936" s="21"/>
      <c r="C936" s="21"/>
      <c r="D936" s="21"/>
      <c r="E936" s="21"/>
      <c r="F936" s="21"/>
      <c r="G936" s="21"/>
      <c r="H936" s="21"/>
    </row>
    <row r="937" ht="14.25" spans="1:8">
      <c r="A937" s="21"/>
      <c r="B937" s="21"/>
      <c r="C937" s="21"/>
      <c r="D937" s="21"/>
      <c r="E937" s="21"/>
      <c r="F937" s="21"/>
      <c r="G937" s="21"/>
      <c r="H937" s="21"/>
    </row>
    <row r="938" ht="14.25" spans="1:8">
      <c r="A938" s="21"/>
      <c r="B938" s="21"/>
      <c r="C938" s="21"/>
      <c r="D938" s="21"/>
      <c r="E938" s="21"/>
      <c r="F938" s="21"/>
      <c r="G938" s="21"/>
      <c r="H938" s="21"/>
    </row>
    <row r="939" ht="14.25" spans="1:8">
      <c r="A939" s="21"/>
      <c r="B939" s="21"/>
      <c r="C939" s="21"/>
      <c r="D939" s="21"/>
      <c r="E939" s="21"/>
      <c r="F939" s="21"/>
      <c r="G939" s="21"/>
      <c r="H939" s="21"/>
    </row>
    <row r="940" ht="14.25" spans="1:8">
      <c r="A940" s="21"/>
      <c r="B940" s="21"/>
      <c r="C940" s="21"/>
      <c r="D940" s="21"/>
      <c r="E940" s="21"/>
      <c r="F940" s="21"/>
      <c r="G940" s="21"/>
      <c r="H940" s="21"/>
    </row>
    <row r="941" ht="14.25" spans="1:8">
      <c r="A941" s="21"/>
      <c r="B941" s="21"/>
      <c r="C941" s="21"/>
      <c r="D941" s="21"/>
      <c r="E941" s="21"/>
      <c r="F941" s="21"/>
      <c r="G941" s="21"/>
      <c r="H941" s="21"/>
    </row>
    <row r="942" ht="14.25" spans="1:8">
      <c r="A942" s="21"/>
      <c r="B942" s="21"/>
      <c r="C942" s="21"/>
      <c r="D942" s="21"/>
      <c r="E942" s="21"/>
      <c r="F942" s="21"/>
      <c r="G942" s="21"/>
      <c r="H942" s="21"/>
    </row>
    <row r="943" ht="14.25" spans="1:8">
      <c r="A943" s="21"/>
      <c r="B943" s="21"/>
      <c r="C943" s="21"/>
      <c r="D943" s="21"/>
      <c r="E943" s="21"/>
      <c r="F943" s="21"/>
      <c r="G943" s="21"/>
      <c r="H943" s="21"/>
    </row>
    <row r="944" ht="14.25" spans="1:8">
      <c r="A944" s="21"/>
      <c r="B944" s="21"/>
      <c r="C944" s="21"/>
      <c r="D944" s="21"/>
      <c r="E944" s="21"/>
      <c r="F944" s="21"/>
      <c r="G944" s="21"/>
      <c r="H944" s="21"/>
    </row>
    <row r="945" ht="14.25" spans="1:8">
      <c r="A945" s="21"/>
      <c r="B945" s="21"/>
      <c r="C945" s="21"/>
      <c r="D945" s="21"/>
      <c r="E945" s="21"/>
      <c r="F945" s="21"/>
      <c r="G945" s="21"/>
      <c r="H945" s="21"/>
    </row>
    <row r="946" ht="14.25" spans="1:8">
      <c r="A946" s="21"/>
      <c r="B946" s="21"/>
      <c r="C946" s="21"/>
      <c r="D946" s="21"/>
      <c r="E946" s="21"/>
      <c r="F946" s="21"/>
      <c r="G946" s="21"/>
      <c r="H946" s="21"/>
    </row>
    <row r="947" ht="14.25" spans="1:8">
      <c r="A947" s="21"/>
      <c r="B947" s="21"/>
      <c r="C947" s="21"/>
      <c r="D947" s="21"/>
      <c r="E947" s="21"/>
      <c r="F947" s="21"/>
      <c r="G947" s="21"/>
      <c r="H947" s="21"/>
    </row>
    <row r="948" ht="14.25" spans="1:8">
      <c r="A948" s="21"/>
      <c r="B948" s="21"/>
      <c r="C948" s="21"/>
      <c r="D948" s="21"/>
      <c r="E948" s="21"/>
      <c r="F948" s="21"/>
      <c r="G948" s="21"/>
      <c r="H948" s="21"/>
    </row>
    <row r="949" ht="14.25" spans="1:8">
      <c r="A949" s="21"/>
      <c r="B949" s="21"/>
      <c r="C949" s="21"/>
      <c r="D949" s="21"/>
      <c r="E949" s="21"/>
      <c r="F949" s="21"/>
      <c r="G949" s="21"/>
      <c r="H949" s="21"/>
    </row>
    <row r="950" ht="14.25" spans="1:8">
      <c r="A950" s="21"/>
      <c r="B950" s="21"/>
      <c r="C950" s="21"/>
      <c r="D950" s="21"/>
      <c r="E950" s="21"/>
      <c r="F950" s="21"/>
      <c r="G950" s="21"/>
      <c r="H950" s="21"/>
    </row>
    <row r="951" ht="14.25" spans="1:8">
      <c r="A951" s="21"/>
      <c r="B951" s="21"/>
      <c r="C951" s="21"/>
      <c r="D951" s="21"/>
      <c r="E951" s="21"/>
      <c r="F951" s="21"/>
      <c r="G951" s="21"/>
      <c r="H951" s="21"/>
    </row>
    <row r="952" ht="14.25" spans="1:8">
      <c r="A952" s="21"/>
      <c r="B952" s="21"/>
      <c r="C952" s="21"/>
      <c r="D952" s="21"/>
      <c r="E952" s="21"/>
      <c r="F952" s="21"/>
      <c r="G952" s="21"/>
      <c r="H952" s="21"/>
    </row>
    <row r="953" ht="14.25" spans="1:8">
      <c r="A953" s="21"/>
      <c r="B953" s="21"/>
      <c r="C953" s="21"/>
      <c r="D953" s="21"/>
      <c r="E953" s="21"/>
      <c r="F953" s="21"/>
      <c r="G953" s="21"/>
      <c r="H953" s="21"/>
    </row>
    <row r="954" ht="14.25" spans="1:8">
      <c r="A954" s="21"/>
      <c r="B954" s="21"/>
      <c r="C954" s="21"/>
      <c r="D954" s="21"/>
      <c r="E954" s="21"/>
      <c r="F954" s="21"/>
      <c r="G954" s="21"/>
      <c r="H954" s="21"/>
    </row>
    <row r="955" ht="14.25" spans="1:8">
      <c r="A955" s="21"/>
      <c r="B955" s="21"/>
      <c r="C955" s="21"/>
      <c r="D955" s="21"/>
      <c r="E955" s="21"/>
      <c r="F955" s="21"/>
      <c r="G955" s="21"/>
      <c r="H955" s="21"/>
    </row>
    <row r="956" ht="14.25" spans="1:8">
      <c r="A956" s="21"/>
      <c r="B956" s="21"/>
      <c r="C956" s="21"/>
      <c r="D956" s="21"/>
      <c r="E956" s="21"/>
      <c r="F956" s="21"/>
      <c r="G956" s="21"/>
      <c r="H956" s="21"/>
    </row>
    <row r="957" ht="14.25" spans="1:8">
      <c r="A957" s="21"/>
      <c r="B957" s="21"/>
      <c r="C957" s="21"/>
      <c r="D957" s="21"/>
      <c r="E957" s="21"/>
      <c r="F957" s="21"/>
      <c r="G957" s="21"/>
      <c r="H957" s="21"/>
    </row>
    <row r="958" ht="14.25" spans="1:8">
      <c r="A958" s="21"/>
      <c r="B958" s="21"/>
      <c r="C958" s="21"/>
      <c r="D958" s="21"/>
      <c r="E958" s="21"/>
      <c r="F958" s="21"/>
      <c r="G958" s="21"/>
      <c r="H958" s="21"/>
    </row>
    <row r="959" ht="14.25" spans="1:8">
      <c r="A959" s="21"/>
      <c r="B959" s="21"/>
      <c r="C959" s="21"/>
      <c r="D959" s="21"/>
      <c r="E959" s="21"/>
      <c r="F959" s="21"/>
      <c r="G959" s="21"/>
      <c r="H959" s="21"/>
    </row>
    <row r="960" ht="14.25" spans="1:8">
      <c r="A960" s="21"/>
      <c r="B960" s="21"/>
      <c r="C960" s="21"/>
      <c r="D960" s="21"/>
      <c r="E960" s="21"/>
      <c r="F960" s="21"/>
      <c r="G960" s="21"/>
      <c r="H960" s="21"/>
    </row>
    <row r="961" ht="14.25" spans="1:8">
      <c r="A961" s="21"/>
      <c r="B961" s="21"/>
      <c r="C961" s="21"/>
      <c r="D961" s="21"/>
      <c r="E961" s="21"/>
      <c r="F961" s="21"/>
      <c r="G961" s="21"/>
      <c r="H961" s="21"/>
    </row>
    <row r="962" ht="14.25" spans="1:8">
      <c r="A962" s="21"/>
      <c r="B962" s="21"/>
      <c r="C962" s="21"/>
      <c r="D962" s="21"/>
      <c r="E962" s="21"/>
      <c r="F962" s="21"/>
      <c r="G962" s="21"/>
      <c r="H962" s="21"/>
    </row>
    <row r="963" ht="14.25" spans="1:8">
      <c r="A963" s="21"/>
      <c r="B963" s="21"/>
      <c r="C963" s="21"/>
      <c r="D963" s="21"/>
      <c r="E963" s="21"/>
      <c r="F963" s="21"/>
      <c r="G963" s="21"/>
      <c r="H963" s="21"/>
    </row>
    <row r="964" ht="14.25" spans="1:8">
      <c r="A964" s="21"/>
      <c r="B964" s="21"/>
      <c r="C964" s="21"/>
      <c r="D964" s="21"/>
      <c r="E964" s="21"/>
      <c r="F964" s="21"/>
      <c r="G964" s="21"/>
      <c r="H964" s="21"/>
    </row>
    <row r="965" ht="14.25" spans="1:8">
      <c r="A965" s="21"/>
      <c r="B965" s="21"/>
      <c r="C965" s="21"/>
      <c r="D965" s="21"/>
      <c r="E965" s="21"/>
      <c r="F965" s="21"/>
      <c r="G965" s="21"/>
      <c r="H965" s="21"/>
    </row>
    <row r="966" ht="14.25" spans="1:8">
      <c r="A966" s="21"/>
      <c r="B966" s="21"/>
      <c r="C966" s="21"/>
      <c r="D966" s="21"/>
      <c r="E966" s="21"/>
      <c r="F966" s="21"/>
      <c r="G966" s="21"/>
      <c r="H966" s="21"/>
    </row>
    <row r="967" ht="14.25" spans="1:8">
      <c r="A967" s="21"/>
      <c r="B967" s="21"/>
      <c r="C967" s="21"/>
      <c r="D967" s="21"/>
      <c r="E967" s="21"/>
      <c r="F967" s="21"/>
      <c r="G967" s="21"/>
      <c r="H967" s="21"/>
    </row>
    <row r="968" ht="14.25" spans="1:8">
      <c r="A968" s="21"/>
      <c r="B968" s="21"/>
      <c r="C968" s="21"/>
      <c r="D968" s="21"/>
      <c r="E968" s="21"/>
      <c r="F968" s="21"/>
      <c r="G968" s="21"/>
      <c r="H968" s="21"/>
    </row>
    <row r="969" ht="14.25" spans="1:8">
      <c r="A969" s="21"/>
      <c r="B969" s="21"/>
      <c r="C969" s="21"/>
      <c r="D969" s="21"/>
      <c r="E969" s="21"/>
      <c r="F969" s="21"/>
      <c r="G969" s="21"/>
      <c r="H969" s="21"/>
    </row>
    <row r="970" ht="14.25" spans="1:8">
      <c r="A970" s="21"/>
      <c r="B970" s="21"/>
      <c r="C970" s="21"/>
      <c r="D970" s="21"/>
      <c r="E970" s="21"/>
      <c r="F970" s="21"/>
      <c r="G970" s="21"/>
      <c r="H970" s="21"/>
    </row>
    <row r="971" ht="14.25" spans="1:8">
      <c r="A971" s="21"/>
      <c r="B971" s="21"/>
      <c r="C971" s="21"/>
      <c r="D971" s="21"/>
      <c r="E971" s="21"/>
      <c r="F971" s="21"/>
      <c r="G971" s="21"/>
      <c r="H971" s="21"/>
    </row>
    <row r="972" ht="14.25" spans="1:8">
      <c r="A972" s="21"/>
      <c r="B972" s="21"/>
      <c r="C972" s="21"/>
      <c r="D972" s="21"/>
      <c r="E972" s="21"/>
      <c r="F972" s="21"/>
      <c r="G972" s="21"/>
      <c r="H972" s="21"/>
    </row>
    <row r="973" ht="14.25" spans="1:8">
      <c r="A973" s="21"/>
      <c r="B973" s="21"/>
      <c r="C973" s="21"/>
      <c r="D973" s="21"/>
      <c r="E973" s="21"/>
      <c r="F973" s="21"/>
      <c r="G973" s="21"/>
      <c r="H973" s="21"/>
    </row>
    <row r="974" ht="14.25" spans="1:8">
      <c r="A974" s="21"/>
      <c r="B974" s="21"/>
      <c r="C974" s="21"/>
      <c r="D974" s="21"/>
      <c r="E974" s="21"/>
      <c r="F974" s="21"/>
      <c r="G974" s="21"/>
      <c r="H974" s="21"/>
    </row>
    <row r="975" ht="14.25" spans="1:8">
      <c r="A975" s="21"/>
      <c r="B975" s="21"/>
      <c r="C975" s="21"/>
      <c r="D975" s="21"/>
      <c r="E975" s="21"/>
      <c r="F975" s="21"/>
      <c r="G975" s="21"/>
      <c r="H975" s="21"/>
    </row>
    <row r="976" ht="14.25" spans="1:8">
      <c r="A976" s="21"/>
      <c r="B976" s="21"/>
      <c r="C976" s="21"/>
      <c r="D976" s="21"/>
      <c r="E976" s="21"/>
      <c r="F976" s="21"/>
      <c r="G976" s="21"/>
      <c r="H976" s="21"/>
    </row>
    <row r="977" ht="14.25" spans="1:8">
      <c r="A977" s="21"/>
      <c r="B977" s="21"/>
      <c r="C977" s="21"/>
      <c r="D977" s="21"/>
      <c r="E977" s="21"/>
      <c r="F977" s="21"/>
      <c r="G977" s="21"/>
      <c r="H977" s="21"/>
    </row>
    <row r="978" ht="14.25" spans="1:8">
      <c r="A978" s="21"/>
      <c r="B978" s="21"/>
      <c r="C978" s="21"/>
      <c r="D978" s="21"/>
      <c r="E978" s="21"/>
      <c r="F978" s="21"/>
      <c r="G978" s="21"/>
      <c r="H978" s="21"/>
    </row>
    <row r="979" ht="14.25" spans="1:8">
      <c r="A979" s="21"/>
      <c r="B979" s="21"/>
      <c r="C979" s="21"/>
      <c r="D979" s="21"/>
      <c r="E979" s="21"/>
      <c r="F979" s="21"/>
      <c r="G979" s="21"/>
      <c r="H979" s="21"/>
    </row>
    <row r="980" ht="14.25" spans="1:8">
      <c r="A980" s="21"/>
      <c r="B980" s="21"/>
      <c r="C980" s="21"/>
      <c r="D980" s="21"/>
      <c r="E980" s="21"/>
      <c r="F980" s="21"/>
      <c r="G980" s="21"/>
      <c r="H980" s="21"/>
    </row>
    <row r="981" ht="14.25" spans="1:8">
      <c r="A981" s="21"/>
      <c r="B981" s="21"/>
      <c r="C981" s="21"/>
      <c r="D981" s="21"/>
      <c r="E981" s="21"/>
      <c r="F981" s="21"/>
      <c r="G981" s="21"/>
      <c r="H981" s="21"/>
    </row>
    <row r="982" ht="14.25" spans="1:8">
      <c r="A982" s="21"/>
      <c r="B982" s="21"/>
      <c r="C982" s="21"/>
      <c r="D982" s="21"/>
      <c r="E982" s="21"/>
      <c r="F982" s="21"/>
      <c r="G982" s="21"/>
      <c r="H982" s="21"/>
    </row>
    <row r="983" ht="14.25" spans="1:8">
      <c r="A983" s="21"/>
      <c r="B983" s="21"/>
      <c r="C983" s="21"/>
      <c r="D983" s="21"/>
      <c r="E983" s="21"/>
      <c r="F983" s="21"/>
      <c r="G983" s="21"/>
      <c r="H983" s="21"/>
    </row>
    <row r="984" ht="14.25" spans="1:8">
      <c r="A984" s="21"/>
      <c r="B984" s="21"/>
      <c r="C984" s="21"/>
      <c r="D984" s="21"/>
      <c r="E984" s="21"/>
      <c r="F984" s="21"/>
      <c r="G984" s="21"/>
      <c r="H984" s="21"/>
    </row>
    <row r="985" ht="14.25" spans="1:8">
      <c r="A985" s="21"/>
      <c r="B985" s="21"/>
      <c r="C985" s="21"/>
      <c r="D985" s="21"/>
      <c r="E985" s="21"/>
      <c r="F985" s="21"/>
      <c r="G985" s="21"/>
      <c r="H985" s="21"/>
    </row>
    <row r="986" ht="14.25" spans="1:8">
      <c r="A986" s="21"/>
      <c r="B986" s="21"/>
      <c r="C986" s="21"/>
      <c r="D986" s="21"/>
      <c r="E986" s="21"/>
      <c r="F986" s="21"/>
      <c r="G986" s="21"/>
      <c r="H986" s="21"/>
    </row>
    <row r="987" ht="14.25" spans="1:8">
      <c r="A987" s="21"/>
      <c r="B987" s="21"/>
      <c r="C987" s="21"/>
      <c r="D987" s="21"/>
      <c r="E987" s="21"/>
      <c r="F987" s="21"/>
      <c r="G987" s="21"/>
      <c r="H987" s="21"/>
    </row>
    <row r="988" ht="14.25" spans="1:8">
      <c r="A988" s="21"/>
      <c r="B988" s="21"/>
      <c r="C988" s="21"/>
      <c r="D988" s="21"/>
      <c r="E988" s="21"/>
      <c r="F988" s="21"/>
      <c r="G988" s="21"/>
      <c r="H988" s="21"/>
    </row>
    <row r="989" ht="14.25" spans="1:8">
      <c r="A989" s="21"/>
      <c r="B989" s="21"/>
      <c r="C989" s="21"/>
      <c r="D989" s="21"/>
      <c r="E989" s="21"/>
      <c r="F989" s="21"/>
      <c r="G989" s="21"/>
      <c r="H989" s="21"/>
    </row>
    <row r="990" ht="14.25" spans="1:8">
      <c r="A990" s="21"/>
      <c r="B990" s="21"/>
      <c r="C990" s="21"/>
      <c r="D990" s="21"/>
      <c r="E990" s="21"/>
      <c r="F990" s="21"/>
      <c r="G990" s="21"/>
      <c r="H990" s="21"/>
    </row>
    <row r="991" ht="14.25" spans="1:8">
      <c r="A991" s="21"/>
      <c r="B991" s="21"/>
      <c r="C991" s="21"/>
      <c r="D991" s="21"/>
      <c r="E991" s="21"/>
      <c r="F991" s="21"/>
      <c r="G991" s="21"/>
      <c r="H991" s="21"/>
    </row>
    <row r="992" ht="14.25" spans="1:8">
      <c r="A992" s="21"/>
      <c r="B992" s="21"/>
      <c r="C992" s="21"/>
      <c r="D992" s="21"/>
      <c r="E992" s="21"/>
      <c r="F992" s="21"/>
      <c r="G992" s="21"/>
      <c r="H992" s="21"/>
    </row>
    <row r="993" ht="14.25" spans="1:8">
      <c r="A993" s="21"/>
      <c r="B993" s="21"/>
      <c r="C993" s="21"/>
      <c r="D993" s="21"/>
      <c r="E993" s="21"/>
      <c r="F993" s="21"/>
      <c r="G993" s="21"/>
      <c r="H993" s="21"/>
    </row>
    <row r="994" ht="14.25" spans="1:8">
      <c r="A994" s="21"/>
      <c r="B994" s="21"/>
      <c r="C994" s="21"/>
      <c r="D994" s="21"/>
      <c r="E994" s="21"/>
      <c r="F994" s="21"/>
      <c r="G994" s="21"/>
      <c r="H994" s="21"/>
    </row>
    <row r="995" ht="14.25" spans="1:8">
      <c r="A995" s="21"/>
      <c r="B995" s="21"/>
      <c r="C995" s="21"/>
      <c r="D995" s="21"/>
      <c r="E995" s="21"/>
      <c r="F995" s="21"/>
      <c r="G995" s="21"/>
      <c r="H995" s="21"/>
    </row>
    <row r="996" ht="14.25" spans="1:8">
      <c r="A996" s="21"/>
      <c r="B996" s="21"/>
      <c r="C996" s="21"/>
      <c r="D996" s="21"/>
      <c r="E996" s="21"/>
      <c r="F996" s="21"/>
      <c r="G996" s="21"/>
      <c r="H996" s="21"/>
    </row>
    <row r="997" ht="14.25" spans="1:8">
      <c r="A997" s="21"/>
      <c r="B997" s="21"/>
      <c r="C997" s="21"/>
      <c r="D997" s="21"/>
      <c r="E997" s="21"/>
      <c r="F997" s="21"/>
      <c r="G997" s="21"/>
      <c r="H997" s="21"/>
    </row>
    <row r="998" ht="14.25" spans="1:8">
      <c r="A998" s="21"/>
      <c r="B998" s="21"/>
      <c r="C998" s="21"/>
      <c r="D998" s="21"/>
      <c r="E998" s="21"/>
      <c r="F998" s="21"/>
      <c r="G998" s="21"/>
      <c r="H998" s="21"/>
    </row>
    <row r="999" ht="14.25" spans="1:8">
      <c r="A999" s="21"/>
      <c r="B999" s="21"/>
      <c r="C999" s="21"/>
      <c r="D999" s="21"/>
      <c r="E999" s="21"/>
      <c r="F999" s="21"/>
      <c r="G999" s="21"/>
      <c r="H999" s="21"/>
    </row>
    <row r="1000" ht="14.25" spans="1:8">
      <c r="A1000" s="21"/>
      <c r="B1000" s="21"/>
      <c r="C1000" s="21"/>
      <c r="D1000" s="21"/>
      <c r="E1000" s="21"/>
      <c r="F1000" s="21"/>
      <c r="G1000" s="21"/>
      <c r="H1000" s="21"/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82"/>
  <sheetViews>
    <sheetView workbookViewId="0">
      <selection activeCell="I9" sqref="I9"/>
    </sheetView>
  </sheetViews>
  <sheetFormatPr defaultColWidth="9.14285714285714" defaultRowHeight="12.75"/>
  <cols>
    <col min="1" max="6" width="15.7142857142857" style="2" customWidth="1"/>
    <col min="7" max="7" width="32.2857142857143" style="2" customWidth="1"/>
    <col min="8" max="13" width="15.7142857142857" style="2" customWidth="1"/>
  </cols>
  <sheetData>
    <row r="1" s="1" customFormat="1" ht="25.5" customHeight="1" spans="1:14">
      <c r="A1" s="3" t="s">
        <v>1219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="1" customFormat="1" ht="25.5" customHeight="1" spans="1:14">
      <c r="A2" s="5" t="s">
        <v>1220</v>
      </c>
      <c r="B2" s="6" t="s">
        <v>1221</v>
      </c>
      <c r="C2" s="6" t="s">
        <v>544</v>
      </c>
      <c r="D2" s="6" t="s">
        <v>155</v>
      </c>
      <c r="E2" s="6" t="s">
        <v>1222</v>
      </c>
      <c r="F2" s="6" t="s">
        <v>1223</v>
      </c>
      <c r="G2" s="6" t="s">
        <v>1224</v>
      </c>
      <c r="H2" s="6" t="s">
        <v>548</v>
      </c>
      <c r="I2" s="6" t="s">
        <v>1225</v>
      </c>
      <c r="J2" s="6" t="s">
        <v>550</v>
      </c>
      <c r="K2" s="6" t="s">
        <v>1226</v>
      </c>
      <c r="L2" s="6" t="s">
        <v>1227</v>
      </c>
      <c r="M2" s="6" t="s">
        <v>1228</v>
      </c>
      <c r="N2" s="7"/>
    </row>
    <row r="3" s="1" customFormat="1" ht="28.5" customHeight="1" spans="1:14">
      <c r="A3" s="8"/>
      <c r="B3" s="9">
        <v>1</v>
      </c>
      <c r="C3" s="9" t="s">
        <v>32</v>
      </c>
      <c r="D3" s="9">
        <v>1000</v>
      </c>
      <c r="E3" s="9">
        <v>1051</v>
      </c>
      <c r="F3" s="9">
        <v>1051</v>
      </c>
      <c r="G3" s="10"/>
      <c r="H3" s="10" t="s">
        <v>563</v>
      </c>
      <c r="I3" s="10"/>
      <c r="J3" s="9"/>
      <c r="K3" s="10" t="s">
        <v>1229</v>
      </c>
      <c r="L3" s="10"/>
      <c r="M3" s="10" t="s">
        <v>1230</v>
      </c>
      <c r="N3" s="7"/>
    </row>
    <row r="4" s="1" customFormat="1" ht="28.5" customHeight="1" spans="1:14">
      <c r="A4" s="8"/>
      <c r="B4" s="9">
        <v>2</v>
      </c>
      <c r="C4" s="9" t="s">
        <v>33</v>
      </c>
      <c r="D4" s="9">
        <v>1000</v>
      </c>
      <c r="E4" s="9">
        <v>1052</v>
      </c>
      <c r="F4" s="9">
        <v>1051</v>
      </c>
      <c r="G4" s="10"/>
      <c r="H4" s="10" t="s">
        <v>563</v>
      </c>
      <c r="I4" s="10"/>
      <c r="J4" s="9"/>
      <c r="K4" s="10" t="s">
        <v>1231</v>
      </c>
      <c r="L4" s="10"/>
      <c r="M4" s="10" t="s">
        <v>1230</v>
      </c>
      <c r="N4" s="7"/>
    </row>
    <row r="5" s="1" customFormat="1" ht="28.5" customHeight="1" spans="1:14">
      <c r="A5" s="8"/>
      <c r="B5" s="9">
        <v>3</v>
      </c>
      <c r="C5" s="9" t="s">
        <v>32</v>
      </c>
      <c r="D5" s="9">
        <v>1000</v>
      </c>
      <c r="E5" s="9">
        <v>1101</v>
      </c>
      <c r="F5" s="9">
        <v>1101</v>
      </c>
      <c r="G5" s="10"/>
      <c r="H5" s="10" t="s">
        <v>563</v>
      </c>
      <c r="I5" s="10"/>
      <c r="J5" s="9"/>
      <c r="K5" s="10" t="s">
        <v>1232</v>
      </c>
      <c r="L5" s="10"/>
      <c r="M5" s="10" t="s">
        <v>1230</v>
      </c>
      <c r="N5" s="7"/>
    </row>
    <row r="6" s="1" customFormat="1" ht="28.5" customHeight="1" spans="1:14">
      <c r="A6" s="8"/>
      <c r="B6" s="9">
        <v>4</v>
      </c>
      <c r="C6" s="9" t="s">
        <v>33</v>
      </c>
      <c r="D6" s="9">
        <v>1000</v>
      </c>
      <c r="E6" s="9">
        <v>1102</v>
      </c>
      <c r="F6" s="9">
        <v>1101</v>
      </c>
      <c r="G6" s="10"/>
      <c r="H6" s="10" t="s">
        <v>563</v>
      </c>
      <c r="I6" s="10"/>
      <c r="J6" s="9"/>
      <c r="K6" s="10" t="s">
        <v>1233</v>
      </c>
      <c r="L6" s="10"/>
      <c r="M6" s="10" t="s">
        <v>1230</v>
      </c>
      <c r="N6" s="7"/>
    </row>
    <row r="7" s="1" customFormat="1" ht="28.5" customHeight="1" spans="1:14">
      <c r="A7" s="8"/>
      <c r="B7" s="9">
        <v>5</v>
      </c>
      <c r="C7" s="9" t="s">
        <v>34</v>
      </c>
      <c r="D7" s="9">
        <v>1000</v>
      </c>
      <c r="E7" s="9">
        <v>1103</v>
      </c>
      <c r="F7" s="9">
        <v>1101</v>
      </c>
      <c r="G7" s="10"/>
      <c r="H7" s="10" t="s">
        <v>563</v>
      </c>
      <c r="I7" s="10"/>
      <c r="J7" s="9"/>
      <c r="K7" s="10" t="s">
        <v>1234</v>
      </c>
      <c r="L7" s="10"/>
      <c r="M7" s="10" t="s">
        <v>1230</v>
      </c>
      <c r="N7" s="7"/>
    </row>
    <row r="8" s="1" customFormat="1" ht="28.5" customHeight="1" spans="1:14">
      <c r="A8" s="8">
        <v>1001</v>
      </c>
      <c r="B8" s="9">
        <v>100101</v>
      </c>
      <c r="C8" s="9" t="s">
        <v>32</v>
      </c>
      <c r="D8" s="9">
        <v>2000</v>
      </c>
      <c r="E8" s="9">
        <v>31100101</v>
      </c>
      <c r="F8" s="9">
        <v>31100101</v>
      </c>
      <c r="G8" s="10" t="s">
        <v>1235</v>
      </c>
      <c r="H8" s="10" t="s">
        <v>563</v>
      </c>
      <c r="I8" s="10" t="s">
        <v>1236</v>
      </c>
      <c r="J8" s="9">
        <v>1</v>
      </c>
      <c r="K8" s="10" t="s">
        <v>1237</v>
      </c>
      <c r="L8" s="10" t="s">
        <v>221</v>
      </c>
      <c r="M8" s="10" t="s">
        <v>1238</v>
      </c>
      <c r="N8" s="7"/>
    </row>
    <row r="9" s="1" customFormat="1" ht="28.5" customHeight="1" spans="1:14">
      <c r="A9" s="8">
        <v>1001</v>
      </c>
      <c r="B9" s="9">
        <v>100102</v>
      </c>
      <c r="C9" s="9" t="s">
        <v>32</v>
      </c>
      <c r="D9" s="9">
        <v>1000</v>
      </c>
      <c r="E9" s="9">
        <v>31100102</v>
      </c>
      <c r="F9" s="9">
        <v>31100101</v>
      </c>
      <c r="G9" s="10" t="s">
        <v>1239</v>
      </c>
      <c r="H9" s="10" t="s">
        <v>563</v>
      </c>
      <c r="I9" s="10" t="s">
        <v>1240</v>
      </c>
      <c r="J9" s="9">
        <v>2</v>
      </c>
      <c r="K9" s="10" t="s">
        <v>1241</v>
      </c>
      <c r="L9" s="10" t="s">
        <v>221</v>
      </c>
      <c r="M9" s="10" t="s">
        <v>1238</v>
      </c>
      <c r="N9" s="7"/>
    </row>
    <row r="10" s="1" customFormat="1" ht="28.5" customHeight="1" spans="1:14">
      <c r="A10" s="8">
        <v>1001</v>
      </c>
      <c r="B10" s="9">
        <v>100103</v>
      </c>
      <c r="C10" s="9" t="s">
        <v>32</v>
      </c>
      <c r="D10" s="9">
        <v>800</v>
      </c>
      <c r="E10" s="9">
        <v>31100103</v>
      </c>
      <c r="F10" s="9">
        <v>31100101</v>
      </c>
      <c r="G10" s="10" t="s">
        <v>1242</v>
      </c>
      <c r="H10" s="10" t="s">
        <v>563</v>
      </c>
      <c r="I10" s="10" t="s">
        <v>1243</v>
      </c>
      <c r="J10" s="9">
        <v>3</v>
      </c>
      <c r="K10" s="10" t="s">
        <v>1244</v>
      </c>
      <c r="L10" s="10" t="s">
        <v>221</v>
      </c>
      <c r="M10" s="10" t="s">
        <v>1238</v>
      </c>
      <c r="N10" s="7"/>
    </row>
    <row r="11" s="1" customFormat="1" ht="28.5" customHeight="1" spans="1:14">
      <c r="A11" s="8">
        <v>1001</v>
      </c>
      <c r="B11" s="9">
        <v>100104</v>
      </c>
      <c r="C11" s="9" t="s">
        <v>32</v>
      </c>
      <c r="D11" s="9">
        <v>600</v>
      </c>
      <c r="E11" s="9">
        <v>31100104</v>
      </c>
      <c r="F11" s="9">
        <v>31100101</v>
      </c>
      <c r="G11" s="10" t="s">
        <v>1245</v>
      </c>
      <c r="H11" s="10" t="s">
        <v>563</v>
      </c>
      <c r="I11" s="10" t="s">
        <v>1246</v>
      </c>
      <c r="J11" s="9">
        <v>4</v>
      </c>
      <c r="K11" s="10" t="s">
        <v>1247</v>
      </c>
      <c r="L11" s="10" t="s">
        <v>221</v>
      </c>
      <c r="M11" s="10" t="s">
        <v>1238</v>
      </c>
      <c r="N11" s="7"/>
    </row>
    <row r="12" s="1" customFormat="1" ht="28.5" customHeight="1" spans="1:14">
      <c r="A12" s="8">
        <v>1001</v>
      </c>
      <c r="B12" s="9">
        <v>100105</v>
      </c>
      <c r="C12" s="9" t="s">
        <v>32</v>
      </c>
      <c r="D12" s="9">
        <v>400</v>
      </c>
      <c r="E12" s="9">
        <v>31100105</v>
      </c>
      <c r="F12" s="9">
        <v>31100101</v>
      </c>
      <c r="G12" s="10" t="s">
        <v>1248</v>
      </c>
      <c r="H12" s="10" t="s">
        <v>563</v>
      </c>
      <c r="I12" s="10" t="s">
        <v>1249</v>
      </c>
      <c r="J12" s="9">
        <v>5</v>
      </c>
      <c r="K12" s="10" t="s">
        <v>1250</v>
      </c>
      <c r="L12" s="10" t="s">
        <v>221</v>
      </c>
      <c r="M12" s="10" t="s">
        <v>1238</v>
      </c>
      <c r="N12" s="7"/>
    </row>
    <row r="13" s="1" customFormat="1" ht="28.5" customHeight="1" spans="1:14">
      <c r="A13" s="8">
        <v>1001</v>
      </c>
      <c r="B13" s="9">
        <v>100106</v>
      </c>
      <c r="C13" s="9" t="s">
        <v>32</v>
      </c>
      <c r="D13" s="9">
        <v>200</v>
      </c>
      <c r="E13" s="9">
        <v>31100106</v>
      </c>
      <c r="F13" s="9">
        <v>31100101</v>
      </c>
      <c r="G13" s="10" t="s">
        <v>1248</v>
      </c>
      <c r="H13" s="10" t="s">
        <v>563</v>
      </c>
      <c r="I13" s="10" t="s">
        <v>1249</v>
      </c>
      <c r="J13" s="9">
        <v>6</v>
      </c>
      <c r="K13" s="10" t="s">
        <v>1250</v>
      </c>
      <c r="L13" s="10" t="s">
        <v>221</v>
      </c>
      <c r="M13" s="10" t="s">
        <v>1238</v>
      </c>
      <c r="N13" s="7"/>
    </row>
    <row r="14" s="1" customFormat="1" ht="28.5" customHeight="1" spans="1:14">
      <c r="A14" s="8">
        <v>1001</v>
      </c>
      <c r="B14" s="9">
        <v>100107</v>
      </c>
      <c r="C14" s="9" t="s">
        <v>32</v>
      </c>
      <c r="D14" s="9">
        <v>0</v>
      </c>
      <c r="E14" s="9">
        <v>31100107</v>
      </c>
      <c r="F14" s="9">
        <v>31100107</v>
      </c>
      <c r="G14" s="10" t="s">
        <v>1251</v>
      </c>
      <c r="H14" s="10" t="s">
        <v>563</v>
      </c>
      <c r="I14" s="10"/>
      <c r="J14" s="9">
        <v>7</v>
      </c>
      <c r="K14" s="10" t="s">
        <v>1252</v>
      </c>
      <c r="L14" s="10" t="s">
        <v>238</v>
      </c>
      <c r="M14" s="10" t="s">
        <v>1238</v>
      </c>
      <c r="N14" s="7"/>
    </row>
    <row r="15" s="1" customFormat="1" ht="28.5" customHeight="1" spans="1:14">
      <c r="A15" s="8">
        <v>1001</v>
      </c>
      <c r="B15" s="9">
        <v>100108</v>
      </c>
      <c r="C15" s="9" t="s">
        <v>32</v>
      </c>
      <c r="D15" s="9">
        <v>0</v>
      </c>
      <c r="E15" s="9">
        <v>31100108</v>
      </c>
      <c r="F15" s="9">
        <v>31100107</v>
      </c>
      <c r="G15" s="10" t="s">
        <v>1253</v>
      </c>
      <c r="H15" s="10" t="s">
        <v>563</v>
      </c>
      <c r="I15" s="10"/>
      <c r="J15" s="9">
        <v>8</v>
      </c>
      <c r="K15" s="10" t="s">
        <v>1254</v>
      </c>
      <c r="L15" s="10" t="s">
        <v>238</v>
      </c>
      <c r="M15" s="10" t="s">
        <v>1238</v>
      </c>
      <c r="N15" s="7"/>
    </row>
    <row r="16" s="1" customFormat="1" ht="28.5" customHeight="1" spans="1:14">
      <c r="A16" s="8">
        <v>1001</v>
      </c>
      <c r="B16" s="9">
        <v>100109</v>
      </c>
      <c r="C16" s="9" t="s">
        <v>32</v>
      </c>
      <c r="D16" s="9">
        <v>0</v>
      </c>
      <c r="E16" s="9">
        <v>31100109</v>
      </c>
      <c r="F16" s="9">
        <v>31100107</v>
      </c>
      <c r="G16" s="10" t="s">
        <v>1255</v>
      </c>
      <c r="H16" s="10" t="s">
        <v>563</v>
      </c>
      <c r="I16" s="10"/>
      <c r="J16" s="9">
        <v>9</v>
      </c>
      <c r="K16" s="10" t="s">
        <v>1256</v>
      </c>
      <c r="L16" s="10" t="s">
        <v>238</v>
      </c>
      <c r="M16" s="10" t="s">
        <v>1238</v>
      </c>
      <c r="N16" s="7"/>
    </row>
    <row r="17" s="1" customFormat="1" ht="28.5" customHeight="1" spans="1:14">
      <c r="A17" s="8">
        <v>1001</v>
      </c>
      <c r="B17" s="9">
        <v>100110</v>
      </c>
      <c r="C17" s="9" t="s">
        <v>32</v>
      </c>
      <c r="D17" s="9">
        <v>0</v>
      </c>
      <c r="E17" s="9">
        <v>31100110</v>
      </c>
      <c r="F17" s="9">
        <v>31100107</v>
      </c>
      <c r="G17" s="10" t="s">
        <v>1257</v>
      </c>
      <c r="H17" s="10" t="s">
        <v>563</v>
      </c>
      <c r="I17" s="10"/>
      <c r="J17" s="9">
        <v>10</v>
      </c>
      <c r="K17" s="10" t="s">
        <v>1258</v>
      </c>
      <c r="L17" s="10" t="s">
        <v>238</v>
      </c>
      <c r="M17" s="10" t="s">
        <v>1238</v>
      </c>
      <c r="N17" s="7"/>
    </row>
    <row r="18" s="1" customFormat="1" ht="28.5" customHeight="1" spans="1:14">
      <c r="A18" s="8">
        <v>1001</v>
      </c>
      <c r="B18" s="9">
        <v>100111</v>
      </c>
      <c r="C18" s="9" t="s">
        <v>32</v>
      </c>
      <c r="D18" s="9">
        <v>0</v>
      </c>
      <c r="E18" s="9">
        <v>31100111</v>
      </c>
      <c r="F18" s="9">
        <v>31100107</v>
      </c>
      <c r="G18" s="10" t="s">
        <v>1259</v>
      </c>
      <c r="H18" s="10" t="s">
        <v>563</v>
      </c>
      <c r="I18" s="10"/>
      <c r="J18" s="9">
        <v>11</v>
      </c>
      <c r="K18" s="10" t="s">
        <v>1260</v>
      </c>
      <c r="L18" s="10" t="s">
        <v>238</v>
      </c>
      <c r="M18" s="10" t="s">
        <v>1238</v>
      </c>
      <c r="N18" s="7"/>
    </row>
    <row r="19" s="1" customFormat="1" ht="28.5" customHeight="1" spans="1:14">
      <c r="A19" s="8">
        <v>1001</v>
      </c>
      <c r="B19" s="9">
        <v>100112</v>
      </c>
      <c r="C19" s="9" t="s">
        <v>32</v>
      </c>
      <c r="D19" s="9">
        <v>3000</v>
      </c>
      <c r="E19" s="9">
        <v>31100112</v>
      </c>
      <c r="F19" s="9">
        <v>31100112</v>
      </c>
      <c r="G19" s="10" t="s">
        <v>1261</v>
      </c>
      <c r="H19" s="10" t="s">
        <v>563</v>
      </c>
      <c r="I19" s="10"/>
      <c r="J19" s="9">
        <v>12</v>
      </c>
      <c r="K19" s="10" t="s">
        <v>1262</v>
      </c>
      <c r="L19" s="10" t="s">
        <v>218</v>
      </c>
      <c r="M19" s="10" t="s">
        <v>1238</v>
      </c>
      <c r="N19" s="7"/>
    </row>
    <row r="20" s="1" customFormat="1" ht="28.5" customHeight="1" spans="1:14">
      <c r="A20" s="8">
        <v>1001</v>
      </c>
      <c r="B20" s="9">
        <v>100113</v>
      </c>
      <c r="C20" s="9" t="s">
        <v>32</v>
      </c>
      <c r="D20" s="9">
        <v>2500</v>
      </c>
      <c r="E20" s="9">
        <v>31100113</v>
      </c>
      <c r="F20" s="9">
        <v>31100112</v>
      </c>
      <c r="G20" s="10" t="s">
        <v>1263</v>
      </c>
      <c r="H20" s="10" t="s">
        <v>563</v>
      </c>
      <c r="I20" s="10"/>
      <c r="J20" s="9">
        <v>13</v>
      </c>
      <c r="K20" s="10" t="s">
        <v>1264</v>
      </c>
      <c r="L20" s="10" t="s">
        <v>218</v>
      </c>
      <c r="M20" s="10" t="s">
        <v>1238</v>
      </c>
      <c r="N20" s="7"/>
    </row>
    <row r="21" s="1" customFormat="1" ht="28.5" customHeight="1" spans="1:14">
      <c r="A21" s="8">
        <v>1001</v>
      </c>
      <c r="B21" s="9">
        <v>100114</v>
      </c>
      <c r="C21" s="9" t="s">
        <v>32</v>
      </c>
      <c r="D21" s="9">
        <v>2000</v>
      </c>
      <c r="E21" s="9">
        <v>31100114</v>
      </c>
      <c r="F21" s="9">
        <v>31100112</v>
      </c>
      <c r="G21" s="10" t="s">
        <v>1265</v>
      </c>
      <c r="H21" s="10" t="s">
        <v>563</v>
      </c>
      <c r="I21" s="10"/>
      <c r="J21" s="9">
        <v>14</v>
      </c>
      <c r="K21" s="10" t="s">
        <v>1266</v>
      </c>
      <c r="L21" s="10" t="s">
        <v>218</v>
      </c>
      <c r="M21" s="10" t="s">
        <v>1238</v>
      </c>
      <c r="N21" s="7"/>
    </row>
    <row r="22" s="1" customFormat="1" ht="28.5" customHeight="1" spans="1:14">
      <c r="A22" s="8">
        <v>1001</v>
      </c>
      <c r="B22" s="9">
        <v>100115</v>
      </c>
      <c r="C22" s="9" t="s">
        <v>32</v>
      </c>
      <c r="D22" s="9">
        <v>1500</v>
      </c>
      <c r="E22" s="9">
        <v>31100115</v>
      </c>
      <c r="F22" s="9">
        <v>31100112</v>
      </c>
      <c r="G22" s="10" t="s">
        <v>1267</v>
      </c>
      <c r="H22" s="10" t="s">
        <v>563</v>
      </c>
      <c r="I22" s="10"/>
      <c r="J22" s="9">
        <v>15</v>
      </c>
      <c r="K22" s="10" t="s">
        <v>1268</v>
      </c>
      <c r="L22" s="10" t="s">
        <v>218</v>
      </c>
      <c r="M22" s="10" t="s">
        <v>1238</v>
      </c>
      <c r="N22" s="7"/>
    </row>
    <row r="23" s="1" customFormat="1" ht="28.5" customHeight="1" spans="1:14">
      <c r="A23" s="8">
        <v>1001</v>
      </c>
      <c r="B23" s="9">
        <v>100116</v>
      </c>
      <c r="C23" s="9" t="s">
        <v>32</v>
      </c>
      <c r="D23" s="9">
        <v>1000</v>
      </c>
      <c r="E23" s="9">
        <v>31100116</v>
      </c>
      <c r="F23" s="9">
        <v>31100112</v>
      </c>
      <c r="G23" s="10" t="s">
        <v>1269</v>
      </c>
      <c r="H23" s="10" t="s">
        <v>563</v>
      </c>
      <c r="I23" s="10"/>
      <c r="J23" s="9">
        <v>16</v>
      </c>
      <c r="K23" s="10" t="s">
        <v>1270</v>
      </c>
      <c r="L23" s="10" t="s">
        <v>218</v>
      </c>
      <c r="M23" s="10" t="s">
        <v>1238</v>
      </c>
      <c r="N23" s="7"/>
    </row>
    <row r="24" s="1" customFormat="1" ht="28.5" customHeight="1" spans="1:14">
      <c r="A24" s="8">
        <v>1001</v>
      </c>
      <c r="B24" s="9">
        <v>100117</v>
      </c>
      <c r="C24" s="9" t="s">
        <v>32</v>
      </c>
      <c r="D24" s="9">
        <v>2000</v>
      </c>
      <c r="E24" s="9">
        <v>31100117</v>
      </c>
      <c r="F24" s="9">
        <v>31100117</v>
      </c>
      <c r="G24" s="10" t="s">
        <v>1271</v>
      </c>
      <c r="H24" s="10" t="s">
        <v>563</v>
      </c>
      <c r="I24" s="10" t="s">
        <v>1272</v>
      </c>
      <c r="J24" s="9">
        <v>17</v>
      </c>
      <c r="K24" s="10" t="s">
        <v>1273</v>
      </c>
      <c r="L24" s="10" t="s">
        <v>241</v>
      </c>
      <c r="M24" s="10" t="s">
        <v>1238</v>
      </c>
      <c r="N24" s="7"/>
    </row>
    <row r="25" s="1" customFormat="1" ht="28.5" customHeight="1" spans="1:14">
      <c r="A25" s="8">
        <v>1001</v>
      </c>
      <c r="B25" s="9">
        <v>100118</v>
      </c>
      <c r="C25" s="9" t="s">
        <v>32</v>
      </c>
      <c r="D25" s="9">
        <v>1000</v>
      </c>
      <c r="E25" s="9">
        <v>31100118</v>
      </c>
      <c r="F25" s="9">
        <v>31100117</v>
      </c>
      <c r="G25" s="10" t="s">
        <v>1274</v>
      </c>
      <c r="H25" s="10" t="s">
        <v>563</v>
      </c>
      <c r="I25" s="10" t="s">
        <v>1275</v>
      </c>
      <c r="J25" s="9">
        <v>18</v>
      </c>
      <c r="K25" s="10" t="s">
        <v>1276</v>
      </c>
      <c r="L25" s="10" t="s">
        <v>241</v>
      </c>
      <c r="M25" s="10" t="s">
        <v>1238</v>
      </c>
      <c r="N25" s="7"/>
    </row>
    <row r="26" s="1" customFormat="1" ht="28.5" customHeight="1" spans="1:14">
      <c r="A26" s="8">
        <v>1001</v>
      </c>
      <c r="B26" s="9">
        <v>100119</v>
      </c>
      <c r="C26" s="9" t="s">
        <v>32</v>
      </c>
      <c r="D26" s="9">
        <v>800</v>
      </c>
      <c r="E26" s="9">
        <v>31100119</v>
      </c>
      <c r="F26" s="9">
        <v>31100117</v>
      </c>
      <c r="G26" s="10" t="s">
        <v>1277</v>
      </c>
      <c r="H26" s="10" t="s">
        <v>563</v>
      </c>
      <c r="I26" s="10" t="s">
        <v>1278</v>
      </c>
      <c r="J26" s="9">
        <v>19</v>
      </c>
      <c r="K26" s="10" t="s">
        <v>1279</v>
      </c>
      <c r="L26" s="10" t="s">
        <v>241</v>
      </c>
      <c r="M26" s="10" t="s">
        <v>1238</v>
      </c>
      <c r="N26" s="7"/>
    </row>
    <row r="27" s="1" customFormat="1" ht="28.5" customHeight="1" spans="1:14">
      <c r="A27" s="8">
        <v>1001</v>
      </c>
      <c r="B27" s="9">
        <v>100120</v>
      </c>
      <c r="C27" s="9" t="s">
        <v>32</v>
      </c>
      <c r="D27" s="9">
        <v>600</v>
      </c>
      <c r="E27" s="9">
        <v>31100120</v>
      </c>
      <c r="F27" s="9">
        <v>31100117</v>
      </c>
      <c r="G27" s="10" t="s">
        <v>1280</v>
      </c>
      <c r="H27" s="10" t="s">
        <v>563</v>
      </c>
      <c r="I27" s="10" t="s">
        <v>1281</v>
      </c>
      <c r="J27" s="9">
        <v>20</v>
      </c>
      <c r="K27" s="10" t="s">
        <v>1282</v>
      </c>
      <c r="L27" s="10" t="s">
        <v>241</v>
      </c>
      <c r="M27" s="10" t="s">
        <v>1238</v>
      </c>
      <c r="N27" s="7"/>
    </row>
    <row r="28" s="1" customFormat="1" ht="28.5" customHeight="1" spans="1:14">
      <c r="A28" s="8">
        <v>1001</v>
      </c>
      <c r="B28" s="9">
        <v>100121</v>
      </c>
      <c r="C28" s="9" t="s">
        <v>32</v>
      </c>
      <c r="D28" s="9">
        <v>400</v>
      </c>
      <c r="E28" s="9">
        <v>31100121</v>
      </c>
      <c r="F28" s="9">
        <v>31100117</v>
      </c>
      <c r="G28" s="10" t="s">
        <v>1283</v>
      </c>
      <c r="H28" s="10" t="s">
        <v>563</v>
      </c>
      <c r="I28" s="10" t="s">
        <v>1284</v>
      </c>
      <c r="J28" s="9">
        <v>21</v>
      </c>
      <c r="K28" s="10" t="s">
        <v>1285</v>
      </c>
      <c r="L28" s="10" t="s">
        <v>241</v>
      </c>
      <c r="M28" s="10" t="s">
        <v>1238</v>
      </c>
      <c r="N28" s="7"/>
    </row>
    <row r="29" s="1" customFormat="1" ht="28.5" customHeight="1" spans="1:14">
      <c r="A29" s="8">
        <v>1001</v>
      </c>
      <c r="B29" s="9">
        <v>100122</v>
      </c>
      <c r="C29" s="9" t="s">
        <v>32</v>
      </c>
      <c r="D29" s="9">
        <v>200</v>
      </c>
      <c r="E29" s="9">
        <v>31100122</v>
      </c>
      <c r="F29" s="9">
        <v>31100117</v>
      </c>
      <c r="G29" s="10" t="s">
        <v>1286</v>
      </c>
      <c r="H29" s="10" t="s">
        <v>563</v>
      </c>
      <c r="I29" s="10" t="s">
        <v>1287</v>
      </c>
      <c r="J29" s="9">
        <v>22</v>
      </c>
      <c r="K29" s="10" t="s">
        <v>1288</v>
      </c>
      <c r="L29" s="10" t="s">
        <v>241</v>
      </c>
      <c r="M29" s="10" t="s">
        <v>1238</v>
      </c>
      <c r="N29" s="7"/>
    </row>
    <row r="30" s="1" customFormat="1" ht="28.5" customHeight="1" spans="1:14">
      <c r="A30" s="8"/>
      <c r="B30" s="9"/>
      <c r="C30" s="9"/>
      <c r="D30" s="9"/>
      <c r="E30" s="9"/>
      <c r="F30" s="9"/>
      <c r="G30" s="10"/>
      <c r="H30" s="10"/>
      <c r="I30" s="10" t="s">
        <v>1289</v>
      </c>
      <c r="J30" s="9">
        <v>23</v>
      </c>
      <c r="K30" s="10" t="s">
        <v>1289</v>
      </c>
      <c r="L30" s="10"/>
      <c r="M30" s="10" t="s">
        <v>1290</v>
      </c>
      <c r="N30" s="7"/>
    </row>
    <row r="31" s="1" customFormat="1" ht="28.5" customHeight="1" spans="1:14">
      <c r="A31" s="8">
        <v>1002</v>
      </c>
      <c r="B31" s="9">
        <v>100201</v>
      </c>
      <c r="C31" s="9" t="s">
        <v>33</v>
      </c>
      <c r="D31" s="9">
        <v>2000</v>
      </c>
      <c r="E31" s="9">
        <v>31100201</v>
      </c>
      <c r="F31" s="9">
        <v>31100101</v>
      </c>
      <c r="G31" s="10" t="s">
        <v>1291</v>
      </c>
      <c r="H31" s="10" t="s">
        <v>563</v>
      </c>
      <c r="I31" s="10" t="s">
        <v>1272</v>
      </c>
      <c r="J31" s="9">
        <v>24</v>
      </c>
      <c r="K31" s="10" t="s">
        <v>1292</v>
      </c>
      <c r="L31" s="10" t="s">
        <v>252</v>
      </c>
      <c r="M31" s="10" t="s">
        <v>1238</v>
      </c>
      <c r="N31" s="7"/>
    </row>
    <row r="32" s="1" customFormat="1" ht="28.5" customHeight="1" spans="1:14">
      <c r="A32" s="8">
        <v>1002</v>
      </c>
      <c r="B32" s="9">
        <v>100202</v>
      </c>
      <c r="C32" s="9" t="s">
        <v>33</v>
      </c>
      <c r="D32" s="9">
        <v>1000</v>
      </c>
      <c r="E32" s="9">
        <v>31100202</v>
      </c>
      <c r="F32" s="9">
        <v>31100101</v>
      </c>
      <c r="G32" s="10" t="s">
        <v>1293</v>
      </c>
      <c r="H32" s="10" t="s">
        <v>563</v>
      </c>
      <c r="I32" s="10" t="s">
        <v>1275</v>
      </c>
      <c r="J32" s="9">
        <v>25</v>
      </c>
      <c r="K32" s="10" t="s">
        <v>1294</v>
      </c>
      <c r="L32" s="10" t="s">
        <v>252</v>
      </c>
      <c r="M32" s="10" t="s">
        <v>1238</v>
      </c>
      <c r="N32" s="7"/>
    </row>
    <row r="33" s="1" customFormat="1" ht="28.5" customHeight="1" spans="1:14">
      <c r="A33" s="8">
        <v>1002</v>
      </c>
      <c r="B33" s="9">
        <v>100203</v>
      </c>
      <c r="C33" s="9" t="s">
        <v>33</v>
      </c>
      <c r="D33" s="9">
        <v>800</v>
      </c>
      <c r="E33" s="9">
        <v>31100203</v>
      </c>
      <c r="F33" s="9">
        <v>31100101</v>
      </c>
      <c r="G33" s="10" t="s">
        <v>1295</v>
      </c>
      <c r="H33" s="10" t="s">
        <v>563</v>
      </c>
      <c r="I33" s="10" t="s">
        <v>1278</v>
      </c>
      <c r="J33" s="9">
        <v>26</v>
      </c>
      <c r="K33" s="10" t="s">
        <v>1296</v>
      </c>
      <c r="L33" s="10" t="s">
        <v>252</v>
      </c>
      <c r="M33" s="10" t="s">
        <v>1238</v>
      </c>
      <c r="N33" s="7"/>
    </row>
    <row r="34" s="1" customFormat="1" ht="28.5" customHeight="1" spans="1:14">
      <c r="A34" s="8">
        <v>1002</v>
      </c>
      <c r="B34" s="9">
        <v>100204</v>
      </c>
      <c r="C34" s="9" t="s">
        <v>33</v>
      </c>
      <c r="D34" s="9">
        <v>600</v>
      </c>
      <c r="E34" s="9">
        <v>31100204</v>
      </c>
      <c r="F34" s="9">
        <v>31100101</v>
      </c>
      <c r="G34" s="10" t="s">
        <v>1297</v>
      </c>
      <c r="H34" s="10" t="s">
        <v>563</v>
      </c>
      <c r="I34" s="10" t="s">
        <v>1281</v>
      </c>
      <c r="J34" s="9">
        <v>27</v>
      </c>
      <c r="K34" s="10" t="s">
        <v>1298</v>
      </c>
      <c r="L34" s="10" t="s">
        <v>252</v>
      </c>
      <c r="M34" s="10" t="s">
        <v>1238</v>
      </c>
      <c r="N34" s="7"/>
    </row>
    <row r="35" s="1" customFormat="1" ht="28.5" customHeight="1" spans="1:14">
      <c r="A35" s="8">
        <v>1002</v>
      </c>
      <c r="B35" s="9">
        <v>100205</v>
      </c>
      <c r="C35" s="9" t="s">
        <v>33</v>
      </c>
      <c r="D35" s="9">
        <v>400</v>
      </c>
      <c r="E35" s="9">
        <v>31100205</v>
      </c>
      <c r="F35" s="9">
        <v>31100101</v>
      </c>
      <c r="G35" s="10" t="s">
        <v>1299</v>
      </c>
      <c r="H35" s="10" t="s">
        <v>563</v>
      </c>
      <c r="I35" s="10" t="s">
        <v>1284</v>
      </c>
      <c r="J35" s="9">
        <v>28</v>
      </c>
      <c r="K35" s="10" t="s">
        <v>1300</v>
      </c>
      <c r="L35" s="10" t="s">
        <v>252</v>
      </c>
      <c r="M35" s="10" t="s">
        <v>1238</v>
      </c>
      <c r="N35" s="7"/>
    </row>
    <row r="36" s="1" customFormat="1" ht="28.5" customHeight="1" spans="1:14">
      <c r="A36" s="8">
        <v>1002</v>
      </c>
      <c r="B36" s="9">
        <v>100206</v>
      </c>
      <c r="C36" s="9" t="s">
        <v>33</v>
      </c>
      <c r="D36" s="9">
        <v>200</v>
      </c>
      <c r="E36" s="9">
        <v>31100206</v>
      </c>
      <c r="F36" s="9">
        <v>31100101</v>
      </c>
      <c r="G36" s="10" t="s">
        <v>1301</v>
      </c>
      <c r="H36" s="10" t="s">
        <v>563</v>
      </c>
      <c r="I36" s="10" t="s">
        <v>1287</v>
      </c>
      <c r="J36" s="9">
        <v>29</v>
      </c>
      <c r="K36" s="10" t="s">
        <v>1302</v>
      </c>
      <c r="L36" s="10" t="s">
        <v>252</v>
      </c>
      <c r="M36" s="10" t="s">
        <v>1238</v>
      </c>
      <c r="N36" s="7"/>
    </row>
    <row r="37" s="1" customFormat="1" ht="28.5" customHeight="1" spans="1:14">
      <c r="A37" s="8">
        <v>1002</v>
      </c>
      <c r="B37" s="9">
        <v>100207</v>
      </c>
      <c r="C37" s="9" t="s">
        <v>33</v>
      </c>
      <c r="D37" s="9">
        <v>0</v>
      </c>
      <c r="E37" s="9">
        <v>31100207</v>
      </c>
      <c r="F37" s="9">
        <v>31100107</v>
      </c>
      <c r="G37" s="10" t="s">
        <v>1303</v>
      </c>
      <c r="H37" s="10" t="s">
        <v>563</v>
      </c>
      <c r="I37" s="10"/>
      <c r="J37" s="9">
        <v>30</v>
      </c>
      <c r="K37" s="10" t="s">
        <v>1304</v>
      </c>
      <c r="L37" s="10" t="s">
        <v>254</v>
      </c>
      <c r="M37" s="10" t="s">
        <v>1238</v>
      </c>
      <c r="N37" s="7"/>
    </row>
    <row r="38" s="1" customFormat="1" ht="28.5" customHeight="1" spans="1:14">
      <c r="A38" s="8">
        <v>1002</v>
      </c>
      <c r="B38" s="9">
        <v>100208</v>
      </c>
      <c r="C38" s="9" t="s">
        <v>33</v>
      </c>
      <c r="D38" s="9">
        <v>0</v>
      </c>
      <c r="E38" s="9">
        <v>31100208</v>
      </c>
      <c r="F38" s="9">
        <v>31100107</v>
      </c>
      <c r="G38" s="10" t="s">
        <v>1305</v>
      </c>
      <c r="H38" s="10" t="s">
        <v>563</v>
      </c>
      <c r="I38" s="10"/>
      <c r="J38" s="9">
        <v>31</v>
      </c>
      <c r="K38" s="10" t="s">
        <v>1306</v>
      </c>
      <c r="L38" s="10" t="s">
        <v>254</v>
      </c>
      <c r="M38" s="10" t="s">
        <v>1238</v>
      </c>
      <c r="N38" s="7"/>
    </row>
    <row r="39" s="1" customFormat="1" ht="28.5" customHeight="1" spans="1:14">
      <c r="A39" s="8">
        <v>1002</v>
      </c>
      <c r="B39" s="9">
        <v>100209</v>
      </c>
      <c r="C39" s="9" t="s">
        <v>33</v>
      </c>
      <c r="D39" s="9">
        <v>0</v>
      </c>
      <c r="E39" s="9">
        <v>31100209</v>
      </c>
      <c r="F39" s="9">
        <v>31100107</v>
      </c>
      <c r="G39" s="10" t="s">
        <v>1307</v>
      </c>
      <c r="H39" s="10" t="s">
        <v>563</v>
      </c>
      <c r="I39" s="10"/>
      <c r="J39" s="9">
        <v>32</v>
      </c>
      <c r="K39" s="10" t="s">
        <v>1308</v>
      </c>
      <c r="L39" s="10" t="s">
        <v>254</v>
      </c>
      <c r="M39" s="10" t="s">
        <v>1238</v>
      </c>
      <c r="N39" s="7"/>
    </row>
    <row r="40" s="1" customFormat="1" ht="28.5" customHeight="1" spans="1:14">
      <c r="A40" s="8">
        <v>1002</v>
      </c>
      <c r="B40" s="9">
        <v>100210</v>
      </c>
      <c r="C40" s="9" t="s">
        <v>33</v>
      </c>
      <c r="D40" s="9">
        <v>0</v>
      </c>
      <c r="E40" s="9">
        <v>31100210</v>
      </c>
      <c r="F40" s="9">
        <v>31100107</v>
      </c>
      <c r="G40" s="10" t="s">
        <v>1309</v>
      </c>
      <c r="H40" s="10" t="s">
        <v>563</v>
      </c>
      <c r="I40" s="10"/>
      <c r="J40" s="9">
        <v>33</v>
      </c>
      <c r="K40" s="10" t="s">
        <v>1310</v>
      </c>
      <c r="L40" s="10" t="s">
        <v>254</v>
      </c>
      <c r="M40" s="10" t="s">
        <v>1238</v>
      </c>
      <c r="N40" s="7"/>
    </row>
    <row r="41" s="1" customFormat="1" ht="28.5" customHeight="1" spans="1:14">
      <c r="A41" s="8">
        <v>1002</v>
      </c>
      <c r="B41" s="9">
        <v>100211</v>
      </c>
      <c r="C41" s="9" t="s">
        <v>33</v>
      </c>
      <c r="D41" s="9">
        <v>0</v>
      </c>
      <c r="E41" s="9">
        <v>31100211</v>
      </c>
      <c r="F41" s="9">
        <v>31100107</v>
      </c>
      <c r="G41" s="10" t="s">
        <v>1311</v>
      </c>
      <c r="H41" s="10" t="s">
        <v>563</v>
      </c>
      <c r="I41" s="10"/>
      <c r="J41" s="9">
        <v>34</v>
      </c>
      <c r="K41" s="10" t="s">
        <v>1312</v>
      </c>
      <c r="L41" s="10" t="s">
        <v>254</v>
      </c>
      <c r="M41" s="10" t="s">
        <v>1238</v>
      </c>
      <c r="N41" s="7"/>
    </row>
    <row r="42" s="1" customFormat="1" ht="28.5" customHeight="1" spans="1:14">
      <c r="A42" s="8">
        <v>1002</v>
      </c>
      <c r="B42" s="9">
        <v>100212</v>
      </c>
      <c r="C42" s="9" t="s">
        <v>33</v>
      </c>
      <c r="D42" s="9">
        <v>3000</v>
      </c>
      <c r="E42" s="9">
        <v>31100212</v>
      </c>
      <c r="F42" s="9">
        <v>31100112</v>
      </c>
      <c r="G42" s="10" t="s">
        <v>1313</v>
      </c>
      <c r="H42" s="10" t="s">
        <v>563</v>
      </c>
      <c r="I42" s="10"/>
      <c r="J42" s="9">
        <v>35</v>
      </c>
      <c r="K42" s="10" t="s">
        <v>1314</v>
      </c>
      <c r="L42" s="10" t="s">
        <v>251</v>
      </c>
      <c r="M42" s="10" t="s">
        <v>1238</v>
      </c>
      <c r="N42" s="7"/>
    </row>
    <row r="43" s="1" customFormat="1" ht="28.5" customHeight="1" spans="1:14">
      <c r="A43" s="8">
        <v>1002</v>
      </c>
      <c r="B43" s="9">
        <v>100213</v>
      </c>
      <c r="C43" s="9" t="s">
        <v>33</v>
      </c>
      <c r="D43" s="9">
        <v>2500</v>
      </c>
      <c r="E43" s="9">
        <v>31100213</v>
      </c>
      <c r="F43" s="9">
        <v>31100112</v>
      </c>
      <c r="G43" s="10" t="s">
        <v>1315</v>
      </c>
      <c r="H43" s="10" t="s">
        <v>563</v>
      </c>
      <c r="I43" s="10"/>
      <c r="J43" s="9">
        <v>36</v>
      </c>
      <c r="K43" s="10" t="s">
        <v>1316</v>
      </c>
      <c r="L43" s="10" t="s">
        <v>251</v>
      </c>
      <c r="M43" s="10" t="s">
        <v>1238</v>
      </c>
      <c r="N43" s="7"/>
    </row>
    <row r="44" s="1" customFormat="1" ht="28.5" customHeight="1" spans="1:14">
      <c r="A44" s="8">
        <v>1002</v>
      </c>
      <c r="B44" s="9">
        <v>100214</v>
      </c>
      <c r="C44" s="9" t="s">
        <v>33</v>
      </c>
      <c r="D44" s="9">
        <v>2000</v>
      </c>
      <c r="E44" s="9">
        <v>31100214</v>
      </c>
      <c r="F44" s="9">
        <v>31100112</v>
      </c>
      <c r="G44" s="10" t="s">
        <v>1317</v>
      </c>
      <c r="H44" s="10" t="s">
        <v>563</v>
      </c>
      <c r="I44" s="10"/>
      <c r="J44" s="9">
        <v>37</v>
      </c>
      <c r="K44" s="10" t="s">
        <v>1318</v>
      </c>
      <c r="L44" s="10" t="s">
        <v>251</v>
      </c>
      <c r="M44" s="10" t="s">
        <v>1238</v>
      </c>
      <c r="N44" s="7"/>
    </row>
    <row r="45" s="1" customFormat="1" ht="28.5" customHeight="1" spans="1:14">
      <c r="A45" s="8">
        <v>1002</v>
      </c>
      <c r="B45" s="9">
        <v>100215</v>
      </c>
      <c r="C45" s="9" t="s">
        <v>33</v>
      </c>
      <c r="D45" s="9">
        <v>1500</v>
      </c>
      <c r="E45" s="9">
        <v>31100215</v>
      </c>
      <c r="F45" s="9">
        <v>31100112</v>
      </c>
      <c r="G45" s="10" t="s">
        <v>1319</v>
      </c>
      <c r="H45" s="10" t="s">
        <v>563</v>
      </c>
      <c r="I45" s="10"/>
      <c r="J45" s="9">
        <v>38</v>
      </c>
      <c r="K45" s="10" t="s">
        <v>1320</v>
      </c>
      <c r="L45" s="10" t="s">
        <v>251</v>
      </c>
      <c r="M45" s="10" t="s">
        <v>1238</v>
      </c>
      <c r="N45" s="7"/>
    </row>
    <row r="46" s="1" customFormat="1" ht="28.5" customHeight="1" spans="1:14">
      <c r="A46" s="8">
        <v>1002</v>
      </c>
      <c r="B46" s="9">
        <v>100216</v>
      </c>
      <c r="C46" s="9" t="s">
        <v>33</v>
      </c>
      <c r="D46" s="9">
        <v>1000</v>
      </c>
      <c r="E46" s="9">
        <v>31100216</v>
      </c>
      <c r="F46" s="9">
        <v>31100112</v>
      </c>
      <c r="G46" s="10" t="s">
        <v>1321</v>
      </c>
      <c r="H46" s="10" t="s">
        <v>563</v>
      </c>
      <c r="I46" s="10"/>
      <c r="J46" s="9">
        <v>39</v>
      </c>
      <c r="K46" s="10" t="s">
        <v>1322</v>
      </c>
      <c r="L46" s="10" t="s">
        <v>251</v>
      </c>
      <c r="M46" s="10" t="s">
        <v>1238</v>
      </c>
      <c r="N46" s="7"/>
    </row>
    <row r="47" s="1" customFormat="1" ht="28.5" customHeight="1" spans="1:14">
      <c r="A47" s="8">
        <v>1002</v>
      </c>
      <c r="B47" s="9">
        <v>100217</v>
      </c>
      <c r="C47" s="9" t="s">
        <v>33</v>
      </c>
      <c r="D47" s="9">
        <v>2000</v>
      </c>
      <c r="E47" s="9">
        <v>31100217</v>
      </c>
      <c r="F47" s="9">
        <v>31100117</v>
      </c>
      <c r="G47" s="10" t="s">
        <v>1286</v>
      </c>
      <c r="H47" s="10" t="s">
        <v>563</v>
      </c>
      <c r="I47" s="10" t="s">
        <v>1287</v>
      </c>
      <c r="J47" s="9">
        <v>40</v>
      </c>
      <c r="K47" s="10" t="s">
        <v>1288</v>
      </c>
      <c r="L47" s="10" t="s">
        <v>255</v>
      </c>
      <c r="M47" s="10" t="s">
        <v>1238</v>
      </c>
      <c r="N47" s="7"/>
    </row>
    <row r="48" s="1" customFormat="1" ht="28.5" customHeight="1" spans="1:14">
      <c r="A48" s="8">
        <v>1002</v>
      </c>
      <c r="B48" s="9">
        <v>100218</v>
      </c>
      <c r="C48" s="9" t="s">
        <v>33</v>
      </c>
      <c r="D48" s="9">
        <v>1000</v>
      </c>
      <c r="E48" s="9">
        <v>31100218</v>
      </c>
      <c r="F48" s="9">
        <v>31100117</v>
      </c>
      <c r="G48" s="10" t="s">
        <v>1323</v>
      </c>
      <c r="H48" s="10" t="s">
        <v>563</v>
      </c>
      <c r="I48" s="10" t="s">
        <v>1324</v>
      </c>
      <c r="J48" s="9">
        <v>41</v>
      </c>
      <c r="K48" s="10" t="s">
        <v>1325</v>
      </c>
      <c r="L48" s="10" t="s">
        <v>255</v>
      </c>
      <c r="M48" s="10" t="s">
        <v>1238</v>
      </c>
      <c r="N48" s="7"/>
    </row>
    <row r="49" s="1" customFormat="1" ht="28.5" customHeight="1" spans="1:14">
      <c r="A49" s="8">
        <v>1002</v>
      </c>
      <c r="B49" s="9">
        <v>100219</v>
      </c>
      <c r="C49" s="9" t="s">
        <v>33</v>
      </c>
      <c r="D49" s="9">
        <v>800</v>
      </c>
      <c r="E49" s="9">
        <v>31100219</v>
      </c>
      <c r="F49" s="9">
        <v>31100117</v>
      </c>
      <c r="G49" s="10" t="s">
        <v>1326</v>
      </c>
      <c r="H49" s="10" t="s">
        <v>563</v>
      </c>
      <c r="I49" s="10" t="s">
        <v>1327</v>
      </c>
      <c r="J49" s="9">
        <v>42</v>
      </c>
      <c r="K49" s="10" t="s">
        <v>1328</v>
      </c>
      <c r="L49" s="10" t="s">
        <v>255</v>
      </c>
      <c r="M49" s="10" t="s">
        <v>1238</v>
      </c>
      <c r="N49" s="7"/>
    </row>
    <row r="50" s="1" customFormat="1" ht="28.5" customHeight="1" spans="1:14">
      <c r="A50" s="8">
        <v>1002</v>
      </c>
      <c r="B50" s="9">
        <v>100220</v>
      </c>
      <c r="C50" s="9" t="s">
        <v>33</v>
      </c>
      <c r="D50" s="9">
        <v>600</v>
      </c>
      <c r="E50" s="9">
        <v>31100220</v>
      </c>
      <c r="F50" s="9">
        <v>31100117</v>
      </c>
      <c r="G50" s="10" t="s">
        <v>1329</v>
      </c>
      <c r="H50" s="10" t="s">
        <v>563</v>
      </c>
      <c r="I50" s="10" t="s">
        <v>1330</v>
      </c>
      <c r="J50" s="9">
        <v>43</v>
      </c>
      <c r="K50" s="10" t="s">
        <v>1331</v>
      </c>
      <c r="L50" s="10" t="s">
        <v>255</v>
      </c>
      <c r="M50" s="10" t="s">
        <v>1238</v>
      </c>
      <c r="N50" s="7"/>
    </row>
    <row r="51" s="1" customFormat="1" ht="28.5" customHeight="1" spans="1:14">
      <c r="A51" s="8">
        <v>1002</v>
      </c>
      <c r="B51" s="9">
        <v>100221</v>
      </c>
      <c r="C51" s="9" t="s">
        <v>33</v>
      </c>
      <c r="D51" s="9">
        <v>400</v>
      </c>
      <c r="E51" s="9">
        <v>31100221</v>
      </c>
      <c r="F51" s="9">
        <v>31100117</v>
      </c>
      <c r="G51" s="10" t="s">
        <v>1332</v>
      </c>
      <c r="H51" s="10" t="s">
        <v>563</v>
      </c>
      <c r="I51" s="10" t="s">
        <v>1333</v>
      </c>
      <c r="J51" s="9">
        <v>44</v>
      </c>
      <c r="K51" s="10" t="s">
        <v>1334</v>
      </c>
      <c r="L51" s="10" t="s">
        <v>255</v>
      </c>
      <c r="M51" s="10" t="s">
        <v>1238</v>
      </c>
      <c r="N51" s="7"/>
    </row>
    <row r="52" s="1" customFormat="1" ht="28.5" customHeight="1" spans="1:14">
      <c r="A52" s="8">
        <v>1002</v>
      </c>
      <c r="B52" s="9">
        <v>100222</v>
      </c>
      <c r="C52" s="9" t="s">
        <v>33</v>
      </c>
      <c r="D52" s="9">
        <v>200</v>
      </c>
      <c r="E52" s="9">
        <v>31100222</v>
      </c>
      <c r="F52" s="9">
        <v>31100117</v>
      </c>
      <c r="G52" s="10" t="s">
        <v>1335</v>
      </c>
      <c r="H52" s="10" t="s">
        <v>563</v>
      </c>
      <c r="I52" s="10" t="s">
        <v>1336</v>
      </c>
      <c r="J52" s="9">
        <v>45</v>
      </c>
      <c r="K52" s="10" t="s">
        <v>1337</v>
      </c>
      <c r="L52" s="10" t="s">
        <v>255</v>
      </c>
      <c r="M52" s="10" t="s">
        <v>1238</v>
      </c>
      <c r="N52" s="7"/>
    </row>
    <row r="53" s="1" customFormat="1" ht="28.5" customHeight="1" spans="1:14">
      <c r="A53" s="8"/>
      <c r="B53" s="9"/>
      <c r="C53" s="9"/>
      <c r="D53" s="9"/>
      <c r="E53" s="9"/>
      <c r="F53" s="9"/>
      <c r="G53" s="10"/>
      <c r="H53" s="10"/>
      <c r="I53" s="10" t="s">
        <v>1289</v>
      </c>
      <c r="J53" s="9">
        <v>46</v>
      </c>
      <c r="K53" s="10" t="s">
        <v>1289</v>
      </c>
      <c r="L53" s="10"/>
      <c r="M53" s="10" t="s">
        <v>1290</v>
      </c>
      <c r="N53" s="7"/>
    </row>
    <row r="54" s="1" customFormat="1" ht="28.5" customHeight="1" spans="1:14">
      <c r="A54" s="8">
        <v>1003</v>
      </c>
      <c r="B54" s="9">
        <v>100301</v>
      </c>
      <c r="C54" s="9" t="s">
        <v>34</v>
      </c>
      <c r="D54" s="9">
        <v>2000</v>
      </c>
      <c r="E54" s="9">
        <v>31100301</v>
      </c>
      <c r="F54" s="9">
        <v>31100101</v>
      </c>
      <c r="G54" s="10" t="s">
        <v>1297</v>
      </c>
      <c r="H54" s="10" t="s">
        <v>563</v>
      </c>
      <c r="I54" s="10" t="s">
        <v>1281</v>
      </c>
      <c r="J54" s="9">
        <v>47</v>
      </c>
      <c r="K54" s="10" t="s">
        <v>1298</v>
      </c>
      <c r="L54" s="10" t="s">
        <v>260</v>
      </c>
      <c r="M54" s="10" t="s">
        <v>1238</v>
      </c>
      <c r="N54" s="7"/>
    </row>
    <row r="55" s="1" customFormat="1" ht="28.5" customHeight="1" spans="1:14">
      <c r="A55" s="8">
        <v>1003</v>
      </c>
      <c r="B55" s="9">
        <v>100302</v>
      </c>
      <c r="C55" s="9" t="s">
        <v>34</v>
      </c>
      <c r="D55" s="9">
        <v>1000</v>
      </c>
      <c r="E55" s="9">
        <v>31100302</v>
      </c>
      <c r="F55" s="9">
        <v>31100101</v>
      </c>
      <c r="G55" s="10" t="s">
        <v>1297</v>
      </c>
      <c r="H55" s="10" t="s">
        <v>563</v>
      </c>
      <c r="I55" s="10" t="s">
        <v>1281</v>
      </c>
      <c r="J55" s="9">
        <v>48</v>
      </c>
      <c r="K55" s="10" t="s">
        <v>1298</v>
      </c>
      <c r="L55" s="10" t="s">
        <v>260</v>
      </c>
      <c r="M55" s="10" t="s">
        <v>1238</v>
      </c>
      <c r="N55" s="7"/>
    </row>
    <row r="56" s="1" customFormat="1" ht="28.5" customHeight="1" spans="1:14">
      <c r="A56" s="8">
        <v>1003</v>
      </c>
      <c r="B56" s="9">
        <v>100303</v>
      </c>
      <c r="C56" s="9" t="s">
        <v>34</v>
      </c>
      <c r="D56" s="9">
        <v>800</v>
      </c>
      <c r="E56" s="9">
        <v>31100303</v>
      </c>
      <c r="F56" s="9">
        <v>31100101</v>
      </c>
      <c r="G56" s="10" t="s">
        <v>1338</v>
      </c>
      <c r="H56" s="10" t="s">
        <v>563</v>
      </c>
      <c r="I56" s="10" t="s">
        <v>1339</v>
      </c>
      <c r="J56" s="9">
        <v>49</v>
      </c>
      <c r="K56" s="10" t="s">
        <v>1340</v>
      </c>
      <c r="L56" s="10" t="s">
        <v>260</v>
      </c>
      <c r="M56" s="10" t="s">
        <v>1238</v>
      </c>
      <c r="N56" s="7"/>
    </row>
    <row r="57" s="1" customFormat="1" ht="28.5" customHeight="1" spans="1:14">
      <c r="A57" s="8">
        <v>1003</v>
      </c>
      <c r="B57" s="9">
        <v>100304</v>
      </c>
      <c r="C57" s="9" t="s">
        <v>34</v>
      </c>
      <c r="D57" s="9">
        <v>600</v>
      </c>
      <c r="E57" s="9">
        <v>31100304</v>
      </c>
      <c r="F57" s="9">
        <v>31100101</v>
      </c>
      <c r="G57" s="10" t="s">
        <v>1299</v>
      </c>
      <c r="H57" s="10" t="s">
        <v>563</v>
      </c>
      <c r="I57" s="10" t="s">
        <v>1284</v>
      </c>
      <c r="J57" s="9">
        <v>50</v>
      </c>
      <c r="K57" s="10" t="s">
        <v>1300</v>
      </c>
      <c r="L57" s="10" t="s">
        <v>260</v>
      </c>
      <c r="M57" s="10" t="s">
        <v>1238</v>
      </c>
      <c r="N57" s="7"/>
    </row>
    <row r="58" s="1" customFormat="1" ht="28.5" customHeight="1" spans="1:14">
      <c r="A58" s="8">
        <v>1003</v>
      </c>
      <c r="B58" s="9">
        <v>100305</v>
      </c>
      <c r="C58" s="9" t="s">
        <v>34</v>
      </c>
      <c r="D58" s="9">
        <v>400</v>
      </c>
      <c r="E58" s="9">
        <v>31100305</v>
      </c>
      <c r="F58" s="9">
        <v>31100101</v>
      </c>
      <c r="G58" s="10" t="s">
        <v>1301</v>
      </c>
      <c r="H58" s="10" t="s">
        <v>563</v>
      </c>
      <c r="I58" s="10" t="s">
        <v>1287</v>
      </c>
      <c r="J58" s="9">
        <v>51</v>
      </c>
      <c r="K58" s="10" t="s">
        <v>1302</v>
      </c>
      <c r="L58" s="10" t="s">
        <v>260</v>
      </c>
      <c r="M58" s="10" t="s">
        <v>1238</v>
      </c>
      <c r="N58" s="7"/>
    </row>
    <row r="59" s="1" customFormat="1" ht="28.5" customHeight="1" spans="1:14">
      <c r="A59" s="8">
        <v>1003</v>
      </c>
      <c r="B59" s="9">
        <v>100306</v>
      </c>
      <c r="C59" s="9" t="s">
        <v>34</v>
      </c>
      <c r="D59" s="9">
        <v>200</v>
      </c>
      <c r="E59" s="9">
        <v>31100306</v>
      </c>
      <c r="F59" s="9">
        <v>31100101</v>
      </c>
      <c r="G59" s="10" t="s">
        <v>1301</v>
      </c>
      <c r="H59" s="10" t="s">
        <v>563</v>
      </c>
      <c r="I59" s="10" t="s">
        <v>1287</v>
      </c>
      <c r="J59" s="9">
        <v>52</v>
      </c>
      <c r="K59" s="10" t="s">
        <v>1302</v>
      </c>
      <c r="L59" s="10" t="s">
        <v>260</v>
      </c>
      <c r="M59" s="10" t="s">
        <v>1238</v>
      </c>
      <c r="N59" s="7"/>
    </row>
    <row r="60" s="1" customFormat="1" ht="28.5" customHeight="1" spans="1:14">
      <c r="A60" s="8">
        <v>1003</v>
      </c>
      <c r="B60" s="9">
        <v>100307</v>
      </c>
      <c r="C60" s="9" t="s">
        <v>34</v>
      </c>
      <c r="D60" s="9">
        <v>0</v>
      </c>
      <c r="E60" s="9">
        <v>31100307</v>
      </c>
      <c r="F60" s="9">
        <v>31100107</v>
      </c>
      <c r="G60" s="10" t="s">
        <v>1341</v>
      </c>
      <c r="H60" s="10" t="s">
        <v>563</v>
      </c>
      <c r="I60" s="10"/>
      <c r="J60" s="9">
        <v>53</v>
      </c>
      <c r="K60" s="10" t="s">
        <v>1342</v>
      </c>
      <c r="L60" s="10" t="s">
        <v>262</v>
      </c>
      <c r="M60" s="10" t="s">
        <v>1238</v>
      </c>
      <c r="N60" s="7"/>
    </row>
    <row r="61" s="1" customFormat="1" ht="28.5" customHeight="1" spans="1:14">
      <c r="A61" s="8">
        <v>1003</v>
      </c>
      <c r="B61" s="9">
        <v>100308</v>
      </c>
      <c r="C61" s="9" t="s">
        <v>34</v>
      </c>
      <c r="D61" s="9">
        <v>0</v>
      </c>
      <c r="E61" s="9">
        <v>31100308</v>
      </c>
      <c r="F61" s="9">
        <v>31100107</v>
      </c>
      <c r="G61" s="10" t="s">
        <v>1343</v>
      </c>
      <c r="H61" s="10" t="s">
        <v>563</v>
      </c>
      <c r="I61" s="10"/>
      <c r="J61" s="9">
        <v>54</v>
      </c>
      <c r="K61" s="10" t="s">
        <v>1344</v>
      </c>
      <c r="L61" s="10" t="s">
        <v>262</v>
      </c>
      <c r="M61" s="10" t="s">
        <v>1238</v>
      </c>
      <c r="N61" s="7"/>
    </row>
    <row r="62" s="1" customFormat="1" ht="28.5" customHeight="1" spans="1:14">
      <c r="A62" s="8">
        <v>1003</v>
      </c>
      <c r="B62" s="9">
        <v>100309</v>
      </c>
      <c r="C62" s="9" t="s">
        <v>34</v>
      </c>
      <c r="D62" s="9">
        <v>0</v>
      </c>
      <c r="E62" s="9">
        <v>31100309</v>
      </c>
      <c r="F62" s="9">
        <v>31100107</v>
      </c>
      <c r="G62" s="10" t="s">
        <v>1345</v>
      </c>
      <c r="H62" s="10" t="s">
        <v>563</v>
      </c>
      <c r="I62" s="10"/>
      <c r="J62" s="9">
        <v>55</v>
      </c>
      <c r="K62" s="10" t="s">
        <v>1346</v>
      </c>
      <c r="L62" s="10" t="s">
        <v>262</v>
      </c>
      <c r="M62" s="10" t="s">
        <v>1238</v>
      </c>
      <c r="N62" s="7"/>
    </row>
    <row r="63" s="1" customFormat="1" ht="28.5" customHeight="1" spans="1:14">
      <c r="A63" s="8">
        <v>1003</v>
      </c>
      <c r="B63" s="9">
        <v>100310</v>
      </c>
      <c r="C63" s="9" t="s">
        <v>34</v>
      </c>
      <c r="D63" s="9">
        <v>0</v>
      </c>
      <c r="E63" s="9">
        <v>31100310</v>
      </c>
      <c r="F63" s="9">
        <v>31100107</v>
      </c>
      <c r="G63" s="10" t="s">
        <v>1347</v>
      </c>
      <c r="H63" s="10" t="s">
        <v>563</v>
      </c>
      <c r="I63" s="10"/>
      <c r="J63" s="9">
        <v>56</v>
      </c>
      <c r="K63" s="10" t="s">
        <v>1348</v>
      </c>
      <c r="L63" s="10" t="s">
        <v>262</v>
      </c>
      <c r="M63" s="10" t="s">
        <v>1238</v>
      </c>
      <c r="N63" s="7"/>
    </row>
    <row r="64" s="1" customFormat="1" ht="28.5" customHeight="1" spans="1:14">
      <c r="A64" s="8">
        <v>1003</v>
      </c>
      <c r="B64" s="9">
        <v>100311</v>
      </c>
      <c r="C64" s="9" t="s">
        <v>34</v>
      </c>
      <c r="D64" s="9">
        <v>0</v>
      </c>
      <c r="E64" s="9">
        <v>31100311</v>
      </c>
      <c r="F64" s="9">
        <v>31100107</v>
      </c>
      <c r="G64" s="10" t="s">
        <v>1349</v>
      </c>
      <c r="H64" s="10" t="s">
        <v>563</v>
      </c>
      <c r="I64" s="10"/>
      <c r="J64" s="9">
        <v>57</v>
      </c>
      <c r="K64" s="10" t="s">
        <v>1350</v>
      </c>
      <c r="L64" s="10" t="s">
        <v>262</v>
      </c>
      <c r="M64" s="10" t="s">
        <v>1238</v>
      </c>
      <c r="N64" s="7"/>
    </row>
    <row r="65" s="1" customFormat="1" ht="28.5" customHeight="1" spans="1:14">
      <c r="A65" s="8">
        <v>1003</v>
      </c>
      <c r="B65" s="9">
        <v>100312</v>
      </c>
      <c r="C65" s="9" t="s">
        <v>34</v>
      </c>
      <c r="D65" s="9">
        <v>3000</v>
      </c>
      <c r="E65" s="9">
        <v>31100312</v>
      </c>
      <c r="F65" s="9">
        <v>31100112</v>
      </c>
      <c r="G65" s="10" t="s">
        <v>1351</v>
      </c>
      <c r="H65" s="10" t="s">
        <v>563</v>
      </c>
      <c r="I65" s="10"/>
      <c r="J65" s="9">
        <v>58</v>
      </c>
      <c r="K65" s="10" t="s">
        <v>1352</v>
      </c>
      <c r="L65" s="10" t="s">
        <v>259</v>
      </c>
      <c r="M65" s="10" t="s">
        <v>1238</v>
      </c>
      <c r="N65" s="7"/>
    </row>
    <row r="66" s="1" customFormat="1" ht="28.5" customHeight="1" spans="1:14">
      <c r="A66" s="8">
        <v>1003</v>
      </c>
      <c r="B66" s="9">
        <v>100313</v>
      </c>
      <c r="C66" s="9" t="s">
        <v>34</v>
      </c>
      <c r="D66" s="9">
        <v>2500</v>
      </c>
      <c r="E66" s="9">
        <v>31100313</v>
      </c>
      <c r="F66" s="9">
        <v>31100112</v>
      </c>
      <c r="G66" s="10" t="s">
        <v>1353</v>
      </c>
      <c r="H66" s="10" t="s">
        <v>563</v>
      </c>
      <c r="I66" s="10"/>
      <c r="J66" s="9">
        <v>59</v>
      </c>
      <c r="K66" s="10" t="s">
        <v>1354</v>
      </c>
      <c r="L66" s="10" t="s">
        <v>259</v>
      </c>
      <c r="M66" s="10" t="s">
        <v>1238</v>
      </c>
      <c r="N66" s="7"/>
    </row>
    <row r="67" s="1" customFormat="1" ht="28.5" customHeight="1" spans="1:14">
      <c r="A67" s="8">
        <v>1003</v>
      </c>
      <c r="B67" s="9">
        <v>100314</v>
      </c>
      <c r="C67" s="9" t="s">
        <v>34</v>
      </c>
      <c r="D67" s="9">
        <v>2000</v>
      </c>
      <c r="E67" s="9">
        <v>31100314</v>
      </c>
      <c r="F67" s="9">
        <v>31100112</v>
      </c>
      <c r="G67" s="10" t="s">
        <v>1355</v>
      </c>
      <c r="H67" s="10" t="s">
        <v>563</v>
      </c>
      <c r="I67" s="10"/>
      <c r="J67" s="9">
        <v>60</v>
      </c>
      <c r="K67" s="10" t="s">
        <v>1356</v>
      </c>
      <c r="L67" s="10" t="s">
        <v>259</v>
      </c>
      <c r="M67" s="10" t="s">
        <v>1238</v>
      </c>
      <c r="N67" s="7"/>
    </row>
    <row r="68" s="1" customFormat="1" ht="28.5" customHeight="1" spans="1:14">
      <c r="A68" s="8">
        <v>1003</v>
      </c>
      <c r="B68" s="9">
        <v>100315</v>
      </c>
      <c r="C68" s="9" t="s">
        <v>34</v>
      </c>
      <c r="D68" s="9">
        <v>1500</v>
      </c>
      <c r="E68" s="9">
        <v>31100315</v>
      </c>
      <c r="F68" s="9">
        <v>31100112</v>
      </c>
      <c r="G68" s="10" t="s">
        <v>1357</v>
      </c>
      <c r="H68" s="10" t="s">
        <v>563</v>
      </c>
      <c r="I68" s="10"/>
      <c r="J68" s="9">
        <v>61</v>
      </c>
      <c r="K68" s="10" t="s">
        <v>1358</v>
      </c>
      <c r="L68" s="10" t="s">
        <v>259</v>
      </c>
      <c r="M68" s="10" t="s">
        <v>1238</v>
      </c>
      <c r="N68" s="7"/>
    </row>
    <row r="69" s="1" customFormat="1" ht="28.5" customHeight="1" spans="1:14">
      <c r="A69" s="8">
        <v>1003</v>
      </c>
      <c r="B69" s="9">
        <v>100316</v>
      </c>
      <c r="C69" s="9" t="s">
        <v>34</v>
      </c>
      <c r="D69" s="9">
        <v>1000</v>
      </c>
      <c r="E69" s="9">
        <v>31100316</v>
      </c>
      <c r="F69" s="9">
        <v>31100112</v>
      </c>
      <c r="G69" s="10" t="s">
        <v>1359</v>
      </c>
      <c r="H69" s="10" t="s">
        <v>563</v>
      </c>
      <c r="I69" s="10"/>
      <c r="J69" s="9">
        <v>62</v>
      </c>
      <c r="K69" s="10" t="s">
        <v>1360</v>
      </c>
      <c r="L69" s="10" t="s">
        <v>259</v>
      </c>
      <c r="M69" s="10" t="s">
        <v>1238</v>
      </c>
      <c r="N69" s="7"/>
    </row>
    <row r="70" s="1" customFormat="1" ht="28.5" customHeight="1" spans="1:14">
      <c r="A70" s="8">
        <v>1003</v>
      </c>
      <c r="B70" s="9">
        <v>100317</v>
      </c>
      <c r="C70" s="9" t="s">
        <v>34</v>
      </c>
      <c r="D70" s="9">
        <v>2000</v>
      </c>
      <c r="E70" s="9">
        <v>31100317</v>
      </c>
      <c r="F70" s="9">
        <v>31100117</v>
      </c>
      <c r="G70" s="10" t="s">
        <v>1335</v>
      </c>
      <c r="H70" s="10" t="s">
        <v>563</v>
      </c>
      <c r="I70" s="10" t="s">
        <v>1336</v>
      </c>
      <c r="J70" s="9">
        <v>63</v>
      </c>
      <c r="K70" s="10" t="s">
        <v>1337</v>
      </c>
      <c r="L70" s="10" t="s">
        <v>263</v>
      </c>
      <c r="M70" s="10" t="s">
        <v>1238</v>
      </c>
      <c r="N70" s="7"/>
    </row>
    <row r="71" s="1" customFormat="1" ht="28.5" customHeight="1" spans="1:14">
      <c r="A71" s="8">
        <v>1003</v>
      </c>
      <c r="B71" s="9">
        <v>100318</v>
      </c>
      <c r="C71" s="9" t="s">
        <v>34</v>
      </c>
      <c r="D71" s="9">
        <v>1000</v>
      </c>
      <c r="E71" s="9">
        <v>31100318</v>
      </c>
      <c r="F71" s="9">
        <v>31100117</v>
      </c>
      <c r="G71" s="10" t="s">
        <v>1361</v>
      </c>
      <c r="H71" s="10" t="s">
        <v>563</v>
      </c>
      <c r="I71" s="10" t="s">
        <v>1362</v>
      </c>
      <c r="J71" s="9">
        <v>64</v>
      </c>
      <c r="K71" s="10" t="s">
        <v>1363</v>
      </c>
      <c r="L71" s="10" t="s">
        <v>263</v>
      </c>
      <c r="M71" s="10" t="s">
        <v>1238</v>
      </c>
      <c r="N71" s="7"/>
    </row>
    <row r="72" s="1" customFormat="1" ht="28.5" customHeight="1" spans="1:14">
      <c r="A72" s="8">
        <v>1003</v>
      </c>
      <c r="B72" s="9">
        <v>100319</v>
      </c>
      <c r="C72" s="9" t="s">
        <v>34</v>
      </c>
      <c r="D72" s="9">
        <v>800</v>
      </c>
      <c r="E72" s="9">
        <v>31100319</v>
      </c>
      <c r="F72" s="9">
        <v>31100117</v>
      </c>
      <c r="G72" s="10" t="s">
        <v>1364</v>
      </c>
      <c r="H72" s="10" t="s">
        <v>563</v>
      </c>
      <c r="I72" s="10" t="s">
        <v>1365</v>
      </c>
      <c r="J72" s="9">
        <v>65</v>
      </c>
      <c r="K72" s="10" t="s">
        <v>1366</v>
      </c>
      <c r="L72" s="10" t="s">
        <v>263</v>
      </c>
      <c r="M72" s="10" t="s">
        <v>1238</v>
      </c>
      <c r="N72" s="7"/>
    </row>
    <row r="73" s="1" customFormat="1" ht="28.5" customHeight="1" spans="1:14">
      <c r="A73" s="8">
        <v>1003</v>
      </c>
      <c r="B73" s="9">
        <v>100320</v>
      </c>
      <c r="C73" s="9" t="s">
        <v>34</v>
      </c>
      <c r="D73" s="9">
        <v>600</v>
      </c>
      <c r="E73" s="9">
        <v>31100320</v>
      </c>
      <c r="F73" s="9">
        <v>31100117</v>
      </c>
      <c r="G73" s="10" t="s">
        <v>1367</v>
      </c>
      <c r="H73" s="10" t="s">
        <v>563</v>
      </c>
      <c r="I73" s="10" t="s">
        <v>1368</v>
      </c>
      <c r="J73" s="9">
        <v>66</v>
      </c>
      <c r="K73" s="10" t="s">
        <v>1369</v>
      </c>
      <c r="L73" s="10" t="s">
        <v>263</v>
      </c>
      <c r="M73" s="10" t="s">
        <v>1238</v>
      </c>
      <c r="N73" s="7"/>
    </row>
    <row r="74" s="1" customFormat="1" ht="28.5" customHeight="1" spans="1:14">
      <c r="A74" s="8">
        <v>1003</v>
      </c>
      <c r="B74" s="9">
        <v>100321</v>
      </c>
      <c r="C74" s="9" t="s">
        <v>34</v>
      </c>
      <c r="D74" s="9">
        <v>400</v>
      </c>
      <c r="E74" s="9">
        <v>31100321</v>
      </c>
      <c r="F74" s="9">
        <v>31100117</v>
      </c>
      <c r="G74" s="10" t="s">
        <v>1370</v>
      </c>
      <c r="H74" s="10" t="s">
        <v>563</v>
      </c>
      <c r="I74" s="10" t="s">
        <v>1371</v>
      </c>
      <c r="J74" s="9">
        <v>67</v>
      </c>
      <c r="K74" s="10" t="s">
        <v>1372</v>
      </c>
      <c r="L74" s="10" t="s">
        <v>263</v>
      </c>
      <c r="M74" s="10" t="s">
        <v>1238</v>
      </c>
      <c r="N74" s="7"/>
    </row>
    <row r="75" s="1" customFormat="1" ht="28.5" customHeight="1" spans="1:14">
      <c r="A75" s="8">
        <v>1003</v>
      </c>
      <c r="B75" s="9">
        <v>100322</v>
      </c>
      <c r="C75" s="9" t="s">
        <v>34</v>
      </c>
      <c r="D75" s="9">
        <v>200</v>
      </c>
      <c r="E75" s="9">
        <v>31100322</v>
      </c>
      <c r="F75" s="9">
        <v>31100117</v>
      </c>
      <c r="G75" s="10" t="s">
        <v>1373</v>
      </c>
      <c r="H75" s="10" t="s">
        <v>563</v>
      </c>
      <c r="I75" s="10" t="s">
        <v>1374</v>
      </c>
      <c r="J75" s="9">
        <v>68</v>
      </c>
      <c r="K75" s="10" t="s">
        <v>1375</v>
      </c>
      <c r="L75" s="10" t="s">
        <v>263</v>
      </c>
      <c r="M75" s="10" t="s">
        <v>1238</v>
      </c>
      <c r="N75" s="7"/>
    </row>
    <row r="76" s="1" customFormat="1" ht="28.5" customHeight="1" spans="1:14">
      <c r="A76" s="8"/>
      <c r="B76" s="9"/>
      <c r="C76" s="9"/>
      <c r="D76" s="9"/>
      <c r="E76" s="9"/>
      <c r="F76" s="9"/>
      <c r="G76" s="10"/>
      <c r="H76" s="10"/>
      <c r="I76" s="10" t="s">
        <v>1289</v>
      </c>
      <c r="J76" s="9">
        <v>69</v>
      </c>
      <c r="K76" s="10" t="s">
        <v>1289</v>
      </c>
      <c r="L76" s="10"/>
      <c r="M76" s="10" t="s">
        <v>1290</v>
      </c>
      <c r="N76" s="7"/>
    </row>
    <row r="77" s="1" customFormat="1" ht="28.5" customHeight="1" spans="1:14">
      <c r="A77" s="8">
        <v>1004</v>
      </c>
      <c r="B77" s="9">
        <v>100401</v>
      </c>
      <c r="C77" s="9" t="s">
        <v>35</v>
      </c>
      <c r="D77" s="9">
        <v>2000</v>
      </c>
      <c r="E77" s="9">
        <v>31100401</v>
      </c>
      <c r="F77" s="9">
        <v>31100101</v>
      </c>
      <c r="G77" s="10" t="s">
        <v>1301</v>
      </c>
      <c r="H77" s="10" t="s">
        <v>563</v>
      </c>
      <c r="I77" s="10" t="s">
        <v>1287</v>
      </c>
      <c r="J77" s="9">
        <v>70</v>
      </c>
      <c r="K77" s="10" t="s">
        <v>1302</v>
      </c>
      <c r="L77" s="10" t="s">
        <v>268</v>
      </c>
      <c r="M77" s="10" t="s">
        <v>1238</v>
      </c>
      <c r="N77" s="7"/>
    </row>
    <row r="78" s="1" customFormat="1" ht="28.5" customHeight="1" spans="1:14">
      <c r="A78" s="8">
        <v>1004</v>
      </c>
      <c r="B78" s="9">
        <v>100402</v>
      </c>
      <c r="C78" s="9" t="s">
        <v>35</v>
      </c>
      <c r="D78" s="9">
        <v>1000</v>
      </c>
      <c r="E78" s="9">
        <v>31100402</v>
      </c>
      <c r="F78" s="9">
        <v>31100101</v>
      </c>
      <c r="G78" s="10" t="s">
        <v>1376</v>
      </c>
      <c r="H78" s="10" t="s">
        <v>563</v>
      </c>
      <c r="I78" s="10" t="s">
        <v>1324</v>
      </c>
      <c r="J78" s="9">
        <v>71</v>
      </c>
      <c r="K78" s="10" t="s">
        <v>1377</v>
      </c>
      <c r="L78" s="10" t="s">
        <v>268</v>
      </c>
      <c r="M78" s="10" t="s">
        <v>1238</v>
      </c>
      <c r="N78" s="7"/>
    </row>
    <row r="79" s="1" customFormat="1" ht="28.5" customHeight="1" spans="1:14">
      <c r="A79" s="8">
        <v>1004</v>
      </c>
      <c r="B79" s="9">
        <v>100403</v>
      </c>
      <c r="C79" s="9" t="s">
        <v>35</v>
      </c>
      <c r="D79" s="9">
        <v>800</v>
      </c>
      <c r="E79" s="9">
        <v>31100403</v>
      </c>
      <c r="F79" s="9">
        <v>31100101</v>
      </c>
      <c r="G79" s="10" t="s">
        <v>1378</v>
      </c>
      <c r="H79" s="10" t="s">
        <v>563</v>
      </c>
      <c r="I79" s="10" t="s">
        <v>1327</v>
      </c>
      <c r="J79" s="9">
        <v>72</v>
      </c>
      <c r="K79" s="10" t="s">
        <v>1379</v>
      </c>
      <c r="L79" s="10" t="s">
        <v>268</v>
      </c>
      <c r="M79" s="10" t="s">
        <v>1238</v>
      </c>
      <c r="N79" s="7"/>
    </row>
    <row r="80" s="1" customFormat="1" ht="28.5" customHeight="1" spans="1:14">
      <c r="A80" s="8">
        <v>1004</v>
      </c>
      <c r="B80" s="9">
        <v>100404</v>
      </c>
      <c r="C80" s="9" t="s">
        <v>35</v>
      </c>
      <c r="D80" s="9">
        <v>600</v>
      </c>
      <c r="E80" s="9">
        <v>31100404</v>
      </c>
      <c r="F80" s="9">
        <v>31100101</v>
      </c>
      <c r="G80" s="10" t="s">
        <v>1380</v>
      </c>
      <c r="H80" s="10" t="s">
        <v>563</v>
      </c>
      <c r="I80" s="10" t="s">
        <v>1330</v>
      </c>
      <c r="J80" s="9">
        <v>73</v>
      </c>
      <c r="K80" s="10" t="s">
        <v>1381</v>
      </c>
      <c r="L80" s="10" t="s">
        <v>268</v>
      </c>
      <c r="M80" s="10" t="s">
        <v>1238</v>
      </c>
      <c r="N80" s="7"/>
    </row>
    <row r="81" s="1" customFormat="1" ht="28.5" customHeight="1" spans="1:14">
      <c r="A81" s="8">
        <v>1004</v>
      </c>
      <c r="B81" s="9">
        <v>100405</v>
      </c>
      <c r="C81" s="9" t="s">
        <v>35</v>
      </c>
      <c r="D81" s="9">
        <v>400</v>
      </c>
      <c r="E81" s="9">
        <v>31100405</v>
      </c>
      <c r="F81" s="9">
        <v>31100101</v>
      </c>
      <c r="G81" s="10" t="s">
        <v>1382</v>
      </c>
      <c r="H81" s="10" t="s">
        <v>563</v>
      </c>
      <c r="I81" s="10" t="s">
        <v>1333</v>
      </c>
      <c r="J81" s="9">
        <v>74</v>
      </c>
      <c r="K81" s="10" t="s">
        <v>1383</v>
      </c>
      <c r="L81" s="10" t="s">
        <v>268</v>
      </c>
      <c r="M81" s="10" t="s">
        <v>1238</v>
      </c>
      <c r="N81" s="7"/>
    </row>
    <row r="82" s="1" customFormat="1" ht="28.5" customHeight="1" spans="1:14">
      <c r="A82" s="8">
        <v>1004</v>
      </c>
      <c r="B82" s="9">
        <v>100406</v>
      </c>
      <c r="C82" s="9" t="s">
        <v>35</v>
      </c>
      <c r="D82" s="9">
        <v>200</v>
      </c>
      <c r="E82" s="9">
        <v>31100406</v>
      </c>
      <c r="F82" s="9">
        <v>31100101</v>
      </c>
      <c r="G82" s="10" t="s">
        <v>1384</v>
      </c>
      <c r="H82" s="10" t="s">
        <v>563</v>
      </c>
      <c r="I82" s="10" t="s">
        <v>1336</v>
      </c>
      <c r="J82" s="9">
        <v>75</v>
      </c>
      <c r="K82" s="10" t="s">
        <v>1385</v>
      </c>
      <c r="L82" s="10" t="s">
        <v>268</v>
      </c>
      <c r="M82" s="10" t="s">
        <v>1238</v>
      </c>
      <c r="N82" s="7"/>
    </row>
    <row r="83" s="1" customFormat="1" ht="28.5" customHeight="1" spans="1:14">
      <c r="A83" s="8">
        <v>1004</v>
      </c>
      <c r="B83" s="9">
        <v>100407</v>
      </c>
      <c r="C83" s="9" t="s">
        <v>35</v>
      </c>
      <c r="D83" s="9">
        <v>0</v>
      </c>
      <c r="E83" s="9">
        <v>31100407</v>
      </c>
      <c r="F83" s="9">
        <v>31100107</v>
      </c>
      <c r="G83" s="10" t="s">
        <v>1386</v>
      </c>
      <c r="H83" s="10" t="s">
        <v>563</v>
      </c>
      <c r="I83" s="10"/>
      <c r="J83" s="9">
        <v>76</v>
      </c>
      <c r="K83" s="10" t="s">
        <v>1387</v>
      </c>
      <c r="L83" s="10" t="s">
        <v>270</v>
      </c>
      <c r="M83" s="10" t="s">
        <v>1238</v>
      </c>
      <c r="N83" s="7"/>
    </row>
    <row r="84" s="1" customFormat="1" ht="28.5" customHeight="1" spans="1:14">
      <c r="A84" s="8">
        <v>1004</v>
      </c>
      <c r="B84" s="9">
        <v>100408</v>
      </c>
      <c r="C84" s="9" t="s">
        <v>35</v>
      </c>
      <c r="D84" s="9">
        <v>0</v>
      </c>
      <c r="E84" s="9">
        <v>31100408</v>
      </c>
      <c r="F84" s="9">
        <v>31100107</v>
      </c>
      <c r="G84" s="10" t="s">
        <v>1388</v>
      </c>
      <c r="H84" s="10" t="s">
        <v>563</v>
      </c>
      <c r="I84" s="10"/>
      <c r="J84" s="9">
        <v>77</v>
      </c>
      <c r="K84" s="10" t="s">
        <v>1389</v>
      </c>
      <c r="L84" s="10" t="s">
        <v>270</v>
      </c>
      <c r="M84" s="10" t="s">
        <v>1238</v>
      </c>
      <c r="N84" s="7"/>
    </row>
    <row r="85" s="1" customFormat="1" ht="28.5" customHeight="1" spans="1:14">
      <c r="A85" s="8">
        <v>1004</v>
      </c>
      <c r="B85" s="9">
        <v>100409</v>
      </c>
      <c r="C85" s="9" t="s">
        <v>35</v>
      </c>
      <c r="D85" s="9">
        <v>0</v>
      </c>
      <c r="E85" s="9">
        <v>31100409</v>
      </c>
      <c r="F85" s="9">
        <v>31100107</v>
      </c>
      <c r="G85" s="10" t="s">
        <v>1390</v>
      </c>
      <c r="H85" s="10" t="s">
        <v>563</v>
      </c>
      <c r="I85" s="10"/>
      <c r="J85" s="9">
        <v>78</v>
      </c>
      <c r="K85" s="10" t="s">
        <v>1391</v>
      </c>
      <c r="L85" s="10" t="s">
        <v>270</v>
      </c>
      <c r="M85" s="10" t="s">
        <v>1238</v>
      </c>
      <c r="N85" s="7"/>
    </row>
    <row r="86" s="1" customFormat="1" ht="28.5" customHeight="1" spans="1:14">
      <c r="A86" s="8">
        <v>1004</v>
      </c>
      <c r="B86" s="9">
        <v>100410</v>
      </c>
      <c r="C86" s="9" t="s">
        <v>35</v>
      </c>
      <c r="D86" s="9">
        <v>0</v>
      </c>
      <c r="E86" s="9">
        <v>31100410</v>
      </c>
      <c r="F86" s="9">
        <v>31100107</v>
      </c>
      <c r="G86" s="10" t="s">
        <v>1392</v>
      </c>
      <c r="H86" s="10" t="s">
        <v>563</v>
      </c>
      <c r="I86" s="10"/>
      <c r="J86" s="9">
        <v>79</v>
      </c>
      <c r="K86" s="10" t="s">
        <v>1393</v>
      </c>
      <c r="L86" s="10" t="s">
        <v>270</v>
      </c>
      <c r="M86" s="10" t="s">
        <v>1238</v>
      </c>
      <c r="N86" s="7"/>
    </row>
    <row r="87" s="1" customFormat="1" ht="28.5" customHeight="1" spans="1:14">
      <c r="A87" s="8">
        <v>1004</v>
      </c>
      <c r="B87" s="9">
        <v>100411</v>
      </c>
      <c r="C87" s="9" t="s">
        <v>35</v>
      </c>
      <c r="D87" s="9">
        <v>0</v>
      </c>
      <c r="E87" s="9">
        <v>31100411</v>
      </c>
      <c r="F87" s="9">
        <v>31100107</v>
      </c>
      <c r="G87" s="10" t="s">
        <v>1394</v>
      </c>
      <c r="H87" s="10" t="s">
        <v>563</v>
      </c>
      <c r="I87" s="10"/>
      <c r="J87" s="9">
        <v>80</v>
      </c>
      <c r="K87" s="10" t="s">
        <v>1395</v>
      </c>
      <c r="L87" s="10" t="s">
        <v>270</v>
      </c>
      <c r="M87" s="10" t="s">
        <v>1238</v>
      </c>
      <c r="N87" s="7"/>
    </row>
    <row r="88" s="1" customFormat="1" ht="28.5" customHeight="1" spans="1:14">
      <c r="A88" s="8">
        <v>1004</v>
      </c>
      <c r="B88" s="9">
        <v>100412</v>
      </c>
      <c r="C88" s="9" t="s">
        <v>35</v>
      </c>
      <c r="D88" s="9">
        <v>3000</v>
      </c>
      <c r="E88" s="9">
        <v>31100412</v>
      </c>
      <c r="F88" s="9">
        <v>31100112</v>
      </c>
      <c r="G88" s="10" t="s">
        <v>1396</v>
      </c>
      <c r="H88" s="10" t="s">
        <v>563</v>
      </c>
      <c r="I88" s="10"/>
      <c r="J88" s="9">
        <v>81</v>
      </c>
      <c r="K88" s="10" t="s">
        <v>1397</v>
      </c>
      <c r="L88" s="10" t="s">
        <v>267</v>
      </c>
      <c r="M88" s="10" t="s">
        <v>1238</v>
      </c>
      <c r="N88" s="7"/>
    </row>
    <row r="89" s="1" customFormat="1" ht="28.5" customHeight="1" spans="1:14">
      <c r="A89" s="8">
        <v>1004</v>
      </c>
      <c r="B89" s="9">
        <v>100413</v>
      </c>
      <c r="C89" s="9" t="s">
        <v>35</v>
      </c>
      <c r="D89" s="9">
        <v>2500</v>
      </c>
      <c r="E89" s="9">
        <v>31100413</v>
      </c>
      <c r="F89" s="9">
        <v>31100112</v>
      </c>
      <c r="G89" s="10" t="s">
        <v>1398</v>
      </c>
      <c r="H89" s="10" t="s">
        <v>563</v>
      </c>
      <c r="I89" s="10"/>
      <c r="J89" s="9">
        <v>82</v>
      </c>
      <c r="K89" s="10" t="s">
        <v>1399</v>
      </c>
      <c r="L89" s="10" t="s">
        <v>267</v>
      </c>
      <c r="M89" s="10" t="s">
        <v>1238</v>
      </c>
      <c r="N89" s="7"/>
    </row>
    <row r="90" s="1" customFormat="1" ht="28.5" customHeight="1" spans="1:14">
      <c r="A90" s="8">
        <v>1004</v>
      </c>
      <c r="B90" s="9">
        <v>100414</v>
      </c>
      <c r="C90" s="9" t="s">
        <v>35</v>
      </c>
      <c r="D90" s="9">
        <v>2000</v>
      </c>
      <c r="E90" s="9">
        <v>31100414</v>
      </c>
      <c r="F90" s="9">
        <v>31100112</v>
      </c>
      <c r="G90" s="10" t="s">
        <v>1400</v>
      </c>
      <c r="H90" s="10" t="s">
        <v>563</v>
      </c>
      <c r="I90" s="10"/>
      <c r="J90" s="9">
        <v>83</v>
      </c>
      <c r="K90" s="10" t="s">
        <v>1401</v>
      </c>
      <c r="L90" s="10" t="s">
        <v>267</v>
      </c>
      <c r="M90" s="10" t="s">
        <v>1238</v>
      </c>
      <c r="N90" s="7"/>
    </row>
    <row r="91" s="1" customFormat="1" ht="28.5" customHeight="1" spans="1:14">
      <c r="A91" s="8">
        <v>1004</v>
      </c>
      <c r="B91" s="9">
        <v>100415</v>
      </c>
      <c r="C91" s="9" t="s">
        <v>35</v>
      </c>
      <c r="D91" s="9">
        <v>1500</v>
      </c>
      <c r="E91" s="9">
        <v>31100415</v>
      </c>
      <c r="F91" s="9">
        <v>31100112</v>
      </c>
      <c r="G91" s="10" t="s">
        <v>1402</v>
      </c>
      <c r="H91" s="10" t="s">
        <v>563</v>
      </c>
      <c r="I91" s="10"/>
      <c r="J91" s="9">
        <v>84</v>
      </c>
      <c r="K91" s="10" t="s">
        <v>1403</v>
      </c>
      <c r="L91" s="10" t="s">
        <v>267</v>
      </c>
      <c r="M91" s="10" t="s">
        <v>1238</v>
      </c>
      <c r="N91" s="7"/>
    </row>
    <row r="92" s="1" customFormat="1" ht="28.5" customHeight="1" spans="1:14">
      <c r="A92" s="8">
        <v>1004</v>
      </c>
      <c r="B92" s="9">
        <v>100416</v>
      </c>
      <c r="C92" s="9" t="s">
        <v>35</v>
      </c>
      <c r="D92" s="9">
        <v>1000</v>
      </c>
      <c r="E92" s="9">
        <v>31100416</v>
      </c>
      <c r="F92" s="9">
        <v>31100112</v>
      </c>
      <c r="G92" s="10" t="s">
        <v>1404</v>
      </c>
      <c r="H92" s="10" t="s">
        <v>563</v>
      </c>
      <c r="I92" s="10"/>
      <c r="J92" s="9">
        <v>85</v>
      </c>
      <c r="K92" s="10" t="s">
        <v>1405</v>
      </c>
      <c r="L92" s="10" t="s">
        <v>267</v>
      </c>
      <c r="M92" s="10" t="s">
        <v>1238</v>
      </c>
      <c r="N92" s="7"/>
    </row>
    <row r="93" s="1" customFormat="1" ht="28.5" customHeight="1" spans="1:14">
      <c r="A93" s="8">
        <v>1004</v>
      </c>
      <c r="B93" s="9">
        <v>100417</v>
      </c>
      <c r="C93" s="9" t="s">
        <v>35</v>
      </c>
      <c r="D93" s="9">
        <v>2000</v>
      </c>
      <c r="E93" s="9">
        <v>31100417</v>
      </c>
      <c r="F93" s="9">
        <v>31100117</v>
      </c>
      <c r="G93" s="10" t="s">
        <v>1406</v>
      </c>
      <c r="H93" s="10" t="s">
        <v>563</v>
      </c>
      <c r="I93" s="10" t="s">
        <v>1407</v>
      </c>
      <c r="J93" s="9">
        <v>86</v>
      </c>
      <c r="K93" s="10" t="s">
        <v>1408</v>
      </c>
      <c r="L93" s="10" t="s">
        <v>271</v>
      </c>
      <c r="M93" s="10" t="s">
        <v>1238</v>
      </c>
      <c r="N93" s="7"/>
    </row>
    <row r="94" s="1" customFormat="1" ht="28.5" customHeight="1" spans="1:14">
      <c r="A94" s="8">
        <v>1004</v>
      </c>
      <c r="B94" s="9">
        <v>100418</v>
      </c>
      <c r="C94" s="9" t="s">
        <v>35</v>
      </c>
      <c r="D94" s="9">
        <v>1000</v>
      </c>
      <c r="E94" s="9">
        <v>31100418</v>
      </c>
      <c r="F94" s="9">
        <v>31100117</v>
      </c>
      <c r="G94" s="10" t="s">
        <v>1367</v>
      </c>
      <c r="H94" s="10" t="s">
        <v>563</v>
      </c>
      <c r="I94" s="10" t="s">
        <v>1368</v>
      </c>
      <c r="J94" s="9">
        <v>87</v>
      </c>
      <c r="K94" s="10" t="s">
        <v>1369</v>
      </c>
      <c r="L94" s="10" t="s">
        <v>271</v>
      </c>
      <c r="M94" s="10" t="s">
        <v>1238</v>
      </c>
      <c r="N94" s="7"/>
    </row>
    <row r="95" s="1" customFormat="1" ht="28.5" customHeight="1" spans="1:14">
      <c r="A95" s="8">
        <v>1004</v>
      </c>
      <c r="B95" s="9">
        <v>100419</v>
      </c>
      <c r="C95" s="9" t="s">
        <v>35</v>
      </c>
      <c r="D95" s="9">
        <v>800</v>
      </c>
      <c r="E95" s="9">
        <v>31100419</v>
      </c>
      <c r="F95" s="9">
        <v>31100117</v>
      </c>
      <c r="G95" s="10" t="s">
        <v>1370</v>
      </c>
      <c r="H95" s="10" t="s">
        <v>563</v>
      </c>
      <c r="I95" s="10" t="s">
        <v>1371</v>
      </c>
      <c r="J95" s="9">
        <v>88</v>
      </c>
      <c r="K95" s="10" t="s">
        <v>1372</v>
      </c>
      <c r="L95" s="10" t="s">
        <v>271</v>
      </c>
      <c r="M95" s="10" t="s">
        <v>1238</v>
      </c>
      <c r="N95" s="7"/>
    </row>
    <row r="96" s="1" customFormat="1" ht="28.5" customHeight="1" spans="1:14">
      <c r="A96" s="8">
        <v>1004</v>
      </c>
      <c r="B96" s="9">
        <v>100420</v>
      </c>
      <c r="C96" s="9" t="s">
        <v>35</v>
      </c>
      <c r="D96" s="9">
        <v>600</v>
      </c>
      <c r="E96" s="9">
        <v>31100420</v>
      </c>
      <c r="F96" s="9">
        <v>31100117</v>
      </c>
      <c r="G96" s="10" t="s">
        <v>1370</v>
      </c>
      <c r="H96" s="10" t="s">
        <v>563</v>
      </c>
      <c r="I96" s="10" t="s">
        <v>1371</v>
      </c>
      <c r="J96" s="9">
        <v>89</v>
      </c>
      <c r="K96" s="10" t="s">
        <v>1372</v>
      </c>
      <c r="L96" s="10" t="s">
        <v>271</v>
      </c>
      <c r="M96" s="10" t="s">
        <v>1238</v>
      </c>
      <c r="N96" s="7"/>
    </row>
    <row r="97" s="1" customFormat="1" ht="28.5" customHeight="1" spans="1:14">
      <c r="A97" s="8">
        <v>1004</v>
      </c>
      <c r="B97" s="9">
        <v>100421</v>
      </c>
      <c r="C97" s="9" t="s">
        <v>35</v>
      </c>
      <c r="D97" s="9">
        <v>400</v>
      </c>
      <c r="E97" s="9">
        <v>31100421</v>
      </c>
      <c r="F97" s="9">
        <v>31100117</v>
      </c>
      <c r="G97" s="10" t="s">
        <v>1373</v>
      </c>
      <c r="H97" s="10" t="s">
        <v>563</v>
      </c>
      <c r="I97" s="10" t="s">
        <v>1374</v>
      </c>
      <c r="J97" s="9">
        <v>90</v>
      </c>
      <c r="K97" s="10" t="s">
        <v>1375</v>
      </c>
      <c r="L97" s="10" t="s">
        <v>271</v>
      </c>
      <c r="M97" s="10" t="s">
        <v>1238</v>
      </c>
      <c r="N97" s="7"/>
    </row>
    <row r="98" s="1" customFormat="1" ht="28.5" customHeight="1" spans="1:14">
      <c r="A98" s="8">
        <v>1004</v>
      </c>
      <c r="B98" s="9">
        <v>100422</v>
      </c>
      <c r="C98" s="9" t="s">
        <v>35</v>
      </c>
      <c r="D98" s="9">
        <v>200</v>
      </c>
      <c r="E98" s="9">
        <v>31100422</v>
      </c>
      <c r="F98" s="9">
        <v>31100117</v>
      </c>
      <c r="G98" s="10" t="s">
        <v>1409</v>
      </c>
      <c r="H98" s="10" t="s">
        <v>563</v>
      </c>
      <c r="I98" s="10" t="s">
        <v>1410</v>
      </c>
      <c r="J98" s="9">
        <v>91</v>
      </c>
      <c r="K98" s="10" t="s">
        <v>1411</v>
      </c>
      <c r="L98" s="10" t="s">
        <v>271</v>
      </c>
      <c r="M98" s="10" t="s">
        <v>1238</v>
      </c>
      <c r="N98" s="7"/>
    </row>
    <row r="99" s="1" customFormat="1" ht="28.5" customHeight="1" spans="1:14">
      <c r="A99" s="8"/>
      <c r="B99" s="9"/>
      <c r="C99" s="9"/>
      <c r="D99" s="9"/>
      <c r="E99" s="9"/>
      <c r="F99" s="9"/>
      <c r="G99" s="10"/>
      <c r="H99" s="10"/>
      <c r="I99" s="10" t="s">
        <v>1289</v>
      </c>
      <c r="J99" s="9">
        <v>92</v>
      </c>
      <c r="K99" s="10" t="s">
        <v>1289</v>
      </c>
      <c r="L99" s="10"/>
      <c r="M99" s="10" t="s">
        <v>1290</v>
      </c>
      <c r="N99" s="7"/>
    </row>
    <row r="100" s="1" customFormat="1" ht="28.5" customHeight="1" spans="1:14">
      <c r="A100" s="8">
        <v>1005</v>
      </c>
      <c r="B100" s="9">
        <v>100501</v>
      </c>
      <c r="C100" s="9" t="s">
        <v>36</v>
      </c>
      <c r="D100" s="9">
        <v>2000</v>
      </c>
      <c r="E100" s="9">
        <v>31100501</v>
      </c>
      <c r="F100" s="9">
        <v>31100101</v>
      </c>
      <c r="G100" s="10" t="s">
        <v>1384</v>
      </c>
      <c r="H100" s="10" t="s">
        <v>563</v>
      </c>
      <c r="I100" s="10" t="s">
        <v>1336</v>
      </c>
      <c r="J100" s="9">
        <v>93</v>
      </c>
      <c r="K100" s="10" t="s">
        <v>1385</v>
      </c>
      <c r="L100" s="10" t="s">
        <v>276</v>
      </c>
      <c r="M100" s="10" t="s">
        <v>1238</v>
      </c>
      <c r="N100" s="7"/>
    </row>
    <row r="101" s="1" customFormat="1" ht="28.5" customHeight="1" spans="1:14">
      <c r="A101" s="8">
        <v>1005</v>
      </c>
      <c r="B101" s="9">
        <v>100502</v>
      </c>
      <c r="C101" s="9" t="s">
        <v>36</v>
      </c>
      <c r="D101" s="9">
        <v>1000</v>
      </c>
      <c r="E101" s="9">
        <v>31100502</v>
      </c>
      <c r="F101" s="9">
        <v>31100101</v>
      </c>
      <c r="G101" s="10" t="s">
        <v>1412</v>
      </c>
      <c r="H101" s="10" t="s">
        <v>563</v>
      </c>
      <c r="I101" s="10" t="s">
        <v>1362</v>
      </c>
      <c r="J101" s="9">
        <v>94</v>
      </c>
      <c r="K101" s="10" t="s">
        <v>1413</v>
      </c>
      <c r="L101" s="10" t="s">
        <v>276</v>
      </c>
      <c r="M101" s="10" t="s">
        <v>1238</v>
      </c>
      <c r="N101" s="7"/>
    </row>
    <row r="102" s="1" customFormat="1" ht="28.5" customHeight="1" spans="1:14">
      <c r="A102" s="8">
        <v>1005</v>
      </c>
      <c r="B102" s="9">
        <v>100503</v>
      </c>
      <c r="C102" s="9" t="s">
        <v>36</v>
      </c>
      <c r="D102" s="9">
        <v>800</v>
      </c>
      <c r="E102" s="9">
        <v>31100503</v>
      </c>
      <c r="F102" s="9">
        <v>31100101</v>
      </c>
      <c r="G102" s="10" t="s">
        <v>1414</v>
      </c>
      <c r="H102" s="10" t="s">
        <v>563</v>
      </c>
      <c r="I102" s="10" t="s">
        <v>1365</v>
      </c>
      <c r="J102" s="9">
        <v>95</v>
      </c>
      <c r="K102" s="10" t="s">
        <v>1415</v>
      </c>
      <c r="L102" s="10" t="s">
        <v>276</v>
      </c>
      <c r="M102" s="10" t="s">
        <v>1238</v>
      </c>
      <c r="N102" s="7"/>
    </row>
    <row r="103" s="1" customFormat="1" ht="28.5" customHeight="1" spans="1:14">
      <c r="A103" s="8">
        <v>1005</v>
      </c>
      <c r="B103" s="9">
        <v>100504</v>
      </c>
      <c r="C103" s="9" t="s">
        <v>36</v>
      </c>
      <c r="D103" s="9">
        <v>600</v>
      </c>
      <c r="E103" s="9">
        <v>31100504</v>
      </c>
      <c r="F103" s="9">
        <v>31100101</v>
      </c>
      <c r="G103" s="10" t="s">
        <v>1416</v>
      </c>
      <c r="H103" s="10" t="s">
        <v>563</v>
      </c>
      <c r="I103" s="10" t="s">
        <v>1368</v>
      </c>
      <c r="J103" s="9">
        <v>96</v>
      </c>
      <c r="K103" s="10" t="s">
        <v>1417</v>
      </c>
      <c r="L103" s="10" t="s">
        <v>276</v>
      </c>
      <c r="M103" s="10" t="s">
        <v>1238</v>
      </c>
      <c r="N103" s="7"/>
    </row>
    <row r="104" s="1" customFormat="1" ht="28.5" customHeight="1" spans="1:14">
      <c r="A104" s="8">
        <v>1005</v>
      </c>
      <c r="B104" s="9">
        <v>100505</v>
      </c>
      <c r="C104" s="9" t="s">
        <v>36</v>
      </c>
      <c r="D104" s="9">
        <v>400</v>
      </c>
      <c r="E104" s="9">
        <v>31100505</v>
      </c>
      <c r="F104" s="9">
        <v>31100101</v>
      </c>
      <c r="G104" s="10" t="s">
        <v>1418</v>
      </c>
      <c r="H104" s="10" t="s">
        <v>563</v>
      </c>
      <c r="I104" s="10" t="s">
        <v>1371</v>
      </c>
      <c r="J104" s="9">
        <v>97</v>
      </c>
      <c r="K104" s="10" t="s">
        <v>1419</v>
      </c>
      <c r="L104" s="10" t="s">
        <v>276</v>
      </c>
      <c r="M104" s="10" t="s">
        <v>1238</v>
      </c>
      <c r="N104" s="7"/>
    </row>
    <row r="105" s="1" customFormat="1" ht="28.5" customHeight="1" spans="1:14">
      <c r="A105" s="8">
        <v>1005</v>
      </c>
      <c r="B105" s="9">
        <v>100506</v>
      </c>
      <c r="C105" s="9" t="s">
        <v>36</v>
      </c>
      <c r="D105" s="9">
        <v>200</v>
      </c>
      <c r="E105" s="9">
        <v>31100506</v>
      </c>
      <c r="F105" s="9">
        <v>31100101</v>
      </c>
      <c r="G105" s="10" t="s">
        <v>1420</v>
      </c>
      <c r="H105" s="10" t="s">
        <v>563</v>
      </c>
      <c r="I105" s="10" t="s">
        <v>1374</v>
      </c>
      <c r="J105" s="9">
        <v>98</v>
      </c>
      <c r="K105" s="10" t="s">
        <v>1421</v>
      </c>
      <c r="L105" s="10" t="s">
        <v>276</v>
      </c>
      <c r="M105" s="10" t="s">
        <v>1238</v>
      </c>
      <c r="N105" s="7"/>
    </row>
    <row r="106" s="1" customFormat="1" ht="28.5" customHeight="1" spans="1:14">
      <c r="A106" s="8">
        <v>1005</v>
      </c>
      <c r="B106" s="9">
        <v>100507</v>
      </c>
      <c r="C106" s="9" t="s">
        <v>36</v>
      </c>
      <c r="D106" s="9">
        <v>0</v>
      </c>
      <c r="E106" s="9">
        <v>31100507</v>
      </c>
      <c r="F106" s="9">
        <v>31100107</v>
      </c>
      <c r="G106" s="10" t="s">
        <v>1422</v>
      </c>
      <c r="H106" s="10" t="s">
        <v>563</v>
      </c>
      <c r="I106" s="10"/>
      <c r="J106" s="9">
        <v>99</v>
      </c>
      <c r="K106" s="10" t="s">
        <v>1423</v>
      </c>
      <c r="L106" s="10" t="s">
        <v>278</v>
      </c>
      <c r="M106" s="10" t="s">
        <v>1238</v>
      </c>
      <c r="N106" s="7"/>
    </row>
    <row r="107" s="1" customFormat="1" ht="28.5" customHeight="1" spans="1:14">
      <c r="A107" s="8">
        <v>1005</v>
      </c>
      <c r="B107" s="9">
        <v>100508</v>
      </c>
      <c r="C107" s="9" t="s">
        <v>36</v>
      </c>
      <c r="D107" s="9">
        <v>0</v>
      </c>
      <c r="E107" s="9">
        <v>31100508</v>
      </c>
      <c r="F107" s="9">
        <v>31100107</v>
      </c>
      <c r="G107" s="10" t="s">
        <v>1424</v>
      </c>
      <c r="H107" s="10" t="s">
        <v>563</v>
      </c>
      <c r="I107" s="10"/>
      <c r="J107" s="9">
        <v>100</v>
      </c>
      <c r="K107" s="10" t="s">
        <v>1425</v>
      </c>
      <c r="L107" s="10" t="s">
        <v>278</v>
      </c>
      <c r="M107" s="10" t="s">
        <v>1238</v>
      </c>
      <c r="N107" s="7"/>
    </row>
    <row r="108" s="1" customFormat="1" ht="28.5" customHeight="1" spans="1:14">
      <c r="A108" s="8">
        <v>1005</v>
      </c>
      <c r="B108" s="9">
        <v>100509</v>
      </c>
      <c r="C108" s="9" t="s">
        <v>36</v>
      </c>
      <c r="D108" s="9">
        <v>0</v>
      </c>
      <c r="E108" s="9">
        <v>31100509</v>
      </c>
      <c r="F108" s="9">
        <v>31100107</v>
      </c>
      <c r="G108" s="10" t="s">
        <v>1426</v>
      </c>
      <c r="H108" s="10" t="s">
        <v>563</v>
      </c>
      <c r="I108" s="10"/>
      <c r="J108" s="9">
        <v>101</v>
      </c>
      <c r="K108" s="10" t="s">
        <v>1427</v>
      </c>
      <c r="L108" s="10" t="s">
        <v>278</v>
      </c>
      <c r="M108" s="10" t="s">
        <v>1238</v>
      </c>
      <c r="N108" s="7"/>
    </row>
    <row r="109" s="1" customFormat="1" ht="28.5" customHeight="1" spans="1:14">
      <c r="A109" s="8">
        <v>1005</v>
      </c>
      <c r="B109" s="9">
        <v>100510</v>
      </c>
      <c r="C109" s="9" t="s">
        <v>36</v>
      </c>
      <c r="D109" s="9">
        <v>0</v>
      </c>
      <c r="E109" s="9">
        <v>31100510</v>
      </c>
      <c r="F109" s="9">
        <v>31100107</v>
      </c>
      <c r="G109" s="10" t="s">
        <v>1428</v>
      </c>
      <c r="H109" s="10" t="s">
        <v>563</v>
      </c>
      <c r="I109" s="10"/>
      <c r="J109" s="9">
        <v>102</v>
      </c>
      <c r="K109" s="10" t="s">
        <v>1429</v>
      </c>
      <c r="L109" s="10" t="s">
        <v>278</v>
      </c>
      <c r="M109" s="10" t="s">
        <v>1238</v>
      </c>
      <c r="N109" s="7"/>
    </row>
    <row r="110" s="1" customFormat="1" ht="28.5" customHeight="1" spans="1:14">
      <c r="A110" s="8">
        <v>1005</v>
      </c>
      <c r="B110" s="9">
        <v>100511</v>
      </c>
      <c r="C110" s="9" t="s">
        <v>36</v>
      </c>
      <c r="D110" s="9">
        <v>0</v>
      </c>
      <c r="E110" s="9">
        <v>31100511</v>
      </c>
      <c r="F110" s="9">
        <v>31100107</v>
      </c>
      <c r="G110" s="10" t="s">
        <v>1430</v>
      </c>
      <c r="H110" s="10" t="s">
        <v>563</v>
      </c>
      <c r="I110" s="10"/>
      <c r="J110" s="9">
        <v>103</v>
      </c>
      <c r="K110" s="10" t="s">
        <v>1431</v>
      </c>
      <c r="L110" s="10" t="s">
        <v>278</v>
      </c>
      <c r="M110" s="10" t="s">
        <v>1238</v>
      </c>
      <c r="N110" s="7"/>
    </row>
    <row r="111" s="1" customFormat="1" ht="28.5" customHeight="1" spans="1:14">
      <c r="A111" s="8">
        <v>1005</v>
      </c>
      <c r="B111" s="9">
        <v>100512</v>
      </c>
      <c r="C111" s="9" t="s">
        <v>36</v>
      </c>
      <c r="D111" s="9">
        <v>3000</v>
      </c>
      <c r="E111" s="9">
        <v>31100512</v>
      </c>
      <c r="F111" s="9">
        <v>31100112</v>
      </c>
      <c r="G111" s="10" t="s">
        <v>1432</v>
      </c>
      <c r="H111" s="10" t="s">
        <v>563</v>
      </c>
      <c r="I111" s="10"/>
      <c r="J111" s="9">
        <v>104</v>
      </c>
      <c r="K111" s="10" t="s">
        <v>1433</v>
      </c>
      <c r="L111" s="10" t="s">
        <v>275</v>
      </c>
      <c r="M111" s="10" t="s">
        <v>1238</v>
      </c>
      <c r="N111" s="7"/>
    </row>
    <row r="112" s="1" customFormat="1" ht="28.5" customHeight="1" spans="1:14">
      <c r="A112" s="8">
        <v>1005</v>
      </c>
      <c r="B112" s="9">
        <v>100513</v>
      </c>
      <c r="C112" s="9" t="s">
        <v>36</v>
      </c>
      <c r="D112" s="9">
        <v>2500</v>
      </c>
      <c r="E112" s="9">
        <v>31100513</v>
      </c>
      <c r="F112" s="9">
        <v>31100112</v>
      </c>
      <c r="G112" s="10" t="s">
        <v>1434</v>
      </c>
      <c r="H112" s="10" t="s">
        <v>563</v>
      </c>
      <c r="I112" s="10"/>
      <c r="J112" s="9">
        <v>105</v>
      </c>
      <c r="K112" s="10" t="s">
        <v>1435</v>
      </c>
      <c r="L112" s="10" t="s">
        <v>275</v>
      </c>
      <c r="M112" s="10" t="s">
        <v>1238</v>
      </c>
      <c r="N112" s="7"/>
    </row>
    <row r="113" s="1" customFormat="1" ht="28.5" customHeight="1" spans="1:14">
      <c r="A113" s="8">
        <v>1005</v>
      </c>
      <c r="B113" s="9">
        <v>100514</v>
      </c>
      <c r="C113" s="9" t="s">
        <v>36</v>
      </c>
      <c r="D113" s="9">
        <v>2000</v>
      </c>
      <c r="E113" s="9">
        <v>31100514</v>
      </c>
      <c r="F113" s="9">
        <v>31100112</v>
      </c>
      <c r="G113" s="10" t="s">
        <v>1436</v>
      </c>
      <c r="H113" s="10" t="s">
        <v>563</v>
      </c>
      <c r="I113" s="10"/>
      <c r="J113" s="9">
        <v>106</v>
      </c>
      <c r="K113" s="10" t="s">
        <v>1437</v>
      </c>
      <c r="L113" s="10" t="s">
        <v>275</v>
      </c>
      <c r="M113" s="10" t="s">
        <v>1238</v>
      </c>
      <c r="N113" s="7"/>
    </row>
    <row r="114" s="1" customFormat="1" ht="28.5" customHeight="1" spans="1:14">
      <c r="A114" s="8">
        <v>1005</v>
      </c>
      <c r="B114" s="9">
        <v>100515</v>
      </c>
      <c r="C114" s="9" t="s">
        <v>36</v>
      </c>
      <c r="D114" s="9">
        <v>1500</v>
      </c>
      <c r="E114" s="9">
        <v>31100515</v>
      </c>
      <c r="F114" s="9">
        <v>31100112</v>
      </c>
      <c r="G114" s="10" t="s">
        <v>1438</v>
      </c>
      <c r="H114" s="10" t="s">
        <v>563</v>
      </c>
      <c r="I114" s="10"/>
      <c r="J114" s="9">
        <v>107</v>
      </c>
      <c r="K114" s="10" t="s">
        <v>1439</v>
      </c>
      <c r="L114" s="10" t="s">
        <v>275</v>
      </c>
      <c r="M114" s="10" t="s">
        <v>1238</v>
      </c>
      <c r="N114" s="7"/>
    </row>
    <row r="115" s="1" customFormat="1" ht="28.5" customHeight="1" spans="1:14">
      <c r="A115" s="8">
        <v>1005</v>
      </c>
      <c r="B115" s="9">
        <v>100516</v>
      </c>
      <c r="C115" s="9" t="s">
        <v>36</v>
      </c>
      <c r="D115" s="9">
        <v>1000</v>
      </c>
      <c r="E115" s="9">
        <v>31100516</v>
      </c>
      <c r="F115" s="9">
        <v>31100112</v>
      </c>
      <c r="G115" s="10" t="s">
        <v>1440</v>
      </c>
      <c r="H115" s="10" t="s">
        <v>563</v>
      </c>
      <c r="I115" s="10"/>
      <c r="J115" s="9">
        <v>108</v>
      </c>
      <c r="K115" s="10" t="s">
        <v>1441</v>
      </c>
      <c r="L115" s="10" t="s">
        <v>275</v>
      </c>
      <c r="M115" s="10" t="s">
        <v>1238</v>
      </c>
      <c r="N115" s="7"/>
    </row>
    <row r="116" s="1" customFormat="1" ht="28.5" customHeight="1" spans="1:14">
      <c r="A116" s="8">
        <v>1005</v>
      </c>
      <c r="B116" s="9">
        <v>100517</v>
      </c>
      <c r="C116" s="9" t="s">
        <v>36</v>
      </c>
      <c r="D116" s="9">
        <v>2000</v>
      </c>
      <c r="E116" s="9">
        <v>31100517</v>
      </c>
      <c r="F116" s="9">
        <v>31100117</v>
      </c>
      <c r="G116" s="10" t="s">
        <v>1409</v>
      </c>
      <c r="H116" s="10" t="s">
        <v>563</v>
      </c>
      <c r="I116" s="10" t="s">
        <v>1410</v>
      </c>
      <c r="J116" s="9">
        <v>109</v>
      </c>
      <c r="K116" s="10" t="s">
        <v>1411</v>
      </c>
      <c r="L116" s="10" t="s">
        <v>279</v>
      </c>
      <c r="M116" s="10" t="s">
        <v>1238</v>
      </c>
      <c r="N116" s="7"/>
    </row>
    <row r="117" s="1" customFormat="1" ht="28.5" customHeight="1" spans="1:14">
      <c r="A117" s="8">
        <v>1005</v>
      </c>
      <c r="B117" s="9">
        <v>100518</v>
      </c>
      <c r="C117" s="9" t="s">
        <v>36</v>
      </c>
      <c r="D117" s="9">
        <v>1000</v>
      </c>
      <c r="E117" s="9">
        <v>31100518</v>
      </c>
      <c r="F117" s="9">
        <v>31100117</v>
      </c>
      <c r="G117" s="10" t="s">
        <v>1442</v>
      </c>
      <c r="H117" s="10" t="s">
        <v>563</v>
      </c>
      <c r="I117" s="10" t="s">
        <v>1443</v>
      </c>
      <c r="J117" s="9">
        <v>110</v>
      </c>
      <c r="K117" s="10" t="s">
        <v>1444</v>
      </c>
      <c r="L117" s="10" t="s">
        <v>279</v>
      </c>
      <c r="M117" s="10" t="s">
        <v>1238</v>
      </c>
      <c r="N117" s="7"/>
    </row>
    <row r="118" s="1" customFormat="1" ht="28.5" customHeight="1" spans="1:14">
      <c r="A118" s="8">
        <v>1005</v>
      </c>
      <c r="B118" s="9">
        <v>100519</v>
      </c>
      <c r="C118" s="9" t="s">
        <v>36</v>
      </c>
      <c r="D118" s="9">
        <v>800</v>
      </c>
      <c r="E118" s="9">
        <v>31100519</v>
      </c>
      <c r="F118" s="9">
        <v>31100117</v>
      </c>
      <c r="G118" s="10" t="s">
        <v>1445</v>
      </c>
      <c r="H118" s="10" t="s">
        <v>563</v>
      </c>
      <c r="I118" s="10" t="s">
        <v>1446</v>
      </c>
      <c r="J118" s="9">
        <v>111</v>
      </c>
      <c r="K118" s="10" t="s">
        <v>1447</v>
      </c>
      <c r="L118" s="10" t="s">
        <v>279</v>
      </c>
      <c r="M118" s="10" t="s">
        <v>1238</v>
      </c>
      <c r="N118" s="7"/>
    </row>
    <row r="119" s="1" customFormat="1" ht="28.5" customHeight="1" spans="1:14">
      <c r="A119" s="8">
        <v>1005</v>
      </c>
      <c r="B119" s="9">
        <v>100520</v>
      </c>
      <c r="C119" s="9" t="s">
        <v>36</v>
      </c>
      <c r="D119" s="9">
        <v>600</v>
      </c>
      <c r="E119" s="9">
        <v>31100520</v>
      </c>
      <c r="F119" s="9">
        <v>31100117</v>
      </c>
      <c r="G119" s="10" t="s">
        <v>1448</v>
      </c>
      <c r="H119" s="10" t="s">
        <v>563</v>
      </c>
      <c r="I119" s="10" t="s">
        <v>1449</v>
      </c>
      <c r="J119" s="9">
        <v>112</v>
      </c>
      <c r="K119" s="10" t="s">
        <v>1450</v>
      </c>
      <c r="L119" s="10" t="s">
        <v>279</v>
      </c>
      <c r="M119" s="10" t="s">
        <v>1238</v>
      </c>
      <c r="N119" s="7"/>
    </row>
    <row r="120" s="1" customFormat="1" ht="28.5" customHeight="1" spans="1:14">
      <c r="A120" s="8">
        <v>1005</v>
      </c>
      <c r="B120" s="9">
        <v>100521</v>
      </c>
      <c r="C120" s="9" t="s">
        <v>36</v>
      </c>
      <c r="D120" s="9">
        <v>400</v>
      </c>
      <c r="E120" s="9">
        <v>31100521</v>
      </c>
      <c r="F120" s="9">
        <v>31100117</v>
      </c>
      <c r="G120" s="10" t="s">
        <v>1451</v>
      </c>
      <c r="H120" s="10" t="s">
        <v>563</v>
      </c>
      <c r="I120" s="10" t="s">
        <v>1452</v>
      </c>
      <c r="J120" s="9">
        <v>113</v>
      </c>
      <c r="K120" s="10" t="s">
        <v>1453</v>
      </c>
      <c r="L120" s="10" t="s">
        <v>279</v>
      </c>
      <c r="M120" s="10" t="s">
        <v>1238</v>
      </c>
      <c r="N120" s="7"/>
    </row>
    <row r="121" s="1" customFormat="1" ht="28.5" customHeight="1" spans="1:14">
      <c r="A121" s="8">
        <v>1005</v>
      </c>
      <c r="B121" s="9">
        <v>100522</v>
      </c>
      <c r="C121" s="9" t="s">
        <v>36</v>
      </c>
      <c r="D121" s="9">
        <v>200</v>
      </c>
      <c r="E121" s="9">
        <v>31100522</v>
      </c>
      <c r="F121" s="9">
        <v>31100117</v>
      </c>
      <c r="G121" s="10" t="s">
        <v>1454</v>
      </c>
      <c r="H121" s="10" t="s">
        <v>563</v>
      </c>
      <c r="I121" s="10" t="s">
        <v>1455</v>
      </c>
      <c r="J121" s="9">
        <v>114</v>
      </c>
      <c r="K121" s="10" t="s">
        <v>1456</v>
      </c>
      <c r="L121" s="10" t="s">
        <v>279</v>
      </c>
      <c r="M121" s="10" t="s">
        <v>1238</v>
      </c>
      <c r="N121" s="7"/>
    </row>
    <row r="122" s="1" customFormat="1" ht="28.5" customHeight="1" spans="1:14">
      <c r="A122" s="8"/>
      <c r="B122" s="9"/>
      <c r="C122" s="9"/>
      <c r="D122" s="9"/>
      <c r="E122" s="9"/>
      <c r="F122" s="9"/>
      <c r="G122" s="10"/>
      <c r="H122" s="10"/>
      <c r="I122" s="10" t="s">
        <v>1289</v>
      </c>
      <c r="J122" s="9">
        <v>115</v>
      </c>
      <c r="K122" s="10" t="s">
        <v>1289</v>
      </c>
      <c r="L122" s="10"/>
      <c r="M122" s="10" t="s">
        <v>1290</v>
      </c>
      <c r="N122" s="7"/>
    </row>
    <row r="123" s="1" customFormat="1" ht="28.5" customHeight="1" spans="1:14">
      <c r="A123" s="8">
        <v>2001</v>
      </c>
      <c r="B123" s="9">
        <v>200101</v>
      </c>
      <c r="C123" s="9" t="s">
        <v>32</v>
      </c>
      <c r="D123" s="9">
        <v>2000</v>
      </c>
      <c r="E123" s="9">
        <v>31200101</v>
      </c>
      <c r="F123" s="9">
        <v>31200101</v>
      </c>
      <c r="G123" s="10" t="s">
        <v>1235</v>
      </c>
      <c r="H123" s="10" t="s">
        <v>563</v>
      </c>
      <c r="I123" s="10" t="s">
        <v>1236</v>
      </c>
      <c r="J123" s="9">
        <v>116</v>
      </c>
      <c r="K123" s="10" t="s">
        <v>1237</v>
      </c>
      <c r="L123" s="10" t="s">
        <v>221</v>
      </c>
      <c r="M123" s="10" t="s">
        <v>1238</v>
      </c>
      <c r="N123" s="7"/>
    </row>
    <row r="124" s="1" customFormat="1" ht="28.5" customHeight="1" spans="1:14">
      <c r="A124" s="8">
        <v>2001</v>
      </c>
      <c r="B124" s="9">
        <v>200102</v>
      </c>
      <c r="C124" s="9" t="s">
        <v>32</v>
      </c>
      <c r="D124" s="9">
        <v>1000</v>
      </c>
      <c r="E124" s="9">
        <v>31200102</v>
      </c>
      <c r="F124" s="9">
        <v>31200101</v>
      </c>
      <c r="G124" s="10" t="s">
        <v>1239</v>
      </c>
      <c r="H124" s="10" t="s">
        <v>563</v>
      </c>
      <c r="I124" s="10" t="s">
        <v>1240</v>
      </c>
      <c r="J124" s="9">
        <v>117</v>
      </c>
      <c r="K124" s="10" t="s">
        <v>1241</v>
      </c>
      <c r="L124" s="10" t="s">
        <v>221</v>
      </c>
      <c r="M124" s="10" t="s">
        <v>1238</v>
      </c>
      <c r="N124" s="7"/>
    </row>
    <row r="125" s="1" customFormat="1" ht="28.5" customHeight="1" spans="1:14">
      <c r="A125" s="8">
        <v>2001</v>
      </c>
      <c r="B125" s="9">
        <v>200103</v>
      </c>
      <c r="C125" s="9" t="s">
        <v>32</v>
      </c>
      <c r="D125" s="9">
        <v>800</v>
      </c>
      <c r="E125" s="9">
        <v>31200103</v>
      </c>
      <c r="F125" s="9">
        <v>31200101</v>
      </c>
      <c r="G125" s="10" t="s">
        <v>1242</v>
      </c>
      <c r="H125" s="10" t="s">
        <v>563</v>
      </c>
      <c r="I125" s="10" t="s">
        <v>1243</v>
      </c>
      <c r="J125" s="9">
        <v>118</v>
      </c>
      <c r="K125" s="10" t="s">
        <v>1244</v>
      </c>
      <c r="L125" s="10" t="s">
        <v>221</v>
      </c>
      <c r="M125" s="10" t="s">
        <v>1238</v>
      </c>
      <c r="N125" s="7"/>
    </row>
    <row r="126" s="1" customFormat="1" ht="28.5" customHeight="1" spans="1:14">
      <c r="A126" s="8">
        <v>2001</v>
      </c>
      <c r="B126" s="9">
        <v>200104</v>
      </c>
      <c r="C126" s="9" t="s">
        <v>32</v>
      </c>
      <c r="D126" s="9">
        <v>600</v>
      </c>
      <c r="E126" s="9">
        <v>31200104</v>
      </c>
      <c r="F126" s="9">
        <v>31200101</v>
      </c>
      <c r="G126" s="10" t="s">
        <v>1245</v>
      </c>
      <c r="H126" s="10" t="s">
        <v>563</v>
      </c>
      <c r="I126" s="10" t="s">
        <v>1246</v>
      </c>
      <c r="J126" s="9">
        <v>119</v>
      </c>
      <c r="K126" s="10" t="s">
        <v>1247</v>
      </c>
      <c r="L126" s="10" t="s">
        <v>221</v>
      </c>
      <c r="M126" s="10" t="s">
        <v>1238</v>
      </c>
      <c r="N126" s="7"/>
    </row>
    <row r="127" s="1" customFormat="1" ht="28.5" customHeight="1" spans="1:14">
      <c r="A127" s="8">
        <v>2001</v>
      </c>
      <c r="B127" s="9">
        <v>200105</v>
      </c>
      <c r="C127" s="9" t="s">
        <v>32</v>
      </c>
      <c r="D127" s="9">
        <v>400</v>
      </c>
      <c r="E127" s="9">
        <v>31200105</v>
      </c>
      <c r="F127" s="9">
        <v>31200101</v>
      </c>
      <c r="G127" s="10" t="s">
        <v>1248</v>
      </c>
      <c r="H127" s="10" t="s">
        <v>563</v>
      </c>
      <c r="I127" s="10" t="s">
        <v>1249</v>
      </c>
      <c r="J127" s="9">
        <v>120</v>
      </c>
      <c r="K127" s="10" t="s">
        <v>1250</v>
      </c>
      <c r="L127" s="10" t="s">
        <v>221</v>
      </c>
      <c r="M127" s="10" t="s">
        <v>1238</v>
      </c>
      <c r="N127" s="7"/>
    </row>
    <row r="128" s="1" customFormat="1" ht="28.5" customHeight="1" spans="1:14">
      <c r="A128" s="8">
        <v>2001</v>
      </c>
      <c r="B128" s="9">
        <v>200106</v>
      </c>
      <c r="C128" s="9" t="s">
        <v>32</v>
      </c>
      <c r="D128" s="9">
        <v>200</v>
      </c>
      <c r="E128" s="9">
        <v>31200106</v>
      </c>
      <c r="F128" s="9">
        <v>31200101</v>
      </c>
      <c r="G128" s="10" t="s">
        <v>1248</v>
      </c>
      <c r="H128" s="10" t="s">
        <v>563</v>
      </c>
      <c r="I128" s="10" t="s">
        <v>1249</v>
      </c>
      <c r="J128" s="9">
        <v>121</v>
      </c>
      <c r="K128" s="10" t="s">
        <v>1250</v>
      </c>
      <c r="L128" s="10" t="s">
        <v>221</v>
      </c>
      <c r="M128" s="10" t="s">
        <v>1238</v>
      </c>
      <c r="N128" s="7"/>
    </row>
    <row r="129" s="1" customFormat="1" ht="28.5" customHeight="1" spans="1:14">
      <c r="A129" s="8">
        <v>2001</v>
      </c>
      <c r="B129" s="9">
        <v>200107</v>
      </c>
      <c r="C129" s="9" t="s">
        <v>32</v>
      </c>
      <c r="D129" s="9">
        <v>0</v>
      </c>
      <c r="E129" s="9">
        <v>31200107</v>
      </c>
      <c r="F129" s="9">
        <v>31200107</v>
      </c>
      <c r="G129" s="10" t="s">
        <v>1457</v>
      </c>
      <c r="H129" s="10" t="s">
        <v>563</v>
      </c>
      <c r="I129" s="10"/>
      <c r="J129" s="9">
        <v>122</v>
      </c>
      <c r="K129" s="10" t="s">
        <v>1458</v>
      </c>
      <c r="L129" s="10" t="s">
        <v>288</v>
      </c>
      <c r="M129" s="10" t="s">
        <v>1238</v>
      </c>
      <c r="N129" s="7"/>
    </row>
    <row r="130" s="1" customFormat="1" ht="28.5" customHeight="1" spans="1:14">
      <c r="A130" s="8">
        <v>2001</v>
      </c>
      <c r="B130" s="9">
        <v>200108</v>
      </c>
      <c r="C130" s="9" t="s">
        <v>32</v>
      </c>
      <c r="D130" s="9">
        <v>0</v>
      </c>
      <c r="E130" s="9">
        <v>31200108</v>
      </c>
      <c r="F130" s="9">
        <v>31200107</v>
      </c>
      <c r="G130" s="10" t="s">
        <v>1459</v>
      </c>
      <c r="H130" s="10" t="s">
        <v>563</v>
      </c>
      <c r="I130" s="10"/>
      <c r="J130" s="9">
        <v>123</v>
      </c>
      <c r="K130" s="10" t="s">
        <v>1460</v>
      </c>
      <c r="L130" s="10" t="s">
        <v>288</v>
      </c>
      <c r="M130" s="10" t="s">
        <v>1238</v>
      </c>
      <c r="N130" s="7"/>
    </row>
    <row r="131" s="1" customFormat="1" ht="28.5" customHeight="1" spans="1:14">
      <c r="A131" s="8">
        <v>2001</v>
      </c>
      <c r="B131" s="9">
        <v>200109</v>
      </c>
      <c r="C131" s="9" t="s">
        <v>32</v>
      </c>
      <c r="D131" s="9">
        <v>0</v>
      </c>
      <c r="E131" s="9">
        <v>31200109</v>
      </c>
      <c r="F131" s="9">
        <v>31200107</v>
      </c>
      <c r="G131" s="10" t="s">
        <v>1461</v>
      </c>
      <c r="H131" s="10" t="s">
        <v>563</v>
      </c>
      <c r="I131" s="10"/>
      <c r="J131" s="9">
        <v>124</v>
      </c>
      <c r="K131" s="10" t="s">
        <v>1462</v>
      </c>
      <c r="L131" s="10" t="s">
        <v>288</v>
      </c>
      <c r="M131" s="10" t="s">
        <v>1238</v>
      </c>
      <c r="N131" s="7"/>
    </row>
    <row r="132" s="1" customFormat="1" ht="28.5" customHeight="1" spans="1:14">
      <c r="A132" s="8">
        <v>2001</v>
      </c>
      <c r="B132" s="9">
        <v>200110</v>
      </c>
      <c r="C132" s="9" t="s">
        <v>32</v>
      </c>
      <c r="D132" s="9">
        <v>0</v>
      </c>
      <c r="E132" s="9">
        <v>31200110</v>
      </c>
      <c r="F132" s="9">
        <v>31200107</v>
      </c>
      <c r="G132" s="10" t="s">
        <v>1463</v>
      </c>
      <c r="H132" s="10" t="s">
        <v>563</v>
      </c>
      <c r="I132" s="10"/>
      <c r="J132" s="9">
        <v>125</v>
      </c>
      <c r="K132" s="10" t="s">
        <v>1464</v>
      </c>
      <c r="L132" s="10" t="s">
        <v>288</v>
      </c>
      <c r="M132" s="10" t="s">
        <v>1238</v>
      </c>
      <c r="N132" s="7"/>
    </row>
    <row r="133" s="1" customFormat="1" ht="28.5" customHeight="1" spans="1:14">
      <c r="A133" s="8">
        <v>2001</v>
      </c>
      <c r="B133" s="9">
        <v>200111</v>
      </c>
      <c r="C133" s="9" t="s">
        <v>32</v>
      </c>
      <c r="D133" s="9">
        <v>0</v>
      </c>
      <c r="E133" s="9">
        <v>31200111</v>
      </c>
      <c r="F133" s="9">
        <v>31200107</v>
      </c>
      <c r="G133" s="10" t="s">
        <v>1465</v>
      </c>
      <c r="H133" s="10" t="s">
        <v>563</v>
      </c>
      <c r="I133" s="10"/>
      <c r="J133" s="9">
        <v>126</v>
      </c>
      <c r="K133" s="10" t="s">
        <v>1466</v>
      </c>
      <c r="L133" s="10" t="s">
        <v>288</v>
      </c>
      <c r="M133" s="10" t="s">
        <v>1238</v>
      </c>
      <c r="N133" s="7"/>
    </row>
    <row r="134" s="1" customFormat="1" ht="28.5" customHeight="1" spans="1:14">
      <c r="A134" s="8">
        <v>2001</v>
      </c>
      <c r="B134" s="9">
        <v>200112</v>
      </c>
      <c r="C134" s="9" t="s">
        <v>32</v>
      </c>
      <c r="D134" s="9">
        <v>3000</v>
      </c>
      <c r="E134" s="9">
        <v>31200112</v>
      </c>
      <c r="F134" s="9">
        <v>31200112</v>
      </c>
      <c r="G134" s="10" t="s">
        <v>1261</v>
      </c>
      <c r="H134" s="10" t="s">
        <v>563</v>
      </c>
      <c r="I134" s="10"/>
      <c r="J134" s="9">
        <v>127</v>
      </c>
      <c r="K134" s="10" t="s">
        <v>1262</v>
      </c>
      <c r="L134" s="10" t="s">
        <v>218</v>
      </c>
      <c r="M134" s="10" t="s">
        <v>1238</v>
      </c>
      <c r="N134" s="7"/>
    </row>
    <row r="135" s="1" customFormat="1" ht="28.5" customHeight="1" spans="1:14">
      <c r="A135" s="8">
        <v>2001</v>
      </c>
      <c r="B135" s="9">
        <v>200113</v>
      </c>
      <c r="C135" s="9" t="s">
        <v>32</v>
      </c>
      <c r="D135" s="9">
        <v>2500</v>
      </c>
      <c r="E135" s="9">
        <v>31200113</v>
      </c>
      <c r="F135" s="9">
        <v>31200112</v>
      </c>
      <c r="G135" s="10" t="s">
        <v>1263</v>
      </c>
      <c r="H135" s="10" t="s">
        <v>563</v>
      </c>
      <c r="I135" s="10"/>
      <c r="J135" s="9">
        <v>128</v>
      </c>
      <c r="K135" s="10" t="s">
        <v>1264</v>
      </c>
      <c r="L135" s="10" t="s">
        <v>218</v>
      </c>
      <c r="M135" s="10" t="s">
        <v>1238</v>
      </c>
      <c r="N135" s="7"/>
    </row>
    <row r="136" s="1" customFormat="1" ht="28.5" customHeight="1" spans="1:14">
      <c r="A136" s="8">
        <v>2001</v>
      </c>
      <c r="B136" s="9">
        <v>200114</v>
      </c>
      <c r="C136" s="9" t="s">
        <v>32</v>
      </c>
      <c r="D136" s="9">
        <v>2000</v>
      </c>
      <c r="E136" s="9">
        <v>31200114</v>
      </c>
      <c r="F136" s="9">
        <v>31200112</v>
      </c>
      <c r="G136" s="10" t="s">
        <v>1265</v>
      </c>
      <c r="H136" s="10" t="s">
        <v>563</v>
      </c>
      <c r="I136" s="10"/>
      <c r="J136" s="9">
        <v>129</v>
      </c>
      <c r="K136" s="10" t="s">
        <v>1266</v>
      </c>
      <c r="L136" s="10" t="s">
        <v>218</v>
      </c>
      <c r="M136" s="10" t="s">
        <v>1238</v>
      </c>
      <c r="N136" s="7"/>
    </row>
    <row r="137" s="1" customFormat="1" ht="28.5" customHeight="1" spans="1:14">
      <c r="A137" s="8">
        <v>2001</v>
      </c>
      <c r="B137" s="9">
        <v>200115</v>
      </c>
      <c r="C137" s="9" t="s">
        <v>32</v>
      </c>
      <c r="D137" s="9">
        <v>1500</v>
      </c>
      <c r="E137" s="9">
        <v>31200115</v>
      </c>
      <c r="F137" s="9">
        <v>31200112</v>
      </c>
      <c r="G137" s="10" t="s">
        <v>1267</v>
      </c>
      <c r="H137" s="10" t="s">
        <v>563</v>
      </c>
      <c r="I137" s="10"/>
      <c r="J137" s="9">
        <v>130</v>
      </c>
      <c r="K137" s="10" t="s">
        <v>1268</v>
      </c>
      <c r="L137" s="10" t="s">
        <v>218</v>
      </c>
      <c r="M137" s="10" t="s">
        <v>1238</v>
      </c>
      <c r="N137" s="7"/>
    </row>
    <row r="138" s="1" customFormat="1" ht="28.5" customHeight="1" spans="1:14">
      <c r="A138" s="8">
        <v>2001</v>
      </c>
      <c r="B138" s="9">
        <v>200116</v>
      </c>
      <c r="C138" s="9" t="s">
        <v>32</v>
      </c>
      <c r="D138" s="9">
        <v>1000</v>
      </c>
      <c r="E138" s="9">
        <v>31200116</v>
      </c>
      <c r="F138" s="9">
        <v>31200112</v>
      </c>
      <c r="G138" s="10" t="s">
        <v>1269</v>
      </c>
      <c r="H138" s="10" t="s">
        <v>563</v>
      </c>
      <c r="I138" s="10"/>
      <c r="J138" s="9">
        <v>131</v>
      </c>
      <c r="K138" s="10" t="s">
        <v>1270</v>
      </c>
      <c r="L138" s="10" t="s">
        <v>218</v>
      </c>
      <c r="M138" s="10" t="s">
        <v>1238</v>
      </c>
      <c r="N138" s="7"/>
    </row>
    <row r="139" s="1" customFormat="1" ht="28.5" customHeight="1" spans="1:14">
      <c r="A139" s="8">
        <v>2001</v>
      </c>
      <c r="B139" s="9">
        <v>200117</v>
      </c>
      <c r="C139" s="9" t="s">
        <v>32</v>
      </c>
      <c r="D139" s="9">
        <v>2000</v>
      </c>
      <c r="E139" s="9">
        <v>31200117</v>
      </c>
      <c r="F139" s="9">
        <v>31200117</v>
      </c>
      <c r="G139" s="10" t="s">
        <v>1467</v>
      </c>
      <c r="H139" s="10" t="s">
        <v>563</v>
      </c>
      <c r="I139" s="10" t="s">
        <v>1272</v>
      </c>
      <c r="J139" s="9">
        <v>132</v>
      </c>
      <c r="K139" s="10" t="s">
        <v>1468</v>
      </c>
      <c r="L139" s="10" t="s">
        <v>291</v>
      </c>
      <c r="M139" s="10" t="s">
        <v>1238</v>
      </c>
      <c r="N139" s="7"/>
    </row>
    <row r="140" s="1" customFormat="1" ht="28.5" customHeight="1" spans="1:14">
      <c r="A140" s="8">
        <v>2001</v>
      </c>
      <c r="B140" s="9">
        <v>200118</v>
      </c>
      <c r="C140" s="9" t="s">
        <v>32</v>
      </c>
      <c r="D140" s="9">
        <v>1000</v>
      </c>
      <c r="E140" s="9">
        <v>31200118</v>
      </c>
      <c r="F140" s="9">
        <v>31200117</v>
      </c>
      <c r="G140" s="10" t="s">
        <v>1469</v>
      </c>
      <c r="H140" s="10" t="s">
        <v>563</v>
      </c>
      <c r="I140" s="10" t="s">
        <v>1275</v>
      </c>
      <c r="J140" s="9">
        <v>133</v>
      </c>
      <c r="K140" s="10" t="s">
        <v>1470</v>
      </c>
      <c r="L140" s="10" t="s">
        <v>291</v>
      </c>
      <c r="M140" s="10" t="s">
        <v>1238</v>
      </c>
      <c r="N140" s="7"/>
    </row>
    <row r="141" s="1" customFormat="1" ht="28.5" customHeight="1" spans="1:14">
      <c r="A141" s="8">
        <v>2001</v>
      </c>
      <c r="B141" s="9">
        <v>200119</v>
      </c>
      <c r="C141" s="9" t="s">
        <v>32</v>
      </c>
      <c r="D141" s="9">
        <v>800</v>
      </c>
      <c r="E141" s="9">
        <v>31200119</v>
      </c>
      <c r="F141" s="9">
        <v>31200117</v>
      </c>
      <c r="G141" s="10" t="s">
        <v>1471</v>
      </c>
      <c r="H141" s="10" t="s">
        <v>563</v>
      </c>
      <c r="I141" s="10" t="s">
        <v>1278</v>
      </c>
      <c r="J141" s="9">
        <v>134</v>
      </c>
      <c r="K141" s="10" t="s">
        <v>1472</v>
      </c>
      <c r="L141" s="10" t="s">
        <v>291</v>
      </c>
      <c r="M141" s="10" t="s">
        <v>1238</v>
      </c>
      <c r="N141" s="7"/>
    </row>
    <row r="142" s="1" customFormat="1" ht="28.5" customHeight="1" spans="1:14">
      <c r="A142" s="8">
        <v>2001</v>
      </c>
      <c r="B142" s="9">
        <v>200120</v>
      </c>
      <c r="C142" s="9" t="s">
        <v>32</v>
      </c>
      <c r="D142" s="9">
        <v>600</v>
      </c>
      <c r="E142" s="9">
        <v>31200120</v>
      </c>
      <c r="F142" s="9">
        <v>31200117</v>
      </c>
      <c r="G142" s="10" t="s">
        <v>1473</v>
      </c>
      <c r="H142" s="10" t="s">
        <v>563</v>
      </c>
      <c r="I142" s="10" t="s">
        <v>1281</v>
      </c>
      <c r="J142" s="9">
        <v>135</v>
      </c>
      <c r="K142" s="10" t="s">
        <v>1474</v>
      </c>
      <c r="L142" s="10" t="s">
        <v>291</v>
      </c>
      <c r="M142" s="10" t="s">
        <v>1238</v>
      </c>
      <c r="N142" s="7"/>
    </row>
    <row r="143" s="1" customFormat="1" ht="28.5" customHeight="1" spans="1:14">
      <c r="A143" s="8">
        <v>2001</v>
      </c>
      <c r="B143" s="9">
        <v>200121</v>
      </c>
      <c r="C143" s="9" t="s">
        <v>32</v>
      </c>
      <c r="D143" s="9">
        <v>400</v>
      </c>
      <c r="E143" s="9">
        <v>31200121</v>
      </c>
      <c r="F143" s="9">
        <v>31200117</v>
      </c>
      <c r="G143" s="10" t="s">
        <v>1475</v>
      </c>
      <c r="H143" s="10" t="s">
        <v>563</v>
      </c>
      <c r="I143" s="10" t="s">
        <v>1284</v>
      </c>
      <c r="J143" s="9">
        <v>136</v>
      </c>
      <c r="K143" s="10" t="s">
        <v>1476</v>
      </c>
      <c r="L143" s="10" t="s">
        <v>291</v>
      </c>
      <c r="M143" s="10" t="s">
        <v>1238</v>
      </c>
      <c r="N143" s="7"/>
    </row>
    <row r="144" s="1" customFormat="1" ht="28.5" customHeight="1" spans="1:14">
      <c r="A144" s="8">
        <v>2001</v>
      </c>
      <c r="B144" s="9">
        <v>200122</v>
      </c>
      <c r="C144" s="9" t="s">
        <v>32</v>
      </c>
      <c r="D144" s="9">
        <v>200</v>
      </c>
      <c r="E144" s="9">
        <v>31200122</v>
      </c>
      <c r="F144" s="9">
        <v>31200117</v>
      </c>
      <c r="G144" s="10" t="s">
        <v>1477</v>
      </c>
      <c r="H144" s="10" t="s">
        <v>563</v>
      </c>
      <c r="I144" s="10" t="s">
        <v>1287</v>
      </c>
      <c r="J144" s="9">
        <v>137</v>
      </c>
      <c r="K144" s="10" t="s">
        <v>1478</v>
      </c>
      <c r="L144" s="10" t="s">
        <v>291</v>
      </c>
      <c r="M144" s="10" t="s">
        <v>1238</v>
      </c>
      <c r="N144" s="7"/>
    </row>
    <row r="145" s="1" customFormat="1" ht="28.5" customHeight="1" spans="1:14">
      <c r="A145" s="8"/>
      <c r="B145" s="9"/>
      <c r="C145" s="9"/>
      <c r="D145" s="9"/>
      <c r="E145" s="9"/>
      <c r="F145" s="9"/>
      <c r="G145" s="10"/>
      <c r="H145" s="10"/>
      <c r="I145" s="10" t="s">
        <v>1289</v>
      </c>
      <c r="J145" s="9">
        <v>138</v>
      </c>
      <c r="K145" s="10" t="s">
        <v>1289</v>
      </c>
      <c r="L145" s="10"/>
      <c r="M145" s="10" t="s">
        <v>1290</v>
      </c>
      <c r="N145" s="7"/>
    </row>
    <row r="146" s="1" customFormat="1" ht="28.5" customHeight="1" spans="1:14">
      <c r="A146" s="8">
        <v>2002</v>
      </c>
      <c r="B146" s="9">
        <v>200201</v>
      </c>
      <c r="C146" s="9" t="s">
        <v>33</v>
      </c>
      <c r="D146" s="9">
        <v>2000</v>
      </c>
      <c r="E146" s="9">
        <v>31200201</v>
      </c>
      <c r="F146" s="9">
        <v>31200101</v>
      </c>
      <c r="G146" s="10" t="s">
        <v>1291</v>
      </c>
      <c r="H146" s="10" t="s">
        <v>563</v>
      </c>
      <c r="I146" s="10" t="s">
        <v>1272</v>
      </c>
      <c r="J146" s="9">
        <v>139</v>
      </c>
      <c r="K146" s="10" t="s">
        <v>1292</v>
      </c>
      <c r="L146" s="10" t="s">
        <v>252</v>
      </c>
      <c r="M146" s="10" t="s">
        <v>1238</v>
      </c>
      <c r="N146" s="7"/>
    </row>
    <row r="147" s="1" customFormat="1" ht="28.5" customHeight="1" spans="1:14">
      <c r="A147" s="8">
        <v>2002</v>
      </c>
      <c r="B147" s="9">
        <v>200202</v>
      </c>
      <c r="C147" s="9" t="s">
        <v>33</v>
      </c>
      <c r="D147" s="9">
        <v>1000</v>
      </c>
      <c r="E147" s="9">
        <v>31200202</v>
      </c>
      <c r="F147" s="9">
        <v>31200101</v>
      </c>
      <c r="G147" s="10" t="s">
        <v>1293</v>
      </c>
      <c r="H147" s="10" t="s">
        <v>563</v>
      </c>
      <c r="I147" s="10" t="s">
        <v>1275</v>
      </c>
      <c r="J147" s="9">
        <v>140</v>
      </c>
      <c r="K147" s="10" t="s">
        <v>1294</v>
      </c>
      <c r="L147" s="10" t="s">
        <v>252</v>
      </c>
      <c r="M147" s="10" t="s">
        <v>1238</v>
      </c>
      <c r="N147" s="7"/>
    </row>
    <row r="148" s="1" customFormat="1" ht="28.5" customHeight="1" spans="1:14">
      <c r="A148" s="8">
        <v>2002</v>
      </c>
      <c r="B148" s="9">
        <v>200203</v>
      </c>
      <c r="C148" s="9" t="s">
        <v>33</v>
      </c>
      <c r="D148" s="9">
        <v>800</v>
      </c>
      <c r="E148" s="9">
        <v>31200203</v>
      </c>
      <c r="F148" s="9">
        <v>31200101</v>
      </c>
      <c r="G148" s="10" t="s">
        <v>1295</v>
      </c>
      <c r="H148" s="10" t="s">
        <v>563</v>
      </c>
      <c r="I148" s="10" t="s">
        <v>1278</v>
      </c>
      <c r="J148" s="9">
        <v>141</v>
      </c>
      <c r="K148" s="10" t="s">
        <v>1296</v>
      </c>
      <c r="L148" s="10" t="s">
        <v>252</v>
      </c>
      <c r="M148" s="10" t="s">
        <v>1238</v>
      </c>
      <c r="N148" s="7"/>
    </row>
    <row r="149" s="1" customFormat="1" ht="28.5" customHeight="1" spans="1:14">
      <c r="A149" s="8">
        <v>2002</v>
      </c>
      <c r="B149" s="9">
        <v>200204</v>
      </c>
      <c r="C149" s="9" t="s">
        <v>33</v>
      </c>
      <c r="D149" s="9">
        <v>600</v>
      </c>
      <c r="E149" s="9">
        <v>31200204</v>
      </c>
      <c r="F149" s="9">
        <v>31200101</v>
      </c>
      <c r="G149" s="10" t="s">
        <v>1297</v>
      </c>
      <c r="H149" s="10" t="s">
        <v>563</v>
      </c>
      <c r="I149" s="10" t="s">
        <v>1281</v>
      </c>
      <c r="J149" s="9">
        <v>142</v>
      </c>
      <c r="K149" s="10" t="s">
        <v>1298</v>
      </c>
      <c r="L149" s="10" t="s">
        <v>252</v>
      </c>
      <c r="M149" s="10" t="s">
        <v>1238</v>
      </c>
      <c r="N149" s="7"/>
    </row>
    <row r="150" s="1" customFormat="1" ht="28.5" customHeight="1" spans="1:14">
      <c r="A150" s="8">
        <v>2002</v>
      </c>
      <c r="B150" s="9">
        <v>200205</v>
      </c>
      <c r="C150" s="9" t="s">
        <v>33</v>
      </c>
      <c r="D150" s="9">
        <v>400</v>
      </c>
      <c r="E150" s="9">
        <v>31200205</v>
      </c>
      <c r="F150" s="9">
        <v>31200101</v>
      </c>
      <c r="G150" s="10" t="s">
        <v>1299</v>
      </c>
      <c r="H150" s="10" t="s">
        <v>563</v>
      </c>
      <c r="I150" s="10" t="s">
        <v>1284</v>
      </c>
      <c r="J150" s="9">
        <v>143</v>
      </c>
      <c r="K150" s="10" t="s">
        <v>1300</v>
      </c>
      <c r="L150" s="10" t="s">
        <v>252</v>
      </c>
      <c r="M150" s="10" t="s">
        <v>1238</v>
      </c>
      <c r="N150" s="7"/>
    </row>
    <row r="151" s="1" customFormat="1" ht="28.5" customHeight="1" spans="1:14">
      <c r="A151" s="8">
        <v>2002</v>
      </c>
      <c r="B151" s="9">
        <v>200206</v>
      </c>
      <c r="C151" s="9" t="s">
        <v>33</v>
      </c>
      <c r="D151" s="9">
        <v>200</v>
      </c>
      <c r="E151" s="9">
        <v>31200206</v>
      </c>
      <c r="F151" s="9">
        <v>31200101</v>
      </c>
      <c r="G151" s="10" t="s">
        <v>1301</v>
      </c>
      <c r="H151" s="10" t="s">
        <v>563</v>
      </c>
      <c r="I151" s="10" t="s">
        <v>1287</v>
      </c>
      <c r="J151" s="9">
        <v>144</v>
      </c>
      <c r="K151" s="10" t="s">
        <v>1302</v>
      </c>
      <c r="L151" s="10" t="s">
        <v>252</v>
      </c>
      <c r="M151" s="10" t="s">
        <v>1238</v>
      </c>
      <c r="N151" s="7"/>
    </row>
    <row r="152" s="1" customFormat="1" ht="28.5" customHeight="1" spans="1:14">
      <c r="A152" s="8">
        <v>2002</v>
      </c>
      <c r="B152" s="9">
        <v>200207</v>
      </c>
      <c r="C152" s="9" t="s">
        <v>33</v>
      </c>
      <c r="D152" s="9">
        <v>0</v>
      </c>
      <c r="E152" s="9">
        <v>31200207</v>
      </c>
      <c r="F152" s="9">
        <v>31200107</v>
      </c>
      <c r="G152" s="10" t="s">
        <v>1479</v>
      </c>
      <c r="H152" s="10" t="s">
        <v>563</v>
      </c>
      <c r="I152" s="10"/>
      <c r="J152" s="9">
        <v>145</v>
      </c>
      <c r="K152" s="10" t="s">
        <v>1480</v>
      </c>
      <c r="L152" s="10" t="s">
        <v>299</v>
      </c>
      <c r="M152" s="10" t="s">
        <v>1238</v>
      </c>
      <c r="N152" s="7"/>
    </row>
    <row r="153" s="1" customFormat="1" ht="28.5" customHeight="1" spans="1:14">
      <c r="A153" s="8">
        <v>2002</v>
      </c>
      <c r="B153" s="9">
        <v>200208</v>
      </c>
      <c r="C153" s="9" t="s">
        <v>33</v>
      </c>
      <c r="D153" s="9">
        <v>0</v>
      </c>
      <c r="E153" s="9">
        <v>31200208</v>
      </c>
      <c r="F153" s="9">
        <v>31200107</v>
      </c>
      <c r="G153" s="10" t="s">
        <v>1481</v>
      </c>
      <c r="H153" s="10" t="s">
        <v>563</v>
      </c>
      <c r="I153" s="10"/>
      <c r="J153" s="9">
        <v>146</v>
      </c>
      <c r="K153" s="10" t="s">
        <v>1482</v>
      </c>
      <c r="L153" s="10" t="s">
        <v>299</v>
      </c>
      <c r="M153" s="10" t="s">
        <v>1238</v>
      </c>
      <c r="N153" s="7"/>
    </row>
    <row r="154" s="1" customFormat="1" ht="28.5" customHeight="1" spans="1:14">
      <c r="A154" s="8">
        <v>2002</v>
      </c>
      <c r="B154" s="9">
        <v>200209</v>
      </c>
      <c r="C154" s="9" t="s">
        <v>33</v>
      </c>
      <c r="D154" s="9">
        <v>0</v>
      </c>
      <c r="E154" s="9">
        <v>31200209</v>
      </c>
      <c r="F154" s="9">
        <v>31200107</v>
      </c>
      <c r="G154" s="10" t="s">
        <v>1483</v>
      </c>
      <c r="H154" s="10" t="s">
        <v>563</v>
      </c>
      <c r="I154" s="10"/>
      <c r="J154" s="9">
        <v>147</v>
      </c>
      <c r="K154" s="10" t="s">
        <v>1484</v>
      </c>
      <c r="L154" s="10" t="s">
        <v>299</v>
      </c>
      <c r="M154" s="10" t="s">
        <v>1238</v>
      </c>
      <c r="N154" s="7"/>
    </row>
    <row r="155" s="1" customFormat="1" ht="28.5" customHeight="1" spans="1:14">
      <c r="A155" s="8">
        <v>2002</v>
      </c>
      <c r="B155" s="9">
        <v>200210</v>
      </c>
      <c r="C155" s="9" t="s">
        <v>33</v>
      </c>
      <c r="D155" s="9">
        <v>0</v>
      </c>
      <c r="E155" s="9">
        <v>31200210</v>
      </c>
      <c r="F155" s="9">
        <v>31200107</v>
      </c>
      <c r="G155" s="10" t="s">
        <v>1485</v>
      </c>
      <c r="H155" s="10" t="s">
        <v>563</v>
      </c>
      <c r="I155" s="10"/>
      <c r="J155" s="9">
        <v>148</v>
      </c>
      <c r="K155" s="10" t="s">
        <v>1486</v>
      </c>
      <c r="L155" s="10" t="s">
        <v>299</v>
      </c>
      <c r="M155" s="10" t="s">
        <v>1238</v>
      </c>
      <c r="N155" s="7"/>
    </row>
    <row r="156" s="1" customFormat="1" ht="28.5" customHeight="1" spans="1:14">
      <c r="A156" s="8">
        <v>2002</v>
      </c>
      <c r="B156" s="9">
        <v>200211</v>
      </c>
      <c r="C156" s="9" t="s">
        <v>33</v>
      </c>
      <c r="D156" s="9">
        <v>0</v>
      </c>
      <c r="E156" s="9">
        <v>31200211</v>
      </c>
      <c r="F156" s="9">
        <v>31200107</v>
      </c>
      <c r="G156" s="10" t="s">
        <v>1487</v>
      </c>
      <c r="H156" s="10" t="s">
        <v>563</v>
      </c>
      <c r="I156" s="10"/>
      <c r="J156" s="9">
        <v>149</v>
      </c>
      <c r="K156" s="10" t="s">
        <v>1488</v>
      </c>
      <c r="L156" s="10" t="s">
        <v>299</v>
      </c>
      <c r="M156" s="10" t="s">
        <v>1238</v>
      </c>
      <c r="N156" s="7"/>
    </row>
    <row r="157" s="1" customFormat="1" ht="28.5" customHeight="1" spans="1:14">
      <c r="A157" s="8">
        <v>2002</v>
      </c>
      <c r="B157" s="9">
        <v>200212</v>
      </c>
      <c r="C157" s="9" t="s">
        <v>33</v>
      </c>
      <c r="D157" s="9">
        <v>3000</v>
      </c>
      <c r="E157" s="9">
        <v>31200212</v>
      </c>
      <c r="F157" s="9">
        <v>31200112</v>
      </c>
      <c r="G157" s="10" t="s">
        <v>1313</v>
      </c>
      <c r="H157" s="10" t="s">
        <v>563</v>
      </c>
      <c r="I157" s="10"/>
      <c r="J157" s="9">
        <v>150</v>
      </c>
      <c r="K157" s="10" t="s">
        <v>1314</v>
      </c>
      <c r="L157" s="10" t="s">
        <v>251</v>
      </c>
      <c r="M157" s="10" t="s">
        <v>1238</v>
      </c>
      <c r="N157" s="7"/>
    </row>
    <row r="158" s="1" customFormat="1" ht="28.5" customHeight="1" spans="1:14">
      <c r="A158" s="8">
        <v>2002</v>
      </c>
      <c r="B158" s="9">
        <v>200213</v>
      </c>
      <c r="C158" s="9" t="s">
        <v>33</v>
      </c>
      <c r="D158" s="9">
        <v>2500</v>
      </c>
      <c r="E158" s="9">
        <v>31200213</v>
      </c>
      <c r="F158" s="9">
        <v>31200112</v>
      </c>
      <c r="G158" s="10" t="s">
        <v>1315</v>
      </c>
      <c r="H158" s="10" t="s">
        <v>563</v>
      </c>
      <c r="I158" s="10"/>
      <c r="J158" s="9">
        <v>151</v>
      </c>
      <c r="K158" s="10" t="s">
        <v>1316</v>
      </c>
      <c r="L158" s="10" t="s">
        <v>251</v>
      </c>
      <c r="M158" s="10" t="s">
        <v>1238</v>
      </c>
      <c r="N158" s="7"/>
    </row>
    <row r="159" s="1" customFormat="1" ht="28.5" customHeight="1" spans="1:14">
      <c r="A159" s="8">
        <v>2002</v>
      </c>
      <c r="B159" s="9">
        <v>200214</v>
      </c>
      <c r="C159" s="9" t="s">
        <v>33</v>
      </c>
      <c r="D159" s="9">
        <v>2000</v>
      </c>
      <c r="E159" s="9">
        <v>31200214</v>
      </c>
      <c r="F159" s="9">
        <v>31200112</v>
      </c>
      <c r="G159" s="10" t="s">
        <v>1317</v>
      </c>
      <c r="H159" s="10" t="s">
        <v>563</v>
      </c>
      <c r="I159" s="10"/>
      <c r="J159" s="9">
        <v>152</v>
      </c>
      <c r="K159" s="10" t="s">
        <v>1318</v>
      </c>
      <c r="L159" s="10" t="s">
        <v>251</v>
      </c>
      <c r="M159" s="10" t="s">
        <v>1238</v>
      </c>
      <c r="N159" s="7"/>
    </row>
    <row r="160" s="1" customFormat="1" ht="28.5" customHeight="1" spans="1:14">
      <c r="A160" s="8">
        <v>2002</v>
      </c>
      <c r="B160" s="9">
        <v>200215</v>
      </c>
      <c r="C160" s="9" t="s">
        <v>33</v>
      </c>
      <c r="D160" s="9">
        <v>1500</v>
      </c>
      <c r="E160" s="9">
        <v>31200215</v>
      </c>
      <c r="F160" s="9">
        <v>31200112</v>
      </c>
      <c r="G160" s="10" t="s">
        <v>1319</v>
      </c>
      <c r="H160" s="10" t="s">
        <v>563</v>
      </c>
      <c r="I160" s="10"/>
      <c r="J160" s="9">
        <v>153</v>
      </c>
      <c r="K160" s="10" t="s">
        <v>1320</v>
      </c>
      <c r="L160" s="10" t="s">
        <v>251</v>
      </c>
      <c r="M160" s="10" t="s">
        <v>1238</v>
      </c>
      <c r="N160" s="7"/>
    </row>
    <row r="161" s="1" customFormat="1" ht="28.5" customHeight="1" spans="1:14">
      <c r="A161" s="8">
        <v>2002</v>
      </c>
      <c r="B161" s="9">
        <v>200216</v>
      </c>
      <c r="C161" s="9" t="s">
        <v>33</v>
      </c>
      <c r="D161" s="9">
        <v>1000</v>
      </c>
      <c r="E161" s="9">
        <v>31200216</v>
      </c>
      <c r="F161" s="9">
        <v>31200112</v>
      </c>
      <c r="G161" s="10" t="s">
        <v>1321</v>
      </c>
      <c r="H161" s="10" t="s">
        <v>563</v>
      </c>
      <c r="I161" s="10"/>
      <c r="J161" s="9">
        <v>154</v>
      </c>
      <c r="K161" s="10" t="s">
        <v>1322</v>
      </c>
      <c r="L161" s="10" t="s">
        <v>251</v>
      </c>
      <c r="M161" s="10" t="s">
        <v>1238</v>
      </c>
      <c r="N161" s="7"/>
    </row>
    <row r="162" s="1" customFormat="1" ht="28.5" customHeight="1" spans="1:14">
      <c r="A162" s="8">
        <v>2002</v>
      </c>
      <c r="B162" s="9">
        <v>200217</v>
      </c>
      <c r="C162" s="9" t="s">
        <v>33</v>
      </c>
      <c r="D162" s="9">
        <v>2000</v>
      </c>
      <c r="E162" s="9">
        <v>31200217</v>
      </c>
      <c r="F162" s="9">
        <v>31200117</v>
      </c>
      <c r="G162" s="10" t="s">
        <v>1477</v>
      </c>
      <c r="H162" s="10" t="s">
        <v>563</v>
      </c>
      <c r="I162" s="10" t="s">
        <v>1287</v>
      </c>
      <c r="J162" s="9">
        <v>155</v>
      </c>
      <c r="K162" s="10" t="s">
        <v>1478</v>
      </c>
      <c r="L162" s="10" t="s">
        <v>300</v>
      </c>
      <c r="M162" s="10" t="s">
        <v>1238</v>
      </c>
      <c r="N162" s="7"/>
    </row>
    <row r="163" s="1" customFormat="1" ht="28.5" customHeight="1" spans="1:14">
      <c r="A163" s="8">
        <v>2002</v>
      </c>
      <c r="B163" s="9">
        <v>200218</v>
      </c>
      <c r="C163" s="9" t="s">
        <v>33</v>
      </c>
      <c r="D163" s="9">
        <v>1000</v>
      </c>
      <c r="E163" s="9">
        <v>31200218</v>
      </c>
      <c r="F163" s="9">
        <v>31200117</v>
      </c>
      <c r="G163" s="10" t="s">
        <v>1489</v>
      </c>
      <c r="H163" s="10" t="s">
        <v>563</v>
      </c>
      <c r="I163" s="10" t="s">
        <v>1324</v>
      </c>
      <c r="J163" s="9">
        <v>156</v>
      </c>
      <c r="K163" s="10" t="s">
        <v>1490</v>
      </c>
      <c r="L163" s="10" t="s">
        <v>300</v>
      </c>
      <c r="M163" s="10" t="s">
        <v>1238</v>
      </c>
      <c r="N163" s="7"/>
    </row>
    <row r="164" s="1" customFormat="1" ht="28.5" customHeight="1" spans="1:14">
      <c r="A164" s="8">
        <v>2002</v>
      </c>
      <c r="B164" s="9">
        <v>200219</v>
      </c>
      <c r="C164" s="9" t="s">
        <v>33</v>
      </c>
      <c r="D164" s="9">
        <v>800</v>
      </c>
      <c r="E164" s="9">
        <v>31200219</v>
      </c>
      <c r="F164" s="9">
        <v>31200117</v>
      </c>
      <c r="G164" s="10" t="s">
        <v>1491</v>
      </c>
      <c r="H164" s="10" t="s">
        <v>563</v>
      </c>
      <c r="I164" s="10" t="s">
        <v>1327</v>
      </c>
      <c r="J164" s="9">
        <v>157</v>
      </c>
      <c r="K164" s="10" t="s">
        <v>1492</v>
      </c>
      <c r="L164" s="10" t="s">
        <v>300</v>
      </c>
      <c r="M164" s="10" t="s">
        <v>1238</v>
      </c>
      <c r="N164" s="7"/>
    </row>
    <row r="165" s="1" customFormat="1" ht="28.5" customHeight="1" spans="1:14">
      <c r="A165" s="8">
        <v>2002</v>
      </c>
      <c r="B165" s="9">
        <v>200220</v>
      </c>
      <c r="C165" s="9" t="s">
        <v>33</v>
      </c>
      <c r="D165" s="9">
        <v>600</v>
      </c>
      <c r="E165" s="9">
        <v>31200220</v>
      </c>
      <c r="F165" s="9">
        <v>31200117</v>
      </c>
      <c r="G165" s="10" t="s">
        <v>1493</v>
      </c>
      <c r="H165" s="10" t="s">
        <v>563</v>
      </c>
      <c r="I165" s="10" t="s">
        <v>1330</v>
      </c>
      <c r="J165" s="9">
        <v>158</v>
      </c>
      <c r="K165" s="10" t="s">
        <v>1494</v>
      </c>
      <c r="L165" s="10" t="s">
        <v>300</v>
      </c>
      <c r="M165" s="10" t="s">
        <v>1238</v>
      </c>
      <c r="N165" s="7"/>
    </row>
    <row r="166" s="1" customFormat="1" ht="28.5" customHeight="1" spans="1:14">
      <c r="A166" s="8">
        <v>2002</v>
      </c>
      <c r="B166" s="9">
        <v>200221</v>
      </c>
      <c r="C166" s="9" t="s">
        <v>33</v>
      </c>
      <c r="D166" s="9">
        <v>400</v>
      </c>
      <c r="E166" s="9">
        <v>31200221</v>
      </c>
      <c r="F166" s="9">
        <v>31200117</v>
      </c>
      <c r="G166" s="10" t="s">
        <v>1495</v>
      </c>
      <c r="H166" s="10" t="s">
        <v>563</v>
      </c>
      <c r="I166" s="10" t="s">
        <v>1333</v>
      </c>
      <c r="J166" s="9">
        <v>159</v>
      </c>
      <c r="K166" s="10" t="s">
        <v>1496</v>
      </c>
      <c r="L166" s="10" t="s">
        <v>300</v>
      </c>
      <c r="M166" s="10" t="s">
        <v>1238</v>
      </c>
      <c r="N166" s="7"/>
    </row>
    <row r="167" s="1" customFormat="1" ht="28.5" customHeight="1" spans="1:14">
      <c r="A167" s="8">
        <v>2002</v>
      </c>
      <c r="B167" s="9">
        <v>200222</v>
      </c>
      <c r="C167" s="9" t="s">
        <v>33</v>
      </c>
      <c r="D167" s="9">
        <v>200</v>
      </c>
      <c r="E167" s="9">
        <v>31200222</v>
      </c>
      <c r="F167" s="9">
        <v>31200117</v>
      </c>
      <c r="G167" s="10" t="s">
        <v>1497</v>
      </c>
      <c r="H167" s="10" t="s">
        <v>563</v>
      </c>
      <c r="I167" s="10" t="s">
        <v>1336</v>
      </c>
      <c r="J167" s="9">
        <v>160</v>
      </c>
      <c r="K167" s="10" t="s">
        <v>1498</v>
      </c>
      <c r="L167" s="10" t="s">
        <v>300</v>
      </c>
      <c r="M167" s="10" t="s">
        <v>1238</v>
      </c>
      <c r="N167" s="7"/>
    </row>
    <row r="168" s="1" customFormat="1" ht="28.5" customHeight="1" spans="1:14">
      <c r="A168" s="8"/>
      <c r="B168" s="9"/>
      <c r="C168" s="9"/>
      <c r="D168" s="9"/>
      <c r="E168" s="9"/>
      <c r="F168" s="9"/>
      <c r="G168" s="10"/>
      <c r="H168" s="10"/>
      <c r="I168" s="10" t="s">
        <v>1289</v>
      </c>
      <c r="J168" s="9">
        <v>161</v>
      </c>
      <c r="K168" s="10" t="s">
        <v>1289</v>
      </c>
      <c r="L168" s="10"/>
      <c r="M168" s="10" t="s">
        <v>1290</v>
      </c>
      <c r="N168" s="7"/>
    </row>
    <row r="169" s="1" customFormat="1" ht="28.5" customHeight="1" spans="1:14">
      <c r="A169" s="8">
        <v>2003</v>
      </c>
      <c r="B169" s="9">
        <v>200301</v>
      </c>
      <c r="C169" s="9" t="s">
        <v>34</v>
      </c>
      <c r="D169" s="9">
        <v>2000</v>
      </c>
      <c r="E169" s="9">
        <v>31200301</v>
      </c>
      <c r="F169" s="9">
        <v>31200101</v>
      </c>
      <c r="G169" s="10" t="s">
        <v>1297</v>
      </c>
      <c r="H169" s="10" t="s">
        <v>563</v>
      </c>
      <c r="I169" s="10" t="s">
        <v>1281</v>
      </c>
      <c r="J169" s="9">
        <v>162</v>
      </c>
      <c r="K169" s="10" t="s">
        <v>1298</v>
      </c>
      <c r="L169" s="10" t="s">
        <v>260</v>
      </c>
      <c r="M169" s="10" t="s">
        <v>1238</v>
      </c>
      <c r="N169" s="7"/>
    </row>
    <row r="170" s="1" customFormat="1" ht="28.5" customHeight="1" spans="1:14">
      <c r="A170" s="8">
        <v>2003</v>
      </c>
      <c r="B170" s="9">
        <v>200302</v>
      </c>
      <c r="C170" s="9" t="s">
        <v>34</v>
      </c>
      <c r="D170" s="9">
        <v>1000</v>
      </c>
      <c r="E170" s="9">
        <v>31200302</v>
      </c>
      <c r="F170" s="9">
        <v>31200101</v>
      </c>
      <c r="G170" s="10" t="s">
        <v>1297</v>
      </c>
      <c r="H170" s="10" t="s">
        <v>563</v>
      </c>
      <c r="I170" s="10" t="s">
        <v>1281</v>
      </c>
      <c r="J170" s="9">
        <v>163</v>
      </c>
      <c r="K170" s="10" t="s">
        <v>1298</v>
      </c>
      <c r="L170" s="10" t="s">
        <v>260</v>
      </c>
      <c r="M170" s="10" t="s">
        <v>1238</v>
      </c>
      <c r="N170" s="7"/>
    </row>
    <row r="171" s="1" customFormat="1" ht="28.5" customHeight="1" spans="1:14">
      <c r="A171" s="8">
        <v>2003</v>
      </c>
      <c r="B171" s="9">
        <v>200303</v>
      </c>
      <c r="C171" s="9" t="s">
        <v>34</v>
      </c>
      <c r="D171" s="9">
        <v>800</v>
      </c>
      <c r="E171" s="9">
        <v>31200303</v>
      </c>
      <c r="F171" s="9">
        <v>31200101</v>
      </c>
      <c r="G171" s="10" t="s">
        <v>1338</v>
      </c>
      <c r="H171" s="10" t="s">
        <v>563</v>
      </c>
      <c r="I171" s="10" t="s">
        <v>1339</v>
      </c>
      <c r="J171" s="9">
        <v>164</v>
      </c>
      <c r="K171" s="10" t="s">
        <v>1340</v>
      </c>
      <c r="L171" s="10" t="s">
        <v>260</v>
      </c>
      <c r="M171" s="10" t="s">
        <v>1238</v>
      </c>
      <c r="N171" s="7"/>
    </row>
    <row r="172" s="1" customFormat="1" ht="28.5" customHeight="1" spans="1:14">
      <c r="A172" s="8">
        <v>2003</v>
      </c>
      <c r="B172" s="9">
        <v>200304</v>
      </c>
      <c r="C172" s="9" t="s">
        <v>34</v>
      </c>
      <c r="D172" s="9">
        <v>600</v>
      </c>
      <c r="E172" s="9">
        <v>31200304</v>
      </c>
      <c r="F172" s="9">
        <v>31200101</v>
      </c>
      <c r="G172" s="10" t="s">
        <v>1299</v>
      </c>
      <c r="H172" s="10" t="s">
        <v>563</v>
      </c>
      <c r="I172" s="10" t="s">
        <v>1284</v>
      </c>
      <c r="J172" s="9">
        <v>165</v>
      </c>
      <c r="K172" s="10" t="s">
        <v>1300</v>
      </c>
      <c r="L172" s="10" t="s">
        <v>260</v>
      </c>
      <c r="M172" s="10" t="s">
        <v>1238</v>
      </c>
      <c r="N172" s="7"/>
    </row>
    <row r="173" s="1" customFormat="1" ht="28.5" customHeight="1" spans="1:14">
      <c r="A173" s="8">
        <v>2003</v>
      </c>
      <c r="B173" s="9">
        <v>200305</v>
      </c>
      <c r="C173" s="9" t="s">
        <v>34</v>
      </c>
      <c r="D173" s="9">
        <v>400</v>
      </c>
      <c r="E173" s="9">
        <v>31200305</v>
      </c>
      <c r="F173" s="9">
        <v>31200101</v>
      </c>
      <c r="G173" s="10" t="s">
        <v>1301</v>
      </c>
      <c r="H173" s="10" t="s">
        <v>563</v>
      </c>
      <c r="I173" s="10" t="s">
        <v>1287</v>
      </c>
      <c r="J173" s="9">
        <v>166</v>
      </c>
      <c r="K173" s="10" t="s">
        <v>1302</v>
      </c>
      <c r="L173" s="10" t="s">
        <v>260</v>
      </c>
      <c r="M173" s="10" t="s">
        <v>1238</v>
      </c>
      <c r="N173" s="7"/>
    </row>
    <row r="174" s="1" customFormat="1" ht="28.5" customHeight="1" spans="1:14">
      <c r="A174" s="8">
        <v>2003</v>
      </c>
      <c r="B174" s="9">
        <v>200306</v>
      </c>
      <c r="C174" s="9" t="s">
        <v>34</v>
      </c>
      <c r="D174" s="9">
        <v>200</v>
      </c>
      <c r="E174" s="9">
        <v>31200306</v>
      </c>
      <c r="F174" s="9">
        <v>31200101</v>
      </c>
      <c r="G174" s="10" t="s">
        <v>1301</v>
      </c>
      <c r="H174" s="10" t="s">
        <v>563</v>
      </c>
      <c r="I174" s="10" t="s">
        <v>1287</v>
      </c>
      <c r="J174" s="9">
        <v>167</v>
      </c>
      <c r="K174" s="10" t="s">
        <v>1302</v>
      </c>
      <c r="L174" s="10" t="s">
        <v>260</v>
      </c>
      <c r="M174" s="10" t="s">
        <v>1238</v>
      </c>
      <c r="N174" s="7"/>
    </row>
    <row r="175" s="1" customFormat="1" ht="28.5" customHeight="1" spans="1:14">
      <c r="A175" s="8">
        <v>2003</v>
      </c>
      <c r="B175" s="9">
        <v>200307</v>
      </c>
      <c r="C175" s="9" t="s">
        <v>34</v>
      </c>
      <c r="D175" s="9">
        <v>0</v>
      </c>
      <c r="E175" s="9">
        <v>31200307</v>
      </c>
      <c r="F175" s="9">
        <v>31200107</v>
      </c>
      <c r="G175" s="10" t="s">
        <v>1499</v>
      </c>
      <c r="H175" s="10" t="s">
        <v>563</v>
      </c>
      <c r="I175" s="10"/>
      <c r="J175" s="9">
        <v>168</v>
      </c>
      <c r="K175" s="10" t="s">
        <v>1500</v>
      </c>
      <c r="L175" s="10" t="s">
        <v>304</v>
      </c>
      <c r="M175" s="10" t="s">
        <v>1238</v>
      </c>
      <c r="N175" s="7"/>
    </row>
    <row r="176" s="1" customFormat="1" ht="28.5" customHeight="1" spans="1:14">
      <c r="A176" s="8">
        <v>2003</v>
      </c>
      <c r="B176" s="9">
        <v>200308</v>
      </c>
      <c r="C176" s="9" t="s">
        <v>34</v>
      </c>
      <c r="D176" s="9">
        <v>0</v>
      </c>
      <c r="E176" s="9">
        <v>31200308</v>
      </c>
      <c r="F176" s="9">
        <v>31200107</v>
      </c>
      <c r="G176" s="10" t="s">
        <v>1501</v>
      </c>
      <c r="H176" s="10" t="s">
        <v>563</v>
      </c>
      <c r="I176" s="10"/>
      <c r="J176" s="9">
        <v>169</v>
      </c>
      <c r="K176" s="10" t="s">
        <v>1502</v>
      </c>
      <c r="L176" s="10" t="s">
        <v>304</v>
      </c>
      <c r="M176" s="10" t="s">
        <v>1238</v>
      </c>
      <c r="N176" s="7"/>
    </row>
    <row r="177" s="1" customFormat="1" ht="28.5" customHeight="1" spans="1:14">
      <c r="A177" s="8">
        <v>2003</v>
      </c>
      <c r="B177" s="9">
        <v>200309</v>
      </c>
      <c r="C177" s="9" t="s">
        <v>34</v>
      </c>
      <c r="D177" s="9">
        <v>0</v>
      </c>
      <c r="E177" s="9">
        <v>31200309</v>
      </c>
      <c r="F177" s="9">
        <v>31200107</v>
      </c>
      <c r="G177" s="10" t="s">
        <v>1503</v>
      </c>
      <c r="H177" s="10" t="s">
        <v>563</v>
      </c>
      <c r="I177" s="10"/>
      <c r="J177" s="9">
        <v>170</v>
      </c>
      <c r="K177" s="10" t="s">
        <v>1504</v>
      </c>
      <c r="L177" s="10" t="s">
        <v>304</v>
      </c>
      <c r="M177" s="10" t="s">
        <v>1238</v>
      </c>
      <c r="N177" s="7"/>
    </row>
    <row r="178" s="1" customFormat="1" ht="28.5" customHeight="1" spans="1:14">
      <c r="A178" s="8">
        <v>2003</v>
      </c>
      <c r="B178" s="9">
        <v>200310</v>
      </c>
      <c r="C178" s="9" t="s">
        <v>34</v>
      </c>
      <c r="D178" s="9">
        <v>0</v>
      </c>
      <c r="E178" s="9">
        <v>31200310</v>
      </c>
      <c r="F178" s="9">
        <v>31200107</v>
      </c>
      <c r="G178" s="10" t="s">
        <v>1505</v>
      </c>
      <c r="H178" s="10" t="s">
        <v>563</v>
      </c>
      <c r="I178" s="10"/>
      <c r="J178" s="9">
        <v>171</v>
      </c>
      <c r="K178" s="10" t="s">
        <v>1506</v>
      </c>
      <c r="L178" s="10" t="s">
        <v>304</v>
      </c>
      <c r="M178" s="10" t="s">
        <v>1238</v>
      </c>
      <c r="N178" s="7"/>
    </row>
    <row r="179" s="1" customFormat="1" ht="28.5" customHeight="1" spans="1:14">
      <c r="A179" s="8">
        <v>2003</v>
      </c>
      <c r="B179" s="9">
        <v>200311</v>
      </c>
      <c r="C179" s="9" t="s">
        <v>34</v>
      </c>
      <c r="D179" s="9">
        <v>0</v>
      </c>
      <c r="E179" s="9">
        <v>31200311</v>
      </c>
      <c r="F179" s="9">
        <v>31200107</v>
      </c>
      <c r="G179" s="10" t="s">
        <v>1507</v>
      </c>
      <c r="H179" s="10" t="s">
        <v>563</v>
      </c>
      <c r="I179" s="10"/>
      <c r="J179" s="9">
        <v>172</v>
      </c>
      <c r="K179" s="10" t="s">
        <v>1508</v>
      </c>
      <c r="L179" s="10" t="s">
        <v>304</v>
      </c>
      <c r="M179" s="10" t="s">
        <v>1238</v>
      </c>
      <c r="N179" s="7"/>
    </row>
    <row r="180" s="1" customFormat="1" ht="28.5" customHeight="1" spans="1:14">
      <c r="A180" s="8">
        <v>2003</v>
      </c>
      <c r="B180" s="9">
        <v>200312</v>
      </c>
      <c r="C180" s="9" t="s">
        <v>34</v>
      </c>
      <c r="D180" s="9">
        <v>3000</v>
      </c>
      <c r="E180" s="9">
        <v>31200312</v>
      </c>
      <c r="F180" s="9">
        <v>31200112</v>
      </c>
      <c r="G180" s="10" t="s">
        <v>1351</v>
      </c>
      <c r="H180" s="10" t="s">
        <v>563</v>
      </c>
      <c r="I180" s="10"/>
      <c r="J180" s="9">
        <v>173</v>
      </c>
      <c r="K180" s="10" t="s">
        <v>1352</v>
      </c>
      <c r="L180" s="10" t="s">
        <v>259</v>
      </c>
      <c r="M180" s="10" t="s">
        <v>1238</v>
      </c>
      <c r="N180" s="7"/>
    </row>
    <row r="181" s="1" customFormat="1" ht="28.5" customHeight="1" spans="1:14">
      <c r="A181" s="8">
        <v>2003</v>
      </c>
      <c r="B181" s="9">
        <v>200313</v>
      </c>
      <c r="C181" s="9" t="s">
        <v>34</v>
      </c>
      <c r="D181" s="9">
        <v>2500</v>
      </c>
      <c r="E181" s="9">
        <v>31200313</v>
      </c>
      <c r="F181" s="9">
        <v>31200112</v>
      </c>
      <c r="G181" s="10" t="s">
        <v>1353</v>
      </c>
      <c r="H181" s="10" t="s">
        <v>563</v>
      </c>
      <c r="I181" s="10"/>
      <c r="J181" s="9">
        <v>174</v>
      </c>
      <c r="K181" s="10" t="s">
        <v>1354</v>
      </c>
      <c r="L181" s="10" t="s">
        <v>259</v>
      </c>
      <c r="M181" s="10" t="s">
        <v>1238</v>
      </c>
      <c r="N181" s="7"/>
    </row>
    <row r="182" s="1" customFormat="1" ht="28.5" customHeight="1" spans="1:14">
      <c r="A182" s="8">
        <v>2003</v>
      </c>
      <c r="B182" s="9">
        <v>200314</v>
      </c>
      <c r="C182" s="9" t="s">
        <v>34</v>
      </c>
      <c r="D182" s="9">
        <v>2000</v>
      </c>
      <c r="E182" s="9">
        <v>31200314</v>
      </c>
      <c r="F182" s="9">
        <v>31200112</v>
      </c>
      <c r="G182" s="10" t="s">
        <v>1355</v>
      </c>
      <c r="H182" s="10" t="s">
        <v>563</v>
      </c>
      <c r="I182" s="10"/>
      <c r="J182" s="9">
        <v>175</v>
      </c>
      <c r="K182" s="10" t="s">
        <v>1356</v>
      </c>
      <c r="L182" s="10" t="s">
        <v>259</v>
      </c>
      <c r="M182" s="10" t="s">
        <v>1238</v>
      </c>
      <c r="N182" s="7"/>
    </row>
    <row r="183" s="1" customFormat="1" ht="28.5" customHeight="1" spans="1:14">
      <c r="A183" s="8">
        <v>2003</v>
      </c>
      <c r="B183" s="9">
        <v>200315</v>
      </c>
      <c r="C183" s="9" t="s">
        <v>34</v>
      </c>
      <c r="D183" s="9">
        <v>1500</v>
      </c>
      <c r="E183" s="9">
        <v>31200315</v>
      </c>
      <c r="F183" s="9">
        <v>31200112</v>
      </c>
      <c r="G183" s="10" t="s">
        <v>1357</v>
      </c>
      <c r="H183" s="10" t="s">
        <v>563</v>
      </c>
      <c r="I183" s="10"/>
      <c r="J183" s="9">
        <v>176</v>
      </c>
      <c r="K183" s="10" t="s">
        <v>1358</v>
      </c>
      <c r="L183" s="10" t="s">
        <v>259</v>
      </c>
      <c r="M183" s="10" t="s">
        <v>1238</v>
      </c>
      <c r="N183" s="7"/>
    </row>
    <row r="184" s="1" customFormat="1" ht="28.5" customHeight="1" spans="1:14">
      <c r="A184" s="8">
        <v>2003</v>
      </c>
      <c r="B184" s="9">
        <v>200316</v>
      </c>
      <c r="C184" s="9" t="s">
        <v>34</v>
      </c>
      <c r="D184" s="9">
        <v>1000</v>
      </c>
      <c r="E184" s="9">
        <v>31200316</v>
      </c>
      <c r="F184" s="9">
        <v>31200112</v>
      </c>
      <c r="G184" s="10" t="s">
        <v>1359</v>
      </c>
      <c r="H184" s="10" t="s">
        <v>563</v>
      </c>
      <c r="I184" s="10"/>
      <c r="J184" s="9">
        <v>177</v>
      </c>
      <c r="K184" s="10" t="s">
        <v>1360</v>
      </c>
      <c r="L184" s="10" t="s">
        <v>259</v>
      </c>
      <c r="M184" s="10" t="s">
        <v>1238</v>
      </c>
      <c r="N184" s="7"/>
    </row>
    <row r="185" s="1" customFormat="1" ht="28.5" customHeight="1" spans="1:14">
      <c r="A185" s="8">
        <v>2003</v>
      </c>
      <c r="B185" s="9">
        <v>200317</v>
      </c>
      <c r="C185" s="9" t="s">
        <v>34</v>
      </c>
      <c r="D185" s="9">
        <v>2000</v>
      </c>
      <c r="E185" s="9">
        <v>31200317</v>
      </c>
      <c r="F185" s="9">
        <v>31200117</v>
      </c>
      <c r="G185" s="10" t="s">
        <v>1497</v>
      </c>
      <c r="H185" s="10" t="s">
        <v>563</v>
      </c>
      <c r="I185" s="10" t="s">
        <v>1336</v>
      </c>
      <c r="J185" s="9">
        <v>178</v>
      </c>
      <c r="K185" s="10" t="s">
        <v>1498</v>
      </c>
      <c r="L185" s="10" t="s">
        <v>305</v>
      </c>
      <c r="M185" s="10" t="s">
        <v>1238</v>
      </c>
      <c r="N185" s="7"/>
    </row>
    <row r="186" s="1" customFormat="1" ht="28.5" customHeight="1" spans="1:14">
      <c r="A186" s="8">
        <v>2003</v>
      </c>
      <c r="B186" s="9">
        <v>200318</v>
      </c>
      <c r="C186" s="9" t="s">
        <v>34</v>
      </c>
      <c r="D186" s="9">
        <v>1000</v>
      </c>
      <c r="E186" s="9">
        <v>31200318</v>
      </c>
      <c r="F186" s="9">
        <v>31200117</v>
      </c>
      <c r="G186" s="10" t="s">
        <v>1509</v>
      </c>
      <c r="H186" s="10" t="s">
        <v>563</v>
      </c>
      <c r="I186" s="10" t="s">
        <v>1362</v>
      </c>
      <c r="J186" s="9">
        <v>179</v>
      </c>
      <c r="K186" s="10" t="s">
        <v>1510</v>
      </c>
      <c r="L186" s="10" t="s">
        <v>305</v>
      </c>
      <c r="M186" s="10" t="s">
        <v>1238</v>
      </c>
      <c r="N186" s="7"/>
    </row>
    <row r="187" s="1" customFormat="1" ht="28.5" customHeight="1" spans="1:14">
      <c r="A187" s="8">
        <v>2003</v>
      </c>
      <c r="B187" s="9">
        <v>200319</v>
      </c>
      <c r="C187" s="9" t="s">
        <v>34</v>
      </c>
      <c r="D187" s="9">
        <v>800</v>
      </c>
      <c r="E187" s="9">
        <v>31200319</v>
      </c>
      <c r="F187" s="9">
        <v>31200117</v>
      </c>
      <c r="G187" s="10" t="s">
        <v>1511</v>
      </c>
      <c r="H187" s="10" t="s">
        <v>563</v>
      </c>
      <c r="I187" s="10" t="s">
        <v>1365</v>
      </c>
      <c r="J187" s="9">
        <v>180</v>
      </c>
      <c r="K187" s="10" t="s">
        <v>1512</v>
      </c>
      <c r="L187" s="10" t="s">
        <v>305</v>
      </c>
      <c r="M187" s="10" t="s">
        <v>1238</v>
      </c>
      <c r="N187" s="7"/>
    </row>
    <row r="188" s="1" customFormat="1" ht="28.5" customHeight="1" spans="1:14">
      <c r="A188" s="8">
        <v>2003</v>
      </c>
      <c r="B188" s="9">
        <v>200320</v>
      </c>
      <c r="C188" s="9" t="s">
        <v>34</v>
      </c>
      <c r="D188" s="9">
        <v>600</v>
      </c>
      <c r="E188" s="9">
        <v>31200320</v>
      </c>
      <c r="F188" s="9">
        <v>31200117</v>
      </c>
      <c r="G188" s="10" t="s">
        <v>1513</v>
      </c>
      <c r="H188" s="10" t="s">
        <v>563</v>
      </c>
      <c r="I188" s="10" t="s">
        <v>1368</v>
      </c>
      <c r="J188" s="9">
        <v>181</v>
      </c>
      <c r="K188" s="10" t="s">
        <v>1514</v>
      </c>
      <c r="L188" s="10" t="s">
        <v>305</v>
      </c>
      <c r="M188" s="10" t="s">
        <v>1238</v>
      </c>
      <c r="N188" s="7"/>
    </row>
    <row r="189" s="1" customFormat="1" ht="28.5" customHeight="1" spans="1:14">
      <c r="A189" s="8">
        <v>2003</v>
      </c>
      <c r="B189" s="9">
        <v>200321</v>
      </c>
      <c r="C189" s="9" t="s">
        <v>34</v>
      </c>
      <c r="D189" s="9">
        <v>400</v>
      </c>
      <c r="E189" s="9">
        <v>31200321</v>
      </c>
      <c r="F189" s="9">
        <v>31200117</v>
      </c>
      <c r="G189" s="10" t="s">
        <v>1515</v>
      </c>
      <c r="H189" s="10" t="s">
        <v>563</v>
      </c>
      <c r="I189" s="10" t="s">
        <v>1371</v>
      </c>
      <c r="J189" s="9">
        <v>182</v>
      </c>
      <c r="K189" s="10" t="s">
        <v>1516</v>
      </c>
      <c r="L189" s="10" t="s">
        <v>305</v>
      </c>
      <c r="M189" s="10" t="s">
        <v>1238</v>
      </c>
      <c r="N189" s="7"/>
    </row>
    <row r="190" s="1" customFormat="1" ht="28.5" customHeight="1" spans="1:14">
      <c r="A190" s="8">
        <v>2003</v>
      </c>
      <c r="B190" s="9">
        <v>200322</v>
      </c>
      <c r="C190" s="9" t="s">
        <v>34</v>
      </c>
      <c r="D190" s="9">
        <v>200</v>
      </c>
      <c r="E190" s="9">
        <v>31200322</v>
      </c>
      <c r="F190" s="9">
        <v>31200117</v>
      </c>
      <c r="G190" s="10" t="s">
        <v>1517</v>
      </c>
      <c r="H190" s="10" t="s">
        <v>563</v>
      </c>
      <c r="I190" s="10" t="s">
        <v>1374</v>
      </c>
      <c r="J190" s="9">
        <v>183</v>
      </c>
      <c r="K190" s="10" t="s">
        <v>1518</v>
      </c>
      <c r="L190" s="10" t="s">
        <v>305</v>
      </c>
      <c r="M190" s="10" t="s">
        <v>1238</v>
      </c>
      <c r="N190" s="7"/>
    </row>
    <row r="191" s="1" customFormat="1" ht="28.5" customHeight="1" spans="1:14">
      <c r="A191" s="8"/>
      <c r="B191" s="9"/>
      <c r="C191" s="9"/>
      <c r="D191" s="9"/>
      <c r="E191" s="9"/>
      <c r="F191" s="9"/>
      <c r="G191" s="10"/>
      <c r="H191" s="10"/>
      <c r="I191" s="10" t="s">
        <v>1289</v>
      </c>
      <c r="J191" s="9">
        <v>184</v>
      </c>
      <c r="K191" s="10" t="s">
        <v>1289</v>
      </c>
      <c r="L191" s="10"/>
      <c r="M191" s="10" t="s">
        <v>1290</v>
      </c>
      <c r="N191" s="7"/>
    </row>
    <row r="192" s="1" customFormat="1" ht="28.5" customHeight="1" spans="1:14">
      <c r="A192" s="8">
        <v>2004</v>
      </c>
      <c r="B192" s="9">
        <v>200401</v>
      </c>
      <c r="C192" s="9" t="s">
        <v>35</v>
      </c>
      <c r="D192" s="9">
        <v>2000</v>
      </c>
      <c r="E192" s="9">
        <v>31200401</v>
      </c>
      <c r="F192" s="9">
        <v>31200101</v>
      </c>
      <c r="G192" s="10" t="s">
        <v>1301</v>
      </c>
      <c r="H192" s="10" t="s">
        <v>563</v>
      </c>
      <c r="I192" s="10" t="s">
        <v>1287</v>
      </c>
      <c r="J192" s="9">
        <v>185</v>
      </c>
      <c r="K192" s="10" t="s">
        <v>1302</v>
      </c>
      <c r="L192" s="10" t="s">
        <v>268</v>
      </c>
      <c r="M192" s="10" t="s">
        <v>1238</v>
      </c>
      <c r="N192" s="7"/>
    </row>
    <row r="193" s="1" customFormat="1" ht="28.5" customHeight="1" spans="1:14">
      <c r="A193" s="8">
        <v>2004</v>
      </c>
      <c r="B193" s="9">
        <v>200402</v>
      </c>
      <c r="C193" s="9" t="s">
        <v>35</v>
      </c>
      <c r="D193" s="9">
        <v>1000</v>
      </c>
      <c r="E193" s="9">
        <v>31200402</v>
      </c>
      <c r="F193" s="9">
        <v>31200101</v>
      </c>
      <c r="G193" s="10" t="s">
        <v>1376</v>
      </c>
      <c r="H193" s="10" t="s">
        <v>563</v>
      </c>
      <c r="I193" s="10" t="s">
        <v>1324</v>
      </c>
      <c r="J193" s="9">
        <v>186</v>
      </c>
      <c r="K193" s="10" t="s">
        <v>1377</v>
      </c>
      <c r="L193" s="10" t="s">
        <v>268</v>
      </c>
      <c r="M193" s="10" t="s">
        <v>1238</v>
      </c>
      <c r="N193" s="7"/>
    </row>
    <row r="194" s="1" customFormat="1" ht="28.5" customHeight="1" spans="1:14">
      <c r="A194" s="8">
        <v>2004</v>
      </c>
      <c r="B194" s="9">
        <v>200403</v>
      </c>
      <c r="C194" s="9" t="s">
        <v>35</v>
      </c>
      <c r="D194" s="9">
        <v>800</v>
      </c>
      <c r="E194" s="9">
        <v>31200403</v>
      </c>
      <c r="F194" s="9">
        <v>31200101</v>
      </c>
      <c r="G194" s="10" t="s">
        <v>1378</v>
      </c>
      <c r="H194" s="10" t="s">
        <v>563</v>
      </c>
      <c r="I194" s="10" t="s">
        <v>1327</v>
      </c>
      <c r="J194" s="9">
        <v>187</v>
      </c>
      <c r="K194" s="10" t="s">
        <v>1379</v>
      </c>
      <c r="L194" s="10" t="s">
        <v>268</v>
      </c>
      <c r="M194" s="10" t="s">
        <v>1238</v>
      </c>
      <c r="N194" s="7"/>
    </row>
    <row r="195" s="1" customFormat="1" ht="28.5" customHeight="1" spans="1:14">
      <c r="A195" s="8">
        <v>2004</v>
      </c>
      <c r="B195" s="9">
        <v>200404</v>
      </c>
      <c r="C195" s="9" t="s">
        <v>35</v>
      </c>
      <c r="D195" s="9">
        <v>600</v>
      </c>
      <c r="E195" s="9">
        <v>31200404</v>
      </c>
      <c r="F195" s="9">
        <v>31200101</v>
      </c>
      <c r="G195" s="10" t="s">
        <v>1380</v>
      </c>
      <c r="H195" s="10" t="s">
        <v>563</v>
      </c>
      <c r="I195" s="10" t="s">
        <v>1330</v>
      </c>
      <c r="J195" s="9">
        <v>188</v>
      </c>
      <c r="K195" s="10" t="s">
        <v>1381</v>
      </c>
      <c r="L195" s="10" t="s">
        <v>268</v>
      </c>
      <c r="M195" s="10" t="s">
        <v>1238</v>
      </c>
      <c r="N195" s="7"/>
    </row>
    <row r="196" s="1" customFormat="1" ht="28.5" customHeight="1" spans="1:14">
      <c r="A196" s="8">
        <v>2004</v>
      </c>
      <c r="B196" s="9">
        <v>200405</v>
      </c>
      <c r="C196" s="9" t="s">
        <v>35</v>
      </c>
      <c r="D196" s="9">
        <v>400</v>
      </c>
      <c r="E196" s="9">
        <v>31200405</v>
      </c>
      <c r="F196" s="9">
        <v>31200101</v>
      </c>
      <c r="G196" s="10" t="s">
        <v>1382</v>
      </c>
      <c r="H196" s="10" t="s">
        <v>563</v>
      </c>
      <c r="I196" s="10" t="s">
        <v>1333</v>
      </c>
      <c r="J196" s="9">
        <v>189</v>
      </c>
      <c r="K196" s="10" t="s">
        <v>1383</v>
      </c>
      <c r="L196" s="10" t="s">
        <v>268</v>
      </c>
      <c r="M196" s="10" t="s">
        <v>1238</v>
      </c>
      <c r="N196" s="7"/>
    </row>
    <row r="197" s="1" customFormat="1" ht="28.5" customHeight="1" spans="1:14">
      <c r="A197" s="8">
        <v>2004</v>
      </c>
      <c r="B197" s="9">
        <v>200406</v>
      </c>
      <c r="C197" s="9" t="s">
        <v>35</v>
      </c>
      <c r="D197" s="9">
        <v>200</v>
      </c>
      <c r="E197" s="9">
        <v>31200406</v>
      </c>
      <c r="F197" s="9">
        <v>31200101</v>
      </c>
      <c r="G197" s="10" t="s">
        <v>1384</v>
      </c>
      <c r="H197" s="10" t="s">
        <v>563</v>
      </c>
      <c r="I197" s="10" t="s">
        <v>1336</v>
      </c>
      <c r="J197" s="9">
        <v>190</v>
      </c>
      <c r="K197" s="10" t="s">
        <v>1385</v>
      </c>
      <c r="L197" s="10" t="s">
        <v>268</v>
      </c>
      <c r="M197" s="10" t="s">
        <v>1238</v>
      </c>
      <c r="N197" s="7"/>
    </row>
    <row r="198" s="1" customFormat="1" ht="28.5" customHeight="1" spans="1:14">
      <c r="A198" s="8">
        <v>2004</v>
      </c>
      <c r="B198" s="9">
        <v>200407</v>
      </c>
      <c r="C198" s="9" t="s">
        <v>35</v>
      </c>
      <c r="D198" s="9">
        <v>0</v>
      </c>
      <c r="E198" s="9">
        <v>31200407</v>
      </c>
      <c r="F198" s="9">
        <v>31200107</v>
      </c>
      <c r="G198" s="10" t="s">
        <v>1519</v>
      </c>
      <c r="H198" s="10" t="s">
        <v>563</v>
      </c>
      <c r="I198" s="10"/>
      <c r="J198" s="9">
        <v>191</v>
      </c>
      <c r="K198" s="10" t="s">
        <v>1520</v>
      </c>
      <c r="L198" s="10" t="s">
        <v>309</v>
      </c>
      <c r="M198" s="10" t="s">
        <v>1238</v>
      </c>
      <c r="N198" s="7"/>
    </row>
    <row r="199" s="1" customFormat="1" ht="28.5" customHeight="1" spans="1:14">
      <c r="A199" s="8">
        <v>2004</v>
      </c>
      <c r="B199" s="9">
        <v>200408</v>
      </c>
      <c r="C199" s="9" t="s">
        <v>35</v>
      </c>
      <c r="D199" s="9">
        <v>0</v>
      </c>
      <c r="E199" s="9">
        <v>31200408</v>
      </c>
      <c r="F199" s="9">
        <v>31200107</v>
      </c>
      <c r="G199" s="10" t="s">
        <v>1521</v>
      </c>
      <c r="H199" s="10" t="s">
        <v>563</v>
      </c>
      <c r="I199" s="10"/>
      <c r="J199" s="9">
        <v>192</v>
      </c>
      <c r="K199" s="10" t="s">
        <v>1522</v>
      </c>
      <c r="L199" s="10" t="s">
        <v>309</v>
      </c>
      <c r="M199" s="10" t="s">
        <v>1238</v>
      </c>
      <c r="N199" s="7"/>
    </row>
    <row r="200" s="1" customFormat="1" ht="28.5" customHeight="1" spans="1:14">
      <c r="A200" s="8">
        <v>2004</v>
      </c>
      <c r="B200" s="9">
        <v>200409</v>
      </c>
      <c r="C200" s="9" t="s">
        <v>35</v>
      </c>
      <c r="D200" s="9">
        <v>0</v>
      </c>
      <c r="E200" s="9">
        <v>31200409</v>
      </c>
      <c r="F200" s="9">
        <v>31200107</v>
      </c>
      <c r="G200" s="10" t="s">
        <v>1523</v>
      </c>
      <c r="H200" s="10" t="s">
        <v>563</v>
      </c>
      <c r="I200" s="10"/>
      <c r="J200" s="9">
        <v>193</v>
      </c>
      <c r="K200" s="10" t="s">
        <v>1524</v>
      </c>
      <c r="L200" s="10" t="s">
        <v>309</v>
      </c>
      <c r="M200" s="10" t="s">
        <v>1238</v>
      </c>
      <c r="N200" s="7"/>
    </row>
    <row r="201" s="1" customFormat="1" ht="28.5" customHeight="1" spans="1:14">
      <c r="A201" s="8">
        <v>2004</v>
      </c>
      <c r="B201" s="9">
        <v>200410</v>
      </c>
      <c r="C201" s="9" t="s">
        <v>35</v>
      </c>
      <c r="D201" s="9">
        <v>0</v>
      </c>
      <c r="E201" s="9">
        <v>31200410</v>
      </c>
      <c r="F201" s="9">
        <v>31200107</v>
      </c>
      <c r="G201" s="10" t="s">
        <v>1525</v>
      </c>
      <c r="H201" s="10" t="s">
        <v>563</v>
      </c>
      <c r="I201" s="10"/>
      <c r="J201" s="9">
        <v>194</v>
      </c>
      <c r="K201" s="10" t="s">
        <v>1526</v>
      </c>
      <c r="L201" s="10" t="s">
        <v>309</v>
      </c>
      <c r="M201" s="10" t="s">
        <v>1238</v>
      </c>
      <c r="N201" s="7"/>
    </row>
    <row r="202" s="1" customFormat="1" ht="28.5" customHeight="1" spans="1:14">
      <c r="A202" s="8">
        <v>2004</v>
      </c>
      <c r="B202" s="9">
        <v>200411</v>
      </c>
      <c r="C202" s="9" t="s">
        <v>35</v>
      </c>
      <c r="D202" s="9">
        <v>0</v>
      </c>
      <c r="E202" s="9">
        <v>31200411</v>
      </c>
      <c r="F202" s="9">
        <v>31200107</v>
      </c>
      <c r="G202" s="10" t="s">
        <v>1527</v>
      </c>
      <c r="H202" s="10" t="s">
        <v>563</v>
      </c>
      <c r="I202" s="10"/>
      <c r="J202" s="9">
        <v>195</v>
      </c>
      <c r="K202" s="10" t="s">
        <v>1528</v>
      </c>
      <c r="L202" s="10" t="s">
        <v>309</v>
      </c>
      <c r="M202" s="10" t="s">
        <v>1238</v>
      </c>
      <c r="N202" s="7"/>
    </row>
    <row r="203" s="1" customFormat="1" ht="28.5" customHeight="1" spans="1:14">
      <c r="A203" s="8">
        <v>2004</v>
      </c>
      <c r="B203" s="9">
        <v>200412</v>
      </c>
      <c r="C203" s="9" t="s">
        <v>35</v>
      </c>
      <c r="D203" s="9">
        <v>3000</v>
      </c>
      <c r="E203" s="9">
        <v>31200412</v>
      </c>
      <c r="F203" s="9">
        <v>31200112</v>
      </c>
      <c r="G203" s="10" t="s">
        <v>1396</v>
      </c>
      <c r="H203" s="10" t="s">
        <v>563</v>
      </c>
      <c r="I203" s="10"/>
      <c r="J203" s="9">
        <v>196</v>
      </c>
      <c r="K203" s="10" t="s">
        <v>1397</v>
      </c>
      <c r="L203" s="10" t="s">
        <v>267</v>
      </c>
      <c r="M203" s="10" t="s">
        <v>1238</v>
      </c>
      <c r="N203" s="7"/>
    </row>
    <row r="204" s="1" customFormat="1" ht="28.5" customHeight="1" spans="1:14">
      <c r="A204" s="8">
        <v>2004</v>
      </c>
      <c r="B204" s="9">
        <v>200413</v>
      </c>
      <c r="C204" s="9" t="s">
        <v>35</v>
      </c>
      <c r="D204" s="9">
        <v>2500</v>
      </c>
      <c r="E204" s="9">
        <v>31200413</v>
      </c>
      <c r="F204" s="9">
        <v>31200112</v>
      </c>
      <c r="G204" s="10" t="s">
        <v>1398</v>
      </c>
      <c r="H204" s="10" t="s">
        <v>563</v>
      </c>
      <c r="I204" s="10"/>
      <c r="J204" s="9">
        <v>197</v>
      </c>
      <c r="K204" s="10" t="s">
        <v>1399</v>
      </c>
      <c r="L204" s="10" t="s">
        <v>267</v>
      </c>
      <c r="M204" s="10" t="s">
        <v>1238</v>
      </c>
      <c r="N204" s="7"/>
    </row>
    <row r="205" s="1" customFormat="1" ht="28.5" customHeight="1" spans="1:14">
      <c r="A205" s="8">
        <v>2004</v>
      </c>
      <c r="B205" s="9">
        <v>200414</v>
      </c>
      <c r="C205" s="9" t="s">
        <v>35</v>
      </c>
      <c r="D205" s="9">
        <v>2000</v>
      </c>
      <c r="E205" s="9">
        <v>31200414</v>
      </c>
      <c r="F205" s="9">
        <v>31200112</v>
      </c>
      <c r="G205" s="10" t="s">
        <v>1400</v>
      </c>
      <c r="H205" s="10" t="s">
        <v>563</v>
      </c>
      <c r="I205" s="10"/>
      <c r="J205" s="9">
        <v>198</v>
      </c>
      <c r="K205" s="10" t="s">
        <v>1401</v>
      </c>
      <c r="L205" s="10" t="s">
        <v>267</v>
      </c>
      <c r="M205" s="10" t="s">
        <v>1238</v>
      </c>
      <c r="N205" s="7"/>
    </row>
    <row r="206" s="1" customFormat="1" ht="28.5" customHeight="1" spans="1:14">
      <c r="A206" s="8">
        <v>2004</v>
      </c>
      <c r="B206" s="9">
        <v>200415</v>
      </c>
      <c r="C206" s="9" t="s">
        <v>35</v>
      </c>
      <c r="D206" s="9">
        <v>1500</v>
      </c>
      <c r="E206" s="9">
        <v>31200415</v>
      </c>
      <c r="F206" s="9">
        <v>31200112</v>
      </c>
      <c r="G206" s="10" t="s">
        <v>1402</v>
      </c>
      <c r="H206" s="10" t="s">
        <v>563</v>
      </c>
      <c r="I206" s="10"/>
      <c r="J206" s="9">
        <v>199</v>
      </c>
      <c r="K206" s="10" t="s">
        <v>1403</v>
      </c>
      <c r="L206" s="10" t="s">
        <v>267</v>
      </c>
      <c r="M206" s="10" t="s">
        <v>1238</v>
      </c>
      <c r="N206" s="7"/>
    </row>
    <row r="207" s="1" customFormat="1" ht="28.5" customHeight="1" spans="1:14">
      <c r="A207" s="8">
        <v>2004</v>
      </c>
      <c r="B207" s="9">
        <v>200416</v>
      </c>
      <c r="C207" s="9" t="s">
        <v>35</v>
      </c>
      <c r="D207" s="9">
        <v>1000</v>
      </c>
      <c r="E207" s="9">
        <v>31200416</v>
      </c>
      <c r="F207" s="9">
        <v>31200112</v>
      </c>
      <c r="G207" s="10" t="s">
        <v>1404</v>
      </c>
      <c r="H207" s="10" t="s">
        <v>563</v>
      </c>
      <c r="I207" s="10"/>
      <c r="J207" s="9">
        <v>200</v>
      </c>
      <c r="K207" s="10" t="s">
        <v>1405</v>
      </c>
      <c r="L207" s="10" t="s">
        <v>267</v>
      </c>
      <c r="M207" s="10" t="s">
        <v>1238</v>
      </c>
      <c r="N207" s="7"/>
    </row>
    <row r="208" s="1" customFormat="1" ht="28.5" customHeight="1" spans="1:14">
      <c r="A208" s="8">
        <v>2004</v>
      </c>
      <c r="B208" s="9">
        <v>200417</v>
      </c>
      <c r="C208" s="9" t="s">
        <v>35</v>
      </c>
      <c r="D208" s="9">
        <v>2000</v>
      </c>
      <c r="E208" s="9">
        <v>31200417</v>
      </c>
      <c r="F208" s="9">
        <v>31200117</v>
      </c>
      <c r="G208" s="10" t="s">
        <v>1529</v>
      </c>
      <c r="H208" s="10" t="s">
        <v>563</v>
      </c>
      <c r="I208" s="10" t="s">
        <v>1407</v>
      </c>
      <c r="J208" s="9">
        <v>201</v>
      </c>
      <c r="K208" s="10" t="s">
        <v>1530</v>
      </c>
      <c r="L208" s="10" t="s">
        <v>310</v>
      </c>
      <c r="M208" s="10" t="s">
        <v>1238</v>
      </c>
      <c r="N208" s="7"/>
    </row>
    <row r="209" s="1" customFormat="1" ht="28.5" customHeight="1" spans="1:14">
      <c r="A209" s="8">
        <v>2004</v>
      </c>
      <c r="B209" s="9">
        <v>200418</v>
      </c>
      <c r="C209" s="9" t="s">
        <v>35</v>
      </c>
      <c r="D209" s="9">
        <v>1000</v>
      </c>
      <c r="E209" s="9">
        <v>31200418</v>
      </c>
      <c r="F209" s="9">
        <v>31200117</v>
      </c>
      <c r="G209" s="10" t="s">
        <v>1513</v>
      </c>
      <c r="H209" s="10" t="s">
        <v>563</v>
      </c>
      <c r="I209" s="10" t="s">
        <v>1368</v>
      </c>
      <c r="J209" s="9">
        <v>202</v>
      </c>
      <c r="K209" s="10" t="s">
        <v>1514</v>
      </c>
      <c r="L209" s="10" t="s">
        <v>310</v>
      </c>
      <c r="M209" s="10" t="s">
        <v>1238</v>
      </c>
      <c r="N209" s="7"/>
    </row>
    <row r="210" s="1" customFormat="1" ht="28.5" customHeight="1" spans="1:14">
      <c r="A210" s="8">
        <v>2004</v>
      </c>
      <c r="B210" s="9">
        <v>200419</v>
      </c>
      <c r="C210" s="9" t="s">
        <v>35</v>
      </c>
      <c r="D210" s="9">
        <v>800</v>
      </c>
      <c r="E210" s="9">
        <v>31200419</v>
      </c>
      <c r="F210" s="9">
        <v>31200117</v>
      </c>
      <c r="G210" s="10" t="s">
        <v>1515</v>
      </c>
      <c r="H210" s="10" t="s">
        <v>563</v>
      </c>
      <c r="I210" s="10" t="s">
        <v>1371</v>
      </c>
      <c r="J210" s="9">
        <v>203</v>
      </c>
      <c r="K210" s="10" t="s">
        <v>1516</v>
      </c>
      <c r="L210" s="10" t="s">
        <v>310</v>
      </c>
      <c r="M210" s="10" t="s">
        <v>1238</v>
      </c>
      <c r="N210" s="7"/>
    </row>
    <row r="211" s="1" customFormat="1" ht="28.5" customHeight="1" spans="1:14">
      <c r="A211" s="8">
        <v>2004</v>
      </c>
      <c r="B211" s="9">
        <v>200420</v>
      </c>
      <c r="C211" s="9" t="s">
        <v>35</v>
      </c>
      <c r="D211" s="9">
        <v>600</v>
      </c>
      <c r="E211" s="9">
        <v>31200420</v>
      </c>
      <c r="F211" s="9">
        <v>31200117</v>
      </c>
      <c r="G211" s="10" t="s">
        <v>1515</v>
      </c>
      <c r="H211" s="10" t="s">
        <v>563</v>
      </c>
      <c r="I211" s="10" t="s">
        <v>1371</v>
      </c>
      <c r="J211" s="9">
        <v>204</v>
      </c>
      <c r="K211" s="10" t="s">
        <v>1516</v>
      </c>
      <c r="L211" s="10" t="s">
        <v>310</v>
      </c>
      <c r="M211" s="10" t="s">
        <v>1238</v>
      </c>
      <c r="N211" s="7"/>
    </row>
    <row r="212" s="1" customFormat="1" ht="28.5" customHeight="1" spans="1:14">
      <c r="A212" s="8">
        <v>2004</v>
      </c>
      <c r="B212" s="9">
        <v>200421</v>
      </c>
      <c r="C212" s="9" t="s">
        <v>35</v>
      </c>
      <c r="D212" s="9">
        <v>400</v>
      </c>
      <c r="E212" s="9">
        <v>31200421</v>
      </c>
      <c r="F212" s="9">
        <v>31200117</v>
      </c>
      <c r="G212" s="10" t="s">
        <v>1517</v>
      </c>
      <c r="H212" s="10" t="s">
        <v>563</v>
      </c>
      <c r="I212" s="10" t="s">
        <v>1374</v>
      </c>
      <c r="J212" s="9">
        <v>205</v>
      </c>
      <c r="K212" s="10" t="s">
        <v>1518</v>
      </c>
      <c r="L212" s="10" t="s">
        <v>310</v>
      </c>
      <c r="M212" s="10" t="s">
        <v>1238</v>
      </c>
      <c r="N212" s="7"/>
    </row>
    <row r="213" s="1" customFormat="1" ht="28.5" customHeight="1" spans="1:14">
      <c r="A213" s="8">
        <v>2004</v>
      </c>
      <c r="B213" s="9">
        <v>200422</v>
      </c>
      <c r="C213" s="9" t="s">
        <v>35</v>
      </c>
      <c r="D213" s="9">
        <v>200</v>
      </c>
      <c r="E213" s="9">
        <v>31200422</v>
      </c>
      <c r="F213" s="9">
        <v>31200117</v>
      </c>
      <c r="G213" s="10" t="s">
        <v>1531</v>
      </c>
      <c r="H213" s="10" t="s">
        <v>563</v>
      </c>
      <c r="I213" s="10" t="s">
        <v>1410</v>
      </c>
      <c r="J213" s="9">
        <v>206</v>
      </c>
      <c r="K213" s="10" t="s">
        <v>1532</v>
      </c>
      <c r="L213" s="10" t="s">
        <v>310</v>
      </c>
      <c r="M213" s="10" t="s">
        <v>1238</v>
      </c>
      <c r="N213" s="7"/>
    </row>
    <row r="214" s="1" customFormat="1" ht="28.5" customHeight="1" spans="1:14">
      <c r="A214" s="8"/>
      <c r="B214" s="9"/>
      <c r="C214" s="9"/>
      <c r="D214" s="9"/>
      <c r="E214" s="9"/>
      <c r="F214" s="9"/>
      <c r="G214" s="10"/>
      <c r="H214" s="10"/>
      <c r="I214" s="10" t="s">
        <v>1289</v>
      </c>
      <c r="J214" s="9">
        <v>207</v>
      </c>
      <c r="K214" s="10" t="s">
        <v>1289</v>
      </c>
      <c r="L214" s="10"/>
      <c r="M214" s="10" t="s">
        <v>1290</v>
      </c>
      <c r="N214" s="7"/>
    </row>
    <row r="215" s="1" customFormat="1" ht="28.5" customHeight="1" spans="1:14">
      <c r="A215" s="8">
        <v>2005</v>
      </c>
      <c r="B215" s="9">
        <v>200501</v>
      </c>
      <c r="C215" s="9" t="s">
        <v>36</v>
      </c>
      <c r="D215" s="9">
        <v>2000</v>
      </c>
      <c r="E215" s="9">
        <v>31200501</v>
      </c>
      <c r="F215" s="9">
        <v>31200101</v>
      </c>
      <c r="G215" s="10" t="s">
        <v>1384</v>
      </c>
      <c r="H215" s="10" t="s">
        <v>563</v>
      </c>
      <c r="I215" s="10" t="s">
        <v>1336</v>
      </c>
      <c r="J215" s="9">
        <v>208</v>
      </c>
      <c r="K215" s="10" t="s">
        <v>1385</v>
      </c>
      <c r="L215" s="10" t="s">
        <v>276</v>
      </c>
      <c r="M215" s="10" t="s">
        <v>1238</v>
      </c>
      <c r="N215" s="7"/>
    </row>
    <row r="216" s="1" customFormat="1" ht="28.5" customHeight="1" spans="1:14">
      <c r="A216" s="8">
        <v>2005</v>
      </c>
      <c r="B216" s="9">
        <v>200502</v>
      </c>
      <c r="C216" s="9" t="s">
        <v>36</v>
      </c>
      <c r="D216" s="9">
        <v>1000</v>
      </c>
      <c r="E216" s="9">
        <v>31200502</v>
      </c>
      <c r="F216" s="9">
        <v>31200101</v>
      </c>
      <c r="G216" s="10" t="s">
        <v>1412</v>
      </c>
      <c r="H216" s="10" t="s">
        <v>563</v>
      </c>
      <c r="I216" s="10" t="s">
        <v>1362</v>
      </c>
      <c r="J216" s="9">
        <v>209</v>
      </c>
      <c r="K216" s="10" t="s">
        <v>1413</v>
      </c>
      <c r="L216" s="10" t="s">
        <v>276</v>
      </c>
      <c r="M216" s="10" t="s">
        <v>1238</v>
      </c>
      <c r="N216" s="7"/>
    </row>
    <row r="217" s="1" customFormat="1" ht="28.5" customHeight="1" spans="1:14">
      <c r="A217" s="8">
        <v>2005</v>
      </c>
      <c r="B217" s="9">
        <v>200503</v>
      </c>
      <c r="C217" s="9" t="s">
        <v>36</v>
      </c>
      <c r="D217" s="9">
        <v>800</v>
      </c>
      <c r="E217" s="9">
        <v>31200503</v>
      </c>
      <c r="F217" s="9">
        <v>31200101</v>
      </c>
      <c r="G217" s="10" t="s">
        <v>1414</v>
      </c>
      <c r="H217" s="10" t="s">
        <v>563</v>
      </c>
      <c r="I217" s="10" t="s">
        <v>1365</v>
      </c>
      <c r="J217" s="9">
        <v>210</v>
      </c>
      <c r="K217" s="10" t="s">
        <v>1415</v>
      </c>
      <c r="L217" s="10" t="s">
        <v>276</v>
      </c>
      <c r="M217" s="10" t="s">
        <v>1238</v>
      </c>
      <c r="N217" s="7"/>
    </row>
    <row r="218" s="1" customFormat="1" ht="28.5" customHeight="1" spans="1:14">
      <c r="A218" s="8">
        <v>2005</v>
      </c>
      <c r="B218" s="9">
        <v>200504</v>
      </c>
      <c r="C218" s="9" t="s">
        <v>36</v>
      </c>
      <c r="D218" s="9">
        <v>600</v>
      </c>
      <c r="E218" s="9">
        <v>31200504</v>
      </c>
      <c r="F218" s="9">
        <v>31200101</v>
      </c>
      <c r="G218" s="10" t="s">
        <v>1416</v>
      </c>
      <c r="H218" s="10" t="s">
        <v>563</v>
      </c>
      <c r="I218" s="10" t="s">
        <v>1368</v>
      </c>
      <c r="J218" s="9">
        <v>211</v>
      </c>
      <c r="K218" s="10" t="s">
        <v>1417</v>
      </c>
      <c r="L218" s="10" t="s">
        <v>276</v>
      </c>
      <c r="M218" s="10" t="s">
        <v>1238</v>
      </c>
      <c r="N218" s="7"/>
    </row>
    <row r="219" s="1" customFormat="1" ht="28.5" customHeight="1" spans="1:14">
      <c r="A219" s="8">
        <v>2005</v>
      </c>
      <c r="B219" s="9">
        <v>200505</v>
      </c>
      <c r="C219" s="9" t="s">
        <v>36</v>
      </c>
      <c r="D219" s="9">
        <v>400</v>
      </c>
      <c r="E219" s="9">
        <v>31200505</v>
      </c>
      <c r="F219" s="9">
        <v>31200101</v>
      </c>
      <c r="G219" s="10" t="s">
        <v>1418</v>
      </c>
      <c r="H219" s="10" t="s">
        <v>563</v>
      </c>
      <c r="I219" s="10" t="s">
        <v>1371</v>
      </c>
      <c r="J219" s="9">
        <v>212</v>
      </c>
      <c r="K219" s="10" t="s">
        <v>1419</v>
      </c>
      <c r="L219" s="10" t="s">
        <v>276</v>
      </c>
      <c r="M219" s="10" t="s">
        <v>1238</v>
      </c>
      <c r="N219" s="7"/>
    </row>
    <row r="220" s="1" customFormat="1" ht="28.5" customHeight="1" spans="1:14">
      <c r="A220" s="8">
        <v>2005</v>
      </c>
      <c r="B220" s="9">
        <v>200506</v>
      </c>
      <c r="C220" s="9" t="s">
        <v>36</v>
      </c>
      <c r="D220" s="9">
        <v>200</v>
      </c>
      <c r="E220" s="9">
        <v>31200506</v>
      </c>
      <c r="F220" s="9">
        <v>31200101</v>
      </c>
      <c r="G220" s="10" t="s">
        <v>1420</v>
      </c>
      <c r="H220" s="10" t="s">
        <v>563</v>
      </c>
      <c r="I220" s="10" t="s">
        <v>1374</v>
      </c>
      <c r="J220" s="9">
        <v>213</v>
      </c>
      <c r="K220" s="10" t="s">
        <v>1421</v>
      </c>
      <c r="L220" s="10" t="s">
        <v>276</v>
      </c>
      <c r="M220" s="10" t="s">
        <v>1238</v>
      </c>
      <c r="N220" s="7"/>
    </row>
    <row r="221" s="1" customFormat="1" ht="28.5" customHeight="1" spans="1:14">
      <c r="A221" s="8">
        <v>2005</v>
      </c>
      <c r="B221" s="9">
        <v>200507</v>
      </c>
      <c r="C221" s="9" t="s">
        <v>36</v>
      </c>
      <c r="D221" s="9">
        <v>0</v>
      </c>
      <c r="E221" s="9">
        <v>31200507</v>
      </c>
      <c r="F221" s="9">
        <v>31200107</v>
      </c>
      <c r="G221" s="10" t="s">
        <v>1533</v>
      </c>
      <c r="H221" s="10" t="s">
        <v>563</v>
      </c>
      <c r="I221" s="10"/>
      <c r="J221" s="9">
        <v>214</v>
      </c>
      <c r="K221" s="10" t="s">
        <v>1534</v>
      </c>
      <c r="L221" s="10" t="s">
        <v>314</v>
      </c>
      <c r="M221" s="10" t="s">
        <v>1238</v>
      </c>
      <c r="N221" s="7"/>
    </row>
    <row r="222" s="1" customFormat="1" ht="28.5" customHeight="1" spans="1:14">
      <c r="A222" s="8">
        <v>2005</v>
      </c>
      <c r="B222" s="9">
        <v>200508</v>
      </c>
      <c r="C222" s="9" t="s">
        <v>36</v>
      </c>
      <c r="D222" s="9">
        <v>0</v>
      </c>
      <c r="E222" s="9">
        <v>31200508</v>
      </c>
      <c r="F222" s="9">
        <v>31200107</v>
      </c>
      <c r="G222" s="10" t="s">
        <v>1535</v>
      </c>
      <c r="H222" s="10" t="s">
        <v>563</v>
      </c>
      <c r="I222" s="10"/>
      <c r="J222" s="9">
        <v>215</v>
      </c>
      <c r="K222" s="10" t="s">
        <v>1536</v>
      </c>
      <c r="L222" s="10" t="s">
        <v>314</v>
      </c>
      <c r="M222" s="10" t="s">
        <v>1238</v>
      </c>
      <c r="N222" s="7"/>
    </row>
    <row r="223" s="1" customFormat="1" ht="28.5" customHeight="1" spans="1:14">
      <c r="A223" s="8">
        <v>2005</v>
      </c>
      <c r="B223" s="9">
        <v>200509</v>
      </c>
      <c r="C223" s="9" t="s">
        <v>36</v>
      </c>
      <c r="D223" s="9">
        <v>0</v>
      </c>
      <c r="E223" s="9">
        <v>31200509</v>
      </c>
      <c r="F223" s="9">
        <v>31200107</v>
      </c>
      <c r="G223" s="10" t="s">
        <v>1537</v>
      </c>
      <c r="H223" s="10" t="s">
        <v>563</v>
      </c>
      <c r="I223" s="10"/>
      <c r="J223" s="9">
        <v>216</v>
      </c>
      <c r="K223" s="10" t="s">
        <v>1538</v>
      </c>
      <c r="L223" s="10" t="s">
        <v>314</v>
      </c>
      <c r="M223" s="10" t="s">
        <v>1238</v>
      </c>
      <c r="N223" s="7"/>
    </row>
    <row r="224" s="1" customFormat="1" ht="28.5" customHeight="1" spans="1:14">
      <c r="A224" s="8">
        <v>2005</v>
      </c>
      <c r="B224" s="9">
        <v>200510</v>
      </c>
      <c r="C224" s="9" t="s">
        <v>36</v>
      </c>
      <c r="D224" s="9">
        <v>0</v>
      </c>
      <c r="E224" s="9">
        <v>31200510</v>
      </c>
      <c r="F224" s="9">
        <v>31200107</v>
      </c>
      <c r="G224" s="10" t="s">
        <v>1539</v>
      </c>
      <c r="H224" s="10" t="s">
        <v>563</v>
      </c>
      <c r="I224" s="10"/>
      <c r="J224" s="9">
        <v>217</v>
      </c>
      <c r="K224" s="10" t="s">
        <v>1540</v>
      </c>
      <c r="L224" s="10" t="s">
        <v>314</v>
      </c>
      <c r="M224" s="10" t="s">
        <v>1238</v>
      </c>
      <c r="N224" s="7"/>
    </row>
    <row r="225" s="1" customFormat="1" ht="28.5" customHeight="1" spans="1:14">
      <c r="A225" s="8">
        <v>2005</v>
      </c>
      <c r="B225" s="9">
        <v>200511</v>
      </c>
      <c r="C225" s="9" t="s">
        <v>36</v>
      </c>
      <c r="D225" s="9">
        <v>0</v>
      </c>
      <c r="E225" s="9">
        <v>31200511</v>
      </c>
      <c r="F225" s="9">
        <v>31200107</v>
      </c>
      <c r="G225" s="10" t="s">
        <v>1541</v>
      </c>
      <c r="H225" s="10" t="s">
        <v>563</v>
      </c>
      <c r="I225" s="10"/>
      <c r="J225" s="9">
        <v>218</v>
      </c>
      <c r="K225" s="10" t="s">
        <v>1542</v>
      </c>
      <c r="L225" s="10" t="s">
        <v>314</v>
      </c>
      <c r="M225" s="10" t="s">
        <v>1238</v>
      </c>
      <c r="N225" s="7"/>
    </row>
    <row r="226" s="1" customFormat="1" ht="28.5" customHeight="1" spans="1:14">
      <c r="A226" s="8">
        <v>2005</v>
      </c>
      <c r="B226" s="9">
        <v>200512</v>
      </c>
      <c r="C226" s="9" t="s">
        <v>36</v>
      </c>
      <c r="D226" s="9">
        <v>3000</v>
      </c>
      <c r="E226" s="9">
        <v>31200512</v>
      </c>
      <c r="F226" s="9">
        <v>31200112</v>
      </c>
      <c r="G226" s="10" t="s">
        <v>1432</v>
      </c>
      <c r="H226" s="10" t="s">
        <v>563</v>
      </c>
      <c r="I226" s="10"/>
      <c r="J226" s="9">
        <v>219</v>
      </c>
      <c r="K226" s="10" t="s">
        <v>1433</v>
      </c>
      <c r="L226" s="10" t="s">
        <v>275</v>
      </c>
      <c r="M226" s="10" t="s">
        <v>1238</v>
      </c>
      <c r="N226" s="7"/>
    </row>
    <row r="227" s="1" customFormat="1" ht="28.5" customHeight="1" spans="1:14">
      <c r="A227" s="8">
        <v>2005</v>
      </c>
      <c r="B227" s="9">
        <v>200513</v>
      </c>
      <c r="C227" s="9" t="s">
        <v>36</v>
      </c>
      <c r="D227" s="9">
        <v>2500</v>
      </c>
      <c r="E227" s="9">
        <v>31200513</v>
      </c>
      <c r="F227" s="9">
        <v>31200112</v>
      </c>
      <c r="G227" s="10" t="s">
        <v>1434</v>
      </c>
      <c r="H227" s="10" t="s">
        <v>563</v>
      </c>
      <c r="I227" s="10"/>
      <c r="J227" s="9">
        <v>220</v>
      </c>
      <c r="K227" s="10" t="s">
        <v>1435</v>
      </c>
      <c r="L227" s="10" t="s">
        <v>275</v>
      </c>
      <c r="M227" s="10" t="s">
        <v>1238</v>
      </c>
      <c r="N227" s="7"/>
    </row>
    <row r="228" s="1" customFormat="1" ht="28.5" customHeight="1" spans="1:14">
      <c r="A228" s="8">
        <v>2005</v>
      </c>
      <c r="B228" s="9">
        <v>200514</v>
      </c>
      <c r="C228" s="9" t="s">
        <v>36</v>
      </c>
      <c r="D228" s="9">
        <v>2000</v>
      </c>
      <c r="E228" s="9">
        <v>31200514</v>
      </c>
      <c r="F228" s="9">
        <v>31200112</v>
      </c>
      <c r="G228" s="10" t="s">
        <v>1436</v>
      </c>
      <c r="H228" s="10" t="s">
        <v>563</v>
      </c>
      <c r="I228" s="10"/>
      <c r="J228" s="9">
        <v>221</v>
      </c>
      <c r="K228" s="10" t="s">
        <v>1437</v>
      </c>
      <c r="L228" s="10" t="s">
        <v>275</v>
      </c>
      <c r="M228" s="10" t="s">
        <v>1238</v>
      </c>
      <c r="N228" s="7"/>
    </row>
    <row r="229" s="1" customFormat="1" ht="28.5" customHeight="1" spans="1:14">
      <c r="A229" s="8">
        <v>2005</v>
      </c>
      <c r="B229" s="9">
        <v>200515</v>
      </c>
      <c r="C229" s="9" t="s">
        <v>36</v>
      </c>
      <c r="D229" s="9">
        <v>1500</v>
      </c>
      <c r="E229" s="9">
        <v>31200515</v>
      </c>
      <c r="F229" s="9">
        <v>31200112</v>
      </c>
      <c r="G229" s="10" t="s">
        <v>1438</v>
      </c>
      <c r="H229" s="10" t="s">
        <v>563</v>
      </c>
      <c r="I229" s="10"/>
      <c r="J229" s="9">
        <v>222</v>
      </c>
      <c r="K229" s="10" t="s">
        <v>1439</v>
      </c>
      <c r="L229" s="10" t="s">
        <v>275</v>
      </c>
      <c r="M229" s="10" t="s">
        <v>1238</v>
      </c>
      <c r="N229" s="7"/>
    </row>
    <row r="230" s="1" customFormat="1" ht="28.5" customHeight="1" spans="1:14">
      <c r="A230" s="8">
        <v>2005</v>
      </c>
      <c r="B230" s="9">
        <v>200516</v>
      </c>
      <c r="C230" s="9" t="s">
        <v>36</v>
      </c>
      <c r="D230" s="9">
        <v>1000</v>
      </c>
      <c r="E230" s="9">
        <v>31200516</v>
      </c>
      <c r="F230" s="9">
        <v>31200112</v>
      </c>
      <c r="G230" s="10" t="s">
        <v>1440</v>
      </c>
      <c r="H230" s="10" t="s">
        <v>563</v>
      </c>
      <c r="I230" s="10"/>
      <c r="J230" s="9">
        <v>223</v>
      </c>
      <c r="K230" s="10" t="s">
        <v>1441</v>
      </c>
      <c r="L230" s="10" t="s">
        <v>275</v>
      </c>
      <c r="M230" s="10" t="s">
        <v>1238</v>
      </c>
      <c r="N230" s="7"/>
    </row>
    <row r="231" s="1" customFormat="1" ht="28.5" customHeight="1" spans="1:14">
      <c r="A231" s="8">
        <v>2005</v>
      </c>
      <c r="B231" s="9">
        <v>200517</v>
      </c>
      <c r="C231" s="9" t="s">
        <v>36</v>
      </c>
      <c r="D231" s="9">
        <v>2000</v>
      </c>
      <c r="E231" s="9">
        <v>31200517</v>
      </c>
      <c r="F231" s="9">
        <v>31200117</v>
      </c>
      <c r="G231" s="10" t="s">
        <v>1531</v>
      </c>
      <c r="H231" s="10" t="s">
        <v>563</v>
      </c>
      <c r="I231" s="10" t="s">
        <v>1410</v>
      </c>
      <c r="J231" s="9">
        <v>224</v>
      </c>
      <c r="K231" s="10" t="s">
        <v>1532</v>
      </c>
      <c r="L231" s="10" t="s">
        <v>315</v>
      </c>
      <c r="M231" s="10" t="s">
        <v>1238</v>
      </c>
      <c r="N231" s="7"/>
    </row>
    <row r="232" s="1" customFormat="1" ht="28.5" customHeight="1" spans="1:14">
      <c r="A232" s="8">
        <v>2005</v>
      </c>
      <c r="B232" s="9">
        <v>200518</v>
      </c>
      <c r="C232" s="9" t="s">
        <v>36</v>
      </c>
      <c r="D232" s="9">
        <v>1000</v>
      </c>
      <c r="E232" s="9">
        <v>31200518</v>
      </c>
      <c r="F232" s="9">
        <v>31200117</v>
      </c>
      <c r="G232" s="10" t="s">
        <v>1543</v>
      </c>
      <c r="H232" s="10" t="s">
        <v>563</v>
      </c>
      <c r="I232" s="10" t="s">
        <v>1443</v>
      </c>
      <c r="J232" s="9">
        <v>225</v>
      </c>
      <c r="K232" s="10" t="s">
        <v>1544</v>
      </c>
      <c r="L232" s="10" t="s">
        <v>315</v>
      </c>
      <c r="M232" s="10" t="s">
        <v>1238</v>
      </c>
      <c r="N232" s="7"/>
    </row>
    <row r="233" s="1" customFormat="1" ht="28.5" customHeight="1" spans="1:14">
      <c r="A233" s="8">
        <v>2005</v>
      </c>
      <c r="B233" s="9">
        <v>200519</v>
      </c>
      <c r="C233" s="9" t="s">
        <v>36</v>
      </c>
      <c r="D233" s="9">
        <v>800</v>
      </c>
      <c r="E233" s="9">
        <v>31200519</v>
      </c>
      <c r="F233" s="9">
        <v>31200117</v>
      </c>
      <c r="G233" s="10" t="s">
        <v>1545</v>
      </c>
      <c r="H233" s="10" t="s">
        <v>563</v>
      </c>
      <c r="I233" s="10" t="s">
        <v>1446</v>
      </c>
      <c r="J233" s="9">
        <v>226</v>
      </c>
      <c r="K233" s="10" t="s">
        <v>1546</v>
      </c>
      <c r="L233" s="10" t="s">
        <v>315</v>
      </c>
      <c r="M233" s="10" t="s">
        <v>1238</v>
      </c>
      <c r="N233" s="7"/>
    </row>
    <row r="234" s="1" customFormat="1" ht="28.5" customHeight="1" spans="1:14">
      <c r="A234" s="8">
        <v>2005</v>
      </c>
      <c r="B234" s="9">
        <v>200520</v>
      </c>
      <c r="C234" s="9" t="s">
        <v>36</v>
      </c>
      <c r="D234" s="9">
        <v>600</v>
      </c>
      <c r="E234" s="9">
        <v>31200520</v>
      </c>
      <c r="F234" s="9">
        <v>31200117</v>
      </c>
      <c r="G234" s="10" t="s">
        <v>1547</v>
      </c>
      <c r="H234" s="10" t="s">
        <v>563</v>
      </c>
      <c r="I234" s="10" t="s">
        <v>1449</v>
      </c>
      <c r="J234" s="9">
        <v>227</v>
      </c>
      <c r="K234" s="10" t="s">
        <v>1548</v>
      </c>
      <c r="L234" s="10" t="s">
        <v>315</v>
      </c>
      <c r="M234" s="10" t="s">
        <v>1238</v>
      </c>
      <c r="N234" s="7"/>
    </row>
    <row r="235" s="1" customFormat="1" ht="28.5" customHeight="1" spans="1:14">
      <c r="A235" s="8">
        <v>2005</v>
      </c>
      <c r="B235" s="9">
        <v>200521</v>
      </c>
      <c r="C235" s="9" t="s">
        <v>36</v>
      </c>
      <c r="D235" s="9">
        <v>400</v>
      </c>
      <c r="E235" s="9">
        <v>31200521</v>
      </c>
      <c r="F235" s="9">
        <v>31200117</v>
      </c>
      <c r="G235" s="10" t="s">
        <v>1549</v>
      </c>
      <c r="H235" s="10" t="s">
        <v>563</v>
      </c>
      <c r="I235" s="10" t="s">
        <v>1452</v>
      </c>
      <c r="J235" s="9">
        <v>228</v>
      </c>
      <c r="K235" s="10" t="s">
        <v>1550</v>
      </c>
      <c r="L235" s="10" t="s">
        <v>315</v>
      </c>
      <c r="M235" s="10" t="s">
        <v>1238</v>
      </c>
      <c r="N235" s="7"/>
    </row>
    <row r="236" s="1" customFormat="1" ht="28.5" customHeight="1" spans="1:14">
      <c r="A236" s="8">
        <v>2005</v>
      </c>
      <c r="B236" s="9">
        <v>200522</v>
      </c>
      <c r="C236" s="9" t="s">
        <v>36</v>
      </c>
      <c r="D236" s="9">
        <v>200</v>
      </c>
      <c r="E236" s="9">
        <v>31200522</v>
      </c>
      <c r="F236" s="9">
        <v>31200117</v>
      </c>
      <c r="G236" s="10" t="s">
        <v>1551</v>
      </c>
      <c r="H236" s="10" t="s">
        <v>563</v>
      </c>
      <c r="I236" s="10" t="s">
        <v>1455</v>
      </c>
      <c r="J236" s="9">
        <v>229</v>
      </c>
      <c r="K236" s="10" t="s">
        <v>1552</v>
      </c>
      <c r="L236" s="10" t="s">
        <v>315</v>
      </c>
      <c r="M236" s="10" t="s">
        <v>1238</v>
      </c>
      <c r="N236" s="7"/>
    </row>
    <row r="237" s="1" customFormat="1" ht="28.5" customHeight="1" spans="1:14">
      <c r="A237" s="8"/>
      <c r="B237" s="9"/>
      <c r="C237" s="9"/>
      <c r="D237" s="9"/>
      <c r="E237" s="9"/>
      <c r="F237" s="9"/>
      <c r="G237" s="10"/>
      <c r="H237" s="10"/>
      <c r="I237" s="10" t="s">
        <v>1289</v>
      </c>
      <c r="J237" s="9">
        <v>230</v>
      </c>
      <c r="K237" s="10" t="s">
        <v>1289</v>
      </c>
      <c r="L237" s="10"/>
      <c r="M237" s="10" t="s">
        <v>1290</v>
      </c>
      <c r="N237" s="7"/>
    </row>
    <row r="238" s="1" customFormat="1" ht="28.5" customHeight="1" spans="1:14">
      <c r="A238" s="8">
        <v>3001</v>
      </c>
      <c r="B238" s="9">
        <v>300101</v>
      </c>
      <c r="C238" s="9" t="s">
        <v>32</v>
      </c>
      <c r="D238" s="9">
        <v>2000</v>
      </c>
      <c r="E238" s="9">
        <v>31300101</v>
      </c>
      <c r="F238" s="9">
        <v>31300101</v>
      </c>
      <c r="G238" s="10" t="s">
        <v>1235</v>
      </c>
      <c r="H238" s="10" t="s">
        <v>563</v>
      </c>
      <c r="I238" s="10" t="s">
        <v>1236</v>
      </c>
      <c r="J238" s="9">
        <v>231</v>
      </c>
      <c r="K238" s="10" t="s">
        <v>1237</v>
      </c>
      <c r="L238" s="10" t="s">
        <v>221</v>
      </c>
      <c r="M238" s="10" t="s">
        <v>1238</v>
      </c>
      <c r="N238" s="7"/>
    </row>
    <row r="239" s="1" customFormat="1" ht="28.5" customHeight="1" spans="1:14">
      <c r="A239" s="8">
        <v>3001</v>
      </c>
      <c r="B239" s="9">
        <v>300102</v>
      </c>
      <c r="C239" s="9" t="s">
        <v>32</v>
      </c>
      <c r="D239" s="9">
        <v>1000</v>
      </c>
      <c r="E239" s="9">
        <v>31300102</v>
      </c>
      <c r="F239" s="9">
        <v>31300101</v>
      </c>
      <c r="G239" s="10" t="s">
        <v>1239</v>
      </c>
      <c r="H239" s="10" t="s">
        <v>563</v>
      </c>
      <c r="I239" s="10" t="s">
        <v>1240</v>
      </c>
      <c r="J239" s="9">
        <v>232</v>
      </c>
      <c r="K239" s="10" t="s">
        <v>1241</v>
      </c>
      <c r="L239" s="10" t="s">
        <v>221</v>
      </c>
      <c r="M239" s="10" t="s">
        <v>1238</v>
      </c>
      <c r="N239" s="7"/>
    </row>
    <row r="240" s="1" customFormat="1" ht="28.5" customHeight="1" spans="1:14">
      <c r="A240" s="8">
        <v>3001</v>
      </c>
      <c r="B240" s="9">
        <v>300103</v>
      </c>
      <c r="C240" s="9" t="s">
        <v>32</v>
      </c>
      <c r="D240" s="9">
        <v>800</v>
      </c>
      <c r="E240" s="9">
        <v>31300103</v>
      </c>
      <c r="F240" s="9">
        <v>31300101</v>
      </c>
      <c r="G240" s="10" t="s">
        <v>1242</v>
      </c>
      <c r="H240" s="10" t="s">
        <v>563</v>
      </c>
      <c r="I240" s="10" t="s">
        <v>1243</v>
      </c>
      <c r="J240" s="9">
        <v>233</v>
      </c>
      <c r="K240" s="10" t="s">
        <v>1244</v>
      </c>
      <c r="L240" s="10" t="s">
        <v>221</v>
      </c>
      <c r="M240" s="10" t="s">
        <v>1238</v>
      </c>
      <c r="N240" s="7"/>
    </row>
    <row r="241" s="1" customFormat="1" ht="28.5" customHeight="1" spans="1:14">
      <c r="A241" s="8">
        <v>3001</v>
      </c>
      <c r="B241" s="9">
        <v>300104</v>
      </c>
      <c r="C241" s="9" t="s">
        <v>32</v>
      </c>
      <c r="D241" s="9">
        <v>600</v>
      </c>
      <c r="E241" s="9">
        <v>31300104</v>
      </c>
      <c r="F241" s="9">
        <v>31300101</v>
      </c>
      <c r="G241" s="10" t="s">
        <v>1245</v>
      </c>
      <c r="H241" s="10" t="s">
        <v>563</v>
      </c>
      <c r="I241" s="10" t="s">
        <v>1246</v>
      </c>
      <c r="J241" s="9">
        <v>234</v>
      </c>
      <c r="K241" s="10" t="s">
        <v>1247</v>
      </c>
      <c r="L241" s="10" t="s">
        <v>221</v>
      </c>
      <c r="M241" s="10" t="s">
        <v>1238</v>
      </c>
      <c r="N241" s="7"/>
    </row>
    <row r="242" s="1" customFormat="1" ht="28.5" customHeight="1" spans="1:14">
      <c r="A242" s="8">
        <v>3001</v>
      </c>
      <c r="B242" s="9">
        <v>300105</v>
      </c>
      <c r="C242" s="9" t="s">
        <v>32</v>
      </c>
      <c r="D242" s="9">
        <v>400</v>
      </c>
      <c r="E242" s="9">
        <v>31300105</v>
      </c>
      <c r="F242" s="9">
        <v>31300101</v>
      </c>
      <c r="G242" s="10" t="s">
        <v>1248</v>
      </c>
      <c r="H242" s="10" t="s">
        <v>563</v>
      </c>
      <c r="I242" s="10" t="s">
        <v>1249</v>
      </c>
      <c r="J242" s="9">
        <v>235</v>
      </c>
      <c r="K242" s="10" t="s">
        <v>1250</v>
      </c>
      <c r="L242" s="10" t="s">
        <v>221</v>
      </c>
      <c r="M242" s="10" t="s">
        <v>1238</v>
      </c>
      <c r="N242" s="7"/>
    </row>
    <row r="243" s="1" customFormat="1" ht="28.5" customHeight="1" spans="1:14">
      <c r="A243" s="8">
        <v>3001</v>
      </c>
      <c r="B243" s="9">
        <v>300106</v>
      </c>
      <c r="C243" s="9" t="s">
        <v>32</v>
      </c>
      <c r="D243" s="9">
        <v>200</v>
      </c>
      <c r="E243" s="9">
        <v>31300106</v>
      </c>
      <c r="F243" s="9">
        <v>31300101</v>
      </c>
      <c r="G243" s="10" t="s">
        <v>1248</v>
      </c>
      <c r="H243" s="10" t="s">
        <v>563</v>
      </c>
      <c r="I243" s="10" t="s">
        <v>1249</v>
      </c>
      <c r="J243" s="9">
        <v>236</v>
      </c>
      <c r="K243" s="10" t="s">
        <v>1250</v>
      </c>
      <c r="L243" s="10" t="s">
        <v>221</v>
      </c>
      <c r="M243" s="10" t="s">
        <v>1238</v>
      </c>
      <c r="N243" s="7"/>
    </row>
    <row r="244" s="1" customFormat="1" ht="28.5" customHeight="1" spans="1:14">
      <c r="A244" s="8">
        <v>3001</v>
      </c>
      <c r="B244" s="9">
        <v>300107</v>
      </c>
      <c r="C244" s="9" t="s">
        <v>32</v>
      </c>
      <c r="D244" s="9">
        <v>0</v>
      </c>
      <c r="E244" s="9">
        <v>31300107</v>
      </c>
      <c r="F244" s="9">
        <v>31300107</v>
      </c>
      <c r="G244" s="10" t="s">
        <v>1553</v>
      </c>
      <c r="H244" s="10" t="s">
        <v>563</v>
      </c>
      <c r="I244" s="10"/>
      <c r="J244" s="9">
        <v>237</v>
      </c>
      <c r="K244" s="10" t="s">
        <v>1554</v>
      </c>
      <c r="L244" s="10" t="s">
        <v>321</v>
      </c>
      <c r="M244" s="10" t="s">
        <v>1238</v>
      </c>
      <c r="N244" s="7"/>
    </row>
    <row r="245" s="1" customFormat="1" ht="28.5" customHeight="1" spans="1:14">
      <c r="A245" s="8">
        <v>3001</v>
      </c>
      <c r="B245" s="9">
        <v>300108</v>
      </c>
      <c r="C245" s="9" t="s">
        <v>32</v>
      </c>
      <c r="D245" s="9">
        <v>0</v>
      </c>
      <c r="E245" s="9">
        <v>31300108</v>
      </c>
      <c r="F245" s="9">
        <v>31300107</v>
      </c>
      <c r="G245" s="10" t="s">
        <v>1555</v>
      </c>
      <c r="H245" s="10" t="s">
        <v>563</v>
      </c>
      <c r="I245" s="10"/>
      <c r="J245" s="9">
        <v>238</v>
      </c>
      <c r="K245" s="10" t="s">
        <v>1556</v>
      </c>
      <c r="L245" s="10" t="s">
        <v>321</v>
      </c>
      <c r="M245" s="10" t="s">
        <v>1238</v>
      </c>
      <c r="N245" s="7"/>
    </row>
    <row r="246" s="1" customFormat="1" ht="28.5" customHeight="1" spans="1:14">
      <c r="A246" s="8">
        <v>3001</v>
      </c>
      <c r="B246" s="9">
        <v>300109</v>
      </c>
      <c r="C246" s="9" t="s">
        <v>32</v>
      </c>
      <c r="D246" s="9">
        <v>0</v>
      </c>
      <c r="E246" s="9">
        <v>31300109</v>
      </c>
      <c r="F246" s="9">
        <v>31300107</v>
      </c>
      <c r="G246" s="10" t="s">
        <v>1557</v>
      </c>
      <c r="H246" s="10" t="s">
        <v>563</v>
      </c>
      <c r="I246" s="10"/>
      <c r="J246" s="9">
        <v>239</v>
      </c>
      <c r="K246" s="10" t="s">
        <v>1558</v>
      </c>
      <c r="L246" s="10" t="s">
        <v>321</v>
      </c>
      <c r="M246" s="10" t="s">
        <v>1238</v>
      </c>
      <c r="N246" s="7"/>
    </row>
    <row r="247" s="1" customFormat="1" ht="28.5" customHeight="1" spans="1:14">
      <c r="A247" s="8">
        <v>3001</v>
      </c>
      <c r="B247" s="9">
        <v>300110</v>
      </c>
      <c r="C247" s="9" t="s">
        <v>32</v>
      </c>
      <c r="D247" s="9">
        <v>0</v>
      </c>
      <c r="E247" s="9">
        <v>31300110</v>
      </c>
      <c r="F247" s="9">
        <v>31300107</v>
      </c>
      <c r="G247" s="10" t="s">
        <v>1559</v>
      </c>
      <c r="H247" s="10" t="s">
        <v>563</v>
      </c>
      <c r="I247" s="10"/>
      <c r="J247" s="9">
        <v>240</v>
      </c>
      <c r="K247" s="10" t="s">
        <v>1560</v>
      </c>
      <c r="L247" s="10" t="s">
        <v>321</v>
      </c>
      <c r="M247" s="10" t="s">
        <v>1238</v>
      </c>
      <c r="N247" s="7"/>
    </row>
    <row r="248" s="1" customFormat="1" ht="28.5" customHeight="1" spans="1:14">
      <c r="A248" s="8">
        <v>3001</v>
      </c>
      <c r="B248" s="9">
        <v>300111</v>
      </c>
      <c r="C248" s="9" t="s">
        <v>32</v>
      </c>
      <c r="D248" s="9">
        <v>0</v>
      </c>
      <c r="E248" s="9">
        <v>31300111</v>
      </c>
      <c r="F248" s="9">
        <v>31300107</v>
      </c>
      <c r="G248" s="10" t="s">
        <v>1561</v>
      </c>
      <c r="H248" s="10" t="s">
        <v>563</v>
      </c>
      <c r="I248" s="10"/>
      <c r="J248" s="9">
        <v>241</v>
      </c>
      <c r="K248" s="10" t="s">
        <v>1562</v>
      </c>
      <c r="L248" s="10" t="s">
        <v>321</v>
      </c>
      <c r="M248" s="10" t="s">
        <v>1238</v>
      </c>
      <c r="N248" s="7"/>
    </row>
    <row r="249" s="1" customFormat="1" ht="28.5" customHeight="1" spans="1:14">
      <c r="A249" s="8">
        <v>3001</v>
      </c>
      <c r="B249" s="9">
        <v>300112</v>
      </c>
      <c r="C249" s="9" t="s">
        <v>32</v>
      </c>
      <c r="D249" s="9">
        <v>3000</v>
      </c>
      <c r="E249" s="9">
        <v>31300112</v>
      </c>
      <c r="F249" s="9">
        <v>31300112</v>
      </c>
      <c r="G249" s="10" t="s">
        <v>1261</v>
      </c>
      <c r="H249" s="10" t="s">
        <v>563</v>
      </c>
      <c r="I249" s="10"/>
      <c r="J249" s="9">
        <v>242</v>
      </c>
      <c r="K249" s="10" t="s">
        <v>1262</v>
      </c>
      <c r="L249" s="10" t="s">
        <v>218</v>
      </c>
      <c r="M249" s="10" t="s">
        <v>1238</v>
      </c>
      <c r="N249" s="7"/>
    </row>
    <row r="250" s="1" customFormat="1" ht="28.5" customHeight="1" spans="1:14">
      <c r="A250" s="8">
        <v>3001</v>
      </c>
      <c r="B250" s="9">
        <v>300113</v>
      </c>
      <c r="C250" s="9" t="s">
        <v>32</v>
      </c>
      <c r="D250" s="9">
        <v>2500</v>
      </c>
      <c r="E250" s="9">
        <v>31300113</v>
      </c>
      <c r="F250" s="9">
        <v>31300112</v>
      </c>
      <c r="G250" s="10" t="s">
        <v>1263</v>
      </c>
      <c r="H250" s="10" t="s">
        <v>563</v>
      </c>
      <c r="I250" s="10"/>
      <c r="J250" s="9">
        <v>243</v>
      </c>
      <c r="K250" s="10" t="s">
        <v>1264</v>
      </c>
      <c r="L250" s="10" t="s">
        <v>218</v>
      </c>
      <c r="M250" s="10" t="s">
        <v>1238</v>
      </c>
      <c r="N250" s="7"/>
    </row>
    <row r="251" s="1" customFormat="1" ht="28.5" customHeight="1" spans="1:14">
      <c r="A251" s="8">
        <v>3001</v>
      </c>
      <c r="B251" s="9">
        <v>300114</v>
      </c>
      <c r="C251" s="9" t="s">
        <v>32</v>
      </c>
      <c r="D251" s="9">
        <v>2000</v>
      </c>
      <c r="E251" s="9">
        <v>31300114</v>
      </c>
      <c r="F251" s="9">
        <v>31300112</v>
      </c>
      <c r="G251" s="10" t="s">
        <v>1265</v>
      </c>
      <c r="H251" s="10" t="s">
        <v>563</v>
      </c>
      <c r="I251" s="10"/>
      <c r="J251" s="9">
        <v>244</v>
      </c>
      <c r="K251" s="10" t="s">
        <v>1266</v>
      </c>
      <c r="L251" s="10" t="s">
        <v>218</v>
      </c>
      <c r="M251" s="10" t="s">
        <v>1238</v>
      </c>
      <c r="N251" s="7"/>
    </row>
    <row r="252" s="1" customFormat="1" ht="28.5" customHeight="1" spans="1:14">
      <c r="A252" s="8">
        <v>3001</v>
      </c>
      <c r="B252" s="9">
        <v>300115</v>
      </c>
      <c r="C252" s="9" t="s">
        <v>32</v>
      </c>
      <c r="D252" s="9">
        <v>1500</v>
      </c>
      <c r="E252" s="9">
        <v>31300115</v>
      </c>
      <c r="F252" s="9">
        <v>31300112</v>
      </c>
      <c r="G252" s="10" t="s">
        <v>1267</v>
      </c>
      <c r="H252" s="10" t="s">
        <v>563</v>
      </c>
      <c r="I252" s="10"/>
      <c r="J252" s="9">
        <v>245</v>
      </c>
      <c r="K252" s="10" t="s">
        <v>1268</v>
      </c>
      <c r="L252" s="10" t="s">
        <v>218</v>
      </c>
      <c r="M252" s="10" t="s">
        <v>1238</v>
      </c>
      <c r="N252" s="7"/>
    </row>
    <row r="253" s="1" customFormat="1" ht="28.5" customHeight="1" spans="1:14">
      <c r="A253" s="8">
        <v>3001</v>
      </c>
      <c r="B253" s="9">
        <v>300116</v>
      </c>
      <c r="C253" s="9" t="s">
        <v>32</v>
      </c>
      <c r="D253" s="9">
        <v>1000</v>
      </c>
      <c r="E253" s="9">
        <v>31300116</v>
      </c>
      <c r="F253" s="9">
        <v>31300112</v>
      </c>
      <c r="G253" s="10" t="s">
        <v>1269</v>
      </c>
      <c r="H253" s="10" t="s">
        <v>563</v>
      </c>
      <c r="I253" s="10"/>
      <c r="J253" s="9">
        <v>246</v>
      </c>
      <c r="K253" s="10" t="s">
        <v>1270</v>
      </c>
      <c r="L253" s="10" t="s">
        <v>218</v>
      </c>
      <c r="M253" s="10" t="s">
        <v>1238</v>
      </c>
      <c r="N253" s="7"/>
    </row>
    <row r="254" s="1" customFormat="1" ht="28.5" customHeight="1" spans="1:14">
      <c r="A254" s="8">
        <v>3001</v>
      </c>
      <c r="B254" s="9">
        <v>300117</v>
      </c>
      <c r="C254" s="9" t="s">
        <v>32</v>
      </c>
      <c r="D254" s="9">
        <v>2000</v>
      </c>
      <c r="E254" s="9">
        <v>31300117</v>
      </c>
      <c r="F254" s="9">
        <v>31300117</v>
      </c>
      <c r="G254" s="10" t="s">
        <v>1563</v>
      </c>
      <c r="H254" s="10" t="s">
        <v>563</v>
      </c>
      <c r="I254" s="10" t="s">
        <v>1272</v>
      </c>
      <c r="J254" s="9">
        <v>247</v>
      </c>
      <c r="K254" s="10" t="s">
        <v>1564</v>
      </c>
      <c r="L254" s="10" t="s">
        <v>324</v>
      </c>
      <c r="M254" s="10" t="s">
        <v>1238</v>
      </c>
      <c r="N254" s="7"/>
    </row>
    <row r="255" s="1" customFormat="1" ht="28.5" customHeight="1" spans="1:14">
      <c r="A255" s="8">
        <v>3001</v>
      </c>
      <c r="B255" s="9">
        <v>300118</v>
      </c>
      <c r="C255" s="9" t="s">
        <v>32</v>
      </c>
      <c r="D255" s="9">
        <v>1000</v>
      </c>
      <c r="E255" s="9">
        <v>31300118</v>
      </c>
      <c r="F255" s="9">
        <v>31300117</v>
      </c>
      <c r="G255" s="10" t="s">
        <v>1565</v>
      </c>
      <c r="H255" s="10" t="s">
        <v>563</v>
      </c>
      <c r="I255" s="10" t="s">
        <v>1275</v>
      </c>
      <c r="J255" s="9">
        <v>248</v>
      </c>
      <c r="K255" s="10" t="s">
        <v>1566</v>
      </c>
      <c r="L255" s="10" t="s">
        <v>324</v>
      </c>
      <c r="M255" s="10" t="s">
        <v>1238</v>
      </c>
      <c r="N255" s="7"/>
    </row>
    <row r="256" s="1" customFormat="1" ht="28.5" customHeight="1" spans="1:14">
      <c r="A256" s="8">
        <v>3001</v>
      </c>
      <c r="B256" s="9">
        <v>300119</v>
      </c>
      <c r="C256" s="9" t="s">
        <v>32</v>
      </c>
      <c r="D256" s="9">
        <v>800</v>
      </c>
      <c r="E256" s="9">
        <v>31300119</v>
      </c>
      <c r="F256" s="9">
        <v>31300117</v>
      </c>
      <c r="G256" s="10" t="s">
        <v>1567</v>
      </c>
      <c r="H256" s="10" t="s">
        <v>563</v>
      </c>
      <c r="I256" s="10" t="s">
        <v>1278</v>
      </c>
      <c r="J256" s="9">
        <v>249</v>
      </c>
      <c r="K256" s="10" t="s">
        <v>1568</v>
      </c>
      <c r="L256" s="10" t="s">
        <v>324</v>
      </c>
      <c r="M256" s="10" t="s">
        <v>1238</v>
      </c>
      <c r="N256" s="7"/>
    </row>
    <row r="257" s="1" customFormat="1" ht="28.5" customHeight="1" spans="1:14">
      <c r="A257" s="8">
        <v>3001</v>
      </c>
      <c r="B257" s="9">
        <v>300120</v>
      </c>
      <c r="C257" s="9" t="s">
        <v>32</v>
      </c>
      <c r="D257" s="9">
        <v>600</v>
      </c>
      <c r="E257" s="9">
        <v>31300120</v>
      </c>
      <c r="F257" s="9">
        <v>31300117</v>
      </c>
      <c r="G257" s="10" t="s">
        <v>1569</v>
      </c>
      <c r="H257" s="10" t="s">
        <v>563</v>
      </c>
      <c r="I257" s="10" t="s">
        <v>1281</v>
      </c>
      <c r="J257" s="9">
        <v>250</v>
      </c>
      <c r="K257" s="10" t="s">
        <v>1570</v>
      </c>
      <c r="L257" s="10" t="s">
        <v>324</v>
      </c>
      <c r="M257" s="10" t="s">
        <v>1238</v>
      </c>
      <c r="N257" s="7"/>
    </row>
    <row r="258" s="1" customFormat="1" ht="28.5" customHeight="1" spans="1:14">
      <c r="A258" s="8">
        <v>3001</v>
      </c>
      <c r="B258" s="9">
        <v>300121</v>
      </c>
      <c r="C258" s="9" t="s">
        <v>32</v>
      </c>
      <c r="D258" s="9">
        <v>400</v>
      </c>
      <c r="E258" s="9">
        <v>31300121</v>
      </c>
      <c r="F258" s="9">
        <v>31300117</v>
      </c>
      <c r="G258" s="10" t="s">
        <v>1571</v>
      </c>
      <c r="H258" s="10" t="s">
        <v>563</v>
      </c>
      <c r="I258" s="10" t="s">
        <v>1284</v>
      </c>
      <c r="J258" s="9">
        <v>251</v>
      </c>
      <c r="K258" s="10" t="s">
        <v>1572</v>
      </c>
      <c r="L258" s="10" t="s">
        <v>324</v>
      </c>
      <c r="M258" s="10" t="s">
        <v>1238</v>
      </c>
      <c r="N258" s="7"/>
    </row>
    <row r="259" s="1" customFormat="1" ht="28.5" customHeight="1" spans="1:14">
      <c r="A259" s="8">
        <v>3001</v>
      </c>
      <c r="B259" s="9">
        <v>300122</v>
      </c>
      <c r="C259" s="9" t="s">
        <v>32</v>
      </c>
      <c r="D259" s="9">
        <v>200</v>
      </c>
      <c r="E259" s="9">
        <v>31300122</v>
      </c>
      <c r="F259" s="9">
        <v>31300117</v>
      </c>
      <c r="G259" s="10" t="s">
        <v>1573</v>
      </c>
      <c r="H259" s="10" t="s">
        <v>563</v>
      </c>
      <c r="I259" s="10" t="s">
        <v>1287</v>
      </c>
      <c r="J259" s="9">
        <v>252</v>
      </c>
      <c r="K259" s="10" t="s">
        <v>1574</v>
      </c>
      <c r="L259" s="10" t="s">
        <v>324</v>
      </c>
      <c r="M259" s="10" t="s">
        <v>1238</v>
      </c>
      <c r="N259" s="7"/>
    </row>
    <row r="260" s="1" customFormat="1" ht="28.5" customHeight="1" spans="1:14">
      <c r="A260" s="8"/>
      <c r="B260" s="9"/>
      <c r="C260" s="9"/>
      <c r="D260" s="9"/>
      <c r="E260" s="9"/>
      <c r="F260" s="9"/>
      <c r="G260" s="10"/>
      <c r="H260" s="10"/>
      <c r="I260" s="10" t="s">
        <v>1289</v>
      </c>
      <c r="J260" s="9">
        <v>253</v>
      </c>
      <c r="K260" s="10" t="s">
        <v>1289</v>
      </c>
      <c r="L260" s="10"/>
      <c r="M260" s="10" t="s">
        <v>1290</v>
      </c>
      <c r="N260" s="7"/>
    </row>
    <row r="261" s="1" customFormat="1" ht="28.5" customHeight="1" spans="1:14">
      <c r="A261" s="8">
        <v>3002</v>
      </c>
      <c r="B261" s="9">
        <v>300201</v>
      </c>
      <c r="C261" s="9" t="s">
        <v>33</v>
      </c>
      <c r="D261" s="9">
        <v>2000</v>
      </c>
      <c r="E261" s="9">
        <v>31300201</v>
      </c>
      <c r="F261" s="9">
        <v>31300101</v>
      </c>
      <c r="G261" s="10" t="s">
        <v>1291</v>
      </c>
      <c r="H261" s="10" t="s">
        <v>563</v>
      </c>
      <c r="I261" s="10" t="s">
        <v>1272</v>
      </c>
      <c r="J261" s="9">
        <v>254</v>
      </c>
      <c r="K261" s="10" t="s">
        <v>1292</v>
      </c>
      <c r="L261" s="10" t="s">
        <v>252</v>
      </c>
      <c r="M261" s="10" t="s">
        <v>1238</v>
      </c>
      <c r="N261" s="7"/>
    </row>
    <row r="262" s="1" customFormat="1" ht="28.5" customHeight="1" spans="1:14">
      <c r="A262" s="8">
        <v>3002</v>
      </c>
      <c r="B262" s="9">
        <v>300202</v>
      </c>
      <c r="C262" s="9" t="s">
        <v>33</v>
      </c>
      <c r="D262" s="9">
        <v>1000</v>
      </c>
      <c r="E262" s="9">
        <v>31300202</v>
      </c>
      <c r="F262" s="9">
        <v>31300101</v>
      </c>
      <c r="G262" s="10" t="s">
        <v>1293</v>
      </c>
      <c r="H262" s="10" t="s">
        <v>563</v>
      </c>
      <c r="I262" s="10" t="s">
        <v>1275</v>
      </c>
      <c r="J262" s="9">
        <v>255</v>
      </c>
      <c r="K262" s="10" t="s">
        <v>1294</v>
      </c>
      <c r="L262" s="10" t="s">
        <v>252</v>
      </c>
      <c r="M262" s="10" t="s">
        <v>1238</v>
      </c>
      <c r="N262" s="7"/>
    </row>
    <row r="263" s="1" customFormat="1" ht="28.5" customHeight="1" spans="1:14">
      <c r="A263" s="8">
        <v>3002</v>
      </c>
      <c r="B263" s="9">
        <v>300203</v>
      </c>
      <c r="C263" s="9" t="s">
        <v>33</v>
      </c>
      <c r="D263" s="9">
        <v>800</v>
      </c>
      <c r="E263" s="9">
        <v>31300203</v>
      </c>
      <c r="F263" s="9">
        <v>31300101</v>
      </c>
      <c r="G263" s="10" t="s">
        <v>1295</v>
      </c>
      <c r="H263" s="10" t="s">
        <v>563</v>
      </c>
      <c r="I263" s="10" t="s">
        <v>1278</v>
      </c>
      <c r="J263" s="9">
        <v>256</v>
      </c>
      <c r="K263" s="10" t="s">
        <v>1296</v>
      </c>
      <c r="L263" s="10" t="s">
        <v>252</v>
      </c>
      <c r="M263" s="10" t="s">
        <v>1238</v>
      </c>
      <c r="N263" s="7"/>
    </row>
    <row r="264" s="1" customFormat="1" ht="28.5" customHeight="1" spans="1:14">
      <c r="A264" s="8">
        <v>3002</v>
      </c>
      <c r="B264" s="9">
        <v>300204</v>
      </c>
      <c r="C264" s="9" t="s">
        <v>33</v>
      </c>
      <c r="D264" s="9">
        <v>600</v>
      </c>
      <c r="E264" s="9">
        <v>31300204</v>
      </c>
      <c r="F264" s="9">
        <v>31300101</v>
      </c>
      <c r="G264" s="10" t="s">
        <v>1297</v>
      </c>
      <c r="H264" s="10" t="s">
        <v>563</v>
      </c>
      <c r="I264" s="10" t="s">
        <v>1281</v>
      </c>
      <c r="J264" s="9">
        <v>257</v>
      </c>
      <c r="K264" s="10" t="s">
        <v>1298</v>
      </c>
      <c r="L264" s="10" t="s">
        <v>252</v>
      </c>
      <c r="M264" s="10" t="s">
        <v>1238</v>
      </c>
      <c r="N264" s="7"/>
    </row>
    <row r="265" s="1" customFormat="1" ht="28.5" customHeight="1" spans="1:14">
      <c r="A265" s="8">
        <v>3002</v>
      </c>
      <c r="B265" s="9">
        <v>300205</v>
      </c>
      <c r="C265" s="9" t="s">
        <v>33</v>
      </c>
      <c r="D265" s="9">
        <v>400</v>
      </c>
      <c r="E265" s="9">
        <v>31300205</v>
      </c>
      <c r="F265" s="9">
        <v>31300101</v>
      </c>
      <c r="G265" s="10" t="s">
        <v>1299</v>
      </c>
      <c r="H265" s="10" t="s">
        <v>563</v>
      </c>
      <c r="I265" s="10" t="s">
        <v>1284</v>
      </c>
      <c r="J265" s="9">
        <v>258</v>
      </c>
      <c r="K265" s="10" t="s">
        <v>1300</v>
      </c>
      <c r="L265" s="10" t="s">
        <v>252</v>
      </c>
      <c r="M265" s="10" t="s">
        <v>1238</v>
      </c>
      <c r="N265" s="7"/>
    </row>
    <row r="266" s="1" customFormat="1" ht="28.5" customHeight="1" spans="1:14">
      <c r="A266" s="8">
        <v>3002</v>
      </c>
      <c r="B266" s="9">
        <v>300206</v>
      </c>
      <c r="C266" s="9" t="s">
        <v>33</v>
      </c>
      <c r="D266" s="9">
        <v>200</v>
      </c>
      <c r="E266" s="9">
        <v>31300206</v>
      </c>
      <c r="F266" s="9">
        <v>31300101</v>
      </c>
      <c r="G266" s="10" t="s">
        <v>1301</v>
      </c>
      <c r="H266" s="10" t="s">
        <v>563</v>
      </c>
      <c r="I266" s="10" t="s">
        <v>1287</v>
      </c>
      <c r="J266" s="9">
        <v>259</v>
      </c>
      <c r="K266" s="10" t="s">
        <v>1302</v>
      </c>
      <c r="L266" s="10" t="s">
        <v>252</v>
      </c>
      <c r="M266" s="10" t="s">
        <v>1238</v>
      </c>
      <c r="N266" s="7"/>
    </row>
    <row r="267" s="1" customFormat="1" ht="28.5" customHeight="1" spans="1:14">
      <c r="A267" s="8">
        <v>3002</v>
      </c>
      <c r="B267" s="9">
        <v>300207</v>
      </c>
      <c r="C267" s="9" t="s">
        <v>33</v>
      </c>
      <c r="D267" s="9">
        <v>0</v>
      </c>
      <c r="E267" s="9">
        <v>31300207</v>
      </c>
      <c r="F267" s="9">
        <v>31300107</v>
      </c>
      <c r="G267" s="10" t="s">
        <v>1575</v>
      </c>
      <c r="H267" s="10" t="s">
        <v>563</v>
      </c>
      <c r="I267" s="10"/>
      <c r="J267" s="9">
        <v>260</v>
      </c>
      <c r="K267" s="10" t="s">
        <v>1576</v>
      </c>
      <c r="L267" s="10" t="s">
        <v>331</v>
      </c>
      <c r="M267" s="10" t="s">
        <v>1238</v>
      </c>
      <c r="N267" s="7"/>
    </row>
    <row r="268" s="1" customFormat="1" ht="28.5" customHeight="1" spans="1:14">
      <c r="A268" s="8">
        <v>3002</v>
      </c>
      <c r="B268" s="9">
        <v>300208</v>
      </c>
      <c r="C268" s="9" t="s">
        <v>33</v>
      </c>
      <c r="D268" s="9">
        <v>0</v>
      </c>
      <c r="E268" s="9">
        <v>31300208</v>
      </c>
      <c r="F268" s="9">
        <v>31300107</v>
      </c>
      <c r="G268" s="10" t="s">
        <v>1577</v>
      </c>
      <c r="H268" s="10" t="s">
        <v>563</v>
      </c>
      <c r="I268" s="10"/>
      <c r="J268" s="9">
        <v>261</v>
      </c>
      <c r="K268" s="10" t="s">
        <v>1578</v>
      </c>
      <c r="L268" s="10" t="s">
        <v>331</v>
      </c>
      <c r="M268" s="10" t="s">
        <v>1238</v>
      </c>
      <c r="N268" s="7"/>
    </row>
    <row r="269" s="1" customFormat="1" ht="28.5" customHeight="1" spans="1:14">
      <c r="A269" s="8">
        <v>3002</v>
      </c>
      <c r="B269" s="9">
        <v>300209</v>
      </c>
      <c r="C269" s="9" t="s">
        <v>33</v>
      </c>
      <c r="D269" s="9">
        <v>0</v>
      </c>
      <c r="E269" s="9">
        <v>31300209</v>
      </c>
      <c r="F269" s="9">
        <v>31300107</v>
      </c>
      <c r="G269" s="10" t="s">
        <v>1579</v>
      </c>
      <c r="H269" s="10" t="s">
        <v>563</v>
      </c>
      <c r="I269" s="10"/>
      <c r="J269" s="9">
        <v>262</v>
      </c>
      <c r="K269" s="10" t="s">
        <v>1580</v>
      </c>
      <c r="L269" s="10" t="s">
        <v>331</v>
      </c>
      <c r="M269" s="10" t="s">
        <v>1238</v>
      </c>
      <c r="N269" s="7"/>
    </row>
    <row r="270" s="1" customFormat="1" ht="28.5" customHeight="1" spans="1:14">
      <c r="A270" s="8">
        <v>3002</v>
      </c>
      <c r="B270" s="9">
        <v>300210</v>
      </c>
      <c r="C270" s="9" t="s">
        <v>33</v>
      </c>
      <c r="D270" s="9">
        <v>0</v>
      </c>
      <c r="E270" s="9">
        <v>31300210</v>
      </c>
      <c r="F270" s="9">
        <v>31300107</v>
      </c>
      <c r="G270" s="10" t="s">
        <v>1581</v>
      </c>
      <c r="H270" s="10" t="s">
        <v>563</v>
      </c>
      <c r="I270" s="10"/>
      <c r="J270" s="9">
        <v>263</v>
      </c>
      <c r="K270" s="10" t="s">
        <v>1582</v>
      </c>
      <c r="L270" s="10" t="s">
        <v>331</v>
      </c>
      <c r="M270" s="10" t="s">
        <v>1238</v>
      </c>
      <c r="N270" s="7"/>
    </row>
    <row r="271" s="1" customFormat="1" ht="28.5" customHeight="1" spans="1:14">
      <c r="A271" s="8">
        <v>3002</v>
      </c>
      <c r="B271" s="9">
        <v>300211</v>
      </c>
      <c r="C271" s="9" t="s">
        <v>33</v>
      </c>
      <c r="D271" s="9">
        <v>0</v>
      </c>
      <c r="E271" s="9">
        <v>31300211</v>
      </c>
      <c r="F271" s="9">
        <v>31300107</v>
      </c>
      <c r="G271" s="10" t="s">
        <v>1583</v>
      </c>
      <c r="H271" s="10" t="s">
        <v>563</v>
      </c>
      <c r="I271" s="10"/>
      <c r="J271" s="9">
        <v>264</v>
      </c>
      <c r="K271" s="10" t="s">
        <v>1584</v>
      </c>
      <c r="L271" s="10" t="s">
        <v>331</v>
      </c>
      <c r="M271" s="10" t="s">
        <v>1238</v>
      </c>
      <c r="N271" s="7"/>
    </row>
    <row r="272" s="1" customFormat="1" ht="28.5" customHeight="1" spans="1:14">
      <c r="A272" s="8">
        <v>3002</v>
      </c>
      <c r="B272" s="9">
        <v>300212</v>
      </c>
      <c r="C272" s="9" t="s">
        <v>33</v>
      </c>
      <c r="D272" s="9">
        <v>3000</v>
      </c>
      <c r="E272" s="9">
        <v>31300212</v>
      </c>
      <c r="F272" s="9">
        <v>31300112</v>
      </c>
      <c r="G272" s="10" t="s">
        <v>1313</v>
      </c>
      <c r="H272" s="10" t="s">
        <v>563</v>
      </c>
      <c r="I272" s="10"/>
      <c r="J272" s="9">
        <v>265</v>
      </c>
      <c r="K272" s="10" t="s">
        <v>1314</v>
      </c>
      <c r="L272" s="10" t="s">
        <v>251</v>
      </c>
      <c r="M272" s="10" t="s">
        <v>1238</v>
      </c>
      <c r="N272" s="7"/>
    </row>
    <row r="273" s="1" customFormat="1" ht="28.5" customHeight="1" spans="1:14">
      <c r="A273" s="8">
        <v>3002</v>
      </c>
      <c r="B273" s="9">
        <v>300213</v>
      </c>
      <c r="C273" s="9" t="s">
        <v>33</v>
      </c>
      <c r="D273" s="9">
        <v>2500</v>
      </c>
      <c r="E273" s="9">
        <v>31300213</v>
      </c>
      <c r="F273" s="9">
        <v>31300112</v>
      </c>
      <c r="G273" s="10" t="s">
        <v>1315</v>
      </c>
      <c r="H273" s="10" t="s">
        <v>563</v>
      </c>
      <c r="I273" s="10"/>
      <c r="J273" s="9">
        <v>266</v>
      </c>
      <c r="K273" s="10" t="s">
        <v>1316</v>
      </c>
      <c r="L273" s="10" t="s">
        <v>251</v>
      </c>
      <c r="M273" s="10" t="s">
        <v>1238</v>
      </c>
      <c r="N273" s="7"/>
    </row>
    <row r="274" s="1" customFormat="1" ht="28.5" customHeight="1" spans="1:14">
      <c r="A274" s="8">
        <v>3002</v>
      </c>
      <c r="B274" s="9">
        <v>300214</v>
      </c>
      <c r="C274" s="9" t="s">
        <v>33</v>
      </c>
      <c r="D274" s="9">
        <v>2000</v>
      </c>
      <c r="E274" s="9">
        <v>31300214</v>
      </c>
      <c r="F274" s="9">
        <v>31300112</v>
      </c>
      <c r="G274" s="10" t="s">
        <v>1317</v>
      </c>
      <c r="H274" s="10" t="s">
        <v>563</v>
      </c>
      <c r="I274" s="10"/>
      <c r="J274" s="9">
        <v>267</v>
      </c>
      <c r="K274" s="10" t="s">
        <v>1318</v>
      </c>
      <c r="L274" s="10" t="s">
        <v>251</v>
      </c>
      <c r="M274" s="10" t="s">
        <v>1238</v>
      </c>
      <c r="N274" s="7"/>
    </row>
    <row r="275" s="1" customFormat="1" ht="28.5" customHeight="1" spans="1:14">
      <c r="A275" s="8">
        <v>3002</v>
      </c>
      <c r="B275" s="9">
        <v>300215</v>
      </c>
      <c r="C275" s="9" t="s">
        <v>33</v>
      </c>
      <c r="D275" s="9">
        <v>1500</v>
      </c>
      <c r="E275" s="9">
        <v>31300215</v>
      </c>
      <c r="F275" s="9">
        <v>31300112</v>
      </c>
      <c r="G275" s="10" t="s">
        <v>1319</v>
      </c>
      <c r="H275" s="10" t="s">
        <v>563</v>
      </c>
      <c r="I275" s="10"/>
      <c r="J275" s="9">
        <v>268</v>
      </c>
      <c r="K275" s="10" t="s">
        <v>1320</v>
      </c>
      <c r="L275" s="10" t="s">
        <v>251</v>
      </c>
      <c r="M275" s="10" t="s">
        <v>1238</v>
      </c>
      <c r="N275" s="7"/>
    </row>
    <row r="276" s="1" customFormat="1" ht="28.5" customHeight="1" spans="1:14">
      <c r="A276" s="8">
        <v>3002</v>
      </c>
      <c r="B276" s="9">
        <v>300216</v>
      </c>
      <c r="C276" s="9" t="s">
        <v>33</v>
      </c>
      <c r="D276" s="9">
        <v>1000</v>
      </c>
      <c r="E276" s="9">
        <v>31300216</v>
      </c>
      <c r="F276" s="9">
        <v>31300112</v>
      </c>
      <c r="G276" s="10" t="s">
        <v>1321</v>
      </c>
      <c r="H276" s="10" t="s">
        <v>563</v>
      </c>
      <c r="I276" s="10"/>
      <c r="J276" s="9">
        <v>269</v>
      </c>
      <c r="K276" s="10" t="s">
        <v>1322</v>
      </c>
      <c r="L276" s="10" t="s">
        <v>251</v>
      </c>
      <c r="M276" s="10" t="s">
        <v>1238</v>
      </c>
      <c r="N276" s="7"/>
    </row>
    <row r="277" s="1" customFormat="1" ht="28.5" customHeight="1" spans="1:14">
      <c r="A277" s="8">
        <v>3002</v>
      </c>
      <c r="B277" s="9">
        <v>300217</v>
      </c>
      <c r="C277" s="9" t="s">
        <v>33</v>
      </c>
      <c r="D277" s="9">
        <v>2000</v>
      </c>
      <c r="E277" s="9">
        <v>31300217</v>
      </c>
      <c r="F277" s="9">
        <v>31300117</v>
      </c>
      <c r="G277" s="10" t="s">
        <v>1573</v>
      </c>
      <c r="H277" s="10" t="s">
        <v>563</v>
      </c>
      <c r="I277" s="10" t="s">
        <v>1287</v>
      </c>
      <c r="J277" s="9">
        <v>270</v>
      </c>
      <c r="K277" s="10" t="s">
        <v>1574</v>
      </c>
      <c r="L277" s="10" t="s">
        <v>332</v>
      </c>
      <c r="M277" s="10" t="s">
        <v>1238</v>
      </c>
      <c r="N277" s="7"/>
    </row>
    <row r="278" s="1" customFormat="1" ht="28.5" customHeight="1" spans="1:14">
      <c r="A278" s="8">
        <v>3002</v>
      </c>
      <c r="B278" s="9">
        <v>300218</v>
      </c>
      <c r="C278" s="9" t="s">
        <v>33</v>
      </c>
      <c r="D278" s="9">
        <v>1000</v>
      </c>
      <c r="E278" s="9">
        <v>31300218</v>
      </c>
      <c r="F278" s="9">
        <v>31300117</v>
      </c>
      <c r="G278" s="10" t="s">
        <v>1585</v>
      </c>
      <c r="H278" s="10" t="s">
        <v>563</v>
      </c>
      <c r="I278" s="10" t="s">
        <v>1324</v>
      </c>
      <c r="J278" s="9">
        <v>271</v>
      </c>
      <c r="K278" s="10" t="s">
        <v>1586</v>
      </c>
      <c r="L278" s="10" t="s">
        <v>332</v>
      </c>
      <c r="M278" s="10" t="s">
        <v>1238</v>
      </c>
      <c r="N278" s="7"/>
    </row>
    <row r="279" s="1" customFormat="1" ht="28.5" customHeight="1" spans="1:14">
      <c r="A279" s="8">
        <v>3002</v>
      </c>
      <c r="B279" s="9">
        <v>300219</v>
      </c>
      <c r="C279" s="9" t="s">
        <v>33</v>
      </c>
      <c r="D279" s="9">
        <v>800</v>
      </c>
      <c r="E279" s="9">
        <v>31300219</v>
      </c>
      <c r="F279" s="9">
        <v>31300117</v>
      </c>
      <c r="G279" s="10" t="s">
        <v>1587</v>
      </c>
      <c r="H279" s="10" t="s">
        <v>563</v>
      </c>
      <c r="I279" s="10" t="s">
        <v>1327</v>
      </c>
      <c r="J279" s="9">
        <v>272</v>
      </c>
      <c r="K279" s="10" t="s">
        <v>1588</v>
      </c>
      <c r="L279" s="10" t="s">
        <v>332</v>
      </c>
      <c r="M279" s="10" t="s">
        <v>1238</v>
      </c>
      <c r="N279" s="7"/>
    </row>
    <row r="280" s="1" customFormat="1" ht="28.5" customHeight="1" spans="1:14">
      <c r="A280" s="8">
        <v>3002</v>
      </c>
      <c r="B280" s="9">
        <v>300220</v>
      </c>
      <c r="C280" s="9" t="s">
        <v>33</v>
      </c>
      <c r="D280" s="9">
        <v>600</v>
      </c>
      <c r="E280" s="9">
        <v>31300220</v>
      </c>
      <c r="F280" s="9">
        <v>31300117</v>
      </c>
      <c r="G280" s="10" t="s">
        <v>1589</v>
      </c>
      <c r="H280" s="10" t="s">
        <v>563</v>
      </c>
      <c r="I280" s="10" t="s">
        <v>1330</v>
      </c>
      <c r="J280" s="9">
        <v>273</v>
      </c>
      <c r="K280" s="10" t="s">
        <v>1590</v>
      </c>
      <c r="L280" s="10" t="s">
        <v>332</v>
      </c>
      <c r="M280" s="10" t="s">
        <v>1238</v>
      </c>
      <c r="N280" s="7"/>
    </row>
    <row r="281" s="1" customFormat="1" ht="28.5" customHeight="1" spans="1:14">
      <c r="A281" s="8">
        <v>3002</v>
      </c>
      <c r="B281" s="9">
        <v>300221</v>
      </c>
      <c r="C281" s="9" t="s">
        <v>33</v>
      </c>
      <c r="D281" s="9">
        <v>400</v>
      </c>
      <c r="E281" s="9">
        <v>31300221</v>
      </c>
      <c r="F281" s="9">
        <v>31300117</v>
      </c>
      <c r="G281" s="10" t="s">
        <v>1591</v>
      </c>
      <c r="H281" s="10" t="s">
        <v>563</v>
      </c>
      <c r="I281" s="10" t="s">
        <v>1333</v>
      </c>
      <c r="J281" s="9">
        <v>274</v>
      </c>
      <c r="K281" s="10" t="s">
        <v>1592</v>
      </c>
      <c r="L281" s="10" t="s">
        <v>332</v>
      </c>
      <c r="M281" s="10" t="s">
        <v>1238</v>
      </c>
      <c r="N281" s="7"/>
    </row>
    <row r="282" s="1" customFormat="1" ht="28.5" customHeight="1" spans="1:14">
      <c r="A282" s="8">
        <v>3002</v>
      </c>
      <c r="B282" s="9">
        <v>300222</v>
      </c>
      <c r="C282" s="9" t="s">
        <v>33</v>
      </c>
      <c r="D282" s="9">
        <v>200</v>
      </c>
      <c r="E282" s="9">
        <v>31300222</v>
      </c>
      <c r="F282" s="9">
        <v>31300117</v>
      </c>
      <c r="G282" s="10" t="s">
        <v>1593</v>
      </c>
      <c r="H282" s="10" t="s">
        <v>563</v>
      </c>
      <c r="I282" s="10" t="s">
        <v>1336</v>
      </c>
      <c r="J282" s="9">
        <v>275</v>
      </c>
      <c r="K282" s="10" t="s">
        <v>1594</v>
      </c>
      <c r="L282" s="10" t="s">
        <v>332</v>
      </c>
      <c r="M282" s="10" t="s">
        <v>1238</v>
      </c>
      <c r="N282" s="7"/>
    </row>
    <row r="283" s="1" customFormat="1" ht="28.5" customHeight="1" spans="1:14">
      <c r="A283" s="8"/>
      <c r="B283" s="9"/>
      <c r="C283" s="9"/>
      <c r="D283" s="9"/>
      <c r="E283" s="9"/>
      <c r="F283" s="9"/>
      <c r="G283" s="10"/>
      <c r="H283" s="10"/>
      <c r="I283" s="10" t="s">
        <v>1289</v>
      </c>
      <c r="J283" s="9">
        <v>276</v>
      </c>
      <c r="K283" s="10" t="s">
        <v>1289</v>
      </c>
      <c r="L283" s="10"/>
      <c r="M283" s="10" t="s">
        <v>1290</v>
      </c>
      <c r="N283" s="7"/>
    </row>
    <row r="284" s="1" customFormat="1" ht="28.5" customHeight="1" spans="1:14">
      <c r="A284" s="8">
        <v>3003</v>
      </c>
      <c r="B284" s="9">
        <v>300301</v>
      </c>
      <c r="C284" s="9" t="s">
        <v>34</v>
      </c>
      <c r="D284" s="9">
        <v>2000</v>
      </c>
      <c r="E284" s="9">
        <v>31300301</v>
      </c>
      <c r="F284" s="9">
        <v>31300101</v>
      </c>
      <c r="G284" s="10" t="s">
        <v>1297</v>
      </c>
      <c r="H284" s="10" t="s">
        <v>563</v>
      </c>
      <c r="I284" s="10" t="s">
        <v>1281</v>
      </c>
      <c r="J284" s="9">
        <v>277</v>
      </c>
      <c r="K284" s="10" t="s">
        <v>1298</v>
      </c>
      <c r="L284" s="10" t="s">
        <v>260</v>
      </c>
      <c r="M284" s="10" t="s">
        <v>1238</v>
      </c>
      <c r="N284" s="7"/>
    </row>
    <row r="285" s="1" customFormat="1" ht="28.5" customHeight="1" spans="1:14">
      <c r="A285" s="8">
        <v>3003</v>
      </c>
      <c r="B285" s="9">
        <v>300302</v>
      </c>
      <c r="C285" s="9" t="s">
        <v>34</v>
      </c>
      <c r="D285" s="9">
        <v>1000</v>
      </c>
      <c r="E285" s="9">
        <v>31300302</v>
      </c>
      <c r="F285" s="9">
        <v>31300101</v>
      </c>
      <c r="G285" s="10" t="s">
        <v>1297</v>
      </c>
      <c r="H285" s="10" t="s">
        <v>563</v>
      </c>
      <c r="I285" s="10" t="s">
        <v>1281</v>
      </c>
      <c r="J285" s="9">
        <v>278</v>
      </c>
      <c r="K285" s="10" t="s">
        <v>1298</v>
      </c>
      <c r="L285" s="10" t="s">
        <v>260</v>
      </c>
      <c r="M285" s="10" t="s">
        <v>1238</v>
      </c>
      <c r="N285" s="7"/>
    </row>
    <row r="286" s="1" customFormat="1" ht="28.5" customHeight="1" spans="1:14">
      <c r="A286" s="8">
        <v>3003</v>
      </c>
      <c r="B286" s="9">
        <v>300303</v>
      </c>
      <c r="C286" s="9" t="s">
        <v>34</v>
      </c>
      <c r="D286" s="9">
        <v>800</v>
      </c>
      <c r="E286" s="9">
        <v>31300303</v>
      </c>
      <c r="F286" s="9">
        <v>31300101</v>
      </c>
      <c r="G286" s="10" t="s">
        <v>1338</v>
      </c>
      <c r="H286" s="10" t="s">
        <v>563</v>
      </c>
      <c r="I286" s="10" t="s">
        <v>1339</v>
      </c>
      <c r="J286" s="9">
        <v>279</v>
      </c>
      <c r="K286" s="10" t="s">
        <v>1340</v>
      </c>
      <c r="L286" s="10" t="s">
        <v>260</v>
      </c>
      <c r="M286" s="10" t="s">
        <v>1238</v>
      </c>
      <c r="N286" s="7"/>
    </row>
    <row r="287" s="1" customFormat="1" ht="28.5" customHeight="1" spans="1:14">
      <c r="A287" s="8">
        <v>3003</v>
      </c>
      <c r="B287" s="9">
        <v>300304</v>
      </c>
      <c r="C287" s="9" t="s">
        <v>34</v>
      </c>
      <c r="D287" s="9">
        <v>600</v>
      </c>
      <c r="E287" s="9">
        <v>31300304</v>
      </c>
      <c r="F287" s="9">
        <v>31300101</v>
      </c>
      <c r="G287" s="10" t="s">
        <v>1299</v>
      </c>
      <c r="H287" s="10" t="s">
        <v>563</v>
      </c>
      <c r="I287" s="10" t="s">
        <v>1284</v>
      </c>
      <c r="J287" s="9">
        <v>280</v>
      </c>
      <c r="K287" s="10" t="s">
        <v>1300</v>
      </c>
      <c r="L287" s="10" t="s">
        <v>260</v>
      </c>
      <c r="M287" s="10" t="s">
        <v>1238</v>
      </c>
      <c r="N287" s="7"/>
    </row>
    <row r="288" s="1" customFormat="1" ht="28.5" customHeight="1" spans="1:14">
      <c r="A288" s="8">
        <v>3003</v>
      </c>
      <c r="B288" s="9">
        <v>300305</v>
      </c>
      <c r="C288" s="9" t="s">
        <v>34</v>
      </c>
      <c r="D288" s="9">
        <v>400</v>
      </c>
      <c r="E288" s="9">
        <v>31300305</v>
      </c>
      <c r="F288" s="9">
        <v>31300101</v>
      </c>
      <c r="G288" s="10" t="s">
        <v>1301</v>
      </c>
      <c r="H288" s="10" t="s">
        <v>563</v>
      </c>
      <c r="I288" s="10" t="s">
        <v>1287</v>
      </c>
      <c r="J288" s="9">
        <v>281</v>
      </c>
      <c r="K288" s="10" t="s">
        <v>1302</v>
      </c>
      <c r="L288" s="10" t="s">
        <v>260</v>
      </c>
      <c r="M288" s="10" t="s">
        <v>1238</v>
      </c>
      <c r="N288" s="7"/>
    </row>
    <row r="289" s="1" customFormat="1" ht="28.5" customHeight="1" spans="1:14">
      <c r="A289" s="8">
        <v>3003</v>
      </c>
      <c r="B289" s="9">
        <v>300306</v>
      </c>
      <c r="C289" s="9" t="s">
        <v>34</v>
      </c>
      <c r="D289" s="9">
        <v>200</v>
      </c>
      <c r="E289" s="9">
        <v>31300306</v>
      </c>
      <c r="F289" s="9">
        <v>31300101</v>
      </c>
      <c r="G289" s="10" t="s">
        <v>1301</v>
      </c>
      <c r="H289" s="10" t="s">
        <v>563</v>
      </c>
      <c r="I289" s="10" t="s">
        <v>1287</v>
      </c>
      <c r="J289" s="9">
        <v>282</v>
      </c>
      <c r="K289" s="10" t="s">
        <v>1302</v>
      </c>
      <c r="L289" s="10" t="s">
        <v>260</v>
      </c>
      <c r="M289" s="10" t="s">
        <v>1238</v>
      </c>
      <c r="N289" s="7"/>
    </row>
    <row r="290" s="1" customFormat="1" ht="28.5" customHeight="1" spans="1:14">
      <c r="A290" s="8">
        <v>3003</v>
      </c>
      <c r="B290" s="9">
        <v>300307</v>
      </c>
      <c r="C290" s="9" t="s">
        <v>34</v>
      </c>
      <c r="D290" s="9">
        <v>0</v>
      </c>
      <c r="E290" s="9">
        <v>31300307</v>
      </c>
      <c r="F290" s="9">
        <v>31300107</v>
      </c>
      <c r="G290" s="10" t="s">
        <v>1595</v>
      </c>
      <c r="H290" s="10" t="s">
        <v>563</v>
      </c>
      <c r="I290" s="10"/>
      <c r="J290" s="9">
        <v>283</v>
      </c>
      <c r="K290" s="10" t="s">
        <v>1596</v>
      </c>
      <c r="L290" s="10" t="s">
        <v>335</v>
      </c>
      <c r="M290" s="10" t="s">
        <v>1238</v>
      </c>
      <c r="N290" s="7"/>
    </row>
    <row r="291" s="1" customFormat="1" ht="28.5" customHeight="1" spans="1:14">
      <c r="A291" s="8">
        <v>3003</v>
      </c>
      <c r="B291" s="9">
        <v>300308</v>
      </c>
      <c r="C291" s="9" t="s">
        <v>34</v>
      </c>
      <c r="D291" s="9">
        <v>0</v>
      </c>
      <c r="E291" s="9">
        <v>31300308</v>
      </c>
      <c r="F291" s="9">
        <v>31300107</v>
      </c>
      <c r="G291" s="10" t="s">
        <v>1597</v>
      </c>
      <c r="H291" s="10" t="s">
        <v>563</v>
      </c>
      <c r="I291" s="10"/>
      <c r="J291" s="9">
        <v>284</v>
      </c>
      <c r="K291" s="10" t="s">
        <v>1598</v>
      </c>
      <c r="L291" s="10" t="s">
        <v>335</v>
      </c>
      <c r="M291" s="10" t="s">
        <v>1238</v>
      </c>
      <c r="N291" s="7"/>
    </row>
    <row r="292" s="1" customFormat="1" ht="28.5" customHeight="1" spans="1:14">
      <c r="A292" s="8">
        <v>3003</v>
      </c>
      <c r="B292" s="9">
        <v>300309</v>
      </c>
      <c r="C292" s="9" t="s">
        <v>34</v>
      </c>
      <c r="D292" s="9">
        <v>0</v>
      </c>
      <c r="E292" s="9">
        <v>31300309</v>
      </c>
      <c r="F292" s="9">
        <v>31300107</v>
      </c>
      <c r="G292" s="10" t="s">
        <v>1599</v>
      </c>
      <c r="H292" s="10" t="s">
        <v>563</v>
      </c>
      <c r="I292" s="10"/>
      <c r="J292" s="9">
        <v>285</v>
      </c>
      <c r="K292" s="10" t="s">
        <v>1600</v>
      </c>
      <c r="L292" s="10" t="s">
        <v>335</v>
      </c>
      <c r="M292" s="10" t="s">
        <v>1238</v>
      </c>
      <c r="N292" s="7"/>
    </row>
    <row r="293" s="1" customFormat="1" ht="28.5" customHeight="1" spans="1:14">
      <c r="A293" s="8">
        <v>3003</v>
      </c>
      <c r="B293" s="9">
        <v>300310</v>
      </c>
      <c r="C293" s="9" t="s">
        <v>34</v>
      </c>
      <c r="D293" s="9">
        <v>0</v>
      </c>
      <c r="E293" s="9">
        <v>31300310</v>
      </c>
      <c r="F293" s="9">
        <v>31300107</v>
      </c>
      <c r="G293" s="10" t="s">
        <v>1601</v>
      </c>
      <c r="H293" s="10" t="s">
        <v>563</v>
      </c>
      <c r="I293" s="10"/>
      <c r="J293" s="9">
        <v>286</v>
      </c>
      <c r="K293" s="10" t="s">
        <v>1602</v>
      </c>
      <c r="L293" s="10" t="s">
        <v>335</v>
      </c>
      <c r="M293" s="10" t="s">
        <v>1238</v>
      </c>
      <c r="N293" s="7"/>
    </row>
    <row r="294" s="1" customFormat="1" ht="28.5" customHeight="1" spans="1:14">
      <c r="A294" s="8">
        <v>3003</v>
      </c>
      <c r="B294" s="9">
        <v>300311</v>
      </c>
      <c r="C294" s="9" t="s">
        <v>34</v>
      </c>
      <c r="D294" s="9">
        <v>0</v>
      </c>
      <c r="E294" s="9">
        <v>31300311</v>
      </c>
      <c r="F294" s="9">
        <v>31300107</v>
      </c>
      <c r="G294" s="10" t="s">
        <v>1603</v>
      </c>
      <c r="H294" s="10" t="s">
        <v>563</v>
      </c>
      <c r="I294" s="10"/>
      <c r="J294" s="9">
        <v>287</v>
      </c>
      <c r="K294" s="10" t="s">
        <v>1604</v>
      </c>
      <c r="L294" s="10" t="s">
        <v>335</v>
      </c>
      <c r="M294" s="10" t="s">
        <v>1238</v>
      </c>
      <c r="N294" s="7"/>
    </row>
    <row r="295" s="1" customFormat="1" ht="28.5" customHeight="1" spans="1:14">
      <c r="A295" s="8">
        <v>3003</v>
      </c>
      <c r="B295" s="9">
        <v>300312</v>
      </c>
      <c r="C295" s="9" t="s">
        <v>34</v>
      </c>
      <c r="D295" s="9">
        <v>3000</v>
      </c>
      <c r="E295" s="9">
        <v>31300312</v>
      </c>
      <c r="F295" s="9">
        <v>31300112</v>
      </c>
      <c r="G295" s="10" t="s">
        <v>1351</v>
      </c>
      <c r="H295" s="10" t="s">
        <v>563</v>
      </c>
      <c r="I295" s="10"/>
      <c r="J295" s="9">
        <v>288</v>
      </c>
      <c r="K295" s="10" t="s">
        <v>1352</v>
      </c>
      <c r="L295" s="10" t="s">
        <v>259</v>
      </c>
      <c r="M295" s="10" t="s">
        <v>1238</v>
      </c>
      <c r="N295" s="7"/>
    </row>
    <row r="296" s="1" customFormat="1" ht="28.5" customHeight="1" spans="1:14">
      <c r="A296" s="8">
        <v>3003</v>
      </c>
      <c r="B296" s="9">
        <v>300313</v>
      </c>
      <c r="C296" s="9" t="s">
        <v>34</v>
      </c>
      <c r="D296" s="9">
        <v>2500</v>
      </c>
      <c r="E296" s="9">
        <v>31300313</v>
      </c>
      <c r="F296" s="9">
        <v>31300112</v>
      </c>
      <c r="G296" s="10" t="s">
        <v>1353</v>
      </c>
      <c r="H296" s="10" t="s">
        <v>563</v>
      </c>
      <c r="I296" s="10"/>
      <c r="J296" s="9">
        <v>289</v>
      </c>
      <c r="K296" s="10" t="s">
        <v>1354</v>
      </c>
      <c r="L296" s="10" t="s">
        <v>259</v>
      </c>
      <c r="M296" s="10" t="s">
        <v>1238</v>
      </c>
      <c r="N296" s="7"/>
    </row>
    <row r="297" s="1" customFormat="1" ht="28.5" customHeight="1" spans="1:14">
      <c r="A297" s="8">
        <v>3003</v>
      </c>
      <c r="B297" s="9">
        <v>300314</v>
      </c>
      <c r="C297" s="9" t="s">
        <v>34</v>
      </c>
      <c r="D297" s="9">
        <v>2000</v>
      </c>
      <c r="E297" s="9">
        <v>31300314</v>
      </c>
      <c r="F297" s="9">
        <v>31300112</v>
      </c>
      <c r="G297" s="10" t="s">
        <v>1355</v>
      </c>
      <c r="H297" s="10" t="s">
        <v>563</v>
      </c>
      <c r="I297" s="10"/>
      <c r="J297" s="9">
        <v>290</v>
      </c>
      <c r="K297" s="10" t="s">
        <v>1356</v>
      </c>
      <c r="L297" s="10" t="s">
        <v>259</v>
      </c>
      <c r="M297" s="10" t="s">
        <v>1238</v>
      </c>
      <c r="N297" s="7"/>
    </row>
    <row r="298" s="1" customFormat="1" ht="28.5" customHeight="1" spans="1:14">
      <c r="A298" s="8">
        <v>3003</v>
      </c>
      <c r="B298" s="9">
        <v>300315</v>
      </c>
      <c r="C298" s="9" t="s">
        <v>34</v>
      </c>
      <c r="D298" s="9">
        <v>1500</v>
      </c>
      <c r="E298" s="9">
        <v>31300315</v>
      </c>
      <c r="F298" s="9">
        <v>31300112</v>
      </c>
      <c r="G298" s="10" t="s">
        <v>1357</v>
      </c>
      <c r="H298" s="10" t="s">
        <v>563</v>
      </c>
      <c r="I298" s="10"/>
      <c r="J298" s="9">
        <v>291</v>
      </c>
      <c r="K298" s="10" t="s">
        <v>1358</v>
      </c>
      <c r="L298" s="10" t="s">
        <v>259</v>
      </c>
      <c r="M298" s="10" t="s">
        <v>1238</v>
      </c>
      <c r="N298" s="7"/>
    </row>
    <row r="299" s="1" customFormat="1" ht="28.5" customHeight="1" spans="1:14">
      <c r="A299" s="8">
        <v>3003</v>
      </c>
      <c r="B299" s="9">
        <v>300316</v>
      </c>
      <c r="C299" s="9" t="s">
        <v>34</v>
      </c>
      <c r="D299" s="9">
        <v>1000</v>
      </c>
      <c r="E299" s="9">
        <v>31300316</v>
      </c>
      <c r="F299" s="9">
        <v>31300112</v>
      </c>
      <c r="G299" s="10" t="s">
        <v>1359</v>
      </c>
      <c r="H299" s="10" t="s">
        <v>563</v>
      </c>
      <c r="I299" s="10"/>
      <c r="J299" s="9">
        <v>292</v>
      </c>
      <c r="K299" s="10" t="s">
        <v>1360</v>
      </c>
      <c r="L299" s="10" t="s">
        <v>259</v>
      </c>
      <c r="M299" s="10" t="s">
        <v>1238</v>
      </c>
      <c r="N299" s="7"/>
    </row>
    <row r="300" s="1" customFormat="1" ht="28.5" customHeight="1" spans="1:14">
      <c r="A300" s="8">
        <v>3003</v>
      </c>
      <c r="B300" s="9">
        <v>300317</v>
      </c>
      <c r="C300" s="9" t="s">
        <v>34</v>
      </c>
      <c r="D300" s="9">
        <v>2000</v>
      </c>
      <c r="E300" s="9">
        <v>31300317</v>
      </c>
      <c r="F300" s="9">
        <v>31300117</v>
      </c>
      <c r="G300" s="10" t="s">
        <v>1593</v>
      </c>
      <c r="H300" s="10" t="s">
        <v>563</v>
      </c>
      <c r="I300" s="10" t="s">
        <v>1336</v>
      </c>
      <c r="J300" s="9">
        <v>293</v>
      </c>
      <c r="K300" s="10" t="s">
        <v>1594</v>
      </c>
      <c r="L300" s="10" t="s">
        <v>336</v>
      </c>
      <c r="M300" s="10" t="s">
        <v>1238</v>
      </c>
      <c r="N300" s="7"/>
    </row>
    <row r="301" s="1" customFormat="1" ht="28.5" customHeight="1" spans="1:14">
      <c r="A301" s="8">
        <v>3003</v>
      </c>
      <c r="B301" s="9">
        <v>300318</v>
      </c>
      <c r="C301" s="9" t="s">
        <v>34</v>
      </c>
      <c r="D301" s="9">
        <v>1000</v>
      </c>
      <c r="E301" s="9">
        <v>31300318</v>
      </c>
      <c r="F301" s="9">
        <v>31300117</v>
      </c>
      <c r="G301" s="10" t="s">
        <v>1605</v>
      </c>
      <c r="H301" s="10" t="s">
        <v>563</v>
      </c>
      <c r="I301" s="10" t="s">
        <v>1362</v>
      </c>
      <c r="J301" s="9">
        <v>294</v>
      </c>
      <c r="K301" s="10" t="s">
        <v>1606</v>
      </c>
      <c r="L301" s="10" t="s">
        <v>336</v>
      </c>
      <c r="M301" s="10" t="s">
        <v>1238</v>
      </c>
      <c r="N301" s="7"/>
    </row>
    <row r="302" s="1" customFormat="1" ht="28.5" customHeight="1" spans="1:14">
      <c r="A302" s="8">
        <v>3003</v>
      </c>
      <c r="B302" s="9">
        <v>300319</v>
      </c>
      <c r="C302" s="9" t="s">
        <v>34</v>
      </c>
      <c r="D302" s="9">
        <v>800</v>
      </c>
      <c r="E302" s="9">
        <v>31300319</v>
      </c>
      <c r="F302" s="9">
        <v>31300117</v>
      </c>
      <c r="G302" s="10" t="s">
        <v>1607</v>
      </c>
      <c r="H302" s="10" t="s">
        <v>563</v>
      </c>
      <c r="I302" s="10" t="s">
        <v>1365</v>
      </c>
      <c r="J302" s="9">
        <v>295</v>
      </c>
      <c r="K302" s="10" t="s">
        <v>1608</v>
      </c>
      <c r="L302" s="10" t="s">
        <v>336</v>
      </c>
      <c r="M302" s="10" t="s">
        <v>1238</v>
      </c>
      <c r="N302" s="7"/>
    </row>
    <row r="303" s="1" customFormat="1" ht="28.5" customHeight="1" spans="1:14">
      <c r="A303" s="8">
        <v>3003</v>
      </c>
      <c r="B303" s="9">
        <v>300320</v>
      </c>
      <c r="C303" s="9" t="s">
        <v>34</v>
      </c>
      <c r="D303" s="9">
        <v>600</v>
      </c>
      <c r="E303" s="9">
        <v>31300320</v>
      </c>
      <c r="F303" s="9">
        <v>31300117</v>
      </c>
      <c r="G303" s="10" t="s">
        <v>1609</v>
      </c>
      <c r="H303" s="10" t="s">
        <v>563</v>
      </c>
      <c r="I303" s="10" t="s">
        <v>1368</v>
      </c>
      <c r="J303" s="9">
        <v>296</v>
      </c>
      <c r="K303" s="10" t="s">
        <v>1610</v>
      </c>
      <c r="L303" s="10" t="s">
        <v>336</v>
      </c>
      <c r="M303" s="10" t="s">
        <v>1238</v>
      </c>
      <c r="N303" s="7"/>
    </row>
    <row r="304" s="1" customFormat="1" ht="28.5" customHeight="1" spans="1:14">
      <c r="A304" s="8">
        <v>3003</v>
      </c>
      <c r="B304" s="9">
        <v>300321</v>
      </c>
      <c r="C304" s="9" t="s">
        <v>34</v>
      </c>
      <c r="D304" s="9">
        <v>400</v>
      </c>
      <c r="E304" s="9">
        <v>31300321</v>
      </c>
      <c r="F304" s="9">
        <v>31300117</v>
      </c>
      <c r="G304" s="10" t="s">
        <v>1611</v>
      </c>
      <c r="H304" s="10" t="s">
        <v>563</v>
      </c>
      <c r="I304" s="10" t="s">
        <v>1371</v>
      </c>
      <c r="J304" s="9">
        <v>297</v>
      </c>
      <c r="K304" s="10" t="s">
        <v>1612</v>
      </c>
      <c r="L304" s="10" t="s">
        <v>336</v>
      </c>
      <c r="M304" s="10" t="s">
        <v>1238</v>
      </c>
      <c r="N304" s="7"/>
    </row>
    <row r="305" s="1" customFormat="1" ht="28.5" customHeight="1" spans="1:14">
      <c r="A305" s="8">
        <v>3003</v>
      </c>
      <c r="B305" s="9">
        <v>300322</v>
      </c>
      <c r="C305" s="9" t="s">
        <v>34</v>
      </c>
      <c r="D305" s="9">
        <v>200</v>
      </c>
      <c r="E305" s="9">
        <v>31300322</v>
      </c>
      <c r="F305" s="9">
        <v>31300117</v>
      </c>
      <c r="G305" s="10" t="s">
        <v>1613</v>
      </c>
      <c r="H305" s="10" t="s">
        <v>563</v>
      </c>
      <c r="I305" s="10" t="s">
        <v>1374</v>
      </c>
      <c r="J305" s="9">
        <v>298</v>
      </c>
      <c r="K305" s="10" t="s">
        <v>1614</v>
      </c>
      <c r="L305" s="10" t="s">
        <v>336</v>
      </c>
      <c r="M305" s="10" t="s">
        <v>1238</v>
      </c>
      <c r="N305" s="7"/>
    </row>
    <row r="306" s="1" customFormat="1" ht="28.5" customHeight="1" spans="1:14">
      <c r="A306" s="8"/>
      <c r="B306" s="9"/>
      <c r="C306" s="9"/>
      <c r="D306" s="9"/>
      <c r="E306" s="9"/>
      <c r="F306" s="9"/>
      <c r="G306" s="10"/>
      <c r="H306" s="10"/>
      <c r="I306" s="10" t="s">
        <v>1289</v>
      </c>
      <c r="J306" s="9">
        <v>299</v>
      </c>
      <c r="K306" s="10" t="s">
        <v>1289</v>
      </c>
      <c r="L306" s="10"/>
      <c r="M306" s="10" t="s">
        <v>1290</v>
      </c>
      <c r="N306" s="7"/>
    </row>
    <row r="307" s="1" customFormat="1" ht="28.5" customHeight="1" spans="1:14">
      <c r="A307" s="8">
        <v>3004</v>
      </c>
      <c r="B307" s="9">
        <v>300401</v>
      </c>
      <c r="C307" s="9" t="s">
        <v>35</v>
      </c>
      <c r="D307" s="9">
        <v>2000</v>
      </c>
      <c r="E307" s="9">
        <v>31300401</v>
      </c>
      <c r="F307" s="9">
        <v>31300101</v>
      </c>
      <c r="G307" s="10" t="s">
        <v>1301</v>
      </c>
      <c r="H307" s="10" t="s">
        <v>563</v>
      </c>
      <c r="I307" s="10" t="s">
        <v>1287</v>
      </c>
      <c r="J307" s="9">
        <v>300</v>
      </c>
      <c r="K307" s="10" t="s">
        <v>1302</v>
      </c>
      <c r="L307" s="10" t="s">
        <v>268</v>
      </c>
      <c r="M307" s="10" t="s">
        <v>1238</v>
      </c>
      <c r="N307" s="7"/>
    </row>
    <row r="308" s="1" customFormat="1" ht="28.5" customHeight="1" spans="1:14">
      <c r="A308" s="8">
        <v>3004</v>
      </c>
      <c r="B308" s="9">
        <v>300402</v>
      </c>
      <c r="C308" s="9" t="s">
        <v>35</v>
      </c>
      <c r="D308" s="9">
        <v>1000</v>
      </c>
      <c r="E308" s="9">
        <v>31300402</v>
      </c>
      <c r="F308" s="9">
        <v>31300101</v>
      </c>
      <c r="G308" s="10" t="s">
        <v>1376</v>
      </c>
      <c r="H308" s="10" t="s">
        <v>563</v>
      </c>
      <c r="I308" s="10" t="s">
        <v>1324</v>
      </c>
      <c r="J308" s="9">
        <v>301</v>
      </c>
      <c r="K308" s="10" t="s">
        <v>1377</v>
      </c>
      <c r="L308" s="10" t="s">
        <v>268</v>
      </c>
      <c r="M308" s="10" t="s">
        <v>1238</v>
      </c>
      <c r="N308" s="7"/>
    </row>
    <row r="309" s="1" customFormat="1" ht="28.5" customHeight="1" spans="1:14">
      <c r="A309" s="8">
        <v>3004</v>
      </c>
      <c r="B309" s="9">
        <v>300403</v>
      </c>
      <c r="C309" s="9" t="s">
        <v>35</v>
      </c>
      <c r="D309" s="9">
        <v>800</v>
      </c>
      <c r="E309" s="9">
        <v>31300403</v>
      </c>
      <c r="F309" s="9">
        <v>31300101</v>
      </c>
      <c r="G309" s="10" t="s">
        <v>1378</v>
      </c>
      <c r="H309" s="10" t="s">
        <v>563</v>
      </c>
      <c r="I309" s="10" t="s">
        <v>1327</v>
      </c>
      <c r="J309" s="9">
        <v>302</v>
      </c>
      <c r="K309" s="10" t="s">
        <v>1379</v>
      </c>
      <c r="L309" s="10" t="s">
        <v>268</v>
      </c>
      <c r="M309" s="10" t="s">
        <v>1238</v>
      </c>
      <c r="N309" s="7"/>
    </row>
    <row r="310" s="1" customFormat="1" ht="28.5" customHeight="1" spans="1:14">
      <c r="A310" s="8">
        <v>3004</v>
      </c>
      <c r="B310" s="9">
        <v>300404</v>
      </c>
      <c r="C310" s="9" t="s">
        <v>35</v>
      </c>
      <c r="D310" s="9">
        <v>600</v>
      </c>
      <c r="E310" s="9">
        <v>31300404</v>
      </c>
      <c r="F310" s="9">
        <v>31300101</v>
      </c>
      <c r="G310" s="10" t="s">
        <v>1380</v>
      </c>
      <c r="H310" s="10" t="s">
        <v>563</v>
      </c>
      <c r="I310" s="10" t="s">
        <v>1330</v>
      </c>
      <c r="J310" s="9">
        <v>303</v>
      </c>
      <c r="K310" s="10" t="s">
        <v>1381</v>
      </c>
      <c r="L310" s="10" t="s">
        <v>268</v>
      </c>
      <c r="M310" s="10" t="s">
        <v>1238</v>
      </c>
      <c r="N310" s="7"/>
    </row>
    <row r="311" s="1" customFormat="1" ht="28.5" customHeight="1" spans="1:14">
      <c r="A311" s="8">
        <v>3004</v>
      </c>
      <c r="B311" s="9">
        <v>300405</v>
      </c>
      <c r="C311" s="9" t="s">
        <v>35</v>
      </c>
      <c r="D311" s="9">
        <v>400</v>
      </c>
      <c r="E311" s="9">
        <v>31300405</v>
      </c>
      <c r="F311" s="9">
        <v>31300101</v>
      </c>
      <c r="G311" s="10" t="s">
        <v>1382</v>
      </c>
      <c r="H311" s="10" t="s">
        <v>563</v>
      </c>
      <c r="I311" s="10" t="s">
        <v>1333</v>
      </c>
      <c r="J311" s="9">
        <v>304</v>
      </c>
      <c r="K311" s="10" t="s">
        <v>1383</v>
      </c>
      <c r="L311" s="10" t="s">
        <v>268</v>
      </c>
      <c r="M311" s="10" t="s">
        <v>1238</v>
      </c>
      <c r="N311" s="7"/>
    </row>
    <row r="312" s="1" customFormat="1" ht="28.5" customHeight="1" spans="1:14">
      <c r="A312" s="8">
        <v>3004</v>
      </c>
      <c r="B312" s="9">
        <v>300406</v>
      </c>
      <c r="C312" s="9" t="s">
        <v>35</v>
      </c>
      <c r="D312" s="9">
        <v>200</v>
      </c>
      <c r="E312" s="9">
        <v>31300406</v>
      </c>
      <c r="F312" s="9">
        <v>31300101</v>
      </c>
      <c r="G312" s="10" t="s">
        <v>1384</v>
      </c>
      <c r="H312" s="10" t="s">
        <v>563</v>
      </c>
      <c r="I312" s="10" t="s">
        <v>1336</v>
      </c>
      <c r="J312" s="9">
        <v>305</v>
      </c>
      <c r="K312" s="10" t="s">
        <v>1385</v>
      </c>
      <c r="L312" s="10" t="s">
        <v>268</v>
      </c>
      <c r="M312" s="10" t="s">
        <v>1238</v>
      </c>
      <c r="N312" s="7"/>
    </row>
    <row r="313" s="1" customFormat="1" ht="28.5" customHeight="1" spans="1:14">
      <c r="A313" s="8">
        <v>3004</v>
      </c>
      <c r="B313" s="9">
        <v>300407</v>
      </c>
      <c r="C313" s="9" t="s">
        <v>35</v>
      </c>
      <c r="D313" s="9">
        <v>0</v>
      </c>
      <c r="E313" s="9">
        <v>31300407</v>
      </c>
      <c r="F313" s="9">
        <v>31300107</v>
      </c>
      <c r="G313" s="10" t="s">
        <v>1615</v>
      </c>
      <c r="H313" s="10" t="s">
        <v>563</v>
      </c>
      <c r="I313" s="10"/>
      <c r="J313" s="9">
        <v>306</v>
      </c>
      <c r="K313" s="10" t="s">
        <v>1616</v>
      </c>
      <c r="L313" s="10" t="s">
        <v>339</v>
      </c>
      <c r="M313" s="10" t="s">
        <v>1238</v>
      </c>
      <c r="N313" s="7"/>
    </row>
    <row r="314" s="1" customFormat="1" ht="28.5" customHeight="1" spans="1:14">
      <c r="A314" s="8">
        <v>3004</v>
      </c>
      <c r="B314" s="9">
        <v>300408</v>
      </c>
      <c r="C314" s="9" t="s">
        <v>35</v>
      </c>
      <c r="D314" s="9">
        <v>0</v>
      </c>
      <c r="E314" s="9">
        <v>31300408</v>
      </c>
      <c r="F314" s="9">
        <v>31300107</v>
      </c>
      <c r="G314" s="10" t="s">
        <v>1617</v>
      </c>
      <c r="H314" s="10" t="s">
        <v>563</v>
      </c>
      <c r="I314" s="10"/>
      <c r="J314" s="9">
        <v>307</v>
      </c>
      <c r="K314" s="10" t="s">
        <v>1618</v>
      </c>
      <c r="L314" s="10" t="s">
        <v>339</v>
      </c>
      <c r="M314" s="10" t="s">
        <v>1238</v>
      </c>
      <c r="N314" s="7"/>
    </row>
    <row r="315" s="1" customFormat="1" ht="28.5" customHeight="1" spans="1:14">
      <c r="A315" s="8">
        <v>3004</v>
      </c>
      <c r="B315" s="9">
        <v>300409</v>
      </c>
      <c r="C315" s="9" t="s">
        <v>35</v>
      </c>
      <c r="D315" s="9">
        <v>0</v>
      </c>
      <c r="E315" s="9">
        <v>31300409</v>
      </c>
      <c r="F315" s="9">
        <v>31300107</v>
      </c>
      <c r="G315" s="10" t="s">
        <v>1619</v>
      </c>
      <c r="H315" s="10" t="s">
        <v>563</v>
      </c>
      <c r="I315" s="10"/>
      <c r="J315" s="9">
        <v>308</v>
      </c>
      <c r="K315" s="10" t="s">
        <v>1620</v>
      </c>
      <c r="L315" s="10" t="s">
        <v>339</v>
      </c>
      <c r="M315" s="10" t="s">
        <v>1238</v>
      </c>
      <c r="N315" s="7"/>
    </row>
    <row r="316" s="1" customFormat="1" ht="28.5" customHeight="1" spans="1:14">
      <c r="A316" s="8">
        <v>3004</v>
      </c>
      <c r="B316" s="9">
        <v>300410</v>
      </c>
      <c r="C316" s="9" t="s">
        <v>35</v>
      </c>
      <c r="D316" s="9">
        <v>0</v>
      </c>
      <c r="E316" s="9">
        <v>31300410</v>
      </c>
      <c r="F316" s="9">
        <v>31300107</v>
      </c>
      <c r="G316" s="10" t="s">
        <v>1621</v>
      </c>
      <c r="H316" s="10" t="s">
        <v>563</v>
      </c>
      <c r="I316" s="10"/>
      <c r="J316" s="9">
        <v>309</v>
      </c>
      <c r="K316" s="10" t="s">
        <v>1622</v>
      </c>
      <c r="L316" s="10" t="s">
        <v>339</v>
      </c>
      <c r="M316" s="10" t="s">
        <v>1238</v>
      </c>
      <c r="N316" s="7"/>
    </row>
    <row r="317" s="1" customFormat="1" ht="28.5" customHeight="1" spans="1:14">
      <c r="A317" s="8">
        <v>3004</v>
      </c>
      <c r="B317" s="9">
        <v>300411</v>
      </c>
      <c r="C317" s="9" t="s">
        <v>35</v>
      </c>
      <c r="D317" s="9">
        <v>0</v>
      </c>
      <c r="E317" s="9">
        <v>31300411</v>
      </c>
      <c r="F317" s="9">
        <v>31300107</v>
      </c>
      <c r="G317" s="10" t="s">
        <v>1623</v>
      </c>
      <c r="H317" s="10" t="s">
        <v>563</v>
      </c>
      <c r="I317" s="10"/>
      <c r="J317" s="9">
        <v>310</v>
      </c>
      <c r="K317" s="10" t="s">
        <v>1624</v>
      </c>
      <c r="L317" s="10" t="s">
        <v>339</v>
      </c>
      <c r="M317" s="10" t="s">
        <v>1238</v>
      </c>
      <c r="N317" s="7"/>
    </row>
    <row r="318" s="1" customFormat="1" ht="28.5" customHeight="1" spans="1:14">
      <c r="A318" s="8">
        <v>3004</v>
      </c>
      <c r="B318" s="9">
        <v>300412</v>
      </c>
      <c r="C318" s="9" t="s">
        <v>35</v>
      </c>
      <c r="D318" s="9">
        <v>3000</v>
      </c>
      <c r="E318" s="9">
        <v>31300412</v>
      </c>
      <c r="F318" s="9">
        <v>31300112</v>
      </c>
      <c r="G318" s="10" t="s">
        <v>1396</v>
      </c>
      <c r="H318" s="10" t="s">
        <v>563</v>
      </c>
      <c r="I318" s="10"/>
      <c r="J318" s="9">
        <v>311</v>
      </c>
      <c r="K318" s="10" t="s">
        <v>1397</v>
      </c>
      <c r="L318" s="10" t="s">
        <v>267</v>
      </c>
      <c r="M318" s="10" t="s">
        <v>1238</v>
      </c>
      <c r="N318" s="7"/>
    </row>
    <row r="319" s="1" customFormat="1" ht="28.5" customHeight="1" spans="1:14">
      <c r="A319" s="8">
        <v>3004</v>
      </c>
      <c r="B319" s="9">
        <v>300413</v>
      </c>
      <c r="C319" s="9" t="s">
        <v>35</v>
      </c>
      <c r="D319" s="9">
        <v>2500</v>
      </c>
      <c r="E319" s="9">
        <v>31300413</v>
      </c>
      <c r="F319" s="9">
        <v>31300112</v>
      </c>
      <c r="G319" s="10" t="s">
        <v>1398</v>
      </c>
      <c r="H319" s="10" t="s">
        <v>563</v>
      </c>
      <c r="I319" s="10"/>
      <c r="J319" s="9">
        <v>312</v>
      </c>
      <c r="K319" s="10" t="s">
        <v>1399</v>
      </c>
      <c r="L319" s="10" t="s">
        <v>267</v>
      </c>
      <c r="M319" s="10" t="s">
        <v>1238</v>
      </c>
      <c r="N319" s="7"/>
    </row>
    <row r="320" s="1" customFormat="1" ht="28.5" customHeight="1" spans="1:14">
      <c r="A320" s="8">
        <v>3004</v>
      </c>
      <c r="B320" s="9">
        <v>300414</v>
      </c>
      <c r="C320" s="9" t="s">
        <v>35</v>
      </c>
      <c r="D320" s="9">
        <v>2000</v>
      </c>
      <c r="E320" s="9">
        <v>31300414</v>
      </c>
      <c r="F320" s="9">
        <v>31300112</v>
      </c>
      <c r="G320" s="10" t="s">
        <v>1400</v>
      </c>
      <c r="H320" s="10" t="s">
        <v>563</v>
      </c>
      <c r="I320" s="10"/>
      <c r="J320" s="9">
        <v>313</v>
      </c>
      <c r="K320" s="10" t="s">
        <v>1401</v>
      </c>
      <c r="L320" s="10" t="s">
        <v>267</v>
      </c>
      <c r="M320" s="10" t="s">
        <v>1238</v>
      </c>
      <c r="N320" s="7"/>
    </row>
    <row r="321" s="1" customFormat="1" ht="28.5" customHeight="1" spans="1:14">
      <c r="A321" s="8">
        <v>3004</v>
      </c>
      <c r="B321" s="9">
        <v>300415</v>
      </c>
      <c r="C321" s="9" t="s">
        <v>35</v>
      </c>
      <c r="D321" s="9">
        <v>1500</v>
      </c>
      <c r="E321" s="9">
        <v>31300415</v>
      </c>
      <c r="F321" s="9">
        <v>31300112</v>
      </c>
      <c r="G321" s="10" t="s">
        <v>1402</v>
      </c>
      <c r="H321" s="10" t="s">
        <v>563</v>
      </c>
      <c r="I321" s="10"/>
      <c r="J321" s="9">
        <v>314</v>
      </c>
      <c r="K321" s="10" t="s">
        <v>1403</v>
      </c>
      <c r="L321" s="10" t="s">
        <v>267</v>
      </c>
      <c r="M321" s="10" t="s">
        <v>1238</v>
      </c>
      <c r="N321" s="7"/>
    </row>
    <row r="322" s="1" customFormat="1" ht="28.5" customHeight="1" spans="1:14">
      <c r="A322" s="8">
        <v>3004</v>
      </c>
      <c r="B322" s="9">
        <v>300416</v>
      </c>
      <c r="C322" s="9" t="s">
        <v>35</v>
      </c>
      <c r="D322" s="9">
        <v>1000</v>
      </c>
      <c r="E322" s="9">
        <v>31300416</v>
      </c>
      <c r="F322" s="9">
        <v>31300112</v>
      </c>
      <c r="G322" s="10" t="s">
        <v>1404</v>
      </c>
      <c r="H322" s="10" t="s">
        <v>563</v>
      </c>
      <c r="I322" s="10"/>
      <c r="J322" s="9">
        <v>315</v>
      </c>
      <c r="K322" s="10" t="s">
        <v>1405</v>
      </c>
      <c r="L322" s="10" t="s">
        <v>267</v>
      </c>
      <c r="M322" s="10" t="s">
        <v>1238</v>
      </c>
      <c r="N322" s="7"/>
    </row>
    <row r="323" s="1" customFormat="1" ht="28.5" customHeight="1" spans="1:14">
      <c r="A323" s="8">
        <v>3004</v>
      </c>
      <c r="B323" s="9">
        <v>300417</v>
      </c>
      <c r="C323" s="9" t="s">
        <v>35</v>
      </c>
      <c r="D323" s="9">
        <v>2000</v>
      </c>
      <c r="E323" s="9">
        <v>31300417</v>
      </c>
      <c r="F323" s="9">
        <v>31300117</v>
      </c>
      <c r="G323" s="10" t="s">
        <v>1625</v>
      </c>
      <c r="H323" s="10" t="s">
        <v>563</v>
      </c>
      <c r="I323" s="10" t="s">
        <v>1407</v>
      </c>
      <c r="J323" s="9">
        <v>316</v>
      </c>
      <c r="K323" s="10" t="s">
        <v>1626</v>
      </c>
      <c r="L323" s="10" t="s">
        <v>340</v>
      </c>
      <c r="M323" s="10" t="s">
        <v>1238</v>
      </c>
      <c r="N323" s="7"/>
    </row>
    <row r="324" s="1" customFormat="1" ht="28.5" customHeight="1" spans="1:14">
      <c r="A324" s="8">
        <v>3004</v>
      </c>
      <c r="B324" s="9">
        <v>300418</v>
      </c>
      <c r="C324" s="9" t="s">
        <v>35</v>
      </c>
      <c r="D324" s="9">
        <v>1000</v>
      </c>
      <c r="E324" s="9">
        <v>31300418</v>
      </c>
      <c r="F324" s="9">
        <v>31300117</v>
      </c>
      <c r="G324" s="10" t="s">
        <v>1609</v>
      </c>
      <c r="H324" s="10" t="s">
        <v>563</v>
      </c>
      <c r="I324" s="10" t="s">
        <v>1368</v>
      </c>
      <c r="J324" s="9">
        <v>317</v>
      </c>
      <c r="K324" s="10" t="s">
        <v>1610</v>
      </c>
      <c r="L324" s="10" t="s">
        <v>340</v>
      </c>
      <c r="M324" s="10" t="s">
        <v>1238</v>
      </c>
      <c r="N324" s="7"/>
    </row>
    <row r="325" s="1" customFormat="1" ht="28.5" customHeight="1" spans="1:14">
      <c r="A325" s="8">
        <v>3004</v>
      </c>
      <c r="B325" s="9">
        <v>300419</v>
      </c>
      <c r="C325" s="9" t="s">
        <v>35</v>
      </c>
      <c r="D325" s="9">
        <v>800</v>
      </c>
      <c r="E325" s="9">
        <v>31300419</v>
      </c>
      <c r="F325" s="9">
        <v>31300117</v>
      </c>
      <c r="G325" s="10" t="s">
        <v>1611</v>
      </c>
      <c r="H325" s="10" t="s">
        <v>563</v>
      </c>
      <c r="I325" s="10" t="s">
        <v>1371</v>
      </c>
      <c r="J325" s="9">
        <v>318</v>
      </c>
      <c r="K325" s="10" t="s">
        <v>1612</v>
      </c>
      <c r="L325" s="10" t="s">
        <v>340</v>
      </c>
      <c r="M325" s="10" t="s">
        <v>1238</v>
      </c>
      <c r="N325" s="7"/>
    </row>
    <row r="326" s="1" customFormat="1" ht="28.5" customHeight="1" spans="1:14">
      <c r="A326" s="8">
        <v>3004</v>
      </c>
      <c r="B326" s="9">
        <v>300420</v>
      </c>
      <c r="C326" s="9" t="s">
        <v>35</v>
      </c>
      <c r="D326" s="9">
        <v>600</v>
      </c>
      <c r="E326" s="9">
        <v>31300420</v>
      </c>
      <c r="F326" s="9">
        <v>31300117</v>
      </c>
      <c r="G326" s="10" t="s">
        <v>1611</v>
      </c>
      <c r="H326" s="10" t="s">
        <v>563</v>
      </c>
      <c r="I326" s="10" t="s">
        <v>1371</v>
      </c>
      <c r="J326" s="9">
        <v>319</v>
      </c>
      <c r="K326" s="10" t="s">
        <v>1612</v>
      </c>
      <c r="L326" s="10" t="s">
        <v>340</v>
      </c>
      <c r="M326" s="10" t="s">
        <v>1238</v>
      </c>
      <c r="N326" s="7"/>
    </row>
    <row r="327" s="1" customFormat="1" ht="28.5" customHeight="1" spans="1:14">
      <c r="A327" s="8">
        <v>3004</v>
      </c>
      <c r="B327" s="9">
        <v>300421</v>
      </c>
      <c r="C327" s="9" t="s">
        <v>35</v>
      </c>
      <c r="D327" s="9">
        <v>400</v>
      </c>
      <c r="E327" s="9">
        <v>31300421</v>
      </c>
      <c r="F327" s="9">
        <v>31300117</v>
      </c>
      <c r="G327" s="10" t="s">
        <v>1613</v>
      </c>
      <c r="H327" s="10" t="s">
        <v>563</v>
      </c>
      <c r="I327" s="10" t="s">
        <v>1374</v>
      </c>
      <c r="J327" s="9">
        <v>320</v>
      </c>
      <c r="K327" s="10" t="s">
        <v>1614</v>
      </c>
      <c r="L327" s="10" t="s">
        <v>340</v>
      </c>
      <c r="M327" s="10" t="s">
        <v>1238</v>
      </c>
      <c r="N327" s="7"/>
    </row>
    <row r="328" s="1" customFormat="1" ht="28.5" customHeight="1" spans="1:14">
      <c r="A328" s="8">
        <v>3004</v>
      </c>
      <c r="B328" s="9">
        <v>300422</v>
      </c>
      <c r="C328" s="9" t="s">
        <v>35</v>
      </c>
      <c r="D328" s="9">
        <v>200</v>
      </c>
      <c r="E328" s="9">
        <v>31300422</v>
      </c>
      <c r="F328" s="9">
        <v>31300117</v>
      </c>
      <c r="G328" s="10" t="s">
        <v>1627</v>
      </c>
      <c r="H328" s="10" t="s">
        <v>563</v>
      </c>
      <c r="I328" s="10" t="s">
        <v>1410</v>
      </c>
      <c r="J328" s="9">
        <v>321</v>
      </c>
      <c r="K328" s="10" t="s">
        <v>1628</v>
      </c>
      <c r="L328" s="10" t="s">
        <v>340</v>
      </c>
      <c r="M328" s="10" t="s">
        <v>1238</v>
      </c>
      <c r="N328" s="7"/>
    </row>
    <row r="329" s="1" customFormat="1" ht="28.5" customHeight="1" spans="1:14">
      <c r="A329" s="8"/>
      <c r="B329" s="9"/>
      <c r="C329" s="9"/>
      <c r="D329" s="9"/>
      <c r="E329" s="9"/>
      <c r="F329" s="9"/>
      <c r="G329" s="10"/>
      <c r="H329" s="10"/>
      <c r="I329" s="10" t="s">
        <v>1289</v>
      </c>
      <c r="J329" s="9">
        <v>322</v>
      </c>
      <c r="K329" s="10" t="s">
        <v>1289</v>
      </c>
      <c r="L329" s="10"/>
      <c r="M329" s="10" t="s">
        <v>1290</v>
      </c>
      <c r="N329" s="7"/>
    </row>
    <row r="330" s="1" customFormat="1" ht="28.5" customHeight="1" spans="1:14">
      <c r="A330" s="8">
        <v>3005</v>
      </c>
      <c r="B330" s="9">
        <v>300501</v>
      </c>
      <c r="C330" s="9" t="s">
        <v>36</v>
      </c>
      <c r="D330" s="9">
        <v>2000</v>
      </c>
      <c r="E330" s="9">
        <v>31300501</v>
      </c>
      <c r="F330" s="9">
        <v>31300101</v>
      </c>
      <c r="G330" s="10" t="s">
        <v>1384</v>
      </c>
      <c r="H330" s="10" t="s">
        <v>563</v>
      </c>
      <c r="I330" s="10" t="s">
        <v>1336</v>
      </c>
      <c r="J330" s="9">
        <v>323</v>
      </c>
      <c r="K330" s="10" t="s">
        <v>1385</v>
      </c>
      <c r="L330" s="10" t="s">
        <v>276</v>
      </c>
      <c r="M330" s="10" t="s">
        <v>1238</v>
      </c>
      <c r="N330" s="7"/>
    </row>
    <row r="331" s="1" customFormat="1" ht="28.5" customHeight="1" spans="1:14">
      <c r="A331" s="8">
        <v>3005</v>
      </c>
      <c r="B331" s="9">
        <v>300502</v>
      </c>
      <c r="C331" s="9" t="s">
        <v>36</v>
      </c>
      <c r="D331" s="9">
        <v>1000</v>
      </c>
      <c r="E331" s="9">
        <v>31300502</v>
      </c>
      <c r="F331" s="9">
        <v>31300101</v>
      </c>
      <c r="G331" s="10" t="s">
        <v>1412</v>
      </c>
      <c r="H331" s="10" t="s">
        <v>563</v>
      </c>
      <c r="I331" s="10" t="s">
        <v>1362</v>
      </c>
      <c r="J331" s="9">
        <v>324</v>
      </c>
      <c r="K331" s="10" t="s">
        <v>1413</v>
      </c>
      <c r="L331" s="10" t="s">
        <v>276</v>
      </c>
      <c r="M331" s="10" t="s">
        <v>1238</v>
      </c>
      <c r="N331" s="7"/>
    </row>
    <row r="332" s="1" customFormat="1" ht="28.5" customHeight="1" spans="1:14">
      <c r="A332" s="8">
        <v>3005</v>
      </c>
      <c r="B332" s="9">
        <v>300503</v>
      </c>
      <c r="C332" s="9" t="s">
        <v>36</v>
      </c>
      <c r="D332" s="9">
        <v>800</v>
      </c>
      <c r="E332" s="9">
        <v>31300503</v>
      </c>
      <c r="F332" s="9">
        <v>31300101</v>
      </c>
      <c r="G332" s="10" t="s">
        <v>1414</v>
      </c>
      <c r="H332" s="10" t="s">
        <v>563</v>
      </c>
      <c r="I332" s="10" t="s">
        <v>1365</v>
      </c>
      <c r="J332" s="9">
        <v>325</v>
      </c>
      <c r="K332" s="10" t="s">
        <v>1415</v>
      </c>
      <c r="L332" s="10" t="s">
        <v>276</v>
      </c>
      <c r="M332" s="10" t="s">
        <v>1238</v>
      </c>
      <c r="N332" s="7"/>
    </row>
    <row r="333" s="1" customFormat="1" ht="28.5" customHeight="1" spans="1:14">
      <c r="A333" s="8">
        <v>3005</v>
      </c>
      <c r="B333" s="9">
        <v>300504</v>
      </c>
      <c r="C333" s="9" t="s">
        <v>36</v>
      </c>
      <c r="D333" s="9">
        <v>600</v>
      </c>
      <c r="E333" s="9">
        <v>31300504</v>
      </c>
      <c r="F333" s="9">
        <v>31300101</v>
      </c>
      <c r="G333" s="10" t="s">
        <v>1416</v>
      </c>
      <c r="H333" s="10" t="s">
        <v>563</v>
      </c>
      <c r="I333" s="10" t="s">
        <v>1368</v>
      </c>
      <c r="J333" s="9">
        <v>326</v>
      </c>
      <c r="K333" s="10" t="s">
        <v>1417</v>
      </c>
      <c r="L333" s="10" t="s">
        <v>276</v>
      </c>
      <c r="M333" s="10" t="s">
        <v>1238</v>
      </c>
      <c r="N333" s="7"/>
    </row>
    <row r="334" s="1" customFormat="1" ht="28.5" customHeight="1" spans="1:14">
      <c r="A334" s="8">
        <v>3005</v>
      </c>
      <c r="B334" s="9">
        <v>300505</v>
      </c>
      <c r="C334" s="9" t="s">
        <v>36</v>
      </c>
      <c r="D334" s="9">
        <v>400</v>
      </c>
      <c r="E334" s="9">
        <v>31300505</v>
      </c>
      <c r="F334" s="9">
        <v>31300101</v>
      </c>
      <c r="G334" s="10" t="s">
        <v>1418</v>
      </c>
      <c r="H334" s="10" t="s">
        <v>563</v>
      </c>
      <c r="I334" s="10" t="s">
        <v>1371</v>
      </c>
      <c r="J334" s="9">
        <v>327</v>
      </c>
      <c r="K334" s="10" t="s">
        <v>1419</v>
      </c>
      <c r="L334" s="10" t="s">
        <v>276</v>
      </c>
      <c r="M334" s="10" t="s">
        <v>1238</v>
      </c>
      <c r="N334" s="7"/>
    </row>
    <row r="335" s="1" customFormat="1" ht="28.5" customHeight="1" spans="1:14">
      <c r="A335" s="8">
        <v>3005</v>
      </c>
      <c r="B335" s="9">
        <v>300506</v>
      </c>
      <c r="C335" s="9" t="s">
        <v>36</v>
      </c>
      <c r="D335" s="9">
        <v>200</v>
      </c>
      <c r="E335" s="9">
        <v>31300506</v>
      </c>
      <c r="F335" s="9">
        <v>31300101</v>
      </c>
      <c r="G335" s="10" t="s">
        <v>1420</v>
      </c>
      <c r="H335" s="10" t="s">
        <v>563</v>
      </c>
      <c r="I335" s="10" t="s">
        <v>1374</v>
      </c>
      <c r="J335" s="9">
        <v>328</v>
      </c>
      <c r="K335" s="10" t="s">
        <v>1421</v>
      </c>
      <c r="L335" s="10" t="s">
        <v>276</v>
      </c>
      <c r="M335" s="10" t="s">
        <v>1238</v>
      </c>
      <c r="N335" s="7"/>
    </row>
    <row r="336" s="1" customFormat="1" ht="28.5" customHeight="1" spans="1:14">
      <c r="A336" s="8">
        <v>3005</v>
      </c>
      <c r="B336" s="9">
        <v>300507</v>
      </c>
      <c r="C336" s="9" t="s">
        <v>36</v>
      </c>
      <c r="D336" s="9">
        <v>0</v>
      </c>
      <c r="E336" s="9">
        <v>31300507</v>
      </c>
      <c r="F336" s="9">
        <v>31300107</v>
      </c>
      <c r="G336" s="10" t="s">
        <v>1629</v>
      </c>
      <c r="H336" s="10" t="s">
        <v>563</v>
      </c>
      <c r="I336" s="10"/>
      <c r="J336" s="9">
        <v>329</v>
      </c>
      <c r="K336" s="10" t="s">
        <v>1630</v>
      </c>
      <c r="L336" s="10" t="s">
        <v>343</v>
      </c>
      <c r="M336" s="10" t="s">
        <v>1238</v>
      </c>
      <c r="N336" s="7"/>
    </row>
    <row r="337" s="1" customFormat="1" ht="28.5" customHeight="1" spans="1:14">
      <c r="A337" s="8">
        <v>3005</v>
      </c>
      <c r="B337" s="9">
        <v>300508</v>
      </c>
      <c r="C337" s="9" t="s">
        <v>36</v>
      </c>
      <c r="D337" s="9">
        <v>0</v>
      </c>
      <c r="E337" s="9">
        <v>31300508</v>
      </c>
      <c r="F337" s="9">
        <v>31300107</v>
      </c>
      <c r="G337" s="10" t="s">
        <v>1631</v>
      </c>
      <c r="H337" s="10" t="s">
        <v>563</v>
      </c>
      <c r="I337" s="10"/>
      <c r="J337" s="9">
        <v>330</v>
      </c>
      <c r="K337" s="10" t="s">
        <v>1632</v>
      </c>
      <c r="L337" s="10" t="s">
        <v>343</v>
      </c>
      <c r="M337" s="10" t="s">
        <v>1238</v>
      </c>
      <c r="N337" s="7"/>
    </row>
    <row r="338" s="1" customFormat="1" ht="28.5" customHeight="1" spans="1:14">
      <c r="A338" s="8">
        <v>3005</v>
      </c>
      <c r="B338" s="9">
        <v>300509</v>
      </c>
      <c r="C338" s="9" t="s">
        <v>36</v>
      </c>
      <c r="D338" s="9">
        <v>0</v>
      </c>
      <c r="E338" s="9">
        <v>31300509</v>
      </c>
      <c r="F338" s="9">
        <v>31300107</v>
      </c>
      <c r="G338" s="10" t="s">
        <v>1633</v>
      </c>
      <c r="H338" s="10" t="s">
        <v>563</v>
      </c>
      <c r="I338" s="10"/>
      <c r="J338" s="9">
        <v>331</v>
      </c>
      <c r="K338" s="10" t="s">
        <v>1634</v>
      </c>
      <c r="L338" s="10" t="s">
        <v>343</v>
      </c>
      <c r="M338" s="10" t="s">
        <v>1238</v>
      </c>
      <c r="N338" s="7"/>
    </row>
    <row r="339" s="1" customFormat="1" ht="28.5" customHeight="1" spans="1:14">
      <c r="A339" s="8">
        <v>3005</v>
      </c>
      <c r="B339" s="9">
        <v>300510</v>
      </c>
      <c r="C339" s="9" t="s">
        <v>36</v>
      </c>
      <c r="D339" s="9">
        <v>0</v>
      </c>
      <c r="E339" s="9">
        <v>31300510</v>
      </c>
      <c r="F339" s="9">
        <v>31300107</v>
      </c>
      <c r="G339" s="10" t="s">
        <v>1635</v>
      </c>
      <c r="H339" s="10" t="s">
        <v>563</v>
      </c>
      <c r="I339" s="10"/>
      <c r="J339" s="9">
        <v>332</v>
      </c>
      <c r="K339" s="10" t="s">
        <v>1636</v>
      </c>
      <c r="L339" s="10" t="s">
        <v>343</v>
      </c>
      <c r="M339" s="10" t="s">
        <v>1238</v>
      </c>
      <c r="N339" s="7"/>
    </row>
    <row r="340" s="1" customFormat="1" ht="28.5" customHeight="1" spans="1:14">
      <c r="A340" s="8">
        <v>3005</v>
      </c>
      <c r="B340" s="9">
        <v>300511</v>
      </c>
      <c r="C340" s="9" t="s">
        <v>36</v>
      </c>
      <c r="D340" s="9">
        <v>0</v>
      </c>
      <c r="E340" s="9">
        <v>31300511</v>
      </c>
      <c r="F340" s="9">
        <v>31300107</v>
      </c>
      <c r="G340" s="10" t="s">
        <v>1637</v>
      </c>
      <c r="H340" s="10" t="s">
        <v>563</v>
      </c>
      <c r="I340" s="10"/>
      <c r="J340" s="9">
        <v>333</v>
      </c>
      <c r="K340" s="10" t="s">
        <v>1638</v>
      </c>
      <c r="L340" s="10" t="s">
        <v>343</v>
      </c>
      <c r="M340" s="10" t="s">
        <v>1238</v>
      </c>
      <c r="N340" s="7"/>
    </row>
    <row r="341" s="1" customFormat="1" ht="28.5" customHeight="1" spans="1:14">
      <c r="A341" s="8">
        <v>3005</v>
      </c>
      <c r="B341" s="9">
        <v>300512</v>
      </c>
      <c r="C341" s="9" t="s">
        <v>36</v>
      </c>
      <c r="D341" s="9">
        <v>3000</v>
      </c>
      <c r="E341" s="9">
        <v>31300512</v>
      </c>
      <c r="F341" s="9">
        <v>31300112</v>
      </c>
      <c r="G341" s="10" t="s">
        <v>1432</v>
      </c>
      <c r="H341" s="10" t="s">
        <v>563</v>
      </c>
      <c r="I341" s="10"/>
      <c r="J341" s="9">
        <v>334</v>
      </c>
      <c r="K341" s="10" t="s">
        <v>1433</v>
      </c>
      <c r="L341" s="10" t="s">
        <v>275</v>
      </c>
      <c r="M341" s="10" t="s">
        <v>1238</v>
      </c>
      <c r="N341" s="7"/>
    </row>
    <row r="342" s="1" customFormat="1" ht="28.5" customHeight="1" spans="1:14">
      <c r="A342" s="8">
        <v>3005</v>
      </c>
      <c r="B342" s="9">
        <v>300513</v>
      </c>
      <c r="C342" s="9" t="s">
        <v>36</v>
      </c>
      <c r="D342" s="9">
        <v>2500</v>
      </c>
      <c r="E342" s="9">
        <v>31300513</v>
      </c>
      <c r="F342" s="9">
        <v>31300112</v>
      </c>
      <c r="G342" s="10" t="s">
        <v>1434</v>
      </c>
      <c r="H342" s="10" t="s">
        <v>563</v>
      </c>
      <c r="I342" s="10"/>
      <c r="J342" s="9">
        <v>335</v>
      </c>
      <c r="K342" s="10" t="s">
        <v>1435</v>
      </c>
      <c r="L342" s="10" t="s">
        <v>275</v>
      </c>
      <c r="M342" s="10" t="s">
        <v>1238</v>
      </c>
      <c r="N342" s="7"/>
    </row>
    <row r="343" s="1" customFormat="1" ht="28.5" customHeight="1" spans="1:14">
      <c r="A343" s="8">
        <v>3005</v>
      </c>
      <c r="B343" s="9">
        <v>300514</v>
      </c>
      <c r="C343" s="9" t="s">
        <v>36</v>
      </c>
      <c r="D343" s="9">
        <v>2000</v>
      </c>
      <c r="E343" s="9">
        <v>31300514</v>
      </c>
      <c r="F343" s="9">
        <v>31300112</v>
      </c>
      <c r="G343" s="10" t="s">
        <v>1436</v>
      </c>
      <c r="H343" s="10" t="s">
        <v>563</v>
      </c>
      <c r="I343" s="10"/>
      <c r="J343" s="9">
        <v>336</v>
      </c>
      <c r="K343" s="10" t="s">
        <v>1437</v>
      </c>
      <c r="L343" s="10" t="s">
        <v>275</v>
      </c>
      <c r="M343" s="10" t="s">
        <v>1238</v>
      </c>
      <c r="N343" s="7"/>
    </row>
    <row r="344" s="1" customFormat="1" ht="28.5" customHeight="1" spans="1:14">
      <c r="A344" s="8">
        <v>3005</v>
      </c>
      <c r="B344" s="9">
        <v>300515</v>
      </c>
      <c r="C344" s="9" t="s">
        <v>36</v>
      </c>
      <c r="D344" s="9">
        <v>1500</v>
      </c>
      <c r="E344" s="9">
        <v>31300515</v>
      </c>
      <c r="F344" s="9">
        <v>31300112</v>
      </c>
      <c r="G344" s="10" t="s">
        <v>1438</v>
      </c>
      <c r="H344" s="10" t="s">
        <v>563</v>
      </c>
      <c r="I344" s="10"/>
      <c r="J344" s="9">
        <v>337</v>
      </c>
      <c r="K344" s="10" t="s">
        <v>1439</v>
      </c>
      <c r="L344" s="10" t="s">
        <v>275</v>
      </c>
      <c r="M344" s="10" t="s">
        <v>1238</v>
      </c>
      <c r="N344" s="7"/>
    </row>
    <row r="345" s="1" customFormat="1" ht="28.5" customHeight="1" spans="1:14">
      <c r="A345" s="8">
        <v>3005</v>
      </c>
      <c r="B345" s="9">
        <v>300516</v>
      </c>
      <c r="C345" s="9" t="s">
        <v>36</v>
      </c>
      <c r="D345" s="9">
        <v>1000</v>
      </c>
      <c r="E345" s="9">
        <v>31300516</v>
      </c>
      <c r="F345" s="9">
        <v>31300112</v>
      </c>
      <c r="G345" s="10" t="s">
        <v>1440</v>
      </c>
      <c r="H345" s="10" t="s">
        <v>563</v>
      </c>
      <c r="I345" s="10"/>
      <c r="J345" s="9">
        <v>338</v>
      </c>
      <c r="K345" s="10" t="s">
        <v>1441</v>
      </c>
      <c r="L345" s="10" t="s">
        <v>275</v>
      </c>
      <c r="M345" s="10" t="s">
        <v>1238</v>
      </c>
      <c r="N345" s="7"/>
    </row>
    <row r="346" s="1" customFormat="1" ht="28.5" customHeight="1" spans="1:14">
      <c r="A346" s="8">
        <v>3005</v>
      </c>
      <c r="B346" s="9">
        <v>300517</v>
      </c>
      <c r="C346" s="9" t="s">
        <v>36</v>
      </c>
      <c r="D346" s="9">
        <v>2000</v>
      </c>
      <c r="E346" s="9">
        <v>31300517</v>
      </c>
      <c r="F346" s="9">
        <v>31300117</v>
      </c>
      <c r="G346" s="10" t="s">
        <v>1627</v>
      </c>
      <c r="H346" s="10" t="s">
        <v>563</v>
      </c>
      <c r="I346" s="10" t="s">
        <v>1410</v>
      </c>
      <c r="J346" s="9">
        <v>339</v>
      </c>
      <c r="K346" s="10" t="s">
        <v>1628</v>
      </c>
      <c r="L346" s="10" t="s">
        <v>344</v>
      </c>
      <c r="M346" s="10" t="s">
        <v>1238</v>
      </c>
      <c r="N346" s="7"/>
    </row>
    <row r="347" s="1" customFormat="1" ht="28.5" customHeight="1" spans="1:14">
      <c r="A347" s="8">
        <v>3005</v>
      </c>
      <c r="B347" s="9">
        <v>300518</v>
      </c>
      <c r="C347" s="9" t="s">
        <v>36</v>
      </c>
      <c r="D347" s="9">
        <v>1000</v>
      </c>
      <c r="E347" s="9">
        <v>31300518</v>
      </c>
      <c r="F347" s="9">
        <v>31300117</v>
      </c>
      <c r="G347" s="10" t="s">
        <v>1639</v>
      </c>
      <c r="H347" s="10" t="s">
        <v>563</v>
      </c>
      <c r="I347" s="10" t="s">
        <v>1443</v>
      </c>
      <c r="J347" s="9">
        <v>340</v>
      </c>
      <c r="K347" s="10" t="s">
        <v>1640</v>
      </c>
      <c r="L347" s="10" t="s">
        <v>344</v>
      </c>
      <c r="M347" s="10" t="s">
        <v>1238</v>
      </c>
      <c r="N347" s="7"/>
    </row>
    <row r="348" s="1" customFormat="1" ht="28.5" customHeight="1" spans="1:14">
      <c r="A348" s="8">
        <v>3005</v>
      </c>
      <c r="B348" s="9">
        <v>300519</v>
      </c>
      <c r="C348" s="9" t="s">
        <v>36</v>
      </c>
      <c r="D348" s="9">
        <v>800</v>
      </c>
      <c r="E348" s="9">
        <v>31300519</v>
      </c>
      <c r="F348" s="9">
        <v>31300117</v>
      </c>
      <c r="G348" s="10" t="s">
        <v>1641</v>
      </c>
      <c r="H348" s="10" t="s">
        <v>563</v>
      </c>
      <c r="I348" s="10" t="s">
        <v>1446</v>
      </c>
      <c r="J348" s="9">
        <v>341</v>
      </c>
      <c r="K348" s="10" t="s">
        <v>1642</v>
      </c>
      <c r="L348" s="10" t="s">
        <v>344</v>
      </c>
      <c r="M348" s="10" t="s">
        <v>1238</v>
      </c>
      <c r="N348" s="7"/>
    </row>
    <row r="349" s="1" customFormat="1" ht="28.5" customHeight="1" spans="1:14">
      <c r="A349" s="8">
        <v>3005</v>
      </c>
      <c r="B349" s="9">
        <v>300520</v>
      </c>
      <c r="C349" s="9" t="s">
        <v>36</v>
      </c>
      <c r="D349" s="9">
        <v>600</v>
      </c>
      <c r="E349" s="9">
        <v>31300520</v>
      </c>
      <c r="F349" s="9">
        <v>31300117</v>
      </c>
      <c r="G349" s="10" t="s">
        <v>1643</v>
      </c>
      <c r="H349" s="10" t="s">
        <v>563</v>
      </c>
      <c r="I349" s="10" t="s">
        <v>1449</v>
      </c>
      <c r="J349" s="9">
        <v>342</v>
      </c>
      <c r="K349" s="10" t="s">
        <v>1644</v>
      </c>
      <c r="L349" s="10" t="s">
        <v>344</v>
      </c>
      <c r="M349" s="10" t="s">
        <v>1238</v>
      </c>
      <c r="N349" s="7"/>
    </row>
    <row r="350" s="1" customFormat="1" ht="28.5" customHeight="1" spans="1:14">
      <c r="A350" s="8">
        <v>3005</v>
      </c>
      <c r="B350" s="9">
        <v>300521</v>
      </c>
      <c r="C350" s="9" t="s">
        <v>36</v>
      </c>
      <c r="D350" s="9">
        <v>400</v>
      </c>
      <c r="E350" s="9">
        <v>31300521</v>
      </c>
      <c r="F350" s="9">
        <v>31300117</v>
      </c>
      <c r="G350" s="10" t="s">
        <v>1645</v>
      </c>
      <c r="H350" s="10" t="s">
        <v>563</v>
      </c>
      <c r="I350" s="10" t="s">
        <v>1452</v>
      </c>
      <c r="J350" s="9">
        <v>343</v>
      </c>
      <c r="K350" s="10" t="s">
        <v>1646</v>
      </c>
      <c r="L350" s="10" t="s">
        <v>344</v>
      </c>
      <c r="M350" s="10" t="s">
        <v>1238</v>
      </c>
      <c r="N350" s="7"/>
    </row>
    <row r="351" s="1" customFormat="1" ht="28.5" customHeight="1" spans="1:14">
      <c r="A351" s="8">
        <v>3005</v>
      </c>
      <c r="B351" s="9">
        <v>300522</v>
      </c>
      <c r="C351" s="9" t="s">
        <v>36</v>
      </c>
      <c r="D351" s="9">
        <v>200</v>
      </c>
      <c r="E351" s="9">
        <v>31300522</v>
      </c>
      <c r="F351" s="9">
        <v>31300117</v>
      </c>
      <c r="G351" s="10" t="s">
        <v>1647</v>
      </c>
      <c r="H351" s="10" t="s">
        <v>563</v>
      </c>
      <c r="I351" s="10" t="s">
        <v>1455</v>
      </c>
      <c r="J351" s="9">
        <v>344</v>
      </c>
      <c r="K351" s="10" t="s">
        <v>1648</v>
      </c>
      <c r="L351" s="10" t="s">
        <v>344</v>
      </c>
      <c r="M351" s="10" t="s">
        <v>1238</v>
      </c>
      <c r="N351" s="7"/>
    </row>
    <row r="352" s="1" customFormat="1" ht="28.5" customHeight="1" spans="1:14">
      <c r="A352" s="8"/>
      <c r="B352" s="9"/>
      <c r="C352" s="9"/>
      <c r="D352" s="9"/>
      <c r="E352" s="9"/>
      <c r="F352" s="9"/>
      <c r="G352" s="10"/>
      <c r="H352" s="10"/>
      <c r="I352" s="10" t="s">
        <v>1289</v>
      </c>
      <c r="J352" s="9">
        <v>345</v>
      </c>
      <c r="K352" s="10" t="s">
        <v>1289</v>
      </c>
      <c r="L352" s="10"/>
      <c r="M352" s="10" t="s">
        <v>1290</v>
      </c>
      <c r="N352" s="7"/>
    </row>
    <row r="353" s="1" customFormat="1" ht="28.5" customHeight="1" spans="1:14">
      <c r="A353" s="8">
        <v>4001</v>
      </c>
      <c r="B353" s="9">
        <v>400101</v>
      </c>
      <c r="C353" s="9" t="s">
        <v>32</v>
      </c>
      <c r="D353" s="9">
        <v>2000</v>
      </c>
      <c r="E353" s="9">
        <v>31400101</v>
      </c>
      <c r="F353" s="9">
        <v>31400101</v>
      </c>
      <c r="G353" s="10" t="s">
        <v>1235</v>
      </c>
      <c r="H353" s="10" t="s">
        <v>563</v>
      </c>
      <c r="I353" s="10" t="s">
        <v>1236</v>
      </c>
      <c r="J353" s="9">
        <v>346</v>
      </c>
      <c r="K353" s="10" t="s">
        <v>1237</v>
      </c>
      <c r="L353" s="10" t="s">
        <v>221</v>
      </c>
      <c r="M353" s="10" t="s">
        <v>1238</v>
      </c>
      <c r="N353" s="7"/>
    </row>
    <row r="354" s="1" customFormat="1" ht="28.5" customHeight="1" spans="1:14">
      <c r="A354" s="8">
        <v>4001</v>
      </c>
      <c r="B354" s="9">
        <v>400102</v>
      </c>
      <c r="C354" s="9" t="s">
        <v>32</v>
      </c>
      <c r="D354" s="9">
        <v>1000</v>
      </c>
      <c r="E354" s="9">
        <v>31400102</v>
      </c>
      <c r="F354" s="9">
        <v>31400101</v>
      </c>
      <c r="G354" s="10" t="s">
        <v>1239</v>
      </c>
      <c r="H354" s="10" t="s">
        <v>563</v>
      </c>
      <c r="I354" s="10" t="s">
        <v>1240</v>
      </c>
      <c r="J354" s="9">
        <v>347</v>
      </c>
      <c r="K354" s="10" t="s">
        <v>1241</v>
      </c>
      <c r="L354" s="10" t="s">
        <v>221</v>
      </c>
      <c r="M354" s="10" t="s">
        <v>1238</v>
      </c>
      <c r="N354" s="7"/>
    </row>
    <row r="355" s="1" customFormat="1" ht="28.5" customHeight="1" spans="1:14">
      <c r="A355" s="8">
        <v>4001</v>
      </c>
      <c r="B355" s="9">
        <v>400103</v>
      </c>
      <c r="C355" s="9" t="s">
        <v>32</v>
      </c>
      <c r="D355" s="9">
        <v>800</v>
      </c>
      <c r="E355" s="9">
        <v>31400103</v>
      </c>
      <c r="F355" s="9">
        <v>31400101</v>
      </c>
      <c r="G355" s="10" t="s">
        <v>1242</v>
      </c>
      <c r="H355" s="10" t="s">
        <v>563</v>
      </c>
      <c r="I355" s="10" t="s">
        <v>1243</v>
      </c>
      <c r="J355" s="9">
        <v>348</v>
      </c>
      <c r="K355" s="10" t="s">
        <v>1244</v>
      </c>
      <c r="L355" s="10" t="s">
        <v>221</v>
      </c>
      <c r="M355" s="10" t="s">
        <v>1238</v>
      </c>
      <c r="N355" s="7"/>
    </row>
    <row r="356" s="1" customFormat="1" ht="28.5" customHeight="1" spans="1:14">
      <c r="A356" s="8">
        <v>4001</v>
      </c>
      <c r="B356" s="9">
        <v>400104</v>
      </c>
      <c r="C356" s="9" t="s">
        <v>32</v>
      </c>
      <c r="D356" s="9">
        <v>600</v>
      </c>
      <c r="E356" s="9">
        <v>31400104</v>
      </c>
      <c r="F356" s="9">
        <v>31400101</v>
      </c>
      <c r="G356" s="10" t="s">
        <v>1245</v>
      </c>
      <c r="H356" s="10" t="s">
        <v>563</v>
      </c>
      <c r="I356" s="10" t="s">
        <v>1246</v>
      </c>
      <c r="J356" s="9">
        <v>349</v>
      </c>
      <c r="K356" s="10" t="s">
        <v>1247</v>
      </c>
      <c r="L356" s="10" t="s">
        <v>221</v>
      </c>
      <c r="M356" s="10" t="s">
        <v>1238</v>
      </c>
      <c r="N356" s="7"/>
    </row>
    <row r="357" s="1" customFormat="1" ht="28.5" customHeight="1" spans="1:14">
      <c r="A357" s="8">
        <v>4001</v>
      </c>
      <c r="B357" s="9">
        <v>400105</v>
      </c>
      <c r="C357" s="9" t="s">
        <v>32</v>
      </c>
      <c r="D357" s="9">
        <v>400</v>
      </c>
      <c r="E357" s="9">
        <v>31400105</v>
      </c>
      <c r="F357" s="9">
        <v>31400101</v>
      </c>
      <c r="G357" s="10" t="s">
        <v>1248</v>
      </c>
      <c r="H357" s="10" t="s">
        <v>563</v>
      </c>
      <c r="I357" s="10" t="s">
        <v>1249</v>
      </c>
      <c r="J357" s="9">
        <v>350</v>
      </c>
      <c r="K357" s="10" t="s">
        <v>1250</v>
      </c>
      <c r="L357" s="10" t="s">
        <v>221</v>
      </c>
      <c r="M357" s="10" t="s">
        <v>1238</v>
      </c>
      <c r="N357" s="7"/>
    </row>
    <row r="358" s="1" customFormat="1" ht="28.5" customHeight="1" spans="1:14">
      <c r="A358" s="8">
        <v>4001</v>
      </c>
      <c r="B358" s="9">
        <v>400106</v>
      </c>
      <c r="C358" s="9" t="s">
        <v>32</v>
      </c>
      <c r="D358" s="9">
        <v>200</v>
      </c>
      <c r="E358" s="9">
        <v>31400106</v>
      </c>
      <c r="F358" s="9">
        <v>31400101</v>
      </c>
      <c r="G358" s="10" t="s">
        <v>1248</v>
      </c>
      <c r="H358" s="10" t="s">
        <v>563</v>
      </c>
      <c r="I358" s="10" t="s">
        <v>1249</v>
      </c>
      <c r="J358" s="9">
        <v>351</v>
      </c>
      <c r="K358" s="10" t="s">
        <v>1250</v>
      </c>
      <c r="L358" s="10" t="s">
        <v>221</v>
      </c>
      <c r="M358" s="10" t="s">
        <v>1238</v>
      </c>
      <c r="N358" s="7"/>
    </row>
    <row r="359" s="1" customFormat="1" ht="28.5" customHeight="1" spans="1:14">
      <c r="A359" s="8">
        <v>4001</v>
      </c>
      <c r="B359" s="9">
        <v>400107</v>
      </c>
      <c r="C359" s="9" t="s">
        <v>32</v>
      </c>
      <c r="D359" s="9">
        <v>0</v>
      </c>
      <c r="E359" s="9">
        <v>31400107</v>
      </c>
      <c r="F359" s="9">
        <v>31400107</v>
      </c>
      <c r="G359" s="10" t="s">
        <v>1649</v>
      </c>
      <c r="H359" s="10" t="s">
        <v>563</v>
      </c>
      <c r="I359" s="10"/>
      <c r="J359" s="9">
        <v>352</v>
      </c>
      <c r="K359" s="10" t="s">
        <v>1650</v>
      </c>
      <c r="L359" s="10" t="s">
        <v>350</v>
      </c>
      <c r="M359" s="10" t="s">
        <v>1238</v>
      </c>
      <c r="N359" s="7"/>
    </row>
    <row r="360" s="1" customFormat="1" ht="28.5" customHeight="1" spans="1:14">
      <c r="A360" s="8">
        <v>4001</v>
      </c>
      <c r="B360" s="9">
        <v>400108</v>
      </c>
      <c r="C360" s="9" t="s">
        <v>32</v>
      </c>
      <c r="D360" s="9">
        <v>0</v>
      </c>
      <c r="E360" s="9">
        <v>31400108</v>
      </c>
      <c r="F360" s="9">
        <v>31400107</v>
      </c>
      <c r="G360" s="10" t="s">
        <v>1651</v>
      </c>
      <c r="H360" s="10" t="s">
        <v>563</v>
      </c>
      <c r="I360" s="10"/>
      <c r="J360" s="9">
        <v>353</v>
      </c>
      <c r="K360" s="10" t="s">
        <v>1652</v>
      </c>
      <c r="L360" s="10" t="s">
        <v>350</v>
      </c>
      <c r="M360" s="10" t="s">
        <v>1238</v>
      </c>
      <c r="N360" s="7"/>
    </row>
    <row r="361" s="1" customFormat="1" ht="28.5" customHeight="1" spans="1:14">
      <c r="A361" s="8">
        <v>4001</v>
      </c>
      <c r="B361" s="9">
        <v>400109</v>
      </c>
      <c r="C361" s="9" t="s">
        <v>32</v>
      </c>
      <c r="D361" s="9">
        <v>0</v>
      </c>
      <c r="E361" s="9">
        <v>31400109</v>
      </c>
      <c r="F361" s="9">
        <v>31400107</v>
      </c>
      <c r="G361" s="10" t="s">
        <v>1653</v>
      </c>
      <c r="H361" s="10" t="s">
        <v>563</v>
      </c>
      <c r="I361" s="10"/>
      <c r="J361" s="9">
        <v>354</v>
      </c>
      <c r="K361" s="10" t="s">
        <v>1654</v>
      </c>
      <c r="L361" s="10" t="s">
        <v>350</v>
      </c>
      <c r="M361" s="10" t="s">
        <v>1238</v>
      </c>
      <c r="N361" s="7"/>
    </row>
    <row r="362" s="1" customFormat="1" ht="28.5" customHeight="1" spans="1:14">
      <c r="A362" s="8">
        <v>4001</v>
      </c>
      <c r="B362" s="9">
        <v>400110</v>
      </c>
      <c r="C362" s="9" t="s">
        <v>32</v>
      </c>
      <c r="D362" s="9">
        <v>0</v>
      </c>
      <c r="E362" s="9">
        <v>31400110</v>
      </c>
      <c r="F362" s="9">
        <v>31400107</v>
      </c>
      <c r="G362" s="10" t="s">
        <v>1655</v>
      </c>
      <c r="H362" s="10" t="s">
        <v>563</v>
      </c>
      <c r="I362" s="10"/>
      <c r="J362" s="9">
        <v>355</v>
      </c>
      <c r="K362" s="10" t="s">
        <v>1656</v>
      </c>
      <c r="L362" s="10" t="s">
        <v>350</v>
      </c>
      <c r="M362" s="10" t="s">
        <v>1238</v>
      </c>
      <c r="N362" s="7"/>
    </row>
    <row r="363" s="1" customFormat="1" ht="28.5" customHeight="1" spans="1:14">
      <c r="A363" s="8">
        <v>4001</v>
      </c>
      <c r="B363" s="9">
        <v>400111</v>
      </c>
      <c r="C363" s="9" t="s">
        <v>32</v>
      </c>
      <c r="D363" s="9">
        <v>0</v>
      </c>
      <c r="E363" s="9">
        <v>31400111</v>
      </c>
      <c r="F363" s="9">
        <v>31400107</v>
      </c>
      <c r="G363" s="10" t="s">
        <v>1657</v>
      </c>
      <c r="H363" s="10" t="s">
        <v>563</v>
      </c>
      <c r="I363" s="10"/>
      <c r="J363" s="9">
        <v>356</v>
      </c>
      <c r="K363" s="10" t="s">
        <v>1658</v>
      </c>
      <c r="L363" s="10" t="s">
        <v>350</v>
      </c>
      <c r="M363" s="10" t="s">
        <v>1238</v>
      </c>
      <c r="N363" s="7"/>
    </row>
    <row r="364" s="1" customFormat="1" ht="28.5" customHeight="1" spans="1:14">
      <c r="A364" s="8">
        <v>4001</v>
      </c>
      <c r="B364" s="9">
        <v>400112</v>
      </c>
      <c r="C364" s="9" t="s">
        <v>32</v>
      </c>
      <c r="D364" s="9">
        <v>3000</v>
      </c>
      <c r="E364" s="9">
        <v>31400112</v>
      </c>
      <c r="F364" s="9">
        <v>31400112</v>
      </c>
      <c r="G364" s="10" t="s">
        <v>1261</v>
      </c>
      <c r="H364" s="10" t="s">
        <v>563</v>
      </c>
      <c r="I364" s="10"/>
      <c r="J364" s="9">
        <v>357</v>
      </c>
      <c r="K364" s="10" t="s">
        <v>1262</v>
      </c>
      <c r="L364" s="10" t="s">
        <v>218</v>
      </c>
      <c r="M364" s="10" t="s">
        <v>1238</v>
      </c>
      <c r="N364" s="7"/>
    </row>
    <row r="365" s="1" customFormat="1" ht="28.5" customHeight="1" spans="1:14">
      <c r="A365" s="8">
        <v>4001</v>
      </c>
      <c r="B365" s="9">
        <v>400113</v>
      </c>
      <c r="C365" s="9" t="s">
        <v>32</v>
      </c>
      <c r="D365" s="9">
        <v>2500</v>
      </c>
      <c r="E365" s="9">
        <v>31400113</v>
      </c>
      <c r="F365" s="9">
        <v>31400112</v>
      </c>
      <c r="G365" s="10" t="s">
        <v>1263</v>
      </c>
      <c r="H365" s="10" t="s">
        <v>563</v>
      </c>
      <c r="I365" s="10"/>
      <c r="J365" s="9">
        <v>358</v>
      </c>
      <c r="K365" s="10" t="s">
        <v>1264</v>
      </c>
      <c r="L365" s="10" t="s">
        <v>218</v>
      </c>
      <c r="M365" s="10" t="s">
        <v>1238</v>
      </c>
      <c r="N365" s="7"/>
    </row>
    <row r="366" s="1" customFormat="1" ht="28.5" customHeight="1" spans="1:14">
      <c r="A366" s="8">
        <v>4001</v>
      </c>
      <c r="B366" s="9">
        <v>400114</v>
      </c>
      <c r="C366" s="9" t="s">
        <v>32</v>
      </c>
      <c r="D366" s="9">
        <v>2000</v>
      </c>
      <c r="E366" s="9">
        <v>31400114</v>
      </c>
      <c r="F366" s="9">
        <v>31400112</v>
      </c>
      <c r="G366" s="10" t="s">
        <v>1265</v>
      </c>
      <c r="H366" s="10" t="s">
        <v>563</v>
      </c>
      <c r="I366" s="10"/>
      <c r="J366" s="9">
        <v>359</v>
      </c>
      <c r="K366" s="10" t="s">
        <v>1266</v>
      </c>
      <c r="L366" s="10" t="s">
        <v>218</v>
      </c>
      <c r="M366" s="10" t="s">
        <v>1238</v>
      </c>
      <c r="N366" s="7"/>
    </row>
    <row r="367" s="1" customFormat="1" ht="28.5" customHeight="1" spans="1:14">
      <c r="A367" s="8">
        <v>4001</v>
      </c>
      <c r="B367" s="9">
        <v>400115</v>
      </c>
      <c r="C367" s="9" t="s">
        <v>32</v>
      </c>
      <c r="D367" s="9">
        <v>1500</v>
      </c>
      <c r="E367" s="9">
        <v>31400115</v>
      </c>
      <c r="F367" s="9">
        <v>31400112</v>
      </c>
      <c r="G367" s="10" t="s">
        <v>1267</v>
      </c>
      <c r="H367" s="10" t="s">
        <v>563</v>
      </c>
      <c r="I367" s="10"/>
      <c r="J367" s="9">
        <v>360</v>
      </c>
      <c r="K367" s="10" t="s">
        <v>1268</v>
      </c>
      <c r="L367" s="10" t="s">
        <v>218</v>
      </c>
      <c r="M367" s="10" t="s">
        <v>1238</v>
      </c>
      <c r="N367" s="7"/>
    </row>
    <row r="368" s="1" customFormat="1" ht="28.5" customHeight="1" spans="1:14">
      <c r="A368" s="8">
        <v>4001</v>
      </c>
      <c r="B368" s="9">
        <v>400116</v>
      </c>
      <c r="C368" s="9" t="s">
        <v>32</v>
      </c>
      <c r="D368" s="9">
        <v>1000</v>
      </c>
      <c r="E368" s="9">
        <v>31400116</v>
      </c>
      <c r="F368" s="9">
        <v>31400112</v>
      </c>
      <c r="G368" s="10" t="s">
        <v>1269</v>
      </c>
      <c r="H368" s="10" t="s">
        <v>563</v>
      </c>
      <c r="I368" s="10"/>
      <c r="J368" s="9">
        <v>361</v>
      </c>
      <c r="K368" s="10" t="s">
        <v>1270</v>
      </c>
      <c r="L368" s="10" t="s">
        <v>218</v>
      </c>
      <c r="M368" s="10" t="s">
        <v>1238</v>
      </c>
      <c r="N368" s="7"/>
    </row>
    <row r="369" s="1" customFormat="1" ht="28.5" customHeight="1" spans="1:14">
      <c r="A369" s="8">
        <v>4001</v>
      </c>
      <c r="B369" s="9">
        <v>400117</v>
      </c>
      <c r="C369" s="9" t="s">
        <v>32</v>
      </c>
      <c r="D369" s="9">
        <v>2000</v>
      </c>
      <c r="E369" s="9">
        <v>31400117</v>
      </c>
      <c r="F369" s="9">
        <v>31400117</v>
      </c>
      <c r="G369" s="10" t="s">
        <v>1659</v>
      </c>
      <c r="H369" s="10" t="s">
        <v>563</v>
      </c>
      <c r="I369" s="10" t="s">
        <v>1272</v>
      </c>
      <c r="J369" s="9">
        <v>362</v>
      </c>
      <c r="K369" s="10" t="s">
        <v>1660</v>
      </c>
      <c r="L369" s="10" t="s">
        <v>353</v>
      </c>
      <c r="M369" s="10" t="s">
        <v>1238</v>
      </c>
      <c r="N369" s="7"/>
    </row>
    <row r="370" s="1" customFormat="1" ht="28.5" customHeight="1" spans="1:14">
      <c r="A370" s="8">
        <v>4001</v>
      </c>
      <c r="B370" s="9">
        <v>400118</v>
      </c>
      <c r="C370" s="9" t="s">
        <v>32</v>
      </c>
      <c r="D370" s="9">
        <v>1000</v>
      </c>
      <c r="E370" s="9">
        <v>31400118</v>
      </c>
      <c r="F370" s="9">
        <v>31400117</v>
      </c>
      <c r="G370" s="10" t="s">
        <v>1661</v>
      </c>
      <c r="H370" s="10" t="s">
        <v>563</v>
      </c>
      <c r="I370" s="10" t="s">
        <v>1275</v>
      </c>
      <c r="J370" s="9">
        <v>363</v>
      </c>
      <c r="K370" s="10" t="s">
        <v>1662</v>
      </c>
      <c r="L370" s="10" t="s">
        <v>353</v>
      </c>
      <c r="M370" s="10" t="s">
        <v>1238</v>
      </c>
      <c r="N370" s="7"/>
    </row>
    <row r="371" s="1" customFormat="1" ht="28.5" customHeight="1" spans="1:14">
      <c r="A371" s="8">
        <v>4001</v>
      </c>
      <c r="B371" s="9">
        <v>400119</v>
      </c>
      <c r="C371" s="9" t="s">
        <v>32</v>
      </c>
      <c r="D371" s="9">
        <v>800</v>
      </c>
      <c r="E371" s="9">
        <v>31400119</v>
      </c>
      <c r="F371" s="9">
        <v>31400117</v>
      </c>
      <c r="G371" s="10" t="s">
        <v>1663</v>
      </c>
      <c r="H371" s="10" t="s">
        <v>563</v>
      </c>
      <c r="I371" s="10" t="s">
        <v>1278</v>
      </c>
      <c r="J371" s="9">
        <v>364</v>
      </c>
      <c r="K371" s="10" t="s">
        <v>1664</v>
      </c>
      <c r="L371" s="10" t="s">
        <v>353</v>
      </c>
      <c r="M371" s="10" t="s">
        <v>1238</v>
      </c>
      <c r="N371" s="7"/>
    </row>
    <row r="372" s="1" customFormat="1" ht="28.5" customHeight="1" spans="1:14">
      <c r="A372" s="8">
        <v>4001</v>
      </c>
      <c r="B372" s="9">
        <v>400120</v>
      </c>
      <c r="C372" s="9" t="s">
        <v>32</v>
      </c>
      <c r="D372" s="9">
        <v>600</v>
      </c>
      <c r="E372" s="9">
        <v>31400120</v>
      </c>
      <c r="F372" s="9">
        <v>31400117</v>
      </c>
      <c r="G372" s="10" t="s">
        <v>1665</v>
      </c>
      <c r="H372" s="10" t="s">
        <v>563</v>
      </c>
      <c r="I372" s="10" t="s">
        <v>1281</v>
      </c>
      <c r="J372" s="9">
        <v>365</v>
      </c>
      <c r="K372" s="10" t="s">
        <v>1666</v>
      </c>
      <c r="L372" s="10" t="s">
        <v>353</v>
      </c>
      <c r="M372" s="10" t="s">
        <v>1238</v>
      </c>
      <c r="N372" s="7"/>
    </row>
    <row r="373" s="1" customFormat="1" ht="28.5" customHeight="1" spans="1:14">
      <c r="A373" s="8">
        <v>4001</v>
      </c>
      <c r="B373" s="9">
        <v>400121</v>
      </c>
      <c r="C373" s="9" t="s">
        <v>32</v>
      </c>
      <c r="D373" s="9">
        <v>400</v>
      </c>
      <c r="E373" s="9">
        <v>31400121</v>
      </c>
      <c r="F373" s="9">
        <v>31400117</v>
      </c>
      <c r="G373" s="10" t="s">
        <v>1667</v>
      </c>
      <c r="H373" s="10" t="s">
        <v>563</v>
      </c>
      <c r="I373" s="10" t="s">
        <v>1284</v>
      </c>
      <c r="J373" s="9">
        <v>366</v>
      </c>
      <c r="K373" s="10" t="s">
        <v>1668</v>
      </c>
      <c r="L373" s="10" t="s">
        <v>353</v>
      </c>
      <c r="M373" s="10" t="s">
        <v>1238</v>
      </c>
      <c r="N373" s="7"/>
    </row>
    <row r="374" s="1" customFormat="1" ht="28.5" customHeight="1" spans="1:14">
      <c r="A374" s="8">
        <v>4001</v>
      </c>
      <c r="B374" s="9">
        <v>400122</v>
      </c>
      <c r="C374" s="9" t="s">
        <v>32</v>
      </c>
      <c r="D374" s="9">
        <v>200</v>
      </c>
      <c r="E374" s="9">
        <v>31400122</v>
      </c>
      <c r="F374" s="9">
        <v>31400117</v>
      </c>
      <c r="G374" s="10" t="s">
        <v>1669</v>
      </c>
      <c r="H374" s="10" t="s">
        <v>563</v>
      </c>
      <c r="I374" s="10" t="s">
        <v>1287</v>
      </c>
      <c r="J374" s="9">
        <v>367</v>
      </c>
      <c r="K374" s="10" t="s">
        <v>1670</v>
      </c>
      <c r="L374" s="10" t="s">
        <v>353</v>
      </c>
      <c r="M374" s="10" t="s">
        <v>1238</v>
      </c>
      <c r="N374" s="7"/>
    </row>
    <row r="375" s="1" customFormat="1" ht="28.5" customHeight="1" spans="1:14">
      <c r="A375" s="8"/>
      <c r="B375" s="9"/>
      <c r="C375" s="9"/>
      <c r="D375" s="9"/>
      <c r="E375" s="9"/>
      <c r="F375" s="9"/>
      <c r="G375" s="10"/>
      <c r="H375" s="10"/>
      <c r="I375" s="10" t="s">
        <v>1289</v>
      </c>
      <c r="J375" s="9">
        <v>368</v>
      </c>
      <c r="K375" s="10" t="s">
        <v>1289</v>
      </c>
      <c r="L375" s="10"/>
      <c r="M375" s="10" t="s">
        <v>1290</v>
      </c>
      <c r="N375" s="7"/>
    </row>
    <row r="376" s="1" customFormat="1" ht="28.5" customHeight="1" spans="1:14">
      <c r="A376" s="8">
        <v>4002</v>
      </c>
      <c r="B376" s="9">
        <v>400201</v>
      </c>
      <c r="C376" s="9" t="s">
        <v>33</v>
      </c>
      <c r="D376" s="9">
        <v>2000</v>
      </c>
      <c r="E376" s="9">
        <v>31400201</v>
      </c>
      <c r="F376" s="9">
        <v>31400101</v>
      </c>
      <c r="G376" s="10" t="s">
        <v>1291</v>
      </c>
      <c r="H376" s="10" t="s">
        <v>563</v>
      </c>
      <c r="I376" s="10" t="s">
        <v>1272</v>
      </c>
      <c r="J376" s="9">
        <v>369</v>
      </c>
      <c r="K376" s="10" t="s">
        <v>1292</v>
      </c>
      <c r="L376" s="10" t="s">
        <v>252</v>
      </c>
      <c r="M376" s="10" t="s">
        <v>1238</v>
      </c>
      <c r="N376" s="7"/>
    </row>
    <row r="377" s="1" customFormat="1" ht="28.5" customHeight="1" spans="1:14">
      <c r="A377" s="8">
        <v>4002</v>
      </c>
      <c r="B377" s="9">
        <v>400202</v>
      </c>
      <c r="C377" s="9" t="s">
        <v>33</v>
      </c>
      <c r="D377" s="9">
        <v>1000</v>
      </c>
      <c r="E377" s="9">
        <v>31400202</v>
      </c>
      <c r="F377" s="9">
        <v>31400101</v>
      </c>
      <c r="G377" s="10" t="s">
        <v>1293</v>
      </c>
      <c r="H377" s="10" t="s">
        <v>563</v>
      </c>
      <c r="I377" s="10" t="s">
        <v>1275</v>
      </c>
      <c r="J377" s="9">
        <v>370</v>
      </c>
      <c r="K377" s="10" t="s">
        <v>1294</v>
      </c>
      <c r="L377" s="10" t="s">
        <v>252</v>
      </c>
      <c r="M377" s="10" t="s">
        <v>1238</v>
      </c>
      <c r="N377" s="7"/>
    </row>
    <row r="378" s="1" customFormat="1" ht="28.5" customHeight="1" spans="1:14">
      <c r="A378" s="8">
        <v>4002</v>
      </c>
      <c r="B378" s="9">
        <v>400203</v>
      </c>
      <c r="C378" s="9" t="s">
        <v>33</v>
      </c>
      <c r="D378" s="9">
        <v>800</v>
      </c>
      <c r="E378" s="9">
        <v>31400203</v>
      </c>
      <c r="F378" s="9">
        <v>31400101</v>
      </c>
      <c r="G378" s="10" t="s">
        <v>1295</v>
      </c>
      <c r="H378" s="10" t="s">
        <v>563</v>
      </c>
      <c r="I378" s="10" t="s">
        <v>1278</v>
      </c>
      <c r="J378" s="9">
        <v>371</v>
      </c>
      <c r="K378" s="10" t="s">
        <v>1296</v>
      </c>
      <c r="L378" s="10" t="s">
        <v>252</v>
      </c>
      <c r="M378" s="10" t="s">
        <v>1238</v>
      </c>
      <c r="N378" s="7"/>
    </row>
    <row r="379" s="1" customFormat="1" ht="28.5" customHeight="1" spans="1:14">
      <c r="A379" s="8">
        <v>4002</v>
      </c>
      <c r="B379" s="9">
        <v>400204</v>
      </c>
      <c r="C379" s="9" t="s">
        <v>33</v>
      </c>
      <c r="D379" s="9">
        <v>600</v>
      </c>
      <c r="E379" s="9">
        <v>31400204</v>
      </c>
      <c r="F379" s="9">
        <v>31400101</v>
      </c>
      <c r="G379" s="10" t="s">
        <v>1297</v>
      </c>
      <c r="H379" s="10" t="s">
        <v>563</v>
      </c>
      <c r="I379" s="10" t="s">
        <v>1281</v>
      </c>
      <c r="J379" s="9">
        <v>372</v>
      </c>
      <c r="K379" s="10" t="s">
        <v>1298</v>
      </c>
      <c r="L379" s="10" t="s">
        <v>252</v>
      </c>
      <c r="M379" s="10" t="s">
        <v>1238</v>
      </c>
      <c r="N379" s="7"/>
    </row>
    <row r="380" s="1" customFormat="1" ht="28.5" customHeight="1" spans="1:14">
      <c r="A380" s="8">
        <v>4002</v>
      </c>
      <c r="B380" s="9">
        <v>400205</v>
      </c>
      <c r="C380" s="9" t="s">
        <v>33</v>
      </c>
      <c r="D380" s="9">
        <v>400</v>
      </c>
      <c r="E380" s="9">
        <v>31400205</v>
      </c>
      <c r="F380" s="9">
        <v>31400101</v>
      </c>
      <c r="G380" s="10" t="s">
        <v>1299</v>
      </c>
      <c r="H380" s="10" t="s">
        <v>563</v>
      </c>
      <c r="I380" s="10" t="s">
        <v>1284</v>
      </c>
      <c r="J380" s="9">
        <v>373</v>
      </c>
      <c r="K380" s="10" t="s">
        <v>1300</v>
      </c>
      <c r="L380" s="10" t="s">
        <v>252</v>
      </c>
      <c r="M380" s="10" t="s">
        <v>1238</v>
      </c>
      <c r="N380" s="7"/>
    </row>
    <row r="381" s="1" customFormat="1" ht="28.5" customHeight="1" spans="1:14">
      <c r="A381" s="8">
        <v>4002</v>
      </c>
      <c r="B381" s="9">
        <v>400206</v>
      </c>
      <c r="C381" s="9" t="s">
        <v>33</v>
      </c>
      <c r="D381" s="9">
        <v>200</v>
      </c>
      <c r="E381" s="9">
        <v>31400206</v>
      </c>
      <c r="F381" s="9">
        <v>31400101</v>
      </c>
      <c r="G381" s="10" t="s">
        <v>1301</v>
      </c>
      <c r="H381" s="10" t="s">
        <v>563</v>
      </c>
      <c r="I381" s="10" t="s">
        <v>1287</v>
      </c>
      <c r="J381" s="9">
        <v>374</v>
      </c>
      <c r="K381" s="10" t="s">
        <v>1302</v>
      </c>
      <c r="L381" s="10" t="s">
        <v>252</v>
      </c>
      <c r="M381" s="10" t="s">
        <v>1238</v>
      </c>
      <c r="N381" s="7"/>
    </row>
    <row r="382" s="1" customFormat="1" ht="28.5" customHeight="1" spans="1:14">
      <c r="A382" s="8">
        <v>4002</v>
      </c>
      <c r="B382" s="9">
        <v>400207</v>
      </c>
      <c r="C382" s="9" t="s">
        <v>33</v>
      </c>
      <c r="D382" s="9">
        <v>0</v>
      </c>
      <c r="E382" s="9">
        <v>31400207</v>
      </c>
      <c r="F382" s="9">
        <v>31400107</v>
      </c>
      <c r="G382" s="10" t="s">
        <v>1671</v>
      </c>
      <c r="H382" s="10" t="s">
        <v>563</v>
      </c>
      <c r="I382" s="10"/>
      <c r="J382" s="9">
        <v>375</v>
      </c>
      <c r="K382" s="10" t="s">
        <v>1672</v>
      </c>
      <c r="L382" s="10" t="s">
        <v>360</v>
      </c>
      <c r="M382" s="10" t="s">
        <v>1238</v>
      </c>
      <c r="N382" s="7"/>
    </row>
    <row r="383" s="1" customFormat="1" ht="28.5" customHeight="1" spans="1:14">
      <c r="A383" s="8">
        <v>4002</v>
      </c>
      <c r="B383" s="9">
        <v>400208</v>
      </c>
      <c r="C383" s="9" t="s">
        <v>33</v>
      </c>
      <c r="D383" s="9">
        <v>0</v>
      </c>
      <c r="E383" s="9">
        <v>31400208</v>
      </c>
      <c r="F383" s="9">
        <v>31400107</v>
      </c>
      <c r="G383" s="10" t="s">
        <v>1673</v>
      </c>
      <c r="H383" s="10" t="s">
        <v>563</v>
      </c>
      <c r="I383" s="10"/>
      <c r="J383" s="9">
        <v>376</v>
      </c>
      <c r="K383" s="10" t="s">
        <v>1674</v>
      </c>
      <c r="L383" s="10" t="s">
        <v>360</v>
      </c>
      <c r="M383" s="10" t="s">
        <v>1238</v>
      </c>
      <c r="N383" s="7"/>
    </row>
    <row r="384" s="1" customFormat="1" ht="28.5" customHeight="1" spans="1:14">
      <c r="A384" s="8">
        <v>4002</v>
      </c>
      <c r="B384" s="9">
        <v>400209</v>
      </c>
      <c r="C384" s="9" t="s">
        <v>33</v>
      </c>
      <c r="D384" s="9">
        <v>0</v>
      </c>
      <c r="E384" s="9">
        <v>31400209</v>
      </c>
      <c r="F384" s="9">
        <v>31400107</v>
      </c>
      <c r="G384" s="10" t="s">
        <v>1675</v>
      </c>
      <c r="H384" s="10" t="s">
        <v>563</v>
      </c>
      <c r="I384" s="10"/>
      <c r="J384" s="9">
        <v>377</v>
      </c>
      <c r="K384" s="10" t="s">
        <v>1676</v>
      </c>
      <c r="L384" s="10" t="s">
        <v>360</v>
      </c>
      <c r="M384" s="10" t="s">
        <v>1238</v>
      </c>
      <c r="N384" s="7"/>
    </row>
    <row r="385" s="1" customFormat="1" ht="28.5" customHeight="1" spans="1:14">
      <c r="A385" s="8">
        <v>4002</v>
      </c>
      <c r="B385" s="9">
        <v>400210</v>
      </c>
      <c r="C385" s="9" t="s">
        <v>33</v>
      </c>
      <c r="D385" s="9">
        <v>0</v>
      </c>
      <c r="E385" s="9">
        <v>31400210</v>
      </c>
      <c r="F385" s="9">
        <v>31400107</v>
      </c>
      <c r="G385" s="10" t="s">
        <v>1677</v>
      </c>
      <c r="H385" s="10" t="s">
        <v>563</v>
      </c>
      <c r="I385" s="10"/>
      <c r="J385" s="9">
        <v>378</v>
      </c>
      <c r="K385" s="10" t="s">
        <v>1678</v>
      </c>
      <c r="L385" s="10" t="s">
        <v>360</v>
      </c>
      <c r="M385" s="10" t="s">
        <v>1238</v>
      </c>
      <c r="N385" s="7"/>
    </row>
    <row r="386" s="1" customFormat="1" ht="28.5" customHeight="1" spans="1:14">
      <c r="A386" s="8">
        <v>4002</v>
      </c>
      <c r="B386" s="9">
        <v>400211</v>
      </c>
      <c r="C386" s="9" t="s">
        <v>33</v>
      </c>
      <c r="D386" s="9">
        <v>0</v>
      </c>
      <c r="E386" s="9">
        <v>31400211</v>
      </c>
      <c r="F386" s="9">
        <v>31400107</v>
      </c>
      <c r="G386" s="10" t="s">
        <v>1679</v>
      </c>
      <c r="H386" s="10" t="s">
        <v>563</v>
      </c>
      <c r="I386" s="10"/>
      <c r="J386" s="9">
        <v>379</v>
      </c>
      <c r="K386" s="10" t="s">
        <v>1680</v>
      </c>
      <c r="L386" s="10" t="s">
        <v>360</v>
      </c>
      <c r="M386" s="10" t="s">
        <v>1238</v>
      </c>
      <c r="N386" s="7"/>
    </row>
    <row r="387" s="1" customFormat="1" ht="28.5" customHeight="1" spans="1:14">
      <c r="A387" s="8">
        <v>4002</v>
      </c>
      <c r="B387" s="9">
        <v>400212</v>
      </c>
      <c r="C387" s="9" t="s">
        <v>33</v>
      </c>
      <c r="D387" s="9">
        <v>3000</v>
      </c>
      <c r="E387" s="9">
        <v>31400212</v>
      </c>
      <c r="F387" s="9">
        <v>31400112</v>
      </c>
      <c r="G387" s="10" t="s">
        <v>1313</v>
      </c>
      <c r="H387" s="10" t="s">
        <v>563</v>
      </c>
      <c r="I387" s="10"/>
      <c r="J387" s="9">
        <v>380</v>
      </c>
      <c r="K387" s="10" t="s">
        <v>1314</v>
      </c>
      <c r="L387" s="10" t="s">
        <v>251</v>
      </c>
      <c r="M387" s="10" t="s">
        <v>1238</v>
      </c>
      <c r="N387" s="7"/>
    </row>
    <row r="388" s="1" customFormat="1" ht="28.5" customHeight="1" spans="1:14">
      <c r="A388" s="8">
        <v>4002</v>
      </c>
      <c r="B388" s="9">
        <v>400213</v>
      </c>
      <c r="C388" s="9" t="s">
        <v>33</v>
      </c>
      <c r="D388" s="9">
        <v>2500</v>
      </c>
      <c r="E388" s="9">
        <v>31400213</v>
      </c>
      <c r="F388" s="9">
        <v>31400112</v>
      </c>
      <c r="G388" s="10" t="s">
        <v>1315</v>
      </c>
      <c r="H388" s="10" t="s">
        <v>563</v>
      </c>
      <c r="I388" s="10"/>
      <c r="J388" s="9">
        <v>381</v>
      </c>
      <c r="K388" s="10" t="s">
        <v>1316</v>
      </c>
      <c r="L388" s="10" t="s">
        <v>251</v>
      </c>
      <c r="M388" s="10" t="s">
        <v>1238</v>
      </c>
      <c r="N388" s="7"/>
    </row>
    <row r="389" s="1" customFormat="1" ht="28.5" customHeight="1" spans="1:14">
      <c r="A389" s="8">
        <v>4002</v>
      </c>
      <c r="B389" s="9">
        <v>400214</v>
      </c>
      <c r="C389" s="9" t="s">
        <v>33</v>
      </c>
      <c r="D389" s="9">
        <v>2000</v>
      </c>
      <c r="E389" s="9">
        <v>31400214</v>
      </c>
      <c r="F389" s="9">
        <v>31400112</v>
      </c>
      <c r="G389" s="10" t="s">
        <v>1317</v>
      </c>
      <c r="H389" s="10" t="s">
        <v>563</v>
      </c>
      <c r="I389" s="10"/>
      <c r="J389" s="9">
        <v>382</v>
      </c>
      <c r="K389" s="10" t="s">
        <v>1318</v>
      </c>
      <c r="L389" s="10" t="s">
        <v>251</v>
      </c>
      <c r="M389" s="10" t="s">
        <v>1238</v>
      </c>
      <c r="N389" s="7"/>
    </row>
    <row r="390" s="1" customFormat="1" ht="28.5" customHeight="1" spans="1:14">
      <c r="A390" s="8">
        <v>4002</v>
      </c>
      <c r="B390" s="9">
        <v>400215</v>
      </c>
      <c r="C390" s="9" t="s">
        <v>33</v>
      </c>
      <c r="D390" s="9">
        <v>1500</v>
      </c>
      <c r="E390" s="9">
        <v>31400215</v>
      </c>
      <c r="F390" s="9">
        <v>31400112</v>
      </c>
      <c r="G390" s="10" t="s">
        <v>1319</v>
      </c>
      <c r="H390" s="10" t="s">
        <v>563</v>
      </c>
      <c r="I390" s="10"/>
      <c r="J390" s="9">
        <v>383</v>
      </c>
      <c r="K390" s="10" t="s">
        <v>1320</v>
      </c>
      <c r="L390" s="10" t="s">
        <v>251</v>
      </c>
      <c r="M390" s="10" t="s">
        <v>1238</v>
      </c>
      <c r="N390" s="7"/>
    </row>
    <row r="391" s="1" customFormat="1" ht="28.5" customHeight="1" spans="1:14">
      <c r="A391" s="8">
        <v>4002</v>
      </c>
      <c r="B391" s="9">
        <v>400216</v>
      </c>
      <c r="C391" s="9" t="s">
        <v>33</v>
      </c>
      <c r="D391" s="9">
        <v>1000</v>
      </c>
      <c r="E391" s="9">
        <v>31400216</v>
      </c>
      <c r="F391" s="9">
        <v>31400112</v>
      </c>
      <c r="G391" s="10" t="s">
        <v>1321</v>
      </c>
      <c r="H391" s="10" t="s">
        <v>563</v>
      </c>
      <c r="I391" s="10"/>
      <c r="J391" s="9">
        <v>384</v>
      </c>
      <c r="K391" s="10" t="s">
        <v>1322</v>
      </c>
      <c r="L391" s="10" t="s">
        <v>251</v>
      </c>
      <c r="M391" s="10" t="s">
        <v>1238</v>
      </c>
      <c r="N391" s="7"/>
    </row>
    <row r="392" s="1" customFormat="1" ht="28.5" customHeight="1" spans="1:14">
      <c r="A392" s="8">
        <v>4002</v>
      </c>
      <c r="B392" s="9">
        <v>400217</v>
      </c>
      <c r="C392" s="9" t="s">
        <v>33</v>
      </c>
      <c r="D392" s="9">
        <v>2000</v>
      </c>
      <c r="E392" s="9">
        <v>31400217</v>
      </c>
      <c r="F392" s="9">
        <v>31400117</v>
      </c>
      <c r="G392" s="10" t="s">
        <v>1669</v>
      </c>
      <c r="H392" s="10" t="s">
        <v>563</v>
      </c>
      <c r="I392" s="10" t="s">
        <v>1287</v>
      </c>
      <c r="J392" s="9">
        <v>385</v>
      </c>
      <c r="K392" s="10" t="s">
        <v>1670</v>
      </c>
      <c r="L392" s="10" t="s">
        <v>361</v>
      </c>
      <c r="M392" s="10" t="s">
        <v>1238</v>
      </c>
      <c r="N392" s="7"/>
    </row>
    <row r="393" s="1" customFormat="1" ht="28.5" customHeight="1" spans="1:14">
      <c r="A393" s="8">
        <v>4002</v>
      </c>
      <c r="B393" s="9">
        <v>400218</v>
      </c>
      <c r="C393" s="9" t="s">
        <v>33</v>
      </c>
      <c r="D393" s="9">
        <v>1000</v>
      </c>
      <c r="E393" s="9">
        <v>31400218</v>
      </c>
      <c r="F393" s="9">
        <v>31400117</v>
      </c>
      <c r="G393" s="10" t="s">
        <v>1681</v>
      </c>
      <c r="H393" s="10" t="s">
        <v>563</v>
      </c>
      <c r="I393" s="10" t="s">
        <v>1324</v>
      </c>
      <c r="J393" s="9">
        <v>386</v>
      </c>
      <c r="K393" s="10" t="s">
        <v>1682</v>
      </c>
      <c r="L393" s="10" t="s">
        <v>361</v>
      </c>
      <c r="M393" s="10" t="s">
        <v>1238</v>
      </c>
      <c r="N393" s="7"/>
    </row>
    <row r="394" s="1" customFormat="1" ht="28.5" customHeight="1" spans="1:14">
      <c r="A394" s="8">
        <v>4002</v>
      </c>
      <c r="B394" s="9">
        <v>400219</v>
      </c>
      <c r="C394" s="9" t="s">
        <v>33</v>
      </c>
      <c r="D394" s="9">
        <v>800</v>
      </c>
      <c r="E394" s="9">
        <v>31400219</v>
      </c>
      <c r="F394" s="9">
        <v>31400117</v>
      </c>
      <c r="G394" s="10" t="s">
        <v>1683</v>
      </c>
      <c r="H394" s="10" t="s">
        <v>563</v>
      </c>
      <c r="I394" s="10" t="s">
        <v>1327</v>
      </c>
      <c r="J394" s="9">
        <v>387</v>
      </c>
      <c r="K394" s="10" t="s">
        <v>1684</v>
      </c>
      <c r="L394" s="10" t="s">
        <v>361</v>
      </c>
      <c r="M394" s="10" t="s">
        <v>1238</v>
      </c>
      <c r="N394" s="7"/>
    </row>
    <row r="395" s="1" customFormat="1" ht="28.5" customHeight="1" spans="1:14">
      <c r="A395" s="8">
        <v>4002</v>
      </c>
      <c r="B395" s="9">
        <v>400220</v>
      </c>
      <c r="C395" s="9" t="s">
        <v>33</v>
      </c>
      <c r="D395" s="9">
        <v>600</v>
      </c>
      <c r="E395" s="9">
        <v>31400220</v>
      </c>
      <c r="F395" s="9">
        <v>31400117</v>
      </c>
      <c r="G395" s="10" t="s">
        <v>1685</v>
      </c>
      <c r="H395" s="10" t="s">
        <v>563</v>
      </c>
      <c r="I395" s="10" t="s">
        <v>1330</v>
      </c>
      <c r="J395" s="9">
        <v>388</v>
      </c>
      <c r="K395" s="10" t="s">
        <v>1686</v>
      </c>
      <c r="L395" s="10" t="s">
        <v>361</v>
      </c>
      <c r="M395" s="10" t="s">
        <v>1238</v>
      </c>
      <c r="N395" s="7"/>
    </row>
    <row r="396" s="1" customFormat="1" ht="28.5" customHeight="1" spans="1:14">
      <c r="A396" s="8">
        <v>4002</v>
      </c>
      <c r="B396" s="9">
        <v>400221</v>
      </c>
      <c r="C396" s="9" t="s">
        <v>33</v>
      </c>
      <c r="D396" s="9">
        <v>400</v>
      </c>
      <c r="E396" s="9">
        <v>31400221</v>
      </c>
      <c r="F396" s="9">
        <v>31400117</v>
      </c>
      <c r="G396" s="10" t="s">
        <v>1687</v>
      </c>
      <c r="H396" s="10" t="s">
        <v>563</v>
      </c>
      <c r="I396" s="10" t="s">
        <v>1333</v>
      </c>
      <c r="J396" s="9">
        <v>389</v>
      </c>
      <c r="K396" s="10" t="s">
        <v>1688</v>
      </c>
      <c r="L396" s="10" t="s">
        <v>361</v>
      </c>
      <c r="M396" s="10" t="s">
        <v>1238</v>
      </c>
      <c r="N396" s="7"/>
    </row>
    <row r="397" s="1" customFormat="1" ht="28.5" customHeight="1" spans="1:14">
      <c r="A397" s="8">
        <v>4002</v>
      </c>
      <c r="B397" s="9">
        <v>400222</v>
      </c>
      <c r="C397" s="9" t="s">
        <v>33</v>
      </c>
      <c r="D397" s="9">
        <v>200</v>
      </c>
      <c r="E397" s="9">
        <v>31400222</v>
      </c>
      <c r="F397" s="9">
        <v>31400117</v>
      </c>
      <c r="G397" s="10" t="s">
        <v>1689</v>
      </c>
      <c r="H397" s="10" t="s">
        <v>563</v>
      </c>
      <c r="I397" s="10" t="s">
        <v>1336</v>
      </c>
      <c r="J397" s="9">
        <v>390</v>
      </c>
      <c r="K397" s="10" t="s">
        <v>1690</v>
      </c>
      <c r="L397" s="10" t="s">
        <v>361</v>
      </c>
      <c r="M397" s="10" t="s">
        <v>1238</v>
      </c>
      <c r="N397" s="7"/>
    </row>
    <row r="398" s="1" customFormat="1" ht="28.5" customHeight="1" spans="1:14">
      <c r="A398" s="8"/>
      <c r="B398" s="9"/>
      <c r="C398" s="9"/>
      <c r="D398" s="9"/>
      <c r="E398" s="9"/>
      <c r="F398" s="9"/>
      <c r="G398" s="10"/>
      <c r="H398" s="10"/>
      <c r="I398" s="10" t="s">
        <v>1289</v>
      </c>
      <c r="J398" s="9">
        <v>391</v>
      </c>
      <c r="K398" s="10" t="s">
        <v>1289</v>
      </c>
      <c r="L398" s="10"/>
      <c r="M398" s="10" t="s">
        <v>1290</v>
      </c>
      <c r="N398" s="7"/>
    </row>
    <row r="399" s="1" customFormat="1" ht="28.5" customHeight="1" spans="1:14">
      <c r="A399" s="8">
        <v>4003</v>
      </c>
      <c r="B399" s="9">
        <v>400301</v>
      </c>
      <c r="C399" s="9" t="s">
        <v>34</v>
      </c>
      <c r="D399" s="9">
        <v>2000</v>
      </c>
      <c r="E399" s="9">
        <v>31400301</v>
      </c>
      <c r="F399" s="9">
        <v>31400101</v>
      </c>
      <c r="G399" s="10" t="s">
        <v>1297</v>
      </c>
      <c r="H399" s="10" t="s">
        <v>563</v>
      </c>
      <c r="I399" s="10" t="s">
        <v>1281</v>
      </c>
      <c r="J399" s="9">
        <v>392</v>
      </c>
      <c r="K399" s="10" t="s">
        <v>1298</v>
      </c>
      <c r="L399" s="10" t="s">
        <v>260</v>
      </c>
      <c r="M399" s="10" t="s">
        <v>1238</v>
      </c>
      <c r="N399" s="7"/>
    </row>
    <row r="400" s="1" customFormat="1" ht="28.5" customHeight="1" spans="1:14">
      <c r="A400" s="8">
        <v>4003</v>
      </c>
      <c r="B400" s="9">
        <v>400302</v>
      </c>
      <c r="C400" s="9" t="s">
        <v>34</v>
      </c>
      <c r="D400" s="9">
        <v>1000</v>
      </c>
      <c r="E400" s="9">
        <v>31400302</v>
      </c>
      <c r="F400" s="9">
        <v>31400101</v>
      </c>
      <c r="G400" s="10" t="s">
        <v>1297</v>
      </c>
      <c r="H400" s="10" t="s">
        <v>563</v>
      </c>
      <c r="I400" s="10" t="s">
        <v>1281</v>
      </c>
      <c r="J400" s="9">
        <v>393</v>
      </c>
      <c r="K400" s="10" t="s">
        <v>1298</v>
      </c>
      <c r="L400" s="10" t="s">
        <v>260</v>
      </c>
      <c r="M400" s="10" t="s">
        <v>1238</v>
      </c>
      <c r="N400" s="7"/>
    </row>
    <row r="401" s="1" customFormat="1" ht="28.5" customHeight="1" spans="1:14">
      <c r="A401" s="8">
        <v>4003</v>
      </c>
      <c r="B401" s="9">
        <v>400303</v>
      </c>
      <c r="C401" s="9" t="s">
        <v>34</v>
      </c>
      <c r="D401" s="9">
        <v>800</v>
      </c>
      <c r="E401" s="9">
        <v>31400303</v>
      </c>
      <c r="F401" s="9">
        <v>31400101</v>
      </c>
      <c r="G401" s="10" t="s">
        <v>1338</v>
      </c>
      <c r="H401" s="10" t="s">
        <v>563</v>
      </c>
      <c r="I401" s="10" t="s">
        <v>1339</v>
      </c>
      <c r="J401" s="9">
        <v>394</v>
      </c>
      <c r="K401" s="10" t="s">
        <v>1340</v>
      </c>
      <c r="L401" s="10" t="s">
        <v>260</v>
      </c>
      <c r="M401" s="10" t="s">
        <v>1238</v>
      </c>
      <c r="N401" s="7"/>
    </row>
    <row r="402" s="1" customFormat="1" ht="28.5" customHeight="1" spans="1:14">
      <c r="A402" s="8">
        <v>4003</v>
      </c>
      <c r="B402" s="9">
        <v>400304</v>
      </c>
      <c r="C402" s="9" t="s">
        <v>34</v>
      </c>
      <c r="D402" s="9">
        <v>600</v>
      </c>
      <c r="E402" s="9">
        <v>31400304</v>
      </c>
      <c r="F402" s="9">
        <v>31400101</v>
      </c>
      <c r="G402" s="10" t="s">
        <v>1299</v>
      </c>
      <c r="H402" s="10" t="s">
        <v>563</v>
      </c>
      <c r="I402" s="10" t="s">
        <v>1284</v>
      </c>
      <c r="J402" s="9">
        <v>395</v>
      </c>
      <c r="K402" s="10" t="s">
        <v>1300</v>
      </c>
      <c r="L402" s="10" t="s">
        <v>260</v>
      </c>
      <c r="M402" s="10" t="s">
        <v>1238</v>
      </c>
      <c r="N402" s="7"/>
    </row>
    <row r="403" s="1" customFormat="1" ht="28.5" customHeight="1" spans="1:14">
      <c r="A403" s="8">
        <v>4003</v>
      </c>
      <c r="B403" s="9">
        <v>400305</v>
      </c>
      <c r="C403" s="9" t="s">
        <v>34</v>
      </c>
      <c r="D403" s="9">
        <v>400</v>
      </c>
      <c r="E403" s="9">
        <v>31400305</v>
      </c>
      <c r="F403" s="9">
        <v>31400101</v>
      </c>
      <c r="G403" s="10" t="s">
        <v>1301</v>
      </c>
      <c r="H403" s="10" t="s">
        <v>563</v>
      </c>
      <c r="I403" s="10" t="s">
        <v>1287</v>
      </c>
      <c r="J403" s="9">
        <v>396</v>
      </c>
      <c r="K403" s="10" t="s">
        <v>1302</v>
      </c>
      <c r="L403" s="10" t="s">
        <v>260</v>
      </c>
      <c r="M403" s="10" t="s">
        <v>1238</v>
      </c>
      <c r="N403" s="7"/>
    </row>
    <row r="404" s="1" customFormat="1" ht="28.5" customHeight="1" spans="1:14">
      <c r="A404" s="8">
        <v>4003</v>
      </c>
      <c r="B404" s="9">
        <v>400306</v>
      </c>
      <c r="C404" s="9" t="s">
        <v>34</v>
      </c>
      <c r="D404" s="9">
        <v>200</v>
      </c>
      <c r="E404" s="9">
        <v>31400306</v>
      </c>
      <c r="F404" s="9">
        <v>31400101</v>
      </c>
      <c r="G404" s="10" t="s">
        <v>1301</v>
      </c>
      <c r="H404" s="10" t="s">
        <v>563</v>
      </c>
      <c r="I404" s="10" t="s">
        <v>1287</v>
      </c>
      <c r="J404" s="9">
        <v>397</v>
      </c>
      <c r="K404" s="10" t="s">
        <v>1302</v>
      </c>
      <c r="L404" s="10" t="s">
        <v>260</v>
      </c>
      <c r="M404" s="10" t="s">
        <v>1238</v>
      </c>
      <c r="N404" s="7"/>
    </row>
    <row r="405" s="1" customFormat="1" ht="28.5" customHeight="1" spans="1:14">
      <c r="A405" s="8">
        <v>4003</v>
      </c>
      <c r="B405" s="9">
        <v>400307</v>
      </c>
      <c r="C405" s="9" t="s">
        <v>34</v>
      </c>
      <c r="D405" s="9">
        <v>0</v>
      </c>
      <c r="E405" s="9">
        <v>31400307</v>
      </c>
      <c r="F405" s="9">
        <v>31400107</v>
      </c>
      <c r="G405" s="10" t="s">
        <v>1691</v>
      </c>
      <c r="H405" s="10" t="s">
        <v>563</v>
      </c>
      <c r="I405" s="10"/>
      <c r="J405" s="9">
        <v>398</v>
      </c>
      <c r="K405" s="10" t="s">
        <v>1692</v>
      </c>
      <c r="L405" s="10" t="s">
        <v>364</v>
      </c>
      <c r="M405" s="10" t="s">
        <v>1238</v>
      </c>
      <c r="N405" s="7"/>
    </row>
    <row r="406" s="1" customFormat="1" ht="28.5" customHeight="1" spans="1:14">
      <c r="A406" s="8">
        <v>4003</v>
      </c>
      <c r="B406" s="9">
        <v>400308</v>
      </c>
      <c r="C406" s="9" t="s">
        <v>34</v>
      </c>
      <c r="D406" s="9">
        <v>0</v>
      </c>
      <c r="E406" s="9">
        <v>31400308</v>
      </c>
      <c r="F406" s="9">
        <v>31400107</v>
      </c>
      <c r="G406" s="10" t="s">
        <v>1693</v>
      </c>
      <c r="H406" s="10" t="s">
        <v>563</v>
      </c>
      <c r="I406" s="10"/>
      <c r="J406" s="9">
        <v>399</v>
      </c>
      <c r="K406" s="10" t="s">
        <v>1694</v>
      </c>
      <c r="L406" s="10" t="s">
        <v>364</v>
      </c>
      <c r="M406" s="10" t="s">
        <v>1238</v>
      </c>
      <c r="N406" s="7"/>
    </row>
    <row r="407" s="1" customFormat="1" ht="28.5" customHeight="1" spans="1:14">
      <c r="A407" s="8">
        <v>4003</v>
      </c>
      <c r="B407" s="9">
        <v>400309</v>
      </c>
      <c r="C407" s="9" t="s">
        <v>34</v>
      </c>
      <c r="D407" s="9">
        <v>0</v>
      </c>
      <c r="E407" s="9">
        <v>31400309</v>
      </c>
      <c r="F407" s="9">
        <v>31400107</v>
      </c>
      <c r="G407" s="10" t="s">
        <v>1695</v>
      </c>
      <c r="H407" s="10" t="s">
        <v>563</v>
      </c>
      <c r="I407" s="10"/>
      <c r="J407" s="9">
        <v>400</v>
      </c>
      <c r="K407" s="10" t="s">
        <v>1696</v>
      </c>
      <c r="L407" s="10" t="s">
        <v>364</v>
      </c>
      <c r="M407" s="10" t="s">
        <v>1238</v>
      </c>
      <c r="N407" s="7"/>
    </row>
    <row r="408" s="1" customFormat="1" ht="28.5" customHeight="1" spans="1:14">
      <c r="A408" s="8">
        <v>4003</v>
      </c>
      <c r="B408" s="9">
        <v>400310</v>
      </c>
      <c r="C408" s="9" t="s">
        <v>34</v>
      </c>
      <c r="D408" s="9">
        <v>0</v>
      </c>
      <c r="E408" s="9">
        <v>31400310</v>
      </c>
      <c r="F408" s="9">
        <v>31400107</v>
      </c>
      <c r="G408" s="10" t="s">
        <v>1697</v>
      </c>
      <c r="H408" s="10" t="s">
        <v>563</v>
      </c>
      <c r="I408" s="10"/>
      <c r="J408" s="9">
        <v>401</v>
      </c>
      <c r="K408" s="10" t="s">
        <v>1698</v>
      </c>
      <c r="L408" s="10" t="s">
        <v>364</v>
      </c>
      <c r="M408" s="10" t="s">
        <v>1238</v>
      </c>
      <c r="N408" s="7"/>
    </row>
    <row r="409" s="1" customFormat="1" ht="28.5" customHeight="1" spans="1:14">
      <c r="A409" s="8">
        <v>4003</v>
      </c>
      <c r="B409" s="9">
        <v>400311</v>
      </c>
      <c r="C409" s="9" t="s">
        <v>34</v>
      </c>
      <c r="D409" s="9">
        <v>0</v>
      </c>
      <c r="E409" s="9">
        <v>31400311</v>
      </c>
      <c r="F409" s="9">
        <v>31400107</v>
      </c>
      <c r="G409" s="10" t="s">
        <v>1699</v>
      </c>
      <c r="H409" s="10" t="s">
        <v>563</v>
      </c>
      <c r="I409" s="10"/>
      <c r="J409" s="9">
        <v>402</v>
      </c>
      <c r="K409" s="10" t="s">
        <v>1700</v>
      </c>
      <c r="L409" s="10" t="s">
        <v>364</v>
      </c>
      <c r="M409" s="10" t="s">
        <v>1238</v>
      </c>
      <c r="N409" s="7"/>
    </row>
    <row r="410" s="1" customFormat="1" ht="28.5" customHeight="1" spans="1:14">
      <c r="A410" s="8">
        <v>4003</v>
      </c>
      <c r="B410" s="9">
        <v>400312</v>
      </c>
      <c r="C410" s="9" t="s">
        <v>34</v>
      </c>
      <c r="D410" s="9">
        <v>3000</v>
      </c>
      <c r="E410" s="9">
        <v>31400312</v>
      </c>
      <c r="F410" s="9">
        <v>31400112</v>
      </c>
      <c r="G410" s="10" t="s">
        <v>1351</v>
      </c>
      <c r="H410" s="10" t="s">
        <v>563</v>
      </c>
      <c r="I410" s="10"/>
      <c r="J410" s="9">
        <v>403</v>
      </c>
      <c r="K410" s="10" t="s">
        <v>1352</v>
      </c>
      <c r="L410" s="10" t="s">
        <v>259</v>
      </c>
      <c r="M410" s="10" t="s">
        <v>1238</v>
      </c>
      <c r="N410" s="7"/>
    </row>
    <row r="411" s="1" customFormat="1" ht="28.5" customHeight="1" spans="1:14">
      <c r="A411" s="8">
        <v>4003</v>
      </c>
      <c r="B411" s="9">
        <v>400313</v>
      </c>
      <c r="C411" s="9" t="s">
        <v>34</v>
      </c>
      <c r="D411" s="9">
        <v>2500</v>
      </c>
      <c r="E411" s="9">
        <v>31400313</v>
      </c>
      <c r="F411" s="9">
        <v>31400112</v>
      </c>
      <c r="G411" s="10" t="s">
        <v>1353</v>
      </c>
      <c r="H411" s="10" t="s">
        <v>563</v>
      </c>
      <c r="I411" s="10"/>
      <c r="J411" s="9">
        <v>404</v>
      </c>
      <c r="K411" s="10" t="s">
        <v>1354</v>
      </c>
      <c r="L411" s="10" t="s">
        <v>259</v>
      </c>
      <c r="M411" s="10" t="s">
        <v>1238</v>
      </c>
      <c r="N411" s="7"/>
    </row>
    <row r="412" s="1" customFormat="1" ht="28.5" customHeight="1" spans="1:14">
      <c r="A412" s="8">
        <v>4003</v>
      </c>
      <c r="B412" s="9">
        <v>400314</v>
      </c>
      <c r="C412" s="9" t="s">
        <v>34</v>
      </c>
      <c r="D412" s="9">
        <v>2000</v>
      </c>
      <c r="E412" s="9">
        <v>31400314</v>
      </c>
      <c r="F412" s="9">
        <v>31400112</v>
      </c>
      <c r="G412" s="10" t="s">
        <v>1355</v>
      </c>
      <c r="H412" s="10" t="s">
        <v>563</v>
      </c>
      <c r="I412" s="10"/>
      <c r="J412" s="9">
        <v>405</v>
      </c>
      <c r="K412" s="10" t="s">
        <v>1356</v>
      </c>
      <c r="L412" s="10" t="s">
        <v>259</v>
      </c>
      <c r="M412" s="10" t="s">
        <v>1238</v>
      </c>
      <c r="N412" s="7"/>
    </row>
    <row r="413" s="1" customFormat="1" ht="28.5" customHeight="1" spans="1:14">
      <c r="A413" s="8">
        <v>4003</v>
      </c>
      <c r="B413" s="9">
        <v>400315</v>
      </c>
      <c r="C413" s="9" t="s">
        <v>34</v>
      </c>
      <c r="D413" s="9">
        <v>1500</v>
      </c>
      <c r="E413" s="9">
        <v>31400315</v>
      </c>
      <c r="F413" s="9">
        <v>31400112</v>
      </c>
      <c r="G413" s="10" t="s">
        <v>1357</v>
      </c>
      <c r="H413" s="10" t="s">
        <v>563</v>
      </c>
      <c r="I413" s="10"/>
      <c r="J413" s="9">
        <v>406</v>
      </c>
      <c r="K413" s="10" t="s">
        <v>1358</v>
      </c>
      <c r="L413" s="10" t="s">
        <v>259</v>
      </c>
      <c r="M413" s="10" t="s">
        <v>1238</v>
      </c>
      <c r="N413" s="7"/>
    </row>
    <row r="414" s="1" customFormat="1" ht="28.5" customHeight="1" spans="1:14">
      <c r="A414" s="8">
        <v>4003</v>
      </c>
      <c r="B414" s="9">
        <v>400316</v>
      </c>
      <c r="C414" s="9" t="s">
        <v>34</v>
      </c>
      <c r="D414" s="9">
        <v>1000</v>
      </c>
      <c r="E414" s="9">
        <v>31400316</v>
      </c>
      <c r="F414" s="9">
        <v>31400112</v>
      </c>
      <c r="G414" s="10" t="s">
        <v>1359</v>
      </c>
      <c r="H414" s="10" t="s">
        <v>563</v>
      </c>
      <c r="I414" s="10"/>
      <c r="J414" s="9">
        <v>407</v>
      </c>
      <c r="K414" s="10" t="s">
        <v>1360</v>
      </c>
      <c r="L414" s="10" t="s">
        <v>259</v>
      </c>
      <c r="M414" s="10" t="s">
        <v>1238</v>
      </c>
      <c r="N414" s="7"/>
    </row>
    <row r="415" s="1" customFormat="1" ht="28.5" customHeight="1" spans="1:14">
      <c r="A415" s="8">
        <v>4003</v>
      </c>
      <c r="B415" s="9">
        <v>400317</v>
      </c>
      <c r="C415" s="9" t="s">
        <v>34</v>
      </c>
      <c r="D415" s="9">
        <v>2000</v>
      </c>
      <c r="E415" s="9">
        <v>31400317</v>
      </c>
      <c r="F415" s="9">
        <v>31400117</v>
      </c>
      <c r="G415" s="10" t="s">
        <v>1689</v>
      </c>
      <c r="H415" s="10" t="s">
        <v>563</v>
      </c>
      <c r="I415" s="10" t="s">
        <v>1336</v>
      </c>
      <c r="J415" s="9">
        <v>408</v>
      </c>
      <c r="K415" s="10" t="s">
        <v>1690</v>
      </c>
      <c r="L415" s="10" t="s">
        <v>365</v>
      </c>
      <c r="M415" s="10" t="s">
        <v>1238</v>
      </c>
      <c r="N415" s="7"/>
    </row>
    <row r="416" s="1" customFormat="1" ht="28.5" customHeight="1" spans="1:14">
      <c r="A416" s="8">
        <v>4003</v>
      </c>
      <c r="B416" s="9">
        <v>400318</v>
      </c>
      <c r="C416" s="9" t="s">
        <v>34</v>
      </c>
      <c r="D416" s="9">
        <v>1000</v>
      </c>
      <c r="E416" s="9">
        <v>31400318</v>
      </c>
      <c r="F416" s="9">
        <v>31400117</v>
      </c>
      <c r="G416" s="10" t="s">
        <v>1701</v>
      </c>
      <c r="H416" s="10" t="s">
        <v>563</v>
      </c>
      <c r="I416" s="10" t="s">
        <v>1362</v>
      </c>
      <c r="J416" s="9">
        <v>409</v>
      </c>
      <c r="K416" s="10" t="s">
        <v>1702</v>
      </c>
      <c r="L416" s="10" t="s">
        <v>365</v>
      </c>
      <c r="M416" s="10" t="s">
        <v>1238</v>
      </c>
      <c r="N416" s="7"/>
    </row>
    <row r="417" s="1" customFormat="1" ht="28.5" customHeight="1" spans="1:14">
      <c r="A417" s="8">
        <v>4003</v>
      </c>
      <c r="B417" s="9">
        <v>400319</v>
      </c>
      <c r="C417" s="9" t="s">
        <v>34</v>
      </c>
      <c r="D417" s="9">
        <v>800</v>
      </c>
      <c r="E417" s="9">
        <v>31400319</v>
      </c>
      <c r="F417" s="9">
        <v>31400117</v>
      </c>
      <c r="G417" s="10" t="s">
        <v>1703</v>
      </c>
      <c r="H417" s="10" t="s">
        <v>563</v>
      </c>
      <c r="I417" s="10" t="s">
        <v>1365</v>
      </c>
      <c r="J417" s="9">
        <v>410</v>
      </c>
      <c r="K417" s="10" t="s">
        <v>1704</v>
      </c>
      <c r="L417" s="10" t="s">
        <v>365</v>
      </c>
      <c r="M417" s="10" t="s">
        <v>1238</v>
      </c>
      <c r="N417" s="7"/>
    </row>
    <row r="418" s="1" customFormat="1" ht="28.5" customHeight="1" spans="1:14">
      <c r="A418" s="8">
        <v>4003</v>
      </c>
      <c r="B418" s="9">
        <v>400320</v>
      </c>
      <c r="C418" s="9" t="s">
        <v>34</v>
      </c>
      <c r="D418" s="9">
        <v>600</v>
      </c>
      <c r="E418" s="9">
        <v>31400320</v>
      </c>
      <c r="F418" s="9">
        <v>31400117</v>
      </c>
      <c r="G418" s="10" t="s">
        <v>1705</v>
      </c>
      <c r="H418" s="10" t="s">
        <v>563</v>
      </c>
      <c r="I418" s="10" t="s">
        <v>1368</v>
      </c>
      <c r="J418" s="9">
        <v>411</v>
      </c>
      <c r="K418" s="10" t="s">
        <v>1706</v>
      </c>
      <c r="L418" s="10" t="s">
        <v>365</v>
      </c>
      <c r="M418" s="10" t="s">
        <v>1238</v>
      </c>
      <c r="N418" s="7"/>
    </row>
    <row r="419" s="1" customFormat="1" ht="28.5" customHeight="1" spans="1:14">
      <c r="A419" s="8">
        <v>4003</v>
      </c>
      <c r="B419" s="9">
        <v>400321</v>
      </c>
      <c r="C419" s="9" t="s">
        <v>34</v>
      </c>
      <c r="D419" s="9">
        <v>400</v>
      </c>
      <c r="E419" s="9">
        <v>31400321</v>
      </c>
      <c r="F419" s="9">
        <v>31400117</v>
      </c>
      <c r="G419" s="10" t="s">
        <v>1707</v>
      </c>
      <c r="H419" s="10" t="s">
        <v>563</v>
      </c>
      <c r="I419" s="10" t="s">
        <v>1371</v>
      </c>
      <c r="J419" s="9">
        <v>412</v>
      </c>
      <c r="K419" s="10" t="s">
        <v>1708</v>
      </c>
      <c r="L419" s="10" t="s">
        <v>365</v>
      </c>
      <c r="M419" s="10" t="s">
        <v>1238</v>
      </c>
      <c r="N419" s="7"/>
    </row>
    <row r="420" s="1" customFormat="1" ht="28.5" customHeight="1" spans="1:14">
      <c r="A420" s="8">
        <v>4003</v>
      </c>
      <c r="B420" s="9">
        <v>400322</v>
      </c>
      <c r="C420" s="9" t="s">
        <v>34</v>
      </c>
      <c r="D420" s="9">
        <v>200</v>
      </c>
      <c r="E420" s="9">
        <v>31400322</v>
      </c>
      <c r="F420" s="9">
        <v>31400117</v>
      </c>
      <c r="G420" s="10" t="s">
        <v>1709</v>
      </c>
      <c r="H420" s="10" t="s">
        <v>563</v>
      </c>
      <c r="I420" s="10" t="s">
        <v>1374</v>
      </c>
      <c r="J420" s="9">
        <v>413</v>
      </c>
      <c r="K420" s="10" t="s">
        <v>1710</v>
      </c>
      <c r="L420" s="10" t="s">
        <v>365</v>
      </c>
      <c r="M420" s="10" t="s">
        <v>1238</v>
      </c>
      <c r="N420" s="7"/>
    </row>
    <row r="421" s="1" customFormat="1" ht="28.5" customHeight="1" spans="1:14">
      <c r="A421" s="8"/>
      <c r="B421" s="9"/>
      <c r="C421" s="9"/>
      <c r="D421" s="9"/>
      <c r="E421" s="9"/>
      <c r="F421" s="9"/>
      <c r="G421" s="10"/>
      <c r="H421" s="10"/>
      <c r="I421" s="10" t="s">
        <v>1289</v>
      </c>
      <c r="J421" s="9">
        <v>414</v>
      </c>
      <c r="K421" s="10" t="s">
        <v>1289</v>
      </c>
      <c r="L421" s="10"/>
      <c r="M421" s="10" t="s">
        <v>1290</v>
      </c>
      <c r="N421" s="7"/>
    </row>
    <row r="422" s="1" customFormat="1" ht="28.5" customHeight="1" spans="1:14">
      <c r="A422" s="8">
        <v>4004</v>
      </c>
      <c r="B422" s="9">
        <v>400401</v>
      </c>
      <c r="C422" s="9" t="s">
        <v>35</v>
      </c>
      <c r="D422" s="9">
        <v>2000</v>
      </c>
      <c r="E422" s="9">
        <v>31400401</v>
      </c>
      <c r="F422" s="9">
        <v>31400101</v>
      </c>
      <c r="G422" s="10" t="s">
        <v>1301</v>
      </c>
      <c r="H422" s="10" t="s">
        <v>563</v>
      </c>
      <c r="I422" s="10" t="s">
        <v>1287</v>
      </c>
      <c r="J422" s="9">
        <v>415</v>
      </c>
      <c r="K422" s="10" t="s">
        <v>1302</v>
      </c>
      <c r="L422" s="10" t="s">
        <v>268</v>
      </c>
      <c r="M422" s="10" t="s">
        <v>1238</v>
      </c>
      <c r="N422" s="7"/>
    </row>
    <row r="423" s="1" customFormat="1" ht="28.5" customHeight="1" spans="1:14">
      <c r="A423" s="8">
        <v>4004</v>
      </c>
      <c r="B423" s="9">
        <v>400402</v>
      </c>
      <c r="C423" s="9" t="s">
        <v>35</v>
      </c>
      <c r="D423" s="9">
        <v>1000</v>
      </c>
      <c r="E423" s="9">
        <v>31400402</v>
      </c>
      <c r="F423" s="9">
        <v>31400101</v>
      </c>
      <c r="G423" s="10" t="s">
        <v>1376</v>
      </c>
      <c r="H423" s="10" t="s">
        <v>563</v>
      </c>
      <c r="I423" s="10" t="s">
        <v>1324</v>
      </c>
      <c r="J423" s="9">
        <v>416</v>
      </c>
      <c r="K423" s="10" t="s">
        <v>1377</v>
      </c>
      <c r="L423" s="10" t="s">
        <v>268</v>
      </c>
      <c r="M423" s="10" t="s">
        <v>1238</v>
      </c>
      <c r="N423" s="7"/>
    </row>
    <row r="424" s="1" customFormat="1" ht="28.5" customHeight="1" spans="1:14">
      <c r="A424" s="8">
        <v>4004</v>
      </c>
      <c r="B424" s="9">
        <v>400403</v>
      </c>
      <c r="C424" s="9" t="s">
        <v>35</v>
      </c>
      <c r="D424" s="9">
        <v>800</v>
      </c>
      <c r="E424" s="9">
        <v>31400403</v>
      </c>
      <c r="F424" s="9">
        <v>31400101</v>
      </c>
      <c r="G424" s="10" t="s">
        <v>1378</v>
      </c>
      <c r="H424" s="10" t="s">
        <v>563</v>
      </c>
      <c r="I424" s="10" t="s">
        <v>1327</v>
      </c>
      <c r="J424" s="9">
        <v>417</v>
      </c>
      <c r="K424" s="10" t="s">
        <v>1379</v>
      </c>
      <c r="L424" s="10" t="s">
        <v>268</v>
      </c>
      <c r="M424" s="10" t="s">
        <v>1238</v>
      </c>
      <c r="N424" s="7"/>
    </row>
    <row r="425" s="1" customFormat="1" ht="28.5" customHeight="1" spans="1:14">
      <c r="A425" s="8">
        <v>4004</v>
      </c>
      <c r="B425" s="9">
        <v>400404</v>
      </c>
      <c r="C425" s="9" t="s">
        <v>35</v>
      </c>
      <c r="D425" s="9">
        <v>600</v>
      </c>
      <c r="E425" s="9">
        <v>31400404</v>
      </c>
      <c r="F425" s="9">
        <v>31400101</v>
      </c>
      <c r="G425" s="10" t="s">
        <v>1380</v>
      </c>
      <c r="H425" s="10" t="s">
        <v>563</v>
      </c>
      <c r="I425" s="10" t="s">
        <v>1330</v>
      </c>
      <c r="J425" s="9">
        <v>418</v>
      </c>
      <c r="K425" s="10" t="s">
        <v>1381</v>
      </c>
      <c r="L425" s="10" t="s">
        <v>268</v>
      </c>
      <c r="M425" s="10" t="s">
        <v>1238</v>
      </c>
      <c r="N425" s="7"/>
    </row>
    <row r="426" s="1" customFormat="1" ht="28.5" customHeight="1" spans="1:14">
      <c r="A426" s="8">
        <v>4004</v>
      </c>
      <c r="B426" s="9">
        <v>400405</v>
      </c>
      <c r="C426" s="9" t="s">
        <v>35</v>
      </c>
      <c r="D426" s="9">
        <v>400</v>
      </c>
      <c r="E426" s="9">
        <v>31400405</v>
      </c>
      <c r="F426" s="9">
        <v>31400101</v>
      </c>
      <c r="G426" s="10" t="s">
        <v>1382</v>
      </c>
      <c r="H426" s="10" t="s">
        <v>563</v>
      </c>
      <c r="I426" s="10" t="s">
        <v>1333</v>
      </c>
      <c r="J426" s="9">
        <v>419</v>
      </c>
      <c r="K426" s="10" t="s">
        <v>1383</v>
      </c>
      <c r="L426" s="10" t="s">
        <v>268</v>
      </c>
      <c r="M426" s="10" t="s">
        <v>1238</v>
      </c>
      <c r="N426" s="7"/>
    </row>
    <row r="427" s="1" customFormat="1" ht="28.5" customHeight="1" spans="1:14">
      <c r="A427" s="8">
        <v>4004</v>
      </c>
      <c r="B427" s="9">
        <v>400406</v>
      </c>
      <c r="C427" s="9" t="s">
        <v>35</v>
      </c>
      <c r="D427" s="9">
        <v>200</v>
      </c>
      <c r="E427" s="9">
        <v>31400406</v>
      </c>
      <c r="F427" s="9">
        <v>31400101</v>
      </c>
      <c r="G427" s="10" t="s">
        <v>1384</v>
      </c>
      <c r="H427" s="10" t="s">
        <v>563</v>
      </c>
      <c r="I427" s="10" t="s">
        <v>1336</v>
      </c>
      <c r="J427" s="9">
        <v>420</v>
      </c>
      <c r="K427" s="10" t="s">
        <v>1385</v>
      </c>
      <c r="L427" s="10" t="s">
        <v>268</v>
      </c>
      <c r="M427" s="10" t="s">
        <v>1238</v>
      </c>
      <c r="N427" s="7"/>
    </row>
    <row r="428" s="1" customFormat="1" ht="28.5" customHeight="1" spans="1:14">
      <c r="A428" s="8">
        <v>4004</v>
      </c>
      <c r="B428" s="9">
        <v>400407</v>
      </c>
      <c r="C428" s="9" t="s">
        <v>35</v>
      </c>
      <c r="D428" s="9">
        <v>0</v>
      </c>
      <c r="E428" s="9">
        <v>31400407</v>
      </c>
      <c r="F428" s="9">
        <v>31400107</v>
      </c>
      <c r="G428" s="10" t="s">
        <v>1711</v>
      </c>
      <c r="H428" s="10" t="s">
        <v>563</v>
      </c>
      <c r="I428" s="10"/>
      <c r="J428" s="9">
        <v>421</v>
      </c>
      <c r="K428" s="10" t="s">
        <v>1712</v>
      </c>
      <c r="L428" s="10" t="s">
        <v>368</v>
      </c>
      <c r="M428" s="10" t="s">
        <v>1238</v>
      </c>
      <c r="N428" s="7"/>
    </row>
    <row r="429" s="1" customFormat="1" ht="28.5" customHeight="1" spans="1:14">
      <c r="A429" s="8">
        <v>4004</v>
      </c>
      <c r="B429" s="9">
        <v>400408</v>
      </c>
      <c r="C429" s="9" t="s">
        <v>35</v>
      </c>
      <c r="D429" s="9">
        <v>0</v>
      </c>
      <c r="E429" s="9">
        <v>31400408</v>
      </c>
      <c r="F429" s="9">
        <v>31400107</v>
      </c>
      <c r="G429" s="10" t="s">
        <v>1713</v>
      </c>
      <c r="H429" s="10" t="s">
        <v>563</v>
      </c>
      <c r="I429" s="10"/>
      <c r="J429" s="9">
        <v>422</v>
      </c>
      <c r="K429" s="10" t="s">
        <v>1714</v>
      </c>
      <c r="L429" s="10" t="s">
        <v>368</v>
      </c>
      <c r="M429" s="10" t="s">
        <v>1238</v>
      </c>
      <c r="N429" s="7"/>
    </row>
    <row r="430" s="1" customFormat="1" ht="28.5" customHeight="1" spans="1:14">
      <c r="A430" s="8">
        <v>4004</v>
      </c>
      <c r="B430" s="9">
        <v>400409</v>
      </c>
      <c r="C430" s="9" t="s">
        <v>35</v>
      </c>
      <c r="D430" s="9">
        <v>0</v>
      </c>
      <c r="E430" s="9">
        <v>31400409</v>
      </c>
      <c r="F430" s="9">
        <v>31400107</v>
      </c>
      <c r="G430" s="10" t="s">
        <v>1715</v>
      </c>
      <c r="H430" s="10" t="s">
        <v>563</v>
      </c>
      <c r="I430" s="10"/>
      <c r="J430" s="9">
        <v>423</v>
      </c>
      <c r="K430" s="10" t="s">
        <v>1716</v>
      </c>
      <c r="L430" s="10" t="s">
        <v>368</v>
      </c>
      <c r="M430" s="10" t="s">
        <v>1238</v>
      </c>
      <c r="N430" s="7"/>
    </row>
    <row r="431" s="1" customFormat="1" ht="28.5" customHeight="1" spans="1:14">
      <c r="A431" s="8">
        <v>4004</v>
      </c>
      <c r="B431" s="9">
        <v>400410</v>
      </c>
      <c r="C431" s="9" t="s">
        <v>35</v>
      </c>
      <c r="D431" s="9">
        <v>0</v>
      </c>
      <c r="E431" s="9">
        <v>31400410</v>
      </c>
      <c r="F431" s="9">
        <v>31400107</v>
      </c>
      <c r="G431" s="10" t="s">
        <v>1717</v>
      </c>
      <c r="H431" s="10" t="s">
        <v>563</v>
      </c>
      <c r="I431" s="10"/>
      <c r="J431" s="9">
        <v>424</v>
      </c>
      <c r="K431" s="10" t="s">
        <v>1718</v>
      </c>
      <c r="L431" s="10" t="s">
        <v>368</v>
      </c>
      <c r="M431" s="10" t="s">
        <v>1238</v>
      </c>
      <c r="N431" s="7"/>
    </row>
    <row r="432" s="1" customFormat="1" ht="28.5" customHeight="1" spans="1:14">
      <c r="A432" s="8">
        <v>4004</v>
      </c>
      <c r="B432" s="9">
        <v>400411</v>
      </c>
      <c r="C432" s="9" t="s">
        <v>35</v>
      </c>
      <c r="D432" s="9">
        <v>0</v>
      </c>
      <c r="E432" s="9">
        <v>31400411</v>
      </c>
      <c r="F432" s="9">
        <v>31400107</v>
      </c>
      <c r="G432" s="10" t="s">
        <v>1719</v>
      </c>
      <c r="H432" s="10" t="s">
        <v>563</v>
      </c>
      <c r="I432" s="10"/>
      <c r="J432" s="9">
        <v>425</v>
      </c>
      <c r="K432" s="10" t="s">
        <v>1720</v>
      </c>
      <c r="L432" s="10" t="s">
        <v>368</v>
      </c>
      <c r="M432" s="10" t="s">
        <v>1238</v>
      </c>
      <c r="N432" s="7"/>
    </row>
    <row r="433" s="1" customFormat="1" ht="28.5" customHeight="1" spans="1:14">
      <c r="A433" s="8">
        <v>4004</v>
      </c>
      <c r="B433" s="9">
        <v>400412</v>
      </c>
      <c r="C433" s="9" t="s">
        <v>35</v>
      </c>
      <c r="D433" s="9">
        <v>3000</v>
      </c>
      <c r="E433" s="9">
        <v>31400412</v>
      </c>
      <c r="F433" s="9">
        <v>31400112</v>
      </c>
      <c r="G433" s="10" t="s">
        <v>1396</v>
      </c>
      <c r="H433" s="10" t="s">
        <v>563</v>
      </c>
      <c r="I433" s="10"/>
      <c r="J433" s="9">
        <v>426</v>
      </c>
      <c r="K433" s="10" t="s">
        <v>1397</v>
      </c>
      <c r="L433" s="10" t="s">
        <v>267</v>
      </c>
      <c r="M433" s="10" t="s">
        <v>1238</v>
      </c>
      <c r="N433" s="7"/>
    </row>
    <row r="434" s="1" customFormat="1" ht="28.5" customHeight="1" spans="1:14">
      <c r="A434" s="8">
        <v>4004</v>
      </c>
      <c r="B434" s="9">
        <v>400413</v>
      </c>
      <c r="C434" s="9" t="s">
        <v>35</v>
      </c>
      <c r="D434" s="9">
        <v>2500</v>
      </c>
      <c r="E434" s="9">
        <v>31400413</v>
      </c>
      <c r="F434" s="9">
        <v>31400112</v>
      </c>
      <c r="G434" s="10" t="s">
        <v>1398</v>
      </c>
      <c r="H434" s="10" t="s">
        <v>563</v>
      </c>
      <c r="I434" s="10"/>
      <c r="J434" s="9">
        <v>427</v>
      </c>
      <c r="K434" s="10" t="s">
        <v>1399</v>
      </c>
      <c r="L434" s="10" t="s">
        <v>267</v>
      </c>
      <c r="M434" s="10" t="s">
        <v>1238</v>
      </c>
      <c r="N434" s="7"/>
    </row>
    <row r="435" s="1" customFormat="1" ht="28.5" customHeight="1" spans="1:14">
      <c r="A435" s="8">
        <v>4004</v>
      </c>
      <c r="B435" s="9">
        <v>400414</v>
      </c>
      <c r="C435" s="9" t="s">
        <v>35</v>
      </c>
      <c r="D435" s="9">
        <v>2000</v>
      </c>
      <c r="E435" s="9">
        <v>31400414</v>
      </c>
      <c r="F435" s="9">
        <v>31400112</v>
      </c>
      <c r="G435" s="10" t="s">
        <v>1400</v>
      </c>
      <c r="H435" s="10" t="s">
        <v>563</v>
      </c>
      <c r="I435" s="10"/>
      <c r="J435" s="9">
        <v>428</v>
      </c>
      <c r="K435" s="10" t="s">
        <v>1401</v>
      </c>
      <c r="L435" s="10" t="s">
        <v>267</v>
      </c>
      <c r="M435" s="10" t="s">
        <v>1238</v>
      </c>
      <c r="N435" s="7"/>
    </row>
    <row r="436" s="1" customFormat="1" ht="28.5" customHeight="1" spans="1:14">
      <c r="A436" s="8">
        <v>4004</v>
      </c>
      <c r="B436" s="9">
        <v>400415</v>
      </c>
      <c r="C436" s="9" t="s">
        <v>35</v>
      </c>
      <c r="D436" s="9">
        <v>1500</v>
      </c>
      <c r="E436" s="9">
        <v>31400415</v>
      </c>
      <c r="F436" s="9">
        <v>31400112</v>
      </c>
      <c r="G436" s="10" t="s">
        <v>1402</v>
      </c>
      <c r="H436" s="10" t="s">
        <v>563</v>
      </c>
      <c r="I436" s="10"/>
      <c r="J436" s="9">
        <v>429</v>
      </c>
      <c r="K436" s="10" t="s">
        <v>1403</v>
      </c>
      <c r="L436" s="10" t="s">
        <v>267</v>
      </c>
      <c r="M436" s="10" t="s">
        <v>1238</v>
      </c>
      <c r="N436" s="7"/>
    </row>
    <row r="437" s="1" customFormat="1" ht="28.5" customHeight="1" spans="1:14">
      <c r="A437" s="8">
        <v>4004</v>
      </c>
      <c r="B437" s="9">
        <v>400416</v>
      </c>
      <c r="C437" s="9" t="s">
        <v>35</v>
      </c>
      <c r="D437" s="9">
        <v>1000</v>
      </c>
      <c r="E437" s="9">
        <v>31400416</v>
      </c>
      <c r="F437" s="9">
        <v>31400112</v>
      </c>
      <c r="G437" s="10" t="s">
        <v>1404</v>
      </c>
      <c r="H437" s="10" t="s">
        <v>563</v>
      </c>
      <c r="I437" s="10"/>
      <c r="J437" s="9">
        <v>430</v>
      </c>
      <c r="K437" s="10" t="s">
        <v>1405</v>
      </c>
      <c r="L437" s="10" t="s">
        <v>267</v>
      </c>
      <c r="M437" s="10" t="s">
        <v>1238</v>
      </c>
      <c r="N437" s="7"/>
    </row>
    <row r="438" s="1" customFormat="1" ht="28.5" customHeight="1" spans="1:14">
      <c r="A438" s="8">
        <v>4004</v>
      </c>
      <c r="B438" s="9">
        <v>400417</v>
      </c>
      <c r="C438" s="9" t="s">
        <v>35</v>
      </c>
      <c r="D438" s="9">
        <v>2000</v>
      </c>
      <c r="E438" s="9">
        <v>31400417</v>
      </c>
      <c r="F438" s="9">
        <v>31400117</v>
      </c>
      <c r="G438" s="10" t="s">
        <v>1721</v>
      </c>
      <c r="H438" s="10" t="s">
        <v>563</v>
      </c>
      <c r="I438" s="10" t="s">
        <v>1407</v>
      </c>
      <c r="J438" s="9">
        <v>431</v>
      </c>
      <c r="K438" s="10" t="s">
        <v>1722</v>
      </c>
      <c r="L438" s="10" t="s">
        <v>369</v>
      </c>
      <c r="M438" s="10" t="s">
        <v>1238</v>
      </c>
      <c r="N438" s="7"/>
    </row>
    <row r="439" s="1" customFormat="1" ht="28.5" customHeight="1" spans="1:14">
      <c r="A439" s="8">
        <v>4004</v>
      </c>
      <c r="B439" s="9">
        <v>400418</v>
      </c>
      <c r="C439" s="9" t="s">
        <v>35</v>
      </c>
      <c r="D439" s="9">
        <v>1000</v>
      </c>
      <c r="E439" s="9">
        <v>31400418</v>
      </c>
      <c r="F439" s="9">
        <v>31400117</v>
      </c>
      <c r="G439" s="10" t="s">
        <v>1705</v>
      </c>
      <c r="H439" s="10" t="s">
        <v>563</v>
      </c>
      <c r="I439" s="10" t="s">
        <v>1368</v>
      </c>
      <c r="J439" s="9">
        <v>432</v>
      </c>
      <c r="K439" s="10" t="s">
        <v>1706</v>
      </c>
      <c r="L439" s="10" t="s">
        <v>369</v>
      </c>
      <c r="M439" s="10" t="s">
        <v>1238</v>
      </c>
      <c r="N439" s="7"/>
    </row>
    <row r="440" s="1" customFormat="1" ht="28.5" customHeight="1" spans="1:14">
      <c r="A440" s="8">
        <v>4004</v>
      </c>
      <c r="B440" s="9">
        <v>400419</v>
      </c>
      <c r="C440" s="9" t="s">
        <v>35</v>
      </c>
      <c r="D440" s="9">
        <v>800</v>
      </c>
      <c r="E440" s="9">
        <v>31400419</v>
      </c>
      <c r="F440" s="9">
        <v>31400117</v>
      </c>
      <c r="G440" s="10" t="s">
        <v>1707</v>
      </c>
      <c r="H440" s="10" t="s">
        <v>563</v>
      </c>
      <c r="I440" s="10" t="s">
        <v>1371</v>
      </c>
      <c r="J440" s="9">
        <v>433</v>
      </c>
      <c r="K440" s="10" t="s">
        <v>1708</v>
      </c>
      <c r="L440" s="10" t="s">
        <v>369</v>
      </c>
      <c r="M440" s="10" t="s">
        <v>1238</v>
      </c>
      <c r="N440" s="7"/>
    </row>
    <row r="441" s="1" customFormat="1" ht="28.5" customHeight="1" spans="1:14">
      <c r="A441" s="8">
        <v>4004</v>
      </c>
      <c r="B441" s="9">
        <v>400420</v>
      </c>
      <c r="C441" s="9" t="s">
        <v>35</v>
      </c>
      <c r="D441" s="9">
        <v>600</v>
      </c>
      <c r="E441" s="9">
        <v>31400420</v>
      </c>
      <c r="F441" s="9">
        <v>31400117</v>
      </c>
      <c r="G441" s="10" t="s">
        <v>1707</v>
      </c>
      <c r="H441" s="10" t="s">
        <v>563</v>
      </c>
      <c r="I441" s="10" t="s">
        <v>1371</v>
      </c>
      <c r="J441" s="9">
        <v>434</v>
      </c>
      <c r="K441" s="10" t="s">
        <v>1708</v>
      </c>
      <c r="L441" s="10" t="s">
        <v>369</v>
      </c>
      <c r="M441" s="10" t="s">
        <v>1238</v>
      </c>
      <c r="N441" s="7"/>
    </row>
    <row r="442" s="1" customFormat="1" ht="28.5" customHeight="1" spans="1:14">
      <c r="A442" s="8">
        <v>4004</v>
      </c>
      <c r="B442" s="9">
        <v>400421</v>
      </c>
      <c r="C442" s="9" t="s">
        <v>35</v>
      </c>
      <c r="D442" s="9">
        <v>400</v>
      </c>
      <c r="E442" s="9">
        <v>31400421</v>
      </c>
      <c r="F442" s="9">
        <v>31400117</v>
      </c>
      <c r="G442" s="10" t="s">
        <v>1709</v>
      </c>
      <c r="H442" s="10" t="s">
        <v>563</v>
      </c>
      <c r="I442" s="10" t="s">
        <v>1374</v>
      </c>
      <c r="J442" s="9">
        <v>435</v>
      </c>
      <c r="K442" s="10" t="s">
        <v>1710</v>
      </c>
      <c r="L442" s="10" t="s">
        <v>369</v>
      </c>
      <c r="M442" s="10" t="s">
        <v>1238</v>
      </c>
      <c r="N442" s="7"/>
    </row>
    <row r="443" s="1" customFormat="1" ht="28.5" customHeight="1" spans="1:14">
      <c r="A443" s="8">
        <v>4004</v>
      </c>
      <c r="B443" s="9">
        <v>400422</v>
      </c>
      <c r="C443" s="9" t="s">
        <v>35</v>
      </c>
      <c r="D443" s="9">
        <v>200</v>
      </c>
      <c r="E443" s="9">
        <v>31400422</v>
      </c>
      <c r="F443" s="9">
        <v>31400117</v>
      </c>
      <c r="G443" s="10" t="s">
        <v>1723</v>
      </c>
      <c r="H443" s="10" t="s">
        <v>563</v>
      </c>
      <c r="I443" s="10" t="s">
        <v>1410</v>
      </c>
      <c r="J443" s="9">
        <v>436</v>
      </c>
      <c r="K443" s="10" t="s">
        <v>1724</v>
      </c>
      <c r="L443" s="10" t="s">
        <v>369</v>
      </c>
      <c r="M443" s="10" t="s">
        <v>1238</v>
      </c>
      <c r="N443" s="7"/>
    </row>
    <row r="444" s="1" customFormat="1" ht="28.5" customHeight="1" spans="1:14">
      <c r="A444" s="8"/>
      <c r="B444" s="9"/>
      <c r="C444" s="9"/>
      <c r="D444" s="9"/>
      <c r="E444" s="9"/>
      <c r="F444" s="9"/>
      <c r="G444" s="10"/>
      <c r="H444" s="10"/>
      <c r="I444" s="10" t="s">
        <v>1289</v>
      </c>
      <c r="J444" s="9">
        <v>437</v>
      </c>
      <c r="K444" s="10" t="s">
        <v>1289</v>
      </c>
      <c r="L444" s="10"/>
      <c r="M444" s="10" t="s">
        <v>1290</v>
      </c>
      <c r="N444" s="7"/>
    </row>
    <row r="445" s="1" customFormat="1" ht="28.5" customHeight="1" spans="1:14">
      <c r="A445" s="8">
        <v>4005</v>
      </c>
      <c r="B445" s="9">
        <v>400501</v>
      </c>
      <c r="C445" s="9" t="s">
        <v>36</v>
      </c>
      <c r="D445" s="9">
        <v>2000</v>
      </c>
      <c r="E445" s="9">
        <v>31400501</v>
      </c>
      <c r="F445" s="9">
        <v>31400101</v>
      </c>
      <c r="G445" s="10" t="s">
        <v>1384</v>
      </c>
      <c r="H445" s="10" t="s">
        <v>563</v>
      </c>
      <c r="I445" s="10" t="s">
        <v>1336</v>
      </c>
      <c r="J445" s="9">
        <v>438</v>
      </c>
      <c r="K445" s="10" t="s">
        <v>1385</v>
      </c>
      <c r="L445" s="10" t="s">
        <v>276</v>
      </c>
      <c r="M445" s="10" t="s">
        <v>1238</v>
      </c>
      <c r="N445" s="7"/>
    </row>
    <row r="446" s="1" customFormat="1" ht="28.5" customHeight="1" spans="1:14">
      <c r="A446" s="8">
        <v>4005</v>
      </c>
      <c r="B446" s="9">
        <v>400502</v>
      </c>
      <c r="C446" s="9" t="s">
        <v>36</v>
      </c>
      <c r="D446" s="9">
        <v>1000</v>
      </c>
      <c r="E446" s="9">
        <v>31400502</v>
      </c>
      <c r="F446" s="9">
        <v>31400101</v>
      </c>
      <c r="G446" s="10" t="s">
        <v>1412</v>
      </c>
      <c r="H446" s="10" t="s">
        <v>563</v>
      </c>
      <c r="I446" s="10" t="s">
        <v>1362</v>
      </c>
      <c r="J446" s="9">
        <v>439</v>
      </c>
      <c r="K446" s="10" t="s">
        <v>1413</v>
      </c>
      <c r="L446" s="10" t="s">
        <v>276</v>
      </c>
      <c r="M446" s="10" t="s">
        <v>1238</v>
      </c>
      <c r="N446" s="7"/>
    </row>
    <row r="447" s="1" customFormat="1" ht="28.5" customHeight="1" spans="1:14">
      <c r="A447" s="8">
        <v>4005</v>
      </c>
      <c r="B447" s="9">
        <v>400503</v>
      </c>
      <c r="C447" s="9" t="s">
        <v>36</v>
      </c>
      <c r="D447" s="9">
        <v>800</v>
      </c>
      <c r="E447" s="9">
        <v>31400503</v>
      </c>
      <c r="F447" s="9">
        <v>31400101</v>
      </c>
      <c r="G447" s="10" t="s">
        <v>1414</v>
      </c>
      <c r="H447" s="10" t="s">
        <v>563</v>
      </c>
      <c r="I447" s="10" t="s">
        <v>1365</v>
      </c>
      <c r="J447" s="9">
        <v>440</v>
      </c>
      <c r="K447" s="10" t="s">
        <v>1415</v>
      </c>
      <c r="L447" s="10" t="s">
        <v>276</v>
      </c>
      <c r="M447" s="10" t="s">
        <v>1238</v>
      </c>
      <c r="N447" s="7"/>
    </row>
    <row r="448" s="1" customFormat="1" ht="28.5" customHeight="1" spans="1:14">
      <c r="A448" s="8">
        <v>4005</v>
      </c>
      <c r="B448" s="9">
        <v>400504</v>
      </c>
      <c r="C448" s="9" t="s">
        <v>36</v>
      </c>
      <c r="D448" s="9">
        <v>600</v>
      </c>
      <c r="E448" s="9">
        <v>31400504</v>
      </c>
      <c r="F448" s="9">
        <v>31400101</v>
      </c>
      <c r="G448" s="10" t="s">
        <v>1416</v>
      </c>
      <c r="H448" s="10" t="s">
        <v>563</v>
      </c>
      <c r="I448" s="10" t="s">
        <v>1368</v>
      </c>
      <c r="J448" s="9">
        <v>441</v>
      </c>
      <c r="K448" s="10" t="s">
        <v>1417</v>
      </c>
      <c r="L448" s="10" t="s">
        <v>276</v>
      </c>
      <c r="M448" s="10" t="s">
        <v>1238</v>
      </c>
      <c r="N448" s="7"/>
    </row>
    <row r="449" s="1" customFormat="1" ht="28.5" customHeight="1" spans="1:14">
      <c r="A449" s="8">
        <v>4005</v>
      </c>
      <c r="B449" s="9">
        <v>400505</v>
      </c>
      <c r="C449" s="9" t="s">
        <v>36</v>
      </c>
      <c r="D449" s="9">
        <v>400</v>
      </c>
      <c r="E449" s="9">
        <v>31400505</v>
      </c>
      <c r="F449" s="9">
        <v>31400101</v>
      </c>
      <c r="G449" s="10" t="s">
        <v>1418</v>
      </c>
      <c r="H449" s="10" t="s">
        <v>563</v>
      </c>
      <c r="I449" s="10" t="s">
        <v>1371</v>
      </c>
      <c r="J449" s="9">
        <v>442</v>
      </c>
      <c r="K449" s="10" t="s">
        <v>1419</v>
      </c>
      <c r="L449" s="10" t="s">
        <v>276</v>
      </c>
      <c r="M449" s="10" t="s">
        <v>1238</v>
      </c>
      <c r="N449" s="7"/>
    </row>
    <row r="450" s="1" customFormat="1" ht="28.5" customHeight="1" spans="1:14">
      <c r="A450" s="8">
        <v>4005</v>
      </c>
      <c r="B450" s="9">
        <v>400506</v>
      </c>
      <c r="C450" s="9" t="s">
        <v>36</v>
      </c>
      <c r="D450" s="9">
        <v>200</v>
      </c>
      <c r="E450" s="9">
        <v>31400506</v>
      </c>
      <c r="F450" s="9">
        <v>31400101</v>
      </c>
      <c r="G450" s="10" t="s">
        <v>1420</v>
      </c>
      <c r="H450" s="10" t="s">
        <v>563</v>
      </c>
      <c r="I450" s="10" t="s">
        <v>1374</v>
      </c>
      <c r="J450" s="9">
        <v>443</v>
      </c>
      <c r="K450" s="10" t="s">
        <v>1421</v>
      </c>
      <c r="L450" s="10" t="s">
        <v>276</v>
      </c>
      <c r="M450" s="10" t="s">
        <v>1238</v>
      </c>
      <c r="N450" s="7"/>
    </row>
    <row r="451" s="1" customFormat="1" ht="28.5" customHeight="1" spans="1:14">
      <c r="A451" s="8">
        <v>4005</v>
      </c>
      <c r="B451" s="9">
        <v>400507</v>
      </c>
      <c r="C451" s="9" t="s">
        <v>36</v>
      </c>
      <c r="D451" s="9">
        <v>0</v>
      </c>
      <c r="E451" s="9">
        <v>31400507</v>
      </c>
      <c r="F451" s="9">
        <v>31400107</v>
      </c>
      <c r="G451" s="10" t="s">
        <v>1725</v>
      </c>
      <c r="H451" s="10" t="s">
        <v>563</v>
      </c>
      <c r="I451" s="10"/>
      <c r="J451" s="9">
        <v>444</v>
      </c>
      <c r="K451" s="10" t="s">
        <v>1726</v>
      </c>
      <c r="L451" s="10" t="s">
        <v>372</v>
      </c>
      <c r="M451" s="10" t="s">
        <v>1238</v>
      </c>
      <c r="N451" s="7"/>
    </row>
    <row r="452" s="1" customFormat="1" ht="28.5" customHeight="1" spans="1:14">
      <c r="A452" s="8">
        <v>4005</v>
      </c>
      <c r="B452" s="9">
        <v>400508</v>
      </c>
      <c r="C452" s="9" t="s">
        <v>36</v>
      </c>
      <c r="D452" s="9">
        <v>0</v>
      </c>
      <c r="E452" s="9">
        <v>31400508</v>
      </c>
      <c r="F452" s="9">
        <v>31400107</v>
      </c>
      <c r="G452" s="10" t="s">
        <v>1727</v>
      </c>
      <c r="H452" s="10" t="s">
        <v>563</v>
      </c>
      <c r="I452" s="10"/>
      <c r="J452" s="9">
        <v>445</v>
      </c>
      <c r="K452" s="10" t="s">
        <v>1728</v>
      </c>
      <c r="L452" s="10" t="s">
        <v>372</v>
      </c>
      <c r="M452" s="10" t="s">
        <v>1238</v>
      </c>
      <c r="N452" s="7"/>
    </row>
    <row r="453" s="1" customFormat="1" ht="28.5" customHeight="1" spans="1:14">
      <c r="A453" s="8">
        <v>4005</v>
      </c>
      <c r="B453" s="9">
        <v>400509</v>
      </c>
      <c r="C453" s="9" t="s">
        <v>36</v>
      </c>
      <c r="D453" s="9">
        <v>0</v>
      </c>
      <c r="E453" s="9">
        <v>31400509</v>
      </c>
      <c r="F453" s="9">
        <v>31400107</v>
      </c>
      <c r="G453" s="10" t="s">
        <v>1729</v>
      </c>
      <c r="H453" s="10" t="s">
        <v>563</v>
      </c>
      <c r="I453" s="10"/>
      <c r="J453" s="9">
        <v>446</v>
      </c>
      <c r="K453" s="10" t="s">
        <v>1730</v>
      </c>
      <c r="L453" s="10" t="s">
        <v>372</v>
      </c>
      <c r="M453" s="10" t="s">
        <v>1238</v>
      </c>
      <c r="N453" s="7"/>
    </row>
    <row r="454" s="1" customFormat="1" ht="28.5" customHeight="1" spans="1:14">
      <c r="A454" s="8">
        <v>4005</v>
      </c>
      <c r="B454" s="9">
        <v>400510</v>
      </c>
      <c r="C454" s="9" t="s">
        <v>36</v>
      </c>
      <c r="D454" s="9">
        <v>0</v>
      </c>
      <c r="E454" s="9">
        <v>31400510</v>
      </c>
      <c r="F454" s="9">
        <v>31400107</v>
      </c>
      <c r="G454" s="10" t="s">
        <v>1731</v>
      </c>
      <c r="H454" s="10" t="s">
        <v>563</v>
      </c>
      <c r="I454" s="10"/>
      <c r="J454" s="9">
        <v>447</v>
      </c>
      <c r="K454" s="10" t="s">
        <v>1732</v>
      </c>
      <c r="L454" s="10" t="s">
        <v>372</v>
      </c>
      <c r="M454" s="10" t="s">
        <v>1238</v>
      </c>
      <c r="N454" s="7"/>
    </row>
    <row r="455" s="1" customFormat="1" ht="28.5" customHeight="1" spans="1:14">
      <c r="A455" s="8">
        <v>4005</v>
      </c>
      <c r="B455" s="9">
        <v>400511</v>
      </c>
      <c r="C455" s="9" t="s">
        <v>36</v>
      </c>
      <c r="D455" s="9">
        <v>0</v>
      </c>
      <c r="E455" s="9">
        <v>31400511</v>
      </c>
      <c r="F455" s="9">
        <v>31400107</v>
      </c>
      <c r="G455" s="10" t="s">
        <v>1733</v>
      </c>
      <c r="H455" s="10" t="s">
        <v>563</v>
      </c>
      <c r="I455" s="10"/>
      <c r="J455" s="9">
        <v>448</v>
      </c>
      <c r="K455" s="10" t="s">
        <v>1734</v>
      </c>
      <c r="L455" s="10" t="s">
        <v>372</v>
      </c>
      <c r="M455" s="10" t="s">
        <v>1238</v>
      </c>
      <c r="N455" s="7"/>
    </row>
    <row r="456" s="1" customFormat="1" ht="28.5" customHeight="1" spans="1:14">
      <c r="A456" s="8">
        <v>4005</v>
      </c>
      <c r="B456" s="9">
        <v>400512</v>
      </c>
      <c r="C456" s="9" t="s">
        <v>36</v>
      </c>
      <c r="D456" s="9">
        <v>3000</v>
      </c>
      <c r="E456" s="9">
        <v>31400512</v>
      </c>
      <c r="F456" s="9">
        <v>31400112</v>
      </c>
      <c r="G456" s="10" t="s">
        <v>1432</v>
      </c>
      <c r="H456" s="10" t="s">
        <v>563</v>
      </c>
      <c r="I456" s="10"/>
      <c r="J456" s="9">
        <v>449</v>
      </c>
      <c r="K456" s="10" t="s">
        <v>1433</v>
      </c>
      <c r="L456" s="10" t="s">
        <v>275</v>
      </c>
      <c r="M456" s="10" t="s">
        <v>1238</v>
      </c>
      <c r="N456" s="7"/>
    </row>
    <row r="457" s="1" customFormat="1" ht="28.5" customHeight="1" spans="1:14">
      <c r="A457" s="8">
        <v>4005</v>
      </c>
      <c r="B457" s="9">
        <v>400513</v>
      </c>
      <c r="C457" s="9" t="s">
        <v>36</v>
      </c>
      <c r="D457" s="9">
        <v>2500</v>
      </c>
      <c r="E457" s="9">
        <v>31400513</v>
      </c>
      <c r="F457" s="9">
        <v>31400112</v>
      </c>
      <c r="G457" s="10" t="s">
        <v>1434</v>
      </c>
      <c r="H457" s="10" t="s">
        <v>563</v>
      </c>
      <c r="I457" s="10"/>
      <c r="J457" s="9">
        <v>450</v>
      </c>
      <c r="K457" s="10" t="s">
        <v>1435</v>
      </c>
      <c r="L457" s="10" t="s">
        <v>275</v>
      </c>
      <c r="M457" s="10" t="s">
        <v>1238</v>
      </c>
      <c r="N457" s="7"/>
    </row>
    <row r="458" s="1" customFormat="1" ht="28.5" customHeight="1" spans="1:14">
      <c r="A458" s="8">
        <v>4005</v>
      </c>
      <c r="B458" s="9">
        <v>400514</v>
      </c>
      <c r="C458" s="9" t="s">
        <v>36</v>
      </c>
      <c r="D458" s="9">
        <v>2000</v>
      </c>
      <c r="E458" s="9">
        <v>31400514</v>
      </c>
      <c r="F458" s="9">
        <v>31400112</v>
      </c>
      <c r="G458" s="10" t="s">
        <v>1436</v>
      </c>
      <c r="H458" s="10" t="s">
        <v>563</v>
      </c>
      <c r="I458" s="10"/>
      <c r="J458" s="9">
        <v>451</v>
      </c>
      <c r="K458" s="10" t="s">
        <v>1437</v>
      </c>
      <c r="L458" s="10" t="s">
        <v>275</v>
      </c>
      <c r="M458" s="10" t="s">
        <v>1238</v>
      </c>
      <c r="N458" s="7"/>
    </row>
    <row r="459" s="1" customFormat="1" ht="28.5" customHeight="1" spans="1:14">
      <c r="A459" s="8">
        <v>4005</v>
      </c>
      <c r="B459" s="9">
        <v>400515</v>
      </c>
      <c r="C459" s="9" t="s">
        <v>36</v>
      </c>
      <c r="D459" s="9">
        <v>1500</v>
      </c>
      <c r="E459" s="9">
        <v>31400515</v>
      </c>
      <c r="F459" s="9">
        <v>31400112</v>
      </c>
      <c r="G459" s="10" t="s">
        <v>1438</v>
      </c>
      <c r="H459" s="10" t="s">
        <v>563</v>
      </c>
      <c r="I459" s="10"/>
      <c r="J459" s="9">
        <v>452</v>
      </c>
      <c r="K459" s="10" t="s">
        <v>1439</v>
      </c>
      <c r="L459" s="10" t="s">
        <v>275</v>
      </c>
      <c r="M459" s="10" t="s">
        <v>1238</v>
      </c>
      <c r="N459" s="7"/>
    </row>
    <row r="460" s="1" customFormat="1" ht="28.5" customHeight="1" spans="1:14">
      <c r="A460" s="8">
        <v>4005</v>
      </c>
      <c r="B460" s="9">
        <v>400516</v>
      </c>
      <c r="C460" s="9" t="s">
        <v>36</v>
      </c>
      <c r="D460" s="9">
        <v>1000</v>
      </c>
      <c r="E460" s="9">
        <v>31400516</v>
      </c>
      <c r="F460" s="9">
        <v>31400112</v>
      </c>
      <c r="G460" s="10" t="s">
        <v>1440</v>
      </c>
      <c r="H460" s="10" t="s">
        <v>563</v>
      </c>
      <c r="I460" s="10"/>
      <c r="J460" s="9">
        <v>453</v>
      </c>
      <c r="K460" s="10" t="s">
        <v>1441</v>
      </c>
      <c r="L460" s="10" t="s">
        <v>275</v>
      </c>
      <c r="M460" s="10" t="s">
        <v>1238</v>
      </c>
      <c r="N460" s="7"/>
    </row>
    <row r="461" s="1" customFormat="1" ht="28.5" customHeight="1" spans="1:14">
      <c r="A461" s="8">
        <v>4005</v>
      </c>
      <c r="B461" s="9">
        <v>400517</v>
      </c>
      <c r="C461" s="9" t="s">
        <v>36</v>
      </c>
      <c r="D461" s="9">
        <v>2000</v>
      </c>
      <c r="E461" s="9">
        <v>31400517</v>
      </c>
      <c r="F461" s="9">
        <v>31400117</v>
      </c>
      <c r="G461" s="10" t="s">
        <v>1723</v>
      </c>
      <c r="H461" s="10" t="s">
        <v>563</v>
      </c>
      <c r="I461" s="10" t="s">
        <v>1410</v>
      </c>
      <c r="J461" s="9">
        <v>454</v>
      </c>
      <c r="K461" s="10" t="s">
        <v>1724</v>
      </c>
      <c r="L461" s="10" t="s">
        <v>373</v>
      </c>
      <c r="M461" s="10" t="s">
        <v>1238</v>
      </c>
      <c r="N461" s="7"/>
    </row>
    <row r="462" s="1" customFormat="1" ht="28.5" customHeight="1" spans="1:14">
      <c r="A462" s="8">
        <v>4005</v>
      </c>
      <c r="B462" s="9">
        <v>400518</v>
      </c>
      <c r="C462" s="9" t="s">
        <v>36</v>
      </c>
      <c r="D462" s="9">
        <v>1000</v>
      </c>
      <c r="E462" s="9">
        <v>31400518</v>
      </c>
      <c r="F462" s="9">
        <v>31400117</v>
      </c>
      <c r="G462" s="10" t="s">
        <v>1735</v>
      </c>
      <c r="H462" s="10" t="s">
        <v>563</v>
      </c>
      <c r="I462" s="10" t="s">
        <v>1443</v>
      </c>
      <c r="J462" s="9">
        <v>455</v>
      </c>
      <c r="K462" s="10" t="s">
        <v>1736</v>
      </c>
      <c r="L462" s="10" t="s">
        <v>373</v>
      </c>
      <c r="M462" s="10" t="s">
        <v>1238</v>
      </c>
      <c r="N462" s="7"/>
    </row>
    <row r="463" s="1" customFormat="1" ht="28.5" customHeight="1" spans="1:14">
      <c r="A463" s="8">
        <v>4005</v>
      </c>
      <c r="B463" s="9">
        <v>400519</v>
      </c>
      <c r="C463" s="9" t="s">
        <v>36</v>
      </c>
      <c r="D463" s="9">
        <v>800</v>
      </c>
      <c r="E463" s="9">
        <v>31400519</v>
      </c>
      <c r="F463" s="9">
        <v>31400117</v>
      </c>
      <c r="G463" s="10" t="s">
        <v>1737</v>
      </c>
      <c r="H463" s="10" t="s">
        <v>563</v>
      </c>
      <c r="I463" s="10" t="s">
        <v>1446</v>
      </c>
      <c r="J463" s="9">
        <v>456</v>
      </c>
      <c r="K463" s="10" t="s">
        <v>1738</v>
      </c>
      <c r="L463" s="10" t="s">
        <v>373</v>
      </c>
      <c r="M463" s="10" t="s">
        <v>1238</v>
      </c>
      <c r="N463" s="7"/>
    </row>
    <row r="464" s="1" customFormat="1" ht="28.5" customHeight="1" spans="1:14">
      <c r="A464" s="8">
        <v>4005</v>
      </c>
      <c r="B464" s="9">
        <v>400520</v>
      </c>
      <c r="C464" s="9" t="s">
        <v>36</v>
      </c>
      <c r="D464" s="9">
        <v>600</v>
      </c>
      <c r="E464" s="9">
        <v>31400520</v>
      </c>
      <c r="F464" s="9">
        <v>31400117</v>
      </c>
      <c r="G464" s="10" t="s">
        <v>1739</v>
      </c>
      <c r="H464" s="10" t="s">
        <v>563</v>
      </c>
      <c r="I464" s="10" t="s">
        <v>1449</v>
      </c>
      <c r="J464" s="9">
        <v>457</v>
      </c>
      <c r="K464" s="10" t="s">
        <v>1740</v>
      </c>
      <c r="L464" s="10" t="s">
        <v>373</v>
      </c>
      <c r="M464" s="10" t="s">
        <v>1238</v>
      </c>
      <c r="N464" s="7"/>
    </row>
    <row r="465" s="1" customFormat="1" ht="28.5" customHeight="1" spans="1:14">
      <c r="A465" s="8">
        <v>4005</v>
      </c>
      <c r="B465" s="9">
        <v>400521</v>
      </c>
      <c r="C465" s="9" t="s">
        <v>36</v>
      </c>
      <c r="D465" s="9">
        <v>400</v>
      </c>
      <c r="E465" s="9">
        <v>31400521</v>
      </c>
      <c r="F465" s="9">
        <v>31400117</v>
      </c>
      <c r="G465" s="10" t="s">
        <v>1741</v>
      </c>
      <c r="H465" s="10" t="s">
        <v>563</v>
      </c>
      <c r="I465" s="10" t="s">
        <v>1452</v>
      </c>
      <c r="J465" s="9">
        <v>458</v>
      </c>
      <c r="K465" s="10" t="s">
        <v>1742</v>
      </c>
      <c r="L465" s="10" t="s">
        <v>373</v>
      </c>
      <c r="M465" s="10" t="s">
        <v>1238</v>
      </c>
      <c r="N465" s="7"/>
    </row>
    <row r="466" s="1" customFormat="1" ht="28.5" customHeight="1" spans="1:14">
      <c r="A466" s="8">
        <v>4005</v>
      </c>
      <c r="B466" s="9">
        <v>400522</v>
      </c>
      <c r="C466" s="9" t="s">
        <v>36</v>
      </c>
      <c r="D466" s="9">
        <v>200</v>
      </c>
      <c r="E466" s="9">
        <v>31400522</v>
      </c>
      <c r="F466" s="9">
        <v>31400117</v>
      </c>
      <c r="G466" s="10" t="s">
        <v>1743</v>
      </c>
      <c r="H466" s="10" t="s">
        <v>563</v>
      </c>
      <c r="I466" s="10" t="s">
        <v>1455</v>
      </c>
      <c r="J466" s="9">
        <v>459</v>
      </c>
      <c r="K466" s="10" t="s">
        <v>1744</v>
      </c>
      <c r="L466" s="10" t="s">
        <v>373</v>
      </c>
      <c r="M466" s="10" t="s">
        <v>1238</v>
      </c>
      <c r="N466" s="7"/>
    </row>
    <row r="467" s="1" customFormat="1" ht="28.5" customHeight="1" spans="1:14">
      <c r="A467" s="8"/>
      <c r="B467" s="9"/>
      <c r="C467" s="9"/>
      <c r="D467" s="9"/>
      <c r="E467" s="9"/>
      <c r="F467" s="9"/>
      <c r="G467" s="10"/>
      <c r="H467" s="10"/>
      <c r="I467" s="10" t="s">
        <v>1289</v>
      </c>
      <c r="J467" s="9">
        <v>460</v>
      </c>
      <c r="K467" s="10" t="s">
        <v>1289</v>
      </c>
      <c r="L467" s="10"/>
      <c r="M467" s="10" t="s">
        <v>1290</v>
      </c>
      <c r="N467" s="7"/>
    </row>
    <row r="468" s="1" customFormat="1" ht="28.5" customHeight="1" spans="1:14">
      <c r="A468" s="8">
        <v>5001</v>
      </c>
      <c r="B468" s="9">
        <v>500101</v>
      </c>
      <c r="C468" s="9" t="s">
        <v>32</v>
      </c>
      <c r="D468" s="9">
        <v>2000</v>
      </c>
      <c r="E468" s="9">
        <v>31500101</v>
      </c>
      <c r="F468" s="9">
        <v>31500101</v>
      </c>
      <c r="G468" s="10" t="s">
        <v>1235</v>
      </c>
      <c r="H468" s="10" t="s">
        <v>563</v>
      </c>
      <c r="I468" s="10" t="s">
        <v>1236</v>
      </c>
      <c r="J468" s="9">
        <v>461</v>
      </c>
      <c r="K468" s="10" t="s">
        <v>1237</v>
      </c>
      <c r="L468" s="10" t="s">
        <v>221</v>
      </c>
      <c r="M468" s="10" t="s">
        <v>1238</v>
      </c>
      <c r="N468" s="7"/>
    </row>
    <row r="469" s="1" customFormat="1" ht="28.5" customHeight="1" spans="1:14">
      <c r="A469" s="8">
        <v>5001</v>
      </c>
      <c r="B469" s="9">
        <v>500102</v>
      </c>
      <c r="C469" s="9" t="s">
        <v>32</v>
      </c>
      <c r="D469" s="9">
        <v>1000</v>
      </c>
      <c r="E469" s="9">
        <v>31500102</v>
      </c>
      <c r="F469" s="9">
        <v>31500101</v>
      </c>
      <c r="G469" s="10" t="s">
        <v>1239</v>
      </c>
      <c r="H469" s="10" t="s">
        <v>563</v>
      </c>
      <c r="I469" s="10" t="s">
        <v>1240</v>
      </c>
      <c r="J469" s="9">
        <v>462</v>
      </c>
      <c r="K469" s="10" t="s">
        <v>1241</v>
      </c>
      <c r="L469" s="10" t="s">
        <v>221</v>
      </c>
      <c r="M469" s="10" t="s">
        <v>1238</v>
      </c>
      <c r="N469" s="7"/>
    </row>
    <row r="470" s="1" customFormat="1" ht="28.5" customHeight="1" spans="1:14">
      <c r="A470" s="8">
        <v>5001</v>
      </c>
      <c r="B470" s="9">
        <v>500103</v>
      </c>
      <c r="C470" s="9" t="s">
        <v>32</v>
      </c>
      <c r="D470" s="9">
        <v>800</v>
      </c>
      <c r="E470" s="9">
        <v>31500103</v>
      </c>
      <c r="F470" s="9">
        <v>31500101</v>
      </c>
      <c r="G470" s="10" t="s">
        <v>1242</v>
      </c>
      <c r="H470" s="10" t="s">
        <v>563</v>
      </c>
      <c r="I470" s="10" t="s">
        <v>1243</v>
      </c>
      <c r="J470" s="9">
        <v>463</v>
      </c>
      <c r="K470" s="10" t="s">
        <v>1244</v>
      </c>
      <c r="L470" s="10" t="s">
        <v>221</v>
      </c>
      <c r="M470" s="10" t="s">
        <v>1238</v>
      </c>
      <c r="N470" s="7"/>
    </row>
    <row r="471" s="1" customFormat="1" ht="28.5" customHeight="1" spans="1:14">
      <c r="A471" s="8">
        <v>5001</v>
      </c>
      <c r="B471" s="9">
        <v>500104</v>
      </c>
      <c r="C471" s="9" t="s">
        <v>32</v>
      </c>
      <c r="D471" s="9">
        <v>600</v>
      </c>
      <c r="E471" s="9">
        <v>31500104</v>
      </c>
      <c r="F471" s="9">
        <v>31500101</v>
      </c>
      <c r="G471" s="10" t="s">
        <v>1245</v>
      </c>
      <c r="H471" s="10" t="s">
        <v>563</v>
      </c>
      <c r="I471" s="10" t="s">
        <v>1246</v>
      </c>
      <c r="J471" s="9">
        <v>464</v>
      </c>
      <c r="K471" s="10" t="s">
        <v>1247</v>
      </c>
      <c r="L471" s="10" t="s">
        <v>221</v>
      </c>
      <c r="M471" s="10" t="s">
        <v>1238</v>
      </c>
      <c r="N471" s="7"/>
    </row>
    <row r="472" s="1" customFormat="1" ht="28.5" customHeight="1" spans="1:14">
      <c r="A472" s="8">
        <v>5001</v>
      </c>
      <c r="B472" s="9">
        <v>500105</v>
      </c>
      <c r="C472" s="9" t="s">
        <v>32</v>
      </c>
      <c r="D472" s="9">
        <v>400</v>
      </c>
      <c r="E472" s="9">
        <v>31500105</v>
      </c>
      <c r="F472" s="9">
        <v>31500101</v>
      </c>
      <c r="G472" s="10" t="s">
        <v>1248</v>
      </c>
      <c r="H472" s="10" t="s">
        <v>563</v>
      </c>
      <c r="I472" s="10" t="s">
        <v>1249</v>
      </c>
      <c r="J472" s="9">
        <v>465</v>
      </c>
      <c r="K472" s="10" t="s">
        <v>1250</v>
      </c>
      <c r="L472" s="10" t="s">
        <v>221</v>
      </c>
      <c r="M472" s="10" t="s">
        <v>1238</v>
      </c>
      <c r="N472" s="7"/>
    </row>
    <row r="473" s="1" customFormat="1" ht="28.5" customHeight="1" spans="1:14">
      <c r="A473" s="8">
        <v>5001</v>
      </c>
      <c r="B473" s="9">
        <v>500106</v>
      </c>
      <c r="C473" s="9" t="s">
        <v>32</v>
      </c>
      <c r="D473" s="9">
        <v>200</v>
      </c>
      <c r="E473" s="9">
        <v>31500106</v>
      </c>
      <c r="F473" s="9">
        <v>31500101</v>
      </c>
      <c r="G473" s="10" t="s">
        <v>1248</v>
      </c>
      <c r="H473" s="10" t="s">
        <v>563</v>
      </c>
      <c r="I473" s="10" t="s">
        <v>1249</v>
      </c>
      <c r="J473" s="9">
        <v>466</v>
      </c>
      <c r="K473" s="10" t="s">
        <v>1250</v>
      </c>
      <c r="L473" s="10" t="s">
        <v>221</v>
      </c>
      <c r="M473" s="10" t="s">
        <v>1238</v>
      </c>
      <c r="N473" s="7"/>
    </row>
    <row r="474" s="1" customFormat="1" ht="28.5" customHeight="1" spans="1:14">
      <c r="A474" s="8">
        <v>5001</v>
      </c>
      <c r="B474" s="9">
        <v>500107</v>
      </c>
      <c r="C474" s="9" t="s">
        <v>32</v>
      </c>
      <c r="D474" s="9">
        <v>2000</v>
      </c>
      <c r="E474" s="9">
        <v>31500107</v>
      </c>
      <c r="F474" s="9">
        <v>31500107</v>
      </c>
      <c r="G474" s="10" t="s">
        <v>1745</v>
      </c>
      <c r="H474" s="10" t="s">
        <v>563</v>
      </c>
      <c r="I474" s="10"/>
      <c r="J474" s="9">
        <v>467</v>
      </c>
      <c r="K474" s="10" t="s">
        <v>1746</v>
      </c>
      <c r="L474" s="10" t="s">
        <v>379</v>
      </c>
      <c r="M474" s="10" t="s">
        <v>1238</v>
      </c>
      <c r="N474" s="7"/>
    </row>
    <row r="475" s="1" customFormat="1" ht="28.5" customHeight="1" spans="1:14">
      <c r="A475" s="8">
        <v>5001</v>
      </c>
      <c r="B475" s="9">
        <v>500108</v>
      </c>
      <c r="C475" s="9" t="s">
        <v>32</v>
      </c>
      <c r="D475" s="9">
        <v>1000</v>
      </c>
      <c r="E475" s="9">
        <v>31500108</v>
      </c>
      <c r="F475" s="9">
        <v>31500107</v>
      </c>
      <c r="G475" s="10" t="s">
        <v>1747</v>
      </c>
      <c r="H475" s="10" t="s">
        <v>563</v>
      </c>
      <c r="I475" s="10"/>
      <c r="J475" s="9">
        <v>468</v>
      </c>
      <c r="K475" s="10" t="s">
        <v>1748</v>
      </c>
      <c r="L475" s="10" t="s">
        <v>379</v>
      </c>
      <c r="M475" s="10" t="s">
        <v>1238</v>
      </c>
      <c r="N475" s="7"/>
    </row>
    <row r="476" s="1" customFormat="1" ht="28.5" customHeight="1" spans="1:14">
      <c r="A476" s="8">
        <v>5001</v>
      </c>
      <c r="B476" s="9">
        <v>500109</v>
      </c>
      <c r="C476" s="9" t="s">
        <v>32</v>
      </c>
      <c r="D476" s="9">
        <v>800</v>
      </c>
      <c r="E476" s="9">
        <v>31500109</v>
      </c>
      <c r="F476" s="9">
        <v>31500107</v>
      </c>
      <c r="G476" s="10" t="s">
        <v>1749</v>
      </c>
      <c r="H476" s="10" t="s">
        <v>563</v>
      </c>
      <c r="I476" s="10"/>
      <c r="J476" s="9">
        <v>469</v>
      </c>
      <c r="K476" s="10" t="s">
        <v>1750</v>
      </c>
      <c r="L476" s="10" t="s">
        <v>379</v>
      </c>
      <c r="M476" s="10" t="s">
        <v>1238</v>
      </c>
      <c r="N476" s="7"/>
    </row>
    <row r="477" s="1" customFormat="1" ht="28.5" customHeight="1" spans="1:14">
      <c r="A477" s="8">
        <v>5001</v>
      </c>
      <c r="B477" s="9">
        <v>500110</v>
      </c>
      <c r="C477" s="9" t="s">
        <v>32</v>
      </c>
      <c r="D477" s="9">
        <v>600</v>
      </c>
      <c r="E477" s="9">
        <v>31500110</v>
      </c>
      <c r="F477" s="9">
        <v>31500107</v>
      </c>
      <c r="G477" s="10" t="s">
        <v>1751</v>
      </c>
      <c r="H477" s="10" t="s">
        <v>563</v>
      </c>
      <c r="I477" s="10"/>
      <c r="J477" s="9">
        <v>470</v>
      </c>
      <c r="K477" s="10" t="s">
        <v>1752</v>
      </c>
      <c r="L477" s="10" t="s">
        <v>379</v>
      </c>
      <c r="M477" s="10" t="s">
        <v>1238</v>
      </c>
      <c r="N477" s="7"/>
    </row>
    <row r="478" s="1" customFormat="1" ht="28.5" customHeight="1" spans="1:14">
      <c r="A478" s="8">
        <v>5001</v>
      </c>
      <c r="B478" s="9">
        <v>500111</v>
      </c>
      <c r="C478" s="9" t="s">
        <v>32</v>
      </c>
      <c r="D478" s="9">
        <v>400</v>
      </c>
      <c r="E478" s="9">
        <v>31500111</v>
      </c>
      <c r="F478" s="9">
        <v>31500107</v>
      </c>
      <c r="G478" s="10" t="s">
        <v>1753</v>
      </c>
      <c r="H478" s="10" t="s">
        <v>563</v>
      </c>
      <c r="I478" s="10"/>
      <c r="J478" s="9">
        <v>471</v>
      </c>
      <c r="K478" s="10" t="s">
        <v>1754</v>
      </c>
      <c r="L478" s="10" t="s">
        <v>379</v>
      </c>
      <c r="M478" s="10" t="s">
        <v>1238</v>
      </c>
      <c r="N478" s="7"/>
    </row>
    <row r="479" s="1" customFormat="1" ht="28.5" customHeight="1" spans="1:14">
      <c r="A479" s="8">
        <v>5001</v>
      </c>
      <c r="B479" s="9">
        <v>500112</v>
      </c>
      <c r="C479" s="9" t="s">
        <v>32</v>
      </c>
      <c r="D479" s="9">
        <v>3000</v>
      </c>
      <c r="E479" s="9">
        <v>31500112</v>
      </c>
      <c r="F479" s="9">
        <v>31500112</v>
      </c>
      <c r="G479" s="10" t="s">
        <v>1261</v>
      </c>
      <c r="H479" s="10" t="s">
        <v>563</v>
      </c>
      <c r="I479" s="10"/>
      <c r="J479" s="9">
        <v>472</v>
      </c>
      <c r="K479" s="10" t="s">
        <v>1262</v>
      </c>
      <c r="L479" s="10" t="s">
        <v>218</v>
      </c>
      <c r="M479" s="10" t="s">
        <v>1238</v>
      </c>
      <c r="N479" s="7"/>
    </row>
    <row r="480" s="1" customFormat="1" ht="28.5" customHeight="1" spans="1:14">
      <c r="A480" s="8">
        <v>5001</v>
      </c>
      <c r="B480" s="9">
        <v>500113</v>
      </c>
      <c r="C480" s="9" t="s">
        <v>32</v>
      </c>
      <c r="D480" s="9">
        <v>2500</v>
      </c>
      <c r="E480" s="9">
        <v>31500113</v>
      </c>
      <c r="F480" s="9">
        <v>31500112</v>
      </c>
      <c r="G480" s="10" t="s">
        <v>1263</v>
      </c>
      <c r="H480" s="10" t="s">
        <v>563</v>
      </c>
      <c r="I480" s="10"/>
      <c r="J480" s="9">
        <v>473</v>
      </c>
      <c r="K480" s="10" t="s">
        <v>1264</v>
      </c>
      <c r="L480" s="10" t="s">
        <v>218</v>
      </c>
      <c r="M480" s="10" t="s">
        <v>1238</v>
      </c>
      <c r="N480" s="7"/>
    </row>
    <row r="481" s="1" customFormat="1" ht="28.5" customHeight="1" spans="1:14">
      <c r="A481" s="8">
        <v>5001</v>
      </c>
      <c r="B481" s="9">
        <v>500114</v>
      </c>
      <c r="C481" s="9" t="s">
        <v>32</v>
      </c>
      <c r="D481" s="9">
        <v>2000</v>
      </c>
      <c r="E481" s="9">
        <v>31500114</v>
      </c>
      <c r="F481" s="9">
        <v>31500112</v>
      </c>
      <c r="G481" s="10" t="s">
        <v>1265</v>
      </c>
      <c r="H481" s="10" t="s">
        <v>563</v>
      </c>
      <c r="I481" s="10"/>
      <c r="J481" s="9">
        <v>474</v>
      </c>
      <c r="K481" s="10" t="s">
        <v>1266</v>
      </c>
      <c r="L481" s="10" t="s">
        <v>218</v>
      </c>
      <c r="M481" s="10" t="s">
        <v>1238</v>
      </c>
      <c r="N481" s="7"/>
    </row>
    <row r="482" s="1" customFormat="1" ht="28.5" customHeight="1" spans="1:14">
      <c r="A482" s="8">
        <v>5001</v>
      </c>
      <c r="B482" s="9">
        <v>500115</v>
      </c>
      <c r="C482" s="9" t="s">
        <v>32</v>
      </c>
      <c r="D482" s="9">
        <v>1500</v>
      </c>
      <c r="E482" s="9">
        <v>31500115</v>
      </c>
      <c r="F482" s="9">
        <v>31500112</v>
      </c>
      <c r="G482" s="10" t="s">
        <v>1267</v>
      </c>
      <c r="H482" s="10" t="s">
        <v>563</v>
      </c>
      <c r="I482" s="10"/>
      <c r="J482" s="9">
        <v>475</v>
      </c>
      <c r="K482" s="10" t="s">
        <v>1268</v>
      </c>
      <c r="L482" s="10" t="s">
        <v>218</v>
      </c>
      <c r="M482" s="10" t="s">
        <v>1238</v>
      </c>
      <c r="N482" s="7"/>
    </row>
    <row r="483" s="1" customFormat="1" ht="28.5" customHeight="1" spans="1:14">
      <c r="A483" s="8">
        <v>5001</v>
      </c>
      <c r="B483" s="9">
        <v>500116</v>
      </c>
      <c r="C483" s="9" t="s">
        <v>32</v>
      </c>
      <c r="D483" s="9">
        <v>1000</v>
      </c>
      <c r="E483" s="9">
        <v>31500116</v>
      </c>
      <c r="F483" s="9">
        <v>31500112</v>
      </c>
      <c r="G483" s="10" t="s">
        <v>1269</v>
      </c>
      <c r="H483" s="10" t="s">
        <v>563</v>
      </c>
      <c r="I483" s="10"/>
      <c r="J483" s="9">
        <v>476</v>
      </c>
      <c r="K483" s="10" t="s">
        <v>1270</v>
      </c>
      <c r="L483" s="10" t="s">
        <v>218</v>
      </c>
      <c r="M483" s="10" t="s">
        <v>1238</v>
      </c>
      <c r="N483" s="7"/>
    </row>
    <row r="484" s="1" customFormat="1" ht="28.5" customHeight="1" spans="1:14">
      <c r="A484" s="8">
        <v>5001</v>
      </c>
      <c r="B484" s="9">
        <v>500117</v>
      </c>
      <c r="C484" s="9" t="s">
        <v>32</v>
      </c>
      <c r="D484" s="9">
        <v>2000</v>
      </c>
      <c r="E484" s="9">
        <v>31500117</v>
      </c>
      <c r="F484" s="9">
        <v>31500117</v>
      </c>
      <c r="G484" s="10" t="s">
        <v>1755</v>
      </c>
      <c r="H484" s="10" t="s">
        <v>563</v>
      </c>
      <c r="I484" s="10" t="s">
        <v>1272</v>
      </c>
      <c r="J484" s="9">
        <v>477</v>
      </c>
      <c r="K484" s="10" t="s">
        <v>1756</v>
      </c>
      <c r="L484" s="10" t="s">
        <v>382</v>
      </c>
      <c r="M484" s="10" t="s">
        <v>1238</v>
      </c>
      <c r="N484" s="7"/>
    </row>
    <row r="485" s="1" customFormat="1" ht="28.5" customHeight="1" spans="1:14">
      <c r="A485" s="8">
        <v>5001</v>
      </c>
      <c r="B485" s="9">
        <v>500118</v>
      </c>
      <c r="C485" s="9" t="s">
        <v>32</v>
      </c>
      <c r="D485" s="9">
        <v>1000</v>
      </c>
      <c r="E485" s="9">
        <v>31500118</v>
      </c>
      <c r="F485" s="9">
        <v>31500117</v>
      </c>
      <c r="G485" s="10" t="s">
        <v>1757</v>
      </c>
      <c r="H485" s="10" t="s">
        <v>563</v>
      </c>
      <c r="I485" s="10" t="s">
        <v>1275</v>
      </c>
      <c r="J485" s="9">
        <v>478</v>
      </c>
      <c r="K485" s="10" t="s">
        <v>1758</v>
      </c>
      <c r="L485" s="10" t="s">
        <v>382</v>
      </c>
      <c r="M485" s="10" t="s">
        <v>1238</v>
      </c>
      <c r="N485" s="7"/>
    </row>
    <row r="486" s="1" customFormat="1" ht="28.5" customHeight="1" spans="1:14">
      <c r="A486" s="8">
        <v>5001</v>
      </c>
      <c r="B486" s="9">
        <v>500119</v>
      </c>
      <c r="C486" s="9" t="s">
        <v>32</v>
      </c>
      <c r="D486" s="9">
        <v>800</v>
      </c>
      <c r="E486" s="9">
        <v>31500119</v>
      </c>
      <c r="F486" s="9">
        <v>31500117</v>
      </c>
      <c r="G486" s="10" t="s">
        <v>1759</v>
      </c>
      <c r="H486" s="10" t="s">
        <v>563</v>
      </c>
      <c r="I486" s="10" t="s">
        <v>1278</v>
      </c>
      <c r="J486" s="9">
        <v>479</v>
      </c>
      <c r="K486" s="10" t="s">
        <v>1760</v>
      </c>
      <c r="L486" s="10" t="s">
        <v>382</v>
      </c>
      <c r="M486" s="10" t="s">
        <v>1238</v>
      </c>
      <c r="N486" s="7"/>
    </row>
    <row r="487" s="1" customFormat="1" ht="28.5" customHeight="1" spans="1:14">
      <c r="A487" s="8">
        <v>5001</v>
      </c>
      <c r="B487" s="9">
        <v>500120</v>
      </c>
      <c r="C487" s="9" t="s">
        <v>32</v>
      </c>
      <c r="D487" s="9">
        <v>600</v>
      </c>
      <c r="E487" s="9">
        <v>31500120</v>
      </c>
      <c r="F487" s="9">
        <v>31500117</v>
      </c>
      <c r="G487" s="10" t="s">
        <v>1761</v>
      </c>
      <c r="H487" s="10" t="s">
        <v>563</v>
      </c>
      <c r="I487" s="10" t="s">
        <v>1281</v>
      </c>
      <c r="J487" s="9">
        <v>480</v>
      </c>
      <c r="K487" s="10" t="s">
        <v>1762</v>
      </c>
      <c r="L487" s="10" t="s">
        <v>382</v>
      </c>
      <c r="M487" s="10" t="s">
        <v>1238</v>
      </c>
      <c r="N487" s="7"/>
    </row>
    <row r="488" s="1" customFormat="1" ht="28.5" customHeight="1" spans="1:14">
      <c r="A488" s="8">
        <v>5001</v>
      </c>
      <c r="B488" s="9">
        <v>500121</v>
      </c>
      <c r="C488" s="9" t="s">
        <v>32</v>
      </c>
      <c r="D488" s="9">
        <v>400</v>
      </c>
      <c r="E488" s="9">
        <v>31500121</v>
      </c>
      <c r="F488" s="9">
        <v>31500117</v>
      </c>
      <c r="G488" s="10" t="s">
        <v>1763</v>
      </c>
      <c r="H488" s="10" t="s">
        <v>563</v>
      </c>
      <c r="I488" s="10" t="s">
        <v>1284</v>
      </c>
      <c r="J488" s="9">
        <v>481</v>
      </c>
      <c r="K488" s="10" t="s">
        <v>1764</v>
      </c>
      <c r="L488" s="10" t="s">
        <v>382</v>
      </c>
      <c r="M488" s="10" t="s">
        <v>1238</v>
      </c>
      <c r="N488" s="7"/>
    </row>
    <row r="489" s="1" customFormat="1" ht="28.5" customHeight="1" spans="1:14">
      <c r="A489" s="8">
        <v>5001</v>
      </c>
      <c r="B489" s="9">
        <v>500122</v>
      </c>
      <c r="C489" s="9" t="s">
        <v>32</v>
      </c>
      <c r="D489" s="9">
        <v>200</v>
      </c>
      <c r="E489" s="9">
        <v>31500122</v>
      </c>
      <c r="F489" s="9">
        <v>31500117</v>
      </c>
      <c r="G489" s="10" t="s">
        <v>1765</v>
      </c>
      <c r="H489" s="10" t="s">
        <v>563</v>
      </c>
      <c r="I489" s="10" t="s">
        <v>1287</v>
      </c>
      <c r="J489" s="9">
        <v>482</v>
      </c>
      <c r="K489" s="10" t="s">
        <v>1766</v>
      </c>
      <c r="L489" s="10" t="s">
        <v>382</v>
      </c>
      <c r="M489" s="10" t="s">
        <v>1238</v>
      </c>
      <c r="N489" s="7"/>
    </row>
    <row r="490" s="1" customFormat="1" ht="28.5" customHeight="1" spans="1:14">
      <c r="A490" s="8"/>
      <c r="B490" s="9"/>
      <c r="C490" s="9"/>
      <c r="D490" s="9"/>
      <c r="E490" s="9"/>
      <c r="F490" s="9"/>
      <c r="G490" s="10"/>
      <c r="H490" s="10"/>
      <c r="I490" s="10" t="s">
        <v>1289</v>
      </c>
      <c r="J490" s="9">
        <v>483</v>
      </c>
      <c r="K490" s="10" t="s">
        <v>1289</v>
      </c>
      <c r="L490" s="10"/>
      <c r="M490" s="10" t="s">
        <v>1290</v>
      </c>
      <c r="N490" s="7"/>
    </row>
    <row r="491" s="1" customFormat="1" ht="28.5" customHeight="1" spans="1:14">
      <c r="A491" s="8">
        <v>5002</v>
      </c>
      <c r="B491" s="9">
        <v>500201</v>
      </c>
      <c r="C491" s="9" t="s">
        <v>33</v>
      </c>
      <c r="D491" s="9">
        <v>2000</v>
      </c>
      <c r="E491" s="9">
        <v>31500201</v>
      </c>
      <c r="F491" s="9">
        <v>31500101</v>
      </c>
      <c r="G491" s="10" t="s">
        <v>1291</v>
      </c>
      <c r="H491" s="10" t="s">
        <v>563</v>
      </c>
      <c r="I491" s="10" t="s">
        <v>1272</v>
      </c>
      <c r="J491" s="9">
        <v>484</v>
      </c>
      <c r="K491" s="10" t="s">
        <v>1292</v>
      </c>
      <c r="L491" s="10" t="s">
        <v>252</v>
      </c>
      <c r="M491" s="10" t="s">
        <v>1238</v>
      </c>
      <c r="N491" s="7"/>
    </row>
    <row r="492" s="1" customFormat="1" ht="28.5" customHeight="1" spans="1:14">
      <c r="A492" s="8">
        <v>5002</v>
      </c>
      <c r="B492" s="9">
        <v>500202</v>
      </c>
      <c r="C492" s="9" t="s">
        <v>33</v>
      </c>
      <c r="D492" s="9">
        <v>1000</v>
      </c>
      <c r="E492" s="9">
        <v>31500202</v>
      </c>
      <c r="F492" s="9">
        <v>31500101</v>
      </c>
      <c r="G492" s="10" t="s">
        <v>1293</v>
      </c>
      <c r="H492" s="10" t="s">
        <v>563</v>
      </c>
      <c r="I492" s="10" t="s">
        <v>1275</v>
      </c>
      <c r="J492" s="9">
        <v>485</v>
      </c>
      <c r="K492" s="10" t="s">
        <v>1294</v>
      </c>
      <c r="L492" s="10" t="s">
        <v>252</v>
      </c>
      <c r="M492" s="10" t="s">
        <v>1238</v>
      </c>
      <c r="N492" s="7"/>
    </row>
    <row r="493" s="1" customFormat="1" ht="28.5" customHeight="1" spans="1:14">
      <c r="A493" s="8">
        <v>5002</v>
      </c>
      <c r="B493" s="9">
        <v>500203</v>
      </c>
      <c r="C493" s="9" t="s">
        <v>33</v>
      </c>
      <c r="D493" s="9">
        <v>800</v>
      </c>
      <c r="E493" s="9">
        <v>31500203</v>
      </c>
      <c r="F493" s="9">
        <v>31500101</v>
      </c>
      <c r="G493" s="10" t="s">
        <v>1295</v>
      </c>
      <c r="H493" s="10" t="s">
        <v>563</v>
      </c>
      <c r="I493" s="10" t="s">
        <v>1278</v>
      </c>
      <c r="J493" s="9">
        <v>486</v>
      </c>
      <c r="K493" s="10" t="s">
        <v>1296</v>
      </c>
      <c r="L493" s="10" t="s">
        <v>252</v>
      </c>
      <c r="M493" s="10" t="s">
        <v>1238</v>
      </c>
      <c r="N493" s="7"/>
    </row>
    <row r="494" s="1" customFormat="1" ht="28.5" customHeight="1" spans="1:14">
      <c r="A494" s="8">
        <v>5002</v>
      </c>
      <c r="B494" s="9">
        <v>500204</v>
      </c>
      <c r="C494" s="9" t="s">
        <v>33</v>
      </c>
      <c r="D494" s="9">
        <v>600</v>
      </c>
      <c r="E494" s="9">
        <v>31500204</v>
      </c>
      <c r="F494" s="9">
        <v>31500101</v>
      </c>
      <c r="G494" s="10" t="s">
        <v>1297</v>
      </c>
      <c r="H494" s="10" t="s">
        <v>563</v>
      </c>
      <c r="I494" s="10" t="s">
        <v>1281</v>
      </c>
      <c r="J494" s="9">
        <v>487</v>
      </c>
      <c r="K494" s="10" t="s">
        <v>1298</v>
      </c>
      <c r="L494" s="10" t="s">
        <v>252</v>
      </c>
      <c r="M494" s="10" t="s">
        <v>1238</v>
      </c>
      <c r="N494" s="7"/>
    </row>
    <row r="495" s="1" customFormat="1" ht="28.5" customHeight="1" spans="1:14">
      <c r="A495" s="8">
        <v>5002</v>
      </c>
      <c r="B495" s="9">
        <v>500205</v>
      </c>
      <c r="C495" s="9" t="s">
        <v>33</v>
      </c>
      <c r="D495" s="9">
        <v>400</v>
      </c>
      <c r="E495" s="9">
        <v>31500205</v>
      </c>
      <c r="F495" s="9">
        <v>31500101</v>
      </c>
      <c r="G495" s="10" t="s">
        <v>1299</v>
      </c>
      <c r="H495" s="10" t="s">
        <v>563</v>
      </c>
      <c r="I495" s="10" t="s">
        <v>1284</v>
      </c>
      <c r="J495" s="9">
        <v>488</v>
      </c>
      <c r="K495" s="10" t="s">
        <v>1300</v>
      </c>
      <c r="L495" s="10" t="s">
        <v>252</v>
      </c>
      <c r="M495" s="10" t="s">
        <v>1238</v>
      </c>
      <c r="N495" s="7"/>
    </row>
    <row r="496" s="1" customFormat="1" ht="28.5" customHeight="1" spans="1:14">
      <c r="A496" s="8">
        <v>5002</v>
      </c>
      <c r="B496" s="9">
        <v>500206</v>
      </c>
      <c r="C496" s="9" t="s">
        <v>33</v>
      </c>
      <c r="D496" s="9">
        <v>200</v>
      </c>
      <c r="E496" s="9">
        <v>31500206</v>
      </c>
      <c r="F496" s="9">
        <v>31500101</v>
      </c>
      <c r="G496" s="10" t="s">
        <v>1301</v>
      </c>
      <c r="H496" s="10" t="s">
        <v>563</v>
      </c>
      <c r="I496" s="10" t="s">
        <v>1287</v>
      </c>
      <c r="J496" s="9">
        <v>489</v>
      </c>
      <c r="K496" s="10" t="s">
        <v>1302</v>
      </c>
      <c r="L496" s="10" t="s">
        <v>252</v>
      </c>
      <c r="M496" s="10" t="s">
        <v>1238</v>
      </c>
      <c r="N496" s="7"/>
    </row>
    <row r="497" s="1" customFormat="1" ht="28.5" customHeight="1" spans="1:14">
      <c r="A497" s="8">
        <v>5002</v>
      </c>
      <c r="B497" s="9">
        <v>500207</v>
      </c>
      <c r="C497" s="9" t="s">
        <v>33</v>
      </c>
      <c r="D497" s="9">
        <v>2000</v>
      </c>
      <c r="E497" s="9">
        <v>31500207</v>
      </c>
      <c r="F497" s="9">
        <v>31500107</v>
      </c>
      <c r="G497" s="10" t="s">
        <v>1767</v>
      </c>
      <c r="H497" s="10" t="s">
        <v>563</v>
      </c>
      <c r="I497" s="10"/>
      <c r="J497" s="9">
        <v>490</v>
      </c>
      <c r="K497" s="10" t="s">
        <v>1768</v>
      </c>
      <c r="L497" s="10" t="s">
        <v>392</v>
      </c>
      <c r="M497" s="10" t="s">
        <v>1238</v>
      </c>
      <c r="N497" s="7"/>
    </row>
    <row r="498" s="1" customFormat="1" ht="28.5" customHeight="1" spans="1:14">
      <c r="A498" s="8">
        <v>5002</v>
      </c>
      <c r="B498" s="9">
        <v>500208</v>
      </c>
      <c r="C498" s="9" t="s">
        <v>33</v>
      </c>
      <c r="D498" s="9">
        <v>1000</v>
      </c>
      <c r="E498" s="9">
        <v>31500208</v>
      </c>
      <c r="F498" s="9">
        <v>31500107</v>
      </c>
      <c r="G498" s="10" t="s">
        <v>1751</v>
      </c>
      <c r="H498" s="10" t="s">
        <v>563</v>
      </c>
      <c r="I498" s="10"/>
      <c r="J498" s="9">
        <v>491</v>
      </c>
      <c r="K498" s="10" t="s">
        <v>1752</v>
      </c>
      <c r="L498" s="10" t="s">
        <v>392</v>
      </c>
      <c r="M498" s="10" t="s">
        <v>1238</v>
      </c>
      <c r="N498" s="7"/>
    </row>
    <row r="499" s="1" customFormat="1" ht="28.5" customHeight="1" spans="1:14">
      <c r="A499" s="8">
        <v>5002</v>
      </c>
      <c r="B499" s="9">
        <v>500209</v>
      </c>
      <c r="C499" s="9" t="s">
        <v>33</v>
      </c>
      <c r="D499" s="9">
        <v>800</v>
      </c>
      <c r="E499" s="9">
        <v>31500209</v>
      </c>
      <c r="F499" s="9">
        <v>31500107</v>
      </c>
      <c r="G499" s="10" t="s">
        <v>1769</v>
      </c>
      <c r="H499" s="10" t="s">
        <v>563</v>
      </c>
      <c r="I499" s="10"/>
      <c r="J499" s="9">
        <v>492</v>
      </c>
      <c r="K499" s="10" t="s">
        <v>1770</v>
      </c>
      <c r="L499" s="10" t="s">
        <v>392</v>
      </c>
      <c r="M499" s="10" t="s">
        <v>1238</v>
      </c>
      <c r="N499" s="7"/>
    </row>
    <row r="500" s="1" customFormat="1" ht="28.5" customHeight="1" spans="1:14">
      <c r="A500" s="8">
        <v>5002</v>
      </c>
      <c r="B500" s="9">
        <v>500210</v>
      </c>
      <c r="C500" s="9" t="s">
        <v>33</v>
      </c>
      <c r="D500" s="9">
        <v>600</v>
      </c>
      <c r="E500" s="9">
        <v>31500210</v>
      </c>
      <c r="F500" s="9">
        <v>31500107</v>
      </c>
      <c r="G500" s="10" t="s">
        <v>1753</v>
      </c>
      <c r="H500" s="10" t="s">
        <v>563</v>
      </c>
      <c r="I500" s="10"/>
      <c r="J500" s="9">
        <v>493</v>
      </c>
      <c r="K500" s="10" t="s">
        <v>1754</v>
      </c>
      <c r="L500" s="10" t="s">
        <v>392</v>
      </c>
      <c r="M500" s="10" t="s">
        <v>1238</v>
      </c>
      <c r="N500" s="7"/>
    </row>
    <row r="501" s="1" customFormat="1" ht="28.5" customHeight="1" spans="1:14">
      <c r="A501" s="8">
        <v>5002</v>
      </c>
      <c r="B501" s="9">
        <v>500211</v>
      </c>
      <c r="C501" s="9" t="s">
        <v>33</v>
      </c>
      <c r="D501" s="9">
        <v>400</v>
      </c>
      <c r="E501" s="9">
        <v>31500211</v>
      </c>
      <c r="F501" s="9">
        <v>31500107</v>
      </c>
      <c r="G501" s="10" t="s">
        <v>1771</v>
      </c>
      <c r="H501" s="10" t="s">
        <v>563</v>
      </c>
      <c r="I501" s="10"/>
      <c r="J501" s="9">
        <v>494</v>
      </c>
      <c r="K501" s="10" t="s">
        <v>1772</v>
      </c>
      <c r="L501" s="10" t="s">
        <v>392</v>
      </c>
      <c r="M501" s="10" t="s">
        <v>1238</v>
      </c>
      <c r="N501" s="7"/>
    </row>
    <row r="502" s="1" customFormat="1" ht="28.5" customHeight="1" spans="1:14">
      <c r="A502" s="8">
        <v>5002</v>
      </c>
      <c r="B502" s="9">
        <v>500212</v>
      </c>
      <c r="C502" s="9" t="s">
        <v>33</v>
      </c>
      <c r="D502" s="9">
        <v>3000</v>
      </c>
      <c r="E502" s="9">
        <v>31500212</v>
      </c>
      <c r="F502" s="9">
        <v>31500112</v>
      </c>
      <c r="G502" s="10" t="s">
        <v>1313</v>
      </c>
      <c r="H502" s="10" t="s">
        <v>563</v>
      </c>
      <c r="I502" s="10"/>
      <c r="J502" s="9">
        <v>495</v>
      </c>
      <c r="K502" s="10" t="s">
        <v>1314</v>
      </c>
      <c r="L502" s="10" t="s">
        <v>251</v>
      </c>
      <c r="M502" s="10" t="s">
        <v>1238</v>
      </c>
      <c r="N502" s="7"/>
    </row>
    <row r="503" s="1" customFormat="1" ht="28.5" customHeight="1" spans="1:14">
      <c r="A503" s="8">
        <v>5002</v>
      </c>
      <c r="B503" s="9">
        <v>500213</v>
      </c>
      <c r="C503" s="9" t="s">
        <v>33</v>
      </c>
      <c r="D503" s="9">
        <v>2500</v>
      </c>
      <c r="E503" s="9">
        <v>31500213</v>
      </c>
      <c r="F503" s="9">
        <v>31500112</v>
      </c>
      <c r="G503" s="10" t="s">
        <v>1315</v>
      </c>
      <c r="H503" s="10" t="s">
        <v>563</v>
      </c>
      <c r="I503" s="10"/>
      <c r="J503" s="9">
        <v>496</v>
      </c>
      <c r="K503" s="10" t="s">
        <v>1316</v>
      </c>
      <c r="L503" s="10" t="s">
        <v>251</v>
      </c>
      <c r="M503" s="10" t="s">
        <v>1238</v>
      </c>
      <c r="N503" s="7"/>
    </row>
    <row r="504" s="1" customFormat="1" ht="28.5" customHeight="1" spans="1:14">
      <c r="A504" s="8">
        <v>5002</v>
      </c>
      <c r="B504" s="9">
        <v>500214</v>
      </c>
      <c r="C504" s="9" t="s">
        <v>33</v>
      </c>
      <c r="D504" s="9">
        <v>2000</v>
      </c>
      <c r="E504" s="9">
        <v>31500214</v>
      </c>
      <c r="F504" s="9">
        <v>31500112</v>
      </c>
      <c r="G504" s="10" t="s">
        <v>1317</v>
      </c>
      <c r="H504" s="10" t="s">
        <v>563</v>
      </c>
      <c r="I504" s="10"/>
      <c r="J504" s="9">
        <v>497</v>
      </c>
      <c r="K504" s="10" t="s">
        <v>1318</v>
      </c>
      <c r="L504" s="10" t="s">
        <v>251</v>
      </c>
      <c r="M504" s="10" t="s">
        <v>1238</v>
      </c>
      <c r="N504" s="7"/>
    </row>
    <row r="505" s="1" customFormat="1" ht="28.5" customHeight="1" spans="1:14">
      <c r="A505" s="8">
        <v>5002</v>
      </c>
      <c r="B505" s="9">
        <v>500215</v>
      </c>
      <c r="C505" s="9" t="s">
        <v>33</v>
      </c>
      <c r="D505" s="9">
        <v>1500</v>
      </c>
      <c r="E505" s="9">
        <v>31500215</v>
      </c>
      <c r="F505" s="9">
        <v>31500112</v>
      </c>
      <c r="G505" s="10" t="s">
        <v>1319</v>
      </c>
      <c r="H505" s="10" t="s">
        <v>563</v>
      </c>
      <c r="I505" s="10"/>
      <c r="J505" s="9">
        <v>498</v>
      </c>
      <c r="K505" s="10" t="s">
        <v>1320</v>
      </c>
      <c r="L505" s="10" t="s">
        <v>251</v>
      </c>
      <c r="M505" s="10" t="s">
        <v>1238</v>
      </c>
      <c r="N505" s="7"/>
    </row>
    <row r="506" s="1" customFormat="1" ht="28.5" customHeight="1" spans="1:14">
      <c r="A506" s="8">
        <v>5002</v>
      </c>
      <c r="B506" s="9">
        <v>500216</v>
      </c>
      <c r="C506" s="9" t="s">
        <v>33</v>
      </c>
      <c r="D506" s="9">
        <v>1000</v>
      </c>
      <c r="E506" s="9">
        <v>31500216</v>
      </c>
      <c r="F506" s="9">
        <v>31500112</v>
      </c>
      <c r="G506" s="10" t="s">
        <v>1321</v>
      </c>
      <c r="H506" s="10" t="s">
        <v>563</v>
      </c>
      <c r="I506" s="10"/>
      <c r="J506" s="9">
        <v>499</v>
      </c>
      <c r="K506" s="10" t="s">
        <v>1322</v>
      </c>
      <c r="L506" s="10" t="s">
        <v>251</v>
      </c>
      <c r="M506" s="10" t="s">
        <v>1238</v>
      </c>
      <c r="N506" s="7"/>
    </row>
    <row r="507" s="1" customFormat="1" ht="28.5" customHeight="1" spans="1:14">
      <c r="A507" s="8">
        <v>5002</v>
      </c>
      <c r="B507" s="9">
        <v>500217</v>
      </c>
      <c r="C507" s="9" t="s">
        <v>33</v>
      </c>
      <c r="D507" s="9">
        <v>2000</v>
      </c>
      <c r="E507" s="9">
        <v>31500217</v>
      </c>
      <c r="F507" s="9">
        <v>31500117</v>
      </c>
      <c r="G507" s="10" t="s">
        <v>1765</v>
      </c>
      <c r="H507" s="10" t="s">
        <v>563</v>
      </c>
      <c r="I507" s="10" t="s">
        <v>1287</v>
      </c>
      <c r="J507" s="9">
        <v>500</v>
      </c>
      <c r="K507" s="10" t="s">
        <v>1766</v>
      </c>
      <c r="L507" s="10" t="s">
        <v>393</v>
      </c>
      <c r="M507" s="10" t="s">
        <v>1238</v>
      </c>
      <c r="N507" s="7"/>
    </row>
    <row r="508" s="1" customFormat="1" ht="28.5" customHeight="1" spans="1:14">
      <c r="A508" s="8">
        <v>5002</v>
      </c>
      <c r="B508" s="9">
        <v>500218</v>
      </c>
      <c r="C508" s="9" t="s">
        <v>33</v>
      </c>
      <c r="D508" s="9">
        <v>1000</v>
      </c>
      <c r="E508" s="9">
        <v>31500218</v>
      </c>
      <c r="F508" s="9">
        <v>31500117</v>
      </c>
      <c r="G508" s="10" t="s">
        <v>1773</v>
      </c>
      <c r="H508" s="10" t="s">
        <v>563</v>
      </c>
      <c r="I508" s="10" t="s">
        <v>1324</v>
      </c>
      <c r="J508" s="9">
        <v>501</v>
      </c>
      <c r="K508" s="10" t="s">
        <v>1774</v>
      </c>
      <c r="L508" s="10" t="s">
        <v>393</v>
      </c>
      <c r="M508" s="10" t="s">
        <v>1238</v>
      </c>
      <c r="N508" s="7"/>
    </row>
    <row r="509" s="1" customFormat="1" ht="28.5" customHeight="1" spans="1:14">
      <c r="A509" s="8">
        <v>5002</v>
      </c>
      <c r="B509" s="9">
        <v>500219</v>
      </c>
      <c r="C509" s="9" t="s">
        <v>33</v>
      </c>
      <c r="D509" s="9">
        <v>800</v>
      </c>
      <c r="E509" s="9">
        <v>31500219</v>
      </c>
      <c r="F509" s="9">
        <v>31500117</v>
      </c>
      <c r="G509" s="10" t="s">
        <v>1775</v>
      </c>
      <c r="H509" s="10" t="s">
        <v>563</v>
      </c>
      <c r="I509" s="10" t="s">
        <v>1327</v>
      </c>
      <c r="J509" s="9">
        <v>502</v>
      </c>
      <c r="K509" s="10" t="s">
        <v>1776</v>
      </c>
      <c r="L509" s="10" t="s">
        <v>393</v>
      </c>
      <c r="M509" s="10" t="s">
        <v>1238</v>
      </c>
      <c r="N509" s="7"/>
    </row>
    <row r="510" s="1" customFormat="1" ht="28.5" customHeight="1" spans="1:14">
      <c r="A510" s="8">
        <v>5002</v>
      </c>
      <c r="B510" s="9">
        <v>500220</v>
      </c>
      <c r="C510" s="9" t="s">
        <v>33</v>
      </c>
      <c r="D510" s="9">
        <v>600</v>
      </c>
      <c r="E510" s="9">
        <v>31500220</v>
      </c>
      <c r="F510" s="9">
        <v>31500117</v>
      </c>
      <c r="G510" s="10" t="s">
        <v>1777</v>
      </c>
      <c r="H510" s="10" t="s">
        <v>563</v>
      </c>
      <c r="I510" s="10" t="s">
        <v>1330</v>
      </c>
      <c r="J510" s="9">
        <v>503</v>
      </c>
      <c r="K510" s="10" t="s">
        <v>1778</v>
      </c>
      <c r="L510" s="10" t="s">
        <v>393</v>
      </c>
      <c r="M510" s="10" t="s">
        <v>1238</v>
      </c>
      <c r="N510" s="7"/>
    </row>
    <row r="511" s="1" customFormat="1" ht="28.5" customHeight="1" spans="1:14">
      <c r="A511" s="8">
        <v>5002</v>
      </c>
      <c r="B511" s="9">
        <v>500221</v>
      </c>
      <c r="C511" s="9" t="s">
        <v>33</v>
      </c>
      <c r="D511" s="9">
        <v>400</v>
      </c>
      <c r="E511" s="9">
        <v>31500221</v>
      </c>
      <c r="F511" s="9">
        <v>31500117</v>
      </c>
      <c r="G511" s="10" t="s">
        <v>1779</v>
      </c>
      <c r="H511" s="10" t="s">
        <v>563</v>
      </c>
      <c r="I511" s="10" t="s">
        <v>1333</v>
      </c>
      <c r="J511" s="9">
        <v>504</v>
      </c>
      <c r="K511" s="10" t="s">
        <v>1780</v>
      </c>
      <c r="L511" s="10" t="s">
        <v>393</v>
      </c>
      <c r="M511" s="10" t="s">
        <v>1238</v>
      </c>
      <c r="N511" s="7"/>
    </row>
    <row r="512" s="1" customFormat="1" ht="28.5" customHeight="1" spans="1:14">
      <c r="A512" s="8">
        <v>5002</v>
      </c>
      <c r="B512" s="9">
        <v>500222</v>
      </c>
      <c r="C512" s="9" t="s">
        <v>33</v>
      </c>
      <c r="D512" s="9">
        <v>200</v>
      </c>
      <c r="E512" s="9">
        <v>31500222</v>
      </c>
      <c r="F512" s="9">
        <v>31500117</v>
      </c>
      <c r="G512" s="10" t="s">
        <v>1781</v>
      </c>
      <c r="H512" s="10" t="s">
        <v>563</v>
      </c>
      <c r="I512" s="10" t="s">
        <v>1336</v>
      </c>
      <c r="J512" s="9">
        <v>505</v>
      </c>
      <c r="K512" s="10" t="s">
        <v>1782</v>
      </c>
      <c r="L512" s="10" t="s">
        <v>393</v>
      </c>
      <c r="M512" s="10" t="s">
        <v>1238</v>
      </c>
      <c r="N512" s="7"/>
    </row>
    <row r="513" s="1" customFormat="1" ht="28.5" customHeight="1" spans="1:14">
      <c r="A513" s="8"/>
      <c r="B513" s="9"/>
      <c r="C513" s="9"/>
      <c r="D513" s="9"/>
      <c r="E513" s="9"/>
      <c r="F513" s="9"/>
      <c r="G513" s="10"/>
      <c r="H513" s="10"/>
      <c r="I513" s="10" t="s">
        <v>1289</v>
      </c>
      <c r="J513" s="9">
        <v>506</v>
      </c>
      <c r="K513" s="10" t="s">
        <v>1289</v>
      </c>
      <c r="L513" s="10"/>
      <c r="M513" s="10" t="s">
        <v>1290</v>
      </c>
      <c r="N513" s="7"/>
    </row>
    <row r="514" s="1" customFormat="1" ht="28.5" customHeight="1" spans="1:14">
      <c r="A514" s="8">
        <v>5003</v>
      </c>
      <c r="B514" s="9">
        <v>500301</v>
      </c>
      <c r="C514" s="9" t="s">
        <v>34</v>
      </c>
      <c r="D514" s="9">
        <v>2000</v>
      </c>
      <c r="E514" s="9">
        <v>31500301</v>
      </c>
      <c r="F514" s="9">
        <v>31500101</v>
      </c>
      <c r="G514" s="10" t="s">
        <v>1297</v>
      </c>
      <c r="H514" s="10" t="s">
        <v>563</v>
      </c>
      <c r="I514" s="10" t="s">
        <v>1281</v>
      </c>
      <c r="J514" s="9">
        <v>507</v>
      </c>
      <c r="K514" s="10" t="s">
        <v>1298</v>
      </c>
      <c r="L514" s="10" t="s">
        <v>260</v>
      </c>
      <c r="M514" s="10" t="s">
        <v>1238</v>
      </c>
      <c r="N514" s="7"/>
    </row>
    <row r="515" s="1" customFormat="1" ht="28.5" customHeight="1" spans="1:14">
      <c r="A515" s="8">
        <v>5003</v>
      </c>
      <c r="B515" s="9">
        <v>500302</v>
      </c>
      <c r="C515" s="9" t="s">
        <v>34</v>
      </c>
      <c r="D515" s="9">
        <v>1000</v>
      </c>
      <c r="E515" s="9">
        <v>31500302</v>
      </c>
      <c r="F515" s="9">
        <v>31500101</v>
      </c>
      <c r="G515" s="10" t="s">
        <v>1297</v>
      </c>
      <c r="H515" s="10" t="s">
        <v>563</v>
      </c>
      <c r="I515" s="10" t="s">
        <v>1281</v>
      </c>
      <c r="J515" s="9">
        <v>508</v>
      </c>
      <c r="K515" s="10" t="s">
        <v>1298</v>
      </c>
      <c r="L515" s="10" t="s">
        <v>260</v>
      </c>
      <c r="M515" s="10" t="s">
        <v>1238</v>
      </c>
      <c r="N515" s="7"/>
    </row>
    <row r="516" s="1" customFormat="1" ht="28.5" customHeight="1" spans="1:14">
      <c r="A516" s="8">
        <v>5003</v>
      </c>
      <c r="B516" s="9">
        <v>500303</v>
      </c>
      <c r="C516" s="9" t="s">
        <v>34</v>
      </c>
      <c r="D516" s="9">
        <v>800</v>
      </c>
      <c r="E516" s="9">
        <v>31500303</v>
      </c>
      <c r="F516" s="9">
        <v>31500101</v>
      </c>
      <c r="G516" s="10" t="s">
        <v>1338</v>
      </c>
      <c r="H516" s="10" t="s">
        <v>563</v>
      </c>
      <c r="I516" s="10" t="s">
        <v>1339</v>
      </c>
      <c r="J516" s="9">
        <v>509</v>
      </c>
      <c r="K516" s="10" t="s">
        <v>1340</v>
      </c>
      <c r="L516" s="10" t="s">
        <v>260</v>
      </c>
      <c r="M516" s="10" t="s">
        <v>1238</v>
      </c>
      <c r="N516" s="7"/>
    </row>
    <row r="517" s="1" customFormat="1" ht="28.5" customHeight="1" spans="1:14">
      <c r="A517" s="8">
        <v>5003</v>
      </c>
      <c r="B517" s="9">
        <v>500304</v>
      </c>
      <c r="C517" s="9" t="s">
        <v>34</v>
      </c>
      <c r="D517" s="9">
        <v>600</v>
      </c>
      <c r="E517" s="9">
        <v>31500304</v>
      </c>
      <c r="F517" s="9">
        <v>31500101</v>
      </c>
      <c r="G517" s="10" t="s">
        <v>1299</v>
      </c>
      <c r="H517" s="10" t="s">
        <v>563</v>
      </c>
      <c r="I517" s="10" t="s">
        <v>1284</v>
      </c>
      <c r="J517" s="9">
        <v>510</v>
      </c>
      <c r="K517" s="10" t="s">
        <v>1300</v>
      </c>
      <c r="L517" s="10" t="s">
        <v>260</v>
      </c>
      <c r="M517" s="10" t="s">
        <v>1238</v>
      </c>
      <c r="N517" s="7"/>
    </row>
    <row r="518" s="1" customFormat="1" ht="28.5" customHeight="1" spans="1:14">
      <c r="A518" s="8">
        <v>5003</v>
      </c>
      <c r="B518" s="9">
        <v>500305</v>
      </c>
      <c r="C518" s="9" t="s">
        <v>34</v>
      </c>
      <c r="D518" s="9">
        <v>400</v>
      </c>
      <c r="E518" s="9">
        <v>31500305</v>
      </c>
      <c r="F518" s="9">
        <v>31500101</v>
      </c>
      <c r="G518" s="10" t="s">
        <v>1301</v>
      </c>
      <c r="H518" s="10" t="s">
        <v>563</v>
      </c>
      <c r="I518" s="10" t="s">
        <v>1287</v>
      </c>
      <c r="J518" s="9">
        <v>511</v>
      </c>
      <c r="K518" s="10" t="s">
        <v>1302</v>
      </c>
      <c r="L518" s="10" t="s">
        <v>260</v>
      </c>
      <c r="M518" s="10" t="s">
        <v>1238</v>
      </c>
      <c r="N518" s="7"/>
    </row>
    <row r="519" s="1" customFormat="1" ht="28.5" customHeight="1" spans="1:14">
      <c r="A519" s="8">
        <v>5003</v>
      </c>
      <c r="B519" s="9">
        <v>500306</v>
      </c>
      <c r="C519" s="9" t="s">
        <v>34</v>
      </c>
      <c r="D519" s="9">
        <v>200</v>
      </c>
      <c r="E519" s="9">
        <v>31500306</v>
      </c>
      <c r="F519" s="9">
        <v>31500101</v>
      </c>
      <c r="G519" s="10" t="s">
        <v>1301</v>
      </c>
      <c r="H519" s="10" t="s">
        <v>563</v>
      </c>
      <c r="I519" s="10" t="s">
        <v>1287</v>
      </c>
      <c r="J519" s="9">
        <v>512</v>
      </c>
      <c r="K519" s="10" t="s">
        <v>1302</v>
      </c>
      <c r="L519" s="10" t="s">
        <v>260</v>
      </c>
      <c r="M519" s="10" t="s">
        <v>1238</v>
      </c>
      <c r="N519" s="7"/>
    </row>
    <row r="520" s="1" customFormat="1" ht="28.5" customHeight="1" spans="1:14">
      <c r="A520" s="8">
        <v>5003</v>
      </c>
      <c r="B520" s="9">
        <v>500307</v>
      </c>
      <c r="C520" s="9" t="s">
        <v>34</v>
      </c>
      <c r="D520" s="9">
        <v>2000</v>
      </c>
      <c r="E520" s="9">
        <v>31500307</v>
      </c>
      <c r="F520" s="9">
        <v>31500107</v>
      </c>
      <c r="G520" s="10" t="s">
        <v>1783</v>
      </c>
      <c r="H520" s="10" t="s">
        <v>563</v>
      </c>
      <c r="I520" s="10"/>
      <c r="J520" s="9">
        <v>513</v>
      </c>
      <c r="K520" s="10" t="s">
        <v>1784</v>
      </c>
      <c r="L520" s="10" t="s">
        <v>397</v>
      </c>
      <c r="M520" s="10" t="s">
        <v>1238</v>
      </c>
      <c r="N520" s="7"/>
    </row>
    <row r="521" s="1" customFormat="1" ht="28.5" customHeight="1" spans="1:14">
      <c r="A521" s="8">
        <v>5003</v>
      </c>
      <c r="B521" s="9">
        <v>500308</v>
      </c>
      <c r="C521" s="9" t="s">
        <v>34</v>
      </c>
      <c r="D521" s="9">
        <v>1000</v>
      </c>
      <c r="E521" s="9">
        <v>31500308</v>
      </c>
      <c r="F521" s="9">
        <v>31500107</v>
      </c>
      <c r="G521" s="10" t="s">
        <v>1785</v>
      </c>
      <c r="H521" s="10" t="s">
        <v>563</v>
      </c>
      <c r="I521" s="10"/>
      <c r="J521" s="9">
        <v>514</v>
      </c>
      <c r="K521" s="10" t="s">
        <v>1786</v>
      </c>
      <c r="L521" s="10" t="s">
        <v>397</v>
      </c>
      <c r="M521" s="10" t="s">
        <v>1238</v>
      </c>
      <c r="N521" s="7"/>
    </row>
    <row r="522" s="1" customFormat="1" ht="28.5" customHeight="1" spans="1:14">
      <c r="A522" s="8">
        <v>5003</v>
      </c>
      <c r="B522" s="9">
        <v>500309</v>
      </c>
      <c r="C522" s="9" t="s">
        <v>34</v>
      </c>
      <c r="D522" s="9">
        <v>800</v>
      </c>
      <c r="E522" s="9">
        <v>31500309</v>
      </c>
      <c r="F522" s="9">
        <v>31500107</v>
      </c>
      <c r="G522" s="10" t="s">
        <v>1787</v>
      </c>
      <c r="H522" s="10" t="s">
        <v>563</v>
      </c>
      <c r="I522" s="10"/>
      <c r="J522" s="9">
        <v>515</v>
      </c>
      <c r="K522" s="10" t="s">
        <v>1788</v>
      </c>
      <c r="L522" s="10" t="s">
        <v>397</v>
      </c>
      <c r="M522" s="10" t="s">
        <v>1238</v>
      </c>
      <c r="N522" s="7"/>
    </row>
    <row r="523" s="1" customFormat="1" ht="28.5" customHeight="1" spans="1:14">
      <c r="A523" s="8">
        <v>5003</v>
      </c>
      <c r="B523" s="9">
        <v>500310</v>
      </c>
      <c r="C523" s="9" t="s">
        <v>34</v>
      </c>
      <c r="D523" s="9">
        <v>600</v>
      </c>
      <c r="E523" s="9">
        <v>31500310</v>
      </c>
      <c r="F523" s="9">
        <v>31500107</v>
      </c>
      <c r="G523" s="10" t="s">
        <v>1789</v>
      </c>
      <c r="H523" s="10" t="s">
        <v>563</v>
      </c>
      <c r="I523" s="10"/>
      <c r="J523" s="9">
        <v>516</v>
      </c>
      <c r="K523" s="10" t="s">
        <v>1790</v>
      </c>
      <c r="L523" s="10" t="s">
        <v>397</v>
      </c>
      <c r="M523" s="10" t="s">
        <v>1238</v>
      </c>
      <c r="N523" s="7"/>
    </row>
    <row r="524" s="1" customFormat="1" ht="28.5" customHeight="1" spans="1:14">
      <c r="A524" s="8">
        <v>5003</v>
      </c>
      <c r="B524" s="9">
        <v>500311</v>
      </c>
      <c r="C524" s="9" t="s">
        <v>34</v>
      </c>
      <c r="D524" s="9">
        <v>400</v>
      </c>
      <c r="E524" s="9">
        <v>31500311</v>
      </c>
      <c r="F524" s="9">
        <v>31500107</v>
      </c>
      <c r="G524" s="10" t="s">
        <v>1791</v>
      </c>
      <c r="H524" s="10" t="s">
        <v>563</v>
      </c>
      <c r="I524" s="10"/>
      <c r="J524" s="9">
        <v>517</v>
      </c>
      <c r="K524" s="10" t="s">
        <v>1792</v>
      </c>
      <c r="L524" s="10" t="s">
        <v>397</v>
      </c>
      <c r="M524" s="10" t="s">
        <v>1238</v>
      </c>
      <c r="N524" s="7"/>
    </row>
    <row r="525" s="1" customFormat="1" ht="28.5" customHeight="1" spans="1:14">
      <c r="A525" s="8">
        <v>5003</v>
      </c>
      <c r="B525" s="9">
        <v>500312</v>
      </c>
      <c r="C525" s="9" t="s">
        <v>34</v>
      </c>
      <c r="D525" s="9">
        <v>3000</v>
      </c>
      <c r="E525" s="9">
        <v>31500312</v>
      </c>
      <c r="F525" s="9">
        <v>31500112</v>
      </c>
      <c r="G525" s="10" t="s">
        <v>1351</v>
      </c>
      <c r="H525" s="10" t="s">
        <v>563</v>
      </c>
      <c r="I525" s="10"/>
      <c r="J525" s="9">
        <v>518</v>
      </c>
      <c r="K525" s="10" t="s">
        <v>1352</v>
      </c>
      <c r="L525" s="10" t="s">
        <v>259</v>
      </c>
      <c r="M525" s="10" t="s">
        <v>1238</v>
      </c>
      <c r="N525" s="7"/>
    </row>
    <row r="526" s="1" customFormat="1" ht="28.5" customHeight="1" spans="1:14">
      <c r="A526" s="8">
        <v>5003</v>
      </c>
      <c r="B526" s="9">
        <v>500313</v>
      </c>
      <c r="C526" s="9" t="s">
        <v>34</v>
      </c>
      <c r="D526" s="9">
        <v>2500</v>
      </c>
      <c r="E526" s="9">
        <v>31500313</v>
      </c>
      <c r="F526" s="9">
        <v>31500112</v>
      </c>
      <c r="G526" s="10" t="s">
        <v>1353</v>
      </c>
      <c r="H526" s="10" t="s">
        <v>563</v>
      </c>
      <c r="I526" s="10"/>
      <c r="J526" s="9">
        <v>519</v>
      </c>
      <c r="K526" s="10" t="s">
        <v>1354</v>
      </c>
      <c r="L526" s="10" t="s">
        <v>259</v>
      </c>
      <c r="M526" s="10" t="s">
        <v>1238</v>
      </c>
      <c r="N526" s="7"/>
    </row>
    <row r="527" s="1" customFormat="1" ht="28.5" customHeight="1" spans="1:14">
      <c r="A527" s="8">
        <v>5003</v>
      </c>
      <c r="B527" s="9">
        <v>500314</v>
      </c>
      <c r="C527" s="9" t="s">
        <v>34</v>
      </c>
      <c r="D527" s="9">
        <v>2000</v>
      </c>
      <c r="E527" s="9">
        <v>31500314</v>
      </c>
      <c r="F527" s="9">
        <v>31500112</v>
      </c>
      <c r="G527" s="10" t="s">
        <v>1355</v>
      </c>
      <c r="H527" s="10" t="s">
        <v>563</v>
      </c>
      <c r="I527" s="10"/>
      <c r="J527" s="9">
        <v>520</v>
      </c>
      <c r="K527" s="10" t="s">
        <v>1356</v>
      </c>
      <c r="L527" s="10" t="s">
        <v>259</v>
      </c>
      <c r="M527" s="10" t="s">
        <v>1238</v>
      </c>
      <c r="N527" s="7"/>
    </row>
    <row r="528" s="1" customFormat="1" ht="28.5" customHeight="1" spans="1:14">
      <c r="A528" s="8">
        <v>5003</v>
      </c>
      <c r="B528" s="9">
        <v>500315</v>
      </c>
      <c r="C528" s="9" t="s">
        <v>34</v>
      </c>
      <c r="D528" s="9">
        <v>1500</v>
      </c>
      <c r="E528" s="9">
        <v>31500315</v>
      </c>
      <c r="F528" s="9">
        <v>31500112</v>
      </c>
      <c r="G528" s="10" t="s">
        <v>1357</v>
      </c>
      <c r="H528" s="10" t="s">
        <v>563</v>
      </c>
      <c r="I528" s="10"/>
      <c r="J528" s="9">
        <v>521</v>
      </c>
      <c r="K528" s="10" t="s">
        <v>1358</v>
      </c>
      <c r="L528" s="10" t="s">
        <v>259</v>
      </c>
      <c r="M528" s="10" t="s">
        <v>1238</v>
      </c>
      <c r="N528" s="7"/>
    </row>
    <row r="529" s="1" customFormat="1" ht="28.5" customHeight="1" spans="1:14">
      <c r="A529" s="8">
        <v>5003</v>
      </c>
      <c r="B529" s="9">
        <v>500316</v>
      </c>
      <c r="C529" s="9" t="s">
        <v>34</v>
      </c>
      <c r="D529" s="9">
        <v>1000</v>
      </c>
      <c r="E529" s="9">
        <v>31500316</v>
      </c>
      <c r="F529" s="9">
        <v>31500112</v>
      </c>
      <c r="G529" s="10" t="s">
        <v>1359</v>
      </c>
      <c r="H529" s="10" t="s">
        <v>563</v>
      </c>
      <c r="I529" s="10"/>
      <c r="J529" s="9">
        <v>522</v>
      </c>
      <c r="K529" s="10" t="s">
        <v>1360</v>
      </c>
      <c r="L529" s="10" t="s">
        <v>259</v>
      </c>
      <c r="M529" s="10" t="s">
        <v>1238</v>
      </c>
      <c r="N529" s="7"/>
    </row>
    <row r="530" s="1" customFormat="1" ht="28.5" customHeight="1" spans="1:14">
      <c r="A530" s="8">
        <v>5003</v>
      </c>
      <c r="B530" s="9">
        <v>500317</v>
      </c>
      <c r="C530" s="9" t="s">
        <v>34</v>
      </c>
      <c r="D530" s="9">
        <v>2000</v>
      </c>
      <c r="E530" s="9">
        <v>31500317</v>
      </c>
      <c r="F530" s="9">
        <v>31500117</v>
      </c>
      <c r="G530" s="10" t="s">
        <v>1781</v>
      </c>
      <c r="H530" s="10" t="s">
        <v>563</v>
      </c>
      <c r="I530" s="10" t="s">
        <v>1336</v>
      </c>
      <c r="J530" s="9">
        <v>523</v>
      </c>
      <c r="K530" s="10" t="s">
        <v>1782</v>
      </c>
      <c r="L530" s="10" t="s">
        <v>398</v>
      </c>
      <c r="M530" s="10" t="s">
        <v>1238</v>
      </c>
      <c r="N530" s="7"/>
    </row>
    <row r="531" s="1" customFormat="1" ht="28.5" customHeight="1" spans="1:14">
      <c r="A531" s="8">
        <v>5003</v>
      </c>
      <c r="B531" s="9">
        <v>500318</v>
      </c>
      <c r="C531" s="9" t="s">
        <v>34</v>
      </c>
      <c r="D531" s="9">
        <v>1000</v>
      </c>
      <c r="E531" s="9">
        <v>31500318</v>
      </c>
      <c r="F531" s="9">
        <v>31500117</v>
      </c>
      <c r="G531" s="10" t="s">
        <v>1793</v>
      </c>
      <c r="H531" s="10" t="s">
        <v>563</v>
      </c>
      <c r="I531" s="10" t="s">
        <v>1362</v>
      </c>
      <c r="J531" s="9">
        <v>524</v>
      </c>
      <c r="K531" s="10" t="s">
        <v>1794</v>
      </c>
      <c r="L531" s="10" t="s">
        <v>398</v>
      </c>
      <c r="M531" s="10" t="s">
        <v>1238</v>
      </c>
      <c r="N531" s="7"/>
    </row>
    <row r="532" s="1" customFormat="1" ht="28.5" customHeight="1" spans="1:14">
      <c r="A532" s="8">
        <v>5003</v>
      </c>
      <c r="B532" s="9">
        <v>500319</v>
      </c>
      <c r="C532" s="9" t="s">
        <v>34</v>
      </c>
      <c r="D532" s="9">
        <v>800</v>
      </c>
      <c r="E532" s="9">
        <v>31500319</v>
      </c>
      <c r="F532" s="9">
        <v>31500117</v>
      </c>
      <c r="G532" s="10" t="s">
        <v>1795</v>
      </c>
      <c r="H532" s="10" t="s">
        <v>563</v>
      </c>
      <c r="I532" s="10" t="s">
        <v>1365</v>
      </c>
      <c r="J532" s="9">
        <v>525</v>
      </c>
      <c r="K532" s="10" t="s">
        <v>1796</v>
      </c>
      <c r="L532" s="10" t="s">
        <v>398</v>
      </c>
      <c r="M532" s="10" t="s">
        <v>1238</v>
      </c>
      <c r="N532" s="7"/>
    </row>
    <row r="533" s="1" customFormat="1" ht="28.5" customHeight="1" spans="1:14">
      <c r="A533" s="8">
        <v>5003</v>
      </c>
      <c r="B533" s="9">
        <v>500320</v>
      </c>
      <c r="C533" s="9" t="s">
        <v>34</v>
      </c>
      <c r="D533" s="9">
        <v>600</v>
      </c>
      <c r="E533" s="9">
        <v>31500320</v>
      </c>
      <c r="F533" s="9">
        <v>31500117</v>
      </c>
      <c r="G533" s="10" t="s">
        <v>1797</v>
      </c>
      <c r="H533" s="10" t="s">
        <v>563</v>
      </c>
      <c r="I533" s="10" t="s">
        <v>1368</v>
      </c>
      <c r="J533" s="9">
        <v>526</v>
      </c>
      <c r="K533" s="10" t="s">
        <v>1798</v>
      </c>
      <c r="L533" s="10" t="s">
        <v>398</v>
      </c>
      <c r="M533" s="10" t="s">
        <v>1238</v>
      </c>
      <c r="N533" s="7"/>
    </row>
    <row r="534" s="1" customFormat="1" ht="28.5" customHeight="1" spans="1:14">
      <c r="A534" s="8">
        <v>5003</v>
      </c>
      <c r="B534" s="9">
        <v>500321</v>
      </c>
      <c r="C534" s="9" t="s">
        <v>34</v>
      </c>
      <c r="D534" s="9">
        <v>400</v>
      </c>
      <c r="E534" s="9">
        <v>31500321</v>
      </c>
      <c r="F534" s="9">
        <v>31500117</v>
      </c>
      <c r="G534" s="10" t="s">
        <v>1799</v>
      </c>
      <c r="H534" s="10" t="s">
        <v>563</v>
      </c>
      <c r="I534" s="10" t="s">
        <v>1371</v>
      </c>
      <c r="J534" s="9">
        <v>527</v>
      </c>
      <c r="K534" s="10" t="s">
        <v>1800</v>
      </c>
      <c r="L534" s="10" t="s">
        <v>398</v>
      </c>
      <c r="M534" s="10" t="s">
        <v>1238</v>
      </c>
      <c r="N534" s="7"/>
    </row>
    <row r="535" s="1" customFormat="1" ht="28.5" customHeight="1" spans="1:14">
      <c r="A535" s="8">
        <v>5003</v>
      </c>
      <c r="B535" s="9">
        <v>500322</v>
      </c>
      <c r="C535" s="9" t="s">
        <v>34</v>
      </c>
      <c r="D535" s="9">
        <v>200</v>
      </c>
      <c r="E535" s="9">
        <v>31500322</v>
      </c>
      <c r="F535" s="9">
        <v>31500117</v>
      </c>
      <c r="G535" s="10" t="s">
        <v>1801</v>
      </c>
      <c r="H535" s="10" t="s">
        <v>563</v>
      </c>
      <c r="I535" s="10" t="s">
        <v>1374</v>
      </c>
      <c r="J535" s="9">
        <v>528</v>
      </c>
      <c r="K535" s="10" t="s">
        <v>1802</v>
      </c>
      <c r="L535" s="10" t="s">
        <v>398</v>
      </c>
      <c r="M535" s="10" t="s">
        <v>1238</v>
      </c>
      <c r="N535" s="7"/>
    </row>
    <row r="536" s="1" customFormat="1" ht="28.5" customHeight="1" spans="1:14">
      <c r="A536" s="8"/>
      <c r="B536" s="9"/>
      <c r="C536" s="9"/>
      <c r="D536" s="9"/>
      <c r="E536" s="9"/>
      <c r="F536" s="9"/>
      <c r="G536" s="10"/>
      <c r="H536" s="10"/>
      <c r="I536" s="10" t="s">
        <v>1289</v>
      </c>
      <c r="J536" s="9">
        <v>529</v>
      </c>
      <c r="K536" s="10" t="s">
        <v>1289</v>
      </c>
      <c r="L536" s="10"/>
      <c r="M536" s="10" t="s">
        <v>1290</v>
      </c>
      <c r="N536" s="7"/>
    </row>
    <row r="537" s="1" customFormat="1" ht="28.5" customHeight="1" spans="1:14">
      <c r="A537" s="8">
        <v>5004</v>
      </c>
      <c r="B537" s="9">
        <v>500401</v>
      </c>
      <c r="C537" s="9" t="s">
        <v>35</v>
      </c>
      <c r="D537" s="9">
        <v>2000</v>
      </c>
      <c r="E537" s="9">
        <v>31500401</v>
      </c>
      <c r="F537" s="9">
        <v>31500101</v>
      </c>
      <c r="G537" s="10" t="s">
        <v>1301</v>
      </c>
      <c r="H537" s="10" t="s">
        <v>563</v>
      </c>
      <c r="I537" s="10" t="s">
        <v>1287</v>
      </c>
      <c r="J537" s="9">
        <v>530</v>
      </c>
      <c r="K537" s="10" t="s">
        <v>1302</v>
      </c>
      <c r="L537" s="10" t="s">
        <v>268</v>
      </c>
      <c r="M537" s="10" t="s">
        <v>1238</v>
      </c>
      <c r="N537" s="7"/>
    </row>
    <row r="538" s="1" customFormat="1" ht="28.5" customHeight="1" spans="1:14">
      <c r="A538" s="8">
        <v>5004</v>
      </c>
      <c r="B538" s="9">
        <v>500402</v>
      </c>
      <c r="C538" s="9" t="s">
        <v>35</v>
      </c>
      <c r="D538" s="9">
        <v>1000</v>
      </c>
      <c r="E538" s="9">
        <v>31500402</v>
      </c>
      <c r="F538" s="9">
        <v>31500101</v>
      </c>
      <c r="G538" s="10" t="s">
        <v>1376</v>
      </c>
      <c r="H538" s="10" t="s">
        <v>563</v>
      </c>
      <c r="I538" s="10" t="s">
        <v>1324</v>
      </c>
      <c r="J538" s="9">
        <v>531</v>
      </c>
      <c r="K538" s="10" t="s">
        <v>1377</v>
      </c>
      <c r="L538" s="10" t="s">
        <v>268</v>
      </c>
      <c r="M538" s="10" t="s">
        <v>1238</v>
      </c>
      <c r="N538" s="7"/>
    </row>
    <row r="539" s="1" customFormat="1" ht="28.5" customHeight="1" spans="1:14">
      <c r="A539" s="8">
        <v>5004</v>
      </c>
      <c r="B539" s="9">
        <v>500403</v>
      </c>
      <c r="C539" s="9" t="s">
        <v>35</v>
      </c>
      <c r="D539" s="9">
        <v>800</v>
      </c>
      <c r="E539" s="9">
        <v>31500403</v>
      </c>
      <c r="F539" s="9">
        <v>31500101</v>
      </c>
      <c r="G539" s="10" t="s">
        <v>1378</v>
      </c>
      <c r="H539" s="10" t="s">
        <v>563</v>
      </c>
      <c r="I539" s="10" t="s">
        <v>1327</v>
      </c>
      <c r="J539" s="9">
        <v>532</v>
      </c>
      <c r="K539" s="10" t="s">
        <v>1379</v>
      </c>
      <c r="L539" s="10" t="s">
        <v>268</v>
      </c>
      <c r="M539" s="10" t="s">
        <v>1238</v>
      </c>
      <c r="N539" s="7"/>
    </row>
    <row r="540" s="1" customFormat="1" ht="28.5" customHeight="1" spans="1:14">
      <c r="A540" s="8">
        <v>5004</v>
      </c>
      <c r="B540" s="9">
        <v>500404</v>
      </c>
      <c r="C540" s="9" t="s">
        <v>35</v>
      </c>
      <c r="D540" s="9">
        <v>600</v>
      </c>
      <c r="E540" s="9">
        <v>31500404</v>
      </c>
      <c r="F540" s="9">
        <v>31500101</v>
      </c>
      <c r="G540" s="10" t="s">
        <v>1380</v>
      </c>
      <c r="H540" s="10" t="s">
        <v>563</v>
      </c>
      <c r="I540" s="10" t="s">
        <v>1330</v>
      </c>
      <c r="J540" s="9">
        <v>533</v>
      </c>
      <c r="K540" s="10" t="s">
        <v>1381</v>
      </c>
      <c r="L540" s="10" t="s">
        <v>268</v>
      </c>
      <c r="M540" s="10" t="s">
        <v>1238</v>
      </c>
      <c r="N540" s="7"/>
    </row>
    <row r="541" s="1" customFormat="1" ht="28.5" customHeight="1" spans="1:14">
      <c r="A541" s="8">
        <v>5004</v>
      </c>
      <c r="B541" s="9">
        <v>500405</v>
      </c>
      <c r="C541" s="9" t="s">
        <v>35</v>
      </c>
      <c r="D541" s="9">
        <v>400</v>
      </c>
      <c r="E541" s="9">
        <v>31500405</v>
      </c>
      <c r="F541" s="9">
        <v>31500101</v>
      </c>
      <c r="G541" s="10" t="s">
        <v>1382</v>
      </c>
      <c r="H541" s="10" t="s">
        <v>563</v>
      </c>
      <c r="I541" s="10" t="s">
        <v>1333</v>
      </c>
      <c r="J541" s="9">
        <v>534</v>
      </c>
      <c r="K541" s="10" t="s">
        <v>1383</v>
      </c>
      <c r="L541" s="10" t="s">
        <v>268</v>
      </c>
      <c r="M541" s="10" t="s">
        <v>1238</v>
      </c>
      <c r="N541" s="7"/>
    </row>
    <row r="542" s="1" customFormat="1" ht="28.5" customHeight="1" spans="1:14">
      <c r="A542" s="8">
        <v>5004</v>
      </c>
      <c r="B542" s="9">
        <v>500406</v>
      </c>
      <c r="C542" s="9" t="s">
        <v>35</v>
      </c>
      <c r="D542" s="9">
        <v>200</v>
      </c>
      <c r="E542" s="9">
        <v>31500406</v>
      </c>
      <c r="F542" s="9">
        <v>31500101</v>
      </c>
      <c r="G542" s="10" t="s">
        <v>1384</v>
      </c>
      <c r="H542" s="10" t="s">
        <v>563</v>
      </c>
      <c r="I542" s="10" t="s">
        <v>1336</v>
      </c>
      <c r="J542" s="9">
        <v>535</v>
      </c>
      <c r="K542" s="10" t="s">
        <v>1385</v>
      </c>
      <c r="L542" s="10" t="s">
        <v>268</v>
      </c>
      <c r="M542" s="10" t="s">
        <v>1238</v>
      </c>
      <c r="N542" s="7"/>
    </row>
    <row r="543" s="1" customFormat="1" ht="28.5" customHeight="1" spans="1:14">
      <c r="A543" s="8">
        <v>5004</v>
      </c>
      <c r="B543" s="9">
        <v>500407</v>
      </c>
      <c r="C543" s="9" t="s">
        <v>35</v>
      </c>
      <c r="D543" s="9">
        <v>2000</v>
      </c>
      <c r="E543" s="9">
        <v>31500407</v>
      </c>
      <c r="F543" s="9">
        <v>31500107</v>
      </c>
      <c r="G543" s="10" t="s">
        <v>1803</v>
      </c>
      <c r="H543" s="10" t="s">
        <v>563</v>
      </c>
      <c r="I543" s="10"/>
      <c r="J543" s="9">
        <v>536</v>
      </c>
      <c r="K543" s="10" t="s">
        <v>1804</v>
      </c>
      <c r="L543" s="10" t="s">
        <v>402</v>
      </c>
      <c r="M543" s="10" t="s">
        <v>1238</v>
      </c>
      <c r="N543" s="7"/>
    </row>
    <row r="544" s="1" customFormat="1" ht="28.5" customHeight="1" spans="1:14">
      <c r="A544" s="8">
        <v>5004</v>
      </c>
      <c r="B544" s="9">
        <v>500408</v>
      </c>
      <c r="C544" s="9" t="s">
        <v>35</v>
      </c>
      <c r="D544" s="9">
        <v>1000</v>
      </c>
      <c r="E544" s="9">
        <v>31500408</v>
      </c>
      <c r="F544" s="9">
        <v>31500107</v>
      </c>
      <c r="G544" s="10" t="s">
        <v>1789</v>
      </c>
      <c r="H544" s="10" t="s">
        <v>563</v>
      </c>
      <c r="I544" s="10"/>
      <c r="J544" s="9">
        <v>537</v>
      </c>
      <c r="K544" s="10" t="s">
        <v>1790</v>
      </c>
      <c r="L544" s="10" t="s">
        <v>402</v>
      </c>
      <c r="M544" s="10" t="s">
        <v>1238</v>
      </c>
      <c r="N544" s="7"/>
    </row>
    <row r="545" s="1" customFormat="1" ht="28.5" customHeight="1" spans="1:14">
      <c r="A545" s="8">
        <v>5004</v>
      </c>
      <c r="B545" s="9">
        <v>500409</v>
      </c>
      <c r="C545" s="9" t="s">
        <v>35</v>
      </c>
      <c r="D545" s="9">
        <v>800</v>
      </c>
      <c r="E545" s="9">
        <v>31500409</v>
      </c>
      <c r="F545" s="9">
        <v>31500107</v>
      </c>
      <c r="G545" s="10" t="s">
        <v>1805</v>
      </c>
      <c r="H545" s="10" t="s">
        <v>563</v>
      </c>
      <c r="I545" s="10"/>
      <c r="J545" s="9">
        <v>538</v>
      </c>
      <c r="K545" s="10" t="s">
        <v>1806</v>
      </c>
      <c r="L545" s="10" t="s">
        <v>402</v>
      </c>
      <c r="M545" s="10" t="s">
        <v>1238</v>
      </c>
      <c r="N545" s="7"/>
    </row>
    <row r="546" s="1" customFormat="1" ht="28.5" customHeight="1" spans="1:14">
      <c r="A546" s="8">
        <v>5004</v>
      </c>
      <c r="B546" s="9">
        <v>500410</v>
      </c>
      <c r="C546" s="9" t="s">
        <v>35</v>
      </c>
      <c r="D546" s="9">
        <v>600</v>
      </c>
      <c r="E546" s="9">
        <v>31500410</v>
      </c>
      <c r="F546" s="9">
        <v>31500107</v>
      </c>
      <c r="G546" s="10" t="s">
        <v>1791</v>
      </c>
      <c r="H546" s="10" t="s">
        <v>563</v>
      </c>
      <c r="I546" s="10"/>
      <c r="J546" s="9">
        <v>539</v>
      </c>
      <c r="K546" s="10" t="s">
        <v>1792</v>
      </c>
      <c r="L546" s="10" t="s">
        <v>402</v>
      </c>
      <c r="M546" s="10" t="s">
        <v>1238</v>
      </c>
      <c r="N546" s="7"/>
    </row>
    <row r="547" s="1" customFormat="1" ht="28.5" customHeight="1" spans="1:14">
      <c r="A547" s="8">
        <v>5004</v>
      </c>
      <c r="B547" s="9">
        <v>500411</v>
      </c>
      <c r="C547" s="9" t="s">
        <v>35</v>
      </c>
      <c r="D547" s="9">
        <v>400</v>
      </c>
      <c r="E547" s="9">
        <v>31500411</v>
      </c>
      <c r="F547" s="9">
        <v>31500107</v>
      </c>
      <c r="G547" s="10" t="s">
        <v>1807</v>
      </c>
      <c r="H547" s="10" t="s">
        <v>563</v>
      </c>
      <c r="I547" s="10"/>
      <c r="J547" s="9">
        <v>540</v>
      </c>
      <c r="K547" s="10" t="s">
        <v>1808</v>
      </c>
      <c r="L547" s="10" t="s">
        <v>402</v>
      </c>
      <c r="M547" s="10" t="s">
        <v>1238</v>
      </c>
      <c r="N547" s="7"/>
    </row>
    <row r="548" s="1" customFormat="1" ht="28.5" customHeight="1" spans="1:14">
      <c r="A548" s="8">
        <v>5004</v>
      </c>
      <c r="B548" s="9">
        <v>500412</v>
      </c>
      <c r="C548" s="9" t="s">
        <v>35</v>
      </c>
      <c r="D548" s="9">
        <v>3000</v>
      </c>
      <c r="E548" s="9">
        <v>31500412</v>
      </c>
      <c r="F548" s="9">
        <v>31500112</v>
      </c>
      <c r="G548" s="10" t="s">
        <v>1396</v>
      </c>
      <c r="H548" s="10" t="s">
        <v>563</v>
      </c>
      <c r="I548" s="10"/>
      <c r="J548" s="9">
        <v>541</v>
      </c>
      <c r="K548" s="10" t="s">
        <v>1397</v>
      </c>
      <c r="L548" s="10" t="s">
        <v>267</v>
      </c>
      <c r="M548" s="10" t="s">
        <v>1238</v>
      </c>
      <c r="N548" s="7"/>
    </row>
    <row r="549" s="1" customFormat="1" ht="28.5" customHeight="1" spans="1:14">
      <c r="A549" s="8">
        <v>5004</v>
      </c>
      <c r="B549" s="9">
        <v>500413</v>
      </c>
      <c r="C549" s="9" t="s">
        <v>35</v>
      </c>
      <c r="D549" s="9">
        <v>2500</v>
      </c>
      <c r="E549" s="9">
        <v>31500413</v>
      </c>
      <c r="F549" s="9">
        <v>31500112</v>
      </c>
      <c r="G549" s="10" t="s">
        <v>1398</v>
      </c>
      <c r="H549" s="10" t="s">
        <v>563</v>
      </c>
      <c r="I549" s="10"/>
      <c r="J549" s="9">
        <v>542</v>
      </c>
      <c r="K549" s="10" t="s">
        <v>1399</v>
      </c>
      <c r="L549" s="10" t="s">
        <v>267</v>
      </c>
      <c r="M549" s="10" t="s">
        <v>1238</v>
      </c>
      <c r="N549" s="7"/>
    </row>
    <row r="550" s="1" customFormat="1" ht="28.5" customHeight="1" spans="1:14">
      <c r="A550" s="8">
        <v>5004</v>
      </c>
      <c r="B550" s="9">
        <v>500414</v>
      </c>
      <c r="C550" s="9" t="s">
        <v>35</v>
      </c>
      <c r="D550" s="9">
        <v>2000</v>
      </c>
      <c r="E550" s="9">
        <v>31500414</v>
      </c>
      <c r="F550" s="9">
        <v>31500112</v>
      </c>
      <c r="G550" s="10" t="s">
        <v>1400</v>
      </c>
      <c r="H550" s="10" t="s">
        <v>563</v>
      </c>
      <c r="I550" s="10"/>
      <c r="J550" s="9">
        <v>543</v>
      </c>
      <c r="K550" s="10" t="s">
        <v>1401</v>
      </c>
      <c r="L550" s="10" t="s">
        <v>267</v>
      </c>
      <c r="M550" s="10" t="s">
        <v>1238</v>
      </c>
      <c r="N550" s="7"/>
    </row>
    <row r="551" s="1" customFormat="1" ht="28.5" customHeight="1" spans="1:14">
      <c r="A551" s="8">
        <v>5004</v>
      </c>
      <c r="B551" s="9">
        <v>500415</v>
      </c>
      <c r="C551" s="9" t="s">
        <v>35</v>
      </c>
      <c r="D551" s="9">
        <v>1500</v>
      </c>
      <c r="E551" s="9">
        <v>31500415</v>
      </c>
      <c r="F551" s="9">
        <v>31500112</v>
      </c>
      <c r="G551" s="10" t="s">
        <v>1402</v>
      </c>
      <c r="H551" s="10" t="s">
        <v>563</v>
      </c>
      <c r="I551" s="10"/>
      <c r="J551" s="9">
        <v>544</v>
      </c>
      <c r="K551" s="10" t="s">
        <v>1403</v>
      </c>
      <c r="L551" s="10" t="s">
        <v>267</v>
      </c>
      <c r="M551" s="10" t="s">
        <v>1238</v>
      </c>
      <c r="N551" s="7"/>
    </row>
    <row r="552" s="1" customFormat="1" ht="28.5" customHeight="1" spans="1:14">
      <c r="A552" s="8">
        <v>5004</v>
      </c>
      <c r="B552" s="9">
        <v>500416</v>
      </c>
      <c r="C552" s="9" t="s">
        <v>35</v>
      </c>
      <c r="D552" s="9">
        <v>1000</v>
      </c>
      <c r="E552" s="9">
        <v>31500416</v>
      </c>
      <c r="F552" s="9">
        <v>31500112</v>
      </c>
      <c r="G552" s="10" t="s">
        <v>1404</v>
      </c>
      <c r="H552" s="10" t="s">
        <v>563</v>
      </c>
      <c r="I552" s="10"/>
      <c r="J552" s="9">
        <v>545</v>
      </c>
      <c r="K552" s="10" t="s">
        <v>1405</v>
      </c>
      <c r="L552" s="10" t="s">
        <v>267</v>
      </c>
      <c r="M552" s="10" t="s">
        <v>1238</v>
      </c>
      <c r="N552" s="7"/>
    </row>
    <row r="553" s="1" customFormat="1" ht="28.5" customHeight="1" spans="1:14">
      <c r="A553" s="8">
        <v>5004</v>
      </c>
      <c r="B553" s="9">
        <v>500417</v>
      </c>
      <c r="C553" s="9" t="s">
        <v>35</v>
      </c>
      <c r="D553" s="9">
        <v>2000</v>
      </c>
      <c r="E553" s="9">
        <v>31500417</v>
      </c>
      <c r="F553" s="9">
        <v>31500117</v>
      </c>
      <c r="G553" s="10" t="s">
        <v>1809</v>
      </c>
      <c r="H553" s="10" t="s">
        <v>563</v>
      </c>
      <c r="I553" s="10" t="s">
        <v>1407</v>
      </c>
      <c r="J553" s="9">
        <v>546</v>
      </c>
      <c r="K553" s="10" t="s">
        <v>1810</v>
      </c>
      <c r="L553" s="10" t="s">
        <v>403</v>
      </c>
      <c r="M553" s="10" t="s">
        <v>1238</v>
      </c>
      <c r="N553" s="7"/>
    </row>
    <row r="554" s="1" customFormat="1" ht="28.5" customHeight="1" spans="1:14">
      <c r="A554" s="8">
        <v>5004</v>
      </c>
      <c r="B554" s="9">
        <v>500418</v>
      </c>
      <c r="C554" s="9" t="s">
        <v>35</v>
      </c>
      <c r="D554" s="9">
        <v>1000</v>
      </c>
      <c r="E554" s="9">
        <v>31500418</v>
      </c>
      <c r="F554" s="9">
        <v>31500117</v>
      </c>
      <c r="G554" s="10" t="s">
        <v>1797</v>
      </c>
      <c r="H554" s="10" t="s">
        <v>563</v>
      </c>
      <c r="I554" s="10" t="s">
        <v>1368</v>
      </c>
      <c r="J554" s="9">
        <v>547</v>
      </c>
      <c r="K554" s="10" t="s">
        <v>1798</v>
      </c>
      <c r="L554" s="10" t="s">
        <v>403</v>
      </c>
      <c r="M554" s="10" t="s">
        <v>1238</v>
      </c>
      <c r="N554" s="7"/>
    </row>
    <row r="555" s="1" customFormat="1" ht="28.5" customHeight="1" spans="1:14">
      <c r="A555" s="8">
        <v>5004</v>
      </c>
      <c r="B555" s="9">
        <v>500419</v>
      </c>
      <c r="C555" s="9" t="s">
        <v>35</v>
      </c>
      <c r="D555" s="9">
        <v>800</v>
      </c>
      <c r="E555" s="9">
        <v>31500419</v>
      </c>
      <c r="F555" s="9">
        <v>31500117</v>
      </c>
      <c r="G555" s="10" t="s">
        <v>1799</v>
      </c>
      <c r="H555" s="10" t="s">
        <v>563</v>
      </c>
      <c r="I555" s="10" t="s">
        <v>1371</v>
      </c>
      <c r="J555" s="9">
        <v>548</v>
      </c>
      <c r="K555" s="10" t="s">
        <v>1800</v>
      </c>
      <c r="L555" s="10" t="s">
        <v>403</v>
      </c>
      <c r="M555" s="10" t="s">
        <v>1238</v>
      </c>
      <c r="N555" s="7"/>
    </row>
    <row r="556" s="1" customFormat="1" ht="28.5" customHeight="1" spans="1:14">
      <c r="A556" s="8">
        <v>5004</v>
      </c>
      <c r="B556" s="9">
        <v>500420</v>
      </c>
      <c r="C556" s="9" t="s">
        <v>35</v>
      </c>
      <c r="D556" s="9">
        <v>600</v>
      </c>
      <c r="E556" s="9">
        <v>31500420</v>
      </c>
      <c r="F556" s="9">
        <v>31500117</v>
      </c>
      <c r="G556" s="10" t="s">
        <v>1799</v>
      </c>
      <c r="H556" s="10" t="s">
        <v>563</v>
      </c>
      <c r="I556" s="10" t="s">
        <v>1371</v>
      </c>
      <c r="J556" s="9">
        <v>549</v>
      </c>
      <c r="K556" s="10" t="s">
        <v>1800</v>
      </c>
      <c r="L556" s="10" t="s">
        <v>403</v>
      </c>
      <c r="M556" s="10" t="s">
        <v>1238</v>
      </c>
      <c r="N556" s="7"/>
    </row>
    <row r="557" s="1" customFormat="1" ht="28.5" customHeight="1" spans="1:14">
      <c r="A557" s="8">
        <v>5004</v>
      </c>
      <c r="B557" s="9">
        <v>500421</v>
      </c>
      <c r="C557" s="9" t="s">
        <v>35</v>
      </c>
      <c r="D557" s="9">
        <v>400</v>
      </c>
      <c r="E557" s="9">
        <v>31500421</v>
      </c>
      <c r="F557" s="9">
        <v>31500117</v>
      </c>
      <c r="G557" s="10" t="s">
        <v>1801</v>
      </c>
      <c r="H557" s="10" t="s">
        <v>563</v>
      </c>
      <c r="I557" s="10" t="s">
        <v>1374</v>
      </c>
      <c r="J557" s="9">
        <v>550</v>
      </c>
      <c r="K557" s="10" t="s">
        <v>1802</v>
      </c>
      <c r="L557" s="10" t="s">
        <v>403</v>
      </c>
      <c r="M557" s="10" t="s">
        <v>1238</v>
      </c>
      <c r="N557" s="7"/>
    </row>
    <row r="558" s="1" customFormat="1" ht="28.5" customHeight="1" spans="1:14">
      <c r="A558" s="8">
        <v>5004</v>
      </c>
      <c r="B558" s="9">
        <v>500422</v>
      </c>
      <c r="C558" s="9" t="s">
        <v>35</v>
      </c>
      <c r="D558" s="9">
        <v>200</v>
      </c>
      <c r="E558" s="9">
        <v>31500422</v>
      </c>
      <c r="F558" s="9">
        <v>31500117</v>
      </c>
      <c r="G558" s="10" t="s">
        <v>1811</v>
      </c>
      <c r="H558" s="10" t="s">
        <v>563</v>
      </c>
      <c r="I558" s="10" t="s">
        <v>1410</v>
      </c>
      <c r="J558" s="9">
        <v>551</v>
      </c>
      <c r="K558" s="10" t="s">
        <v>1812</v>
      </c>
      <c r="L558" s="10" t="s">
        <v>403</v>
      </c>
      <c r="M558" s="10" t="s">
        <v>1238</v>
      </c>
      <c r="N558" s="7"/>
    </row>
    <row r="559" s="1" customFormat="1" ht="28.5" customHeight="1" spans="1:14">
      <c r="A559" s="8"/>
      <c r="B559" s="9"/>
      <c r="C559" s="9"/>
      <c r="D559" s="9"/>
      <c r="E559" s="9"/>
      <c r="F559" s="9"/>
      <c r="G559" s="10"/>
      <c r="H559" s="10"/>
      <c r="I559" s="10" t="s">
        <v>1289</v>
      </c>
      <c r="J559" s="9">
        <v>552</v>
      </c>
      <c r="K559" s="10" t="s">
        <v>1289</v>
      </c>
      <c r="L559" s="10"/>
      <c r="M559" s="10" t="s">
        <v>1290</v>
      </c>
      <c r="N559" s="7"/>
    </row>
    <row r="560" s="1" customFormat="1" ht="28.5" customHeight="1" spans="1:14">
      <c r="A560" s="8">
        <v>5005</v>
      </c>
      <c r="B560" s="9">
        <v>500501</v>
      </c>
      <c r="C560" s="9" t="s">
        <v>36</v>
      </c>
      <c r="D560" s="9">
        <v>2000</v>
      </c>
      <c r="E560" s="9">
        <v>31500501</v>
      </c>
      <c r="F560" s="9">
        <v>31500101</v>
      </c>
      <c r="G560" s="10" t="s">
        <v>1384</v>
      </c>
      <c r="H560" s="10" t="s">
        <v>563</v>
      </c>
      <c r="I560" s="10" t="s">
        <v>1336</v>
      </c>
      <c r="J560" s="9">
        <v>553</v>
      </c>
      <c r="K560" s="10" t="s">
        <v>1385</v>
      </c>
      <c r="L560" s="10" t="s">
        <v>276</v>
      </c>
      <c r="M560" s="10" t="s">
        <v>1238</v>
      </c>
      <c r="N560" s="7"/>
    </row>
    <row r="561" s="1" customFormat="1" ht="28.5" customHeight="1" spans="1:14">
      <c r="A561" s="8">
        <v>5005</v>
      </c>
      <c r="B561" s="9">
        <v>500502</v>
      </c>
      <c r="C561" s="9" t="s">
        <v>36</v>
      </c>
      <c r="D561" s="9">
        <v>1000</v>
      </c>
      <c r="E561" s="9">
        <v>31500502</v>
      </c>
      <c r="F561" s="9">
        <v>31500101</v>
      </c>
      <c r="G561" s="10" t="s">
        <v>1412</v>
      </c>
      <c r="H561" s="10" t="s">
        <v>563</v>
      </c>
      <c r="I561" s="10" t="s">
        <v>1362</v>
      </c>
      <c r="J561" s="9">
        <v>554</v>
      </c>
      <c r="K561" s="10" t="s">
        <v>1413</v>
      </c>
      <c r="L561" s="10" t="s">
        <v>276</v>
      </c>
      <c r="M561" s="10" t="s">
        <v>1238</v>
      </c>
      <c r="N561" s="7"/>
    </row>
    <row r="562" s="1" customFormat="1" ht="28.5" customHeight="1" spans="1:14">
      <c r="A562" s="8">
        <v>5005</v>
      </c>
      <c r="B562" s="9">
        <v>500503</v>
      </c>
      <c r="C562" s="9" t="s">
        <v>36</v>
      </c>
      <c r="D562" s="9">
        <v>800</v>
      </c>
      <c r="E562" s="9">
        <v>31500503</v>
      </c>
      <c r="F562" s="9">
        <v>31500101</v>
      </c>
      <c r="G562" s="10" t="s">
        <v>1414</v>
      </c>
      <c r="H562" s="10" t="s">
        <v>563</v>
      </c>
      <c r="I562" s="10" t="s">
        <v>1365</v>
      </c>
      <c r="J562" s="9">
        <v>555</v>
      </c>
      <c r="K562" s="10" t="s">
        <v>1415</v>
      </c>
      <c r="L562" s="10" t="s">
        <v>276</v>
      </c>
      <c r="M562" s="10" t="s">
        <v>1238</v>
      </c>
      <c r="N562" s="7"/>
    </row>
    <row r="563" s="1" customFormat="1" ht="28.5" customHeight="1" spans="1:14">
      <c r="A563" s="8">
        <v>5005</v>
      </c>
      <c r="B563" s="9">
        <v>500504</v>
      </c>
      <c r="C563" s="9" t="s">
        <v>36</v>
      </c>
      <c r="D563" s="9">
        <v>600</v>
      </c>
      <c r="E563" s="9">
        <v>31500504</v>
      </c>
      <c r="F563" s="9">
        <v>31500101</v>
      </c>
      <c r="G563" s="10" t="s">
        <v>1416</v>
      </c>
      <c r="H563" s="10" t="s">
        <v>563</v>
      </c>
      <c r="I563" s="10" t="s">
        <v>1368</v>
      </c>
      <c r="J563" s="9">
        <v>556</v>
      </c>
      <c r="K563" s="10" t="s">
        <v>1417</v>
      </c>
      <c r="L563" s="10" t="s">
        <v>276</v>
      </c>
      <c r="M563" s="10" t="s">
        <v>1238</v>
      </c>
      <c r="N563" s="7"/>
    </row>
    <row r="564" s="1" customFormat="1" ht="28.5" customHeight="1" spans="1:14">
      <c r="A564" s="8">
        <v>5005</v>
      </c>
      <c r="B564" s="9">
        <v>500505</v>
      </c>
      <c r="C564" s="9" t="s">
        <v>36</v>
      </c>
      <c r="D564" s="9">
        <v>400</v>
      </c>
      <c r="E564" s="9">
        <v>31500505</v>
      </c>
      <c r="F564" s="9">
        <v>31500101</v>
      </c>
      <c r="G564" s="10" t="s">
        <v>1418</v>
      </c>
      <c r="H564" s="10" t="s">
        <v>563</v>
      </c>
      <c r="I564" s="10" t="s">
        <v>1371</v>
      </c>
      <c r="J564" s="9">
        <v>557</v>
      </c>
      <c r="K564" s="10" t="s">
        <v>1419</v>
      </c>
      <c r="L564" s="10" t="s">
        <v>276</v>
      </c>
      <c r="M564" s="10" t="s">
        <v>1238</v>
      </c>
      <c r="N564" s="7"/>
    </row>
    <row r="565" s="1" customFormat="1" ht="28.5" customHeight="1" spans="1:14">
      <c r="A565" s="8">
        <v>5005</v>
      </c>
      <c r="B565" s="9">
        <v>500506</v>
      </c>
      <c r="C565" s="9" t="s">
        <v>36</v>
      </c>
      <c r="D565" s="9">
        <v>200</v>
      </c>
      <c r="E565" s="9">
        <v>31500506</v>
      </c>
      <c r="F565" s="9">
        <v>31500101</v>
      </c>
      <c r="G565" s="10" t="s">
        <v>1420</v>
      </c>
      <c r="H565" s="10" t="s">
        <v>563</v>
      </c>
      <c r="I565" s="10" t="s">
        <v>1374</v>
      </c>
      <c r="J565" s="9">
        <v>558</v>
      </c>
      <c r="K565" s="10" t="s">
        <v>1421</v>
      </c>
      <c r="L565" s="10" t="s">
        <v>276</v>
      </c>
      <c r="M565" s="10" t="s">
        <v>1238</v>
      </c>
      <c r="N565" s="7"/>
    </row>
    <row r="566" s="1" customFormat="1" ht="28.5" customHeight="1" spans="1:14">
      <c r="A566" s="8">
        <v>5005</v>
      </c>
      <c r="B566" s="9">
        <v>500507</v>
      </c>
      <c r="C566" s="9" t="s">
        <v>36</v>
      </c>
      <c r="D566" s="9">
        <v>2000</v>
      </c>
      <c r="E566" s="9">
        <v>31500507</v>
      </c>
      <c r="F566" s="9">
        <v>31500107</v>
      </c>
      <c r="G566" s="10" t="s">
        <v>1813</v>
      </c>
      <c r="H566" s="10" t="s">
        <v>563</v>
      </c>
      <c r="I566" s="10"/>
      <c r="J566" s="9">
        <v>559</v>
      </c>
      <c r="K566" s="10" t="s">
        <v>1814</v>
      </c>
      <c r="L566" s="10" t="s">
        <v>407</v>
      </c>
      <c r="M566" s="10" t="s">
        <v>1238</v>
      </c>
      <c r="N566" s="7"/>
    </row>
    <row r="567" s="1" customFormat="1" ht="28.5" customHeight="1" spans="1:14">
      <c r="A567" s="8">
        <v>5005</v>
      </c>
      <c r="B567" s="9">
        <v>500508</v>
      </c>
      <c r="C567" s="9" t="s">
        <v>36</v>
      </c>
      <c r="D567" s="9">
        <v>1000</v>
      </c>
      <c r="E567" s="9">
        <v>31500508</v>
      </c>
      <c r="F567" s="9">
        <v>31500107</v>
      </c>
      <c r="G567" s="10" t="s">
        <v>1815</v>
      </c>
      <c r="H567" s="10" t="s">
        <v>563</v>
      </c>
      <c r="I567" s="10"/>
      <c r="J567" s="9">
        <v>560</v>
      </c>
      <c r="K567" s="10" t="s">
        <v>1816</v>
      </c>
      <c r="L567" s="10" t="s">
        <v>407</v>
      </c>
      <c r="M567" s="10" t="s">
        <v>1238</v>
      </c>
      <c r="N567" s="7"/>
    </row>
    <row r="568" s="1" customFormat="1" ht="28.5" customHeight="1" spans="1:14">
      <c r="A568" s="8">
        <v>5005</v>
      </c>
      <c r="B568" s="9">
        <v>500509</v>
      </c>
      <c r="C568" s="9" t="s">
        <v>36</v>
      </c>
      <c r="D568" s="9">
        <v>800</v>
      </c>
      <c r="E568" s="9">
        <v>31500509</v>
      </c>
      <c r="F568" s="9">
        <v>31500107</v>
      </c>
      <c r="G568" s="10" t="s">
        <v>1817</v>
      </c>
      <c r="H568" s="10" t="s">
        <v>563</v>
      </c>
      <c r="I568" s="10"/>
      <c r="J568" s="9">
        <v>561</v>
      </c>
      <c r="K568" s="10" t="s">
        <v>1818</v>
      </c>
      <c r="L568" s="10" t="s">
        <v>407</v>
      </c>
      <c r="M568" s="10" t="s">
        <v>1238</v>
      </c>
      <c r="N568" s="7"/>
    </row>
    <row r="569" s="1" customFormat="1" ht="28.5" customHeight="1" spans="1:14">
      <c r="A569" s="8">
        <v>5005</v>
      </c>
      <c r="B569" s="9">
        <v>500510</v>
      </c>
      <c r="C569" s="9" t="s">
        <v>36</v>
      </c>
      <c r="D569" s="9">
        <v>600</v>
      </c>
      <c r="E569" s="9">
        <v>31500510</v>
      </c>
      <c r="F569" s="9">
        <v>31500107</v>
      </c>
      <c r="G569" s="10" t="s">
        <v>1819</v>
      </c>
      <c r="H569" s="10" t="s">
        <v>563</v>
      </c>
      <c r="I569" s="10"/>
      <c r="J569" s="9">
        <v>562</v>
      </c>
      <c r="K569" s="10" t="s">
        <v>1820</v>
      </c>
      <c r="L569" s="10" t="s">
        <v>407</v>
      </c>
      <c r="M569" s="10" t="s">
        <v>1238</v>
      </c>
      <c r="N569" s="7"/>
    </row>
    <row r="570" s="1" customFormat="1" ht="28.5" customHeight="1" spans="1:14">
      <c r="A570" s="8">
        <v>5005</v>
      </c>
      <c r="B570" s="9">
        <v>500511</v>
      </c>
      <c r="C570" s="9" t="s">
        <v>36</v>
      </c>
      <c r="D570" s="9">
        <v>400</v>
      </c>
      <c r="E570" s="9">
        <v>31500511</v>
      </c>
      <c r="F570" s="9">
        <v>31500107</v>
      </c>
      <c r="G570" s="10" t="s">
        <v>1821</v>
      </c>
      <c r="H570" s="10" t="s">
        <v>563</v>
      </c>
      <c r="I570" s="10"/>
      <c r="J570" s="9">
        <v>563</v>
      </c>
      <c r="K570" s="10" t="s">
        <v>1822</v>
      </c>
      <c r="L570" s="10" t="s">
        <v>407</v>
      </c>
      <c r="M570" s="10" t="s">
        <v>1238</v>
      </c>
      <c r="N570" s="7"/>
    </row>
    <row r="571" s="1" customFormat="1" ht="28.5" customHeight="1" spans="1:14">
      <c r="A571" s="8">
        <v>5005</v>
      </c>
      <c r="B571" s="9">
        <v>500512</v>
      </c>
      <c r="C571" s="9" t="s">
        <v>36</v>
      </c>
      <c r="D571" s="9">
        <v>3000</v>
      </c>
      <c r="E571" s="9">
        <v>31500512</v>
      </c>
      <c r="F571" s="9">
        <v>31500112</v>
      </c>
      <c r="G571" s="10" t="s">
        <v>1432</v>
      </c>
      <c r="H571" s="10" t="s">
        <v>563</v>
      </c>
      <c r="I571" s="10"/>
      <c r="J571" s="9">
        <v>564</v>
      </c>
      <c r="K571" s="10" t="s">
        <v>1433</v>
      </c>
      <c r="L571" s="10" t="s">
        <v>275</v>
      </c>
      <c r="M571" s="10" t="s">
        <v>1238</v>
      </c>
      <c r="N571" s="7"/>
    </row>
    <row r="572" s="1" customFormat="1" ht="28.5" customHeight="1" spans="1:14">
      <c r="A572" s="8">
        <v>5005</v>
      </c>
      <c r="B572" s="9">
        <v>500513</v>
      </c>
      <c r="C572" s="9" t="s">
        <v>36</v>
      </c>
      <c r="D572" s="9">
        <v>2500</v>
      </c>
      <c r="E572" s="9">
        <v>31500513</v>
      </c>
      <c r="F572" s="9">
        <v>31500112</v>
      </c>
      <c r="G572" s="10" t="s">
        <v>1434</v>
      </c>
      <c r="H572" s="10" t="s">
        <v>563</v>
      </c>
      <c r="I572" s="10"/>
      <c r="J572" s="9">
        <v>565</v>
      </c>
      <c r="K572" s="10" t="s">
        <v>1435</v>
      </c>
      <c r="L572" s="10" t="s">
        <v>275</v>
      </c>
      <c r="M572" s="10" t="s">
        <v>1238</v>
      </c>
      <c r="N572" s="7"/>
    </row>
    <row r="573" s="1" customFormat="1" ht="28.5" customHeight="1" spans="1:14">
      <c r="A573" s="8">
        <v>5005</v>
      </c>
      <c r="B573" s="9">
        <v>500514</v>
      </c>
      <c r="C573" s="9" t="s">
        <v>36</v>
      </c>
      <c r="D573" s="9">
        <v>2000</v>
      </c>
      <c r="E573" s="9">
        <v>31500514</v>
      </c>
      <c r="F573" s="9">
        <v>31500112</v>
      </c>
      <c r="G573" s="10" t="s">
        <v>1436</v>
      </c>
      <c r="H573" s="10" t="s">
        <v>563</v>
      </c>
      <c r="I573" s="10"/>
      <c r="J573" s="9">
        <v>566</v>
      </c>
      <c r="K573" s="10" t="s">
        <v>1437</v>
      </c>
      <c r="L573" s="10" t="s">
        <v>275</v>
      </c>
      <c r="M573" s="10" t="s">
        <v>1238</v>
      </c>
      <c r="N573" s="7"/>
    </row>
    <row r="574" s="1" customFormat="1" ht="28.5" customHeight="1" spans="1:14">
      <c r="A574" s="8">
        <v>5005</v>
      </c>
      <c r="B574" s="9">
        <v>500515</v>
      </c>
      <c r="C574" s="9" t="s">
        <v>36</v>
      </c>
      <c r="D574" s="9">
        <v>1500</v>
      </c>
      <c r="E574" s="9">
        <v>31500515</v>
      </c>
      <c r="F574" s="9">
        <v>31500112</v>
      </c>
      <c r="G574" s="10" t="s">
        <v>1438</v>
      </c>
      <c r="H574" s="10" t="s">
        <v>563</v>
      </c>
      <c r="I574" s="10"/>
      <c r="J574" s="9">
        <v>567</v>
      </c>
      <c r="K574" s="10" t="s">
        <v>1439</v>
      </c>
      <c r="L574" s="10" t="s">
        <v>275</v>
      </c>
      <c r="M574" s="10" t="s">
        <v>1238</v>
      </c>
      <c r="N574" s="7"/>
    </row>
    <row r="575" s="1" customFormat="1" ht="28.5" customHeight="1" spans="1:14">
      <c r="A575" s="8">
        <v>5005</v>
      </c>
      <c r="B575" s="9">
        <v>500516</v>
      </c>
      <c r="C575" s="9" t="s">
        <v>36</v>
      </c>
      <c r="D575" s="9">
        <v>1000</v>
      </c>
      <c r="E575" s="9">
        <v>31500516</v>
      </c>
      <c r="F575" s="9">
        <v>31500112</v>
      </c>
      <c r="G575" s="10" t="s">
        <v>1440</v>
      </c>
      <c r="H575" s="10" t="s">
        <v>563</v>
      </c>
      <c r="I575" s="10"/>
      <c r="J575" s="9">
        <v>568</v>
      </c>
      <c r="K575" s="10" t="s">
        <v>1441</v>
      </c>
      <c r="L575" s="10" t="s">
        <v>275</v>
      </c>
      <c r="M575" s="10" t="s">
        <v>1238</v>
      </c>
      <c r="N575" s="7"/>
    </row>
    <row r="576" s="1" customFormat="1" ht="28.5" customHeight="1" spans="1:14">
      <c r="A576" s="8">
        <v>5005</v>
      </c>
      <c r="B576" s="9">
        <v>500517</v>
      </c>
      <c r="C576" s="9" t="s">
        <v>36</v>
      </c>
      <c r="D576" s="9">
        <v>2000</v>
      </c>
      <c r="E576" s="9">
        <v>31500517</v>
      </c>
      <c r="F576" s="9">
        <v>31500117</v>
      </c>
      <c r="G576" s="10" t="s">
        <v>1811</v>
      </c>
      <c r="H576" s="10" t="s">
        <v>563</v>
      </c>
      <c r="I576" s="10" t="s">
        <v>1410</v>
      </c>
      <c r="J576" s="9">
        <v>569</v>
      </c>
      <c r="K576" s="10" t="s">
        <v>1812</v>
      </c>
      <c r="L576" s="10" t="s">
        <v>408</v>
      </c>
      <c r="M576" s="10" t="s">
        <v>1238</v>
      </c>
      <c r="N576" s="7"/>
    </row>
    <row r="577" s="1" customFormat="1" ht="28.5" customHeight="1" spans="1:14">
      <c r="A577" s="8">
        <v>5005</v>
      </c>
      <c r="B577" s="9">
        <v>500518</v>
      </c>
      <c r="C577" s="9" t="s">
        <v>36</v>
      </c>
      <c r="D577" s="9">
        <v>1000</v>
      </c>
      <c r="E577" s="9">
        <v>31500518</v>
      </c>
      <c r="F577" s="9">
        <v>31500117</v>
      </c>
      <c r="G577" s="10" t="s">
        <v>1823</v>
      </c>
      <c r="H577" s="10" t="s">
        <v>563</v>
      </c>
      <c r="I577" s="10" t="s">
        <v>1443</v>
      </c>
      <c r="J577" s="9">
        <v>570</v>
      </c>
      <c r="K577" s="10" t="s">
        <v>1824</v>
      </c>
      <c r="L577" s="10" t="s">
        <v>408</v>
      </c>
      <c r="M577" s="10" t="s">
        <v>1238</v>
      </c>
      <c r="N577" s="7"/>
    </row>
    <row r="578" s="1" customFormat="1" ht="28.5" customHeight="1" spans="1:14">
      <c r="A578" s="8">
        <v>5005</v>
      </c>
      <c r="B578" s="9">
        <v>500519</v>
      </c>
      <c r="C578" s="9" t="s">
        <v>36</v>
      </c>
      <c r="D578" s="9">
        <v>800</v>
      </c>
      <c r="E578" s="9">
        <v>31500519</v>
      </c>
      <c r="F578" s="9">
        <v>31500117</v>
      </c>
      <c r="G578" s="10" t="s">
        <v>1825</v>
      </c>
      <c r="H578" s="10" t="s">
        <v>563</v>
      </c>
      <c r="I578" s="10" t="s">
        <v>1446</v>
      </c>
      <c r="J578" s="9">
        <v>571</v>
      </c>
      <c r="K578" s="10" t="s">
        <v>1826</v>
      </c>
      <c r="L578" s="10" t="s">
        <v>408</v>
      </c>
      <c r="M578" s="10" t="s">
        <v>1238</v>
      </c>
      <c r="N578" s="7"/>
    </row>
    <row r="579" s="1" customFormat="1" ht="28.5" customHeight="1" spans="1:14">
      <c r="A579" s="8">
        <v>5005</v>
      </c>
      <c r="B579" s="9">
        <v>500520</v>
      </c>
      <c r="C579" s="9" t="s">
        <v>36</v>
      </c>
      <c r="D579" s="9">
        <v>600</v>
      </c>
      <c r="E579" s="9">
        <v>31500520</v>
      </c>
      <c r="F579" s="9">
        <v>31500117</v>
      </c>
      <c r="G579" s="10" t="s">
        <v>1827</v>
      </c>
      <c r="H579" s="10" t="s">
        <v>563</v>
      </c>
      <c r="I579" s="10" t="s">
        <v>1449</v>
      </c>
      <c r="J579" s="9">
        <v>572</v>
      </c>
      <c r="K579" s="10" t="s">
        <v>1828</v>
      </c>
      <c r="L579" s="10" t="s">
        <v>408</v>
      </c>
      <c r="M579" s="10" t="s">
        <v>1238</v>
      </c>
      <c r="N579" s="7"/>
    </row>
    <row r="580" s="1" customFormat="1" ht="28.5" customHeight="1" spans="1:14">
      <c r="A580" s="8">
        <v>5005</v>
      </c>
      <c r="B580" s="9">
        <v>500521</v>
      </c>
      <c r="C580" s="9" t="s">
        <v>36</v>
      </c>
      <c r="D580" s="9">
        <v>400</v>
      </c>
      <c r="E580" s="9">
        <v>31500521</v>
      </c>
      <c r="F580" s="9">
        <v>31500117</v>
      </c>
      <c r="G580" s="10" t="s">
        <v>1829</v>
      </c>
      <c r="H580" s="10" t="s">
        <v>563</v>
      </c>
      <c r="I580" s="10" t="s">
        <v>1452</v>
      </c>
      <c r="J580" s="9">
        <v>573</v>
      </c>
      <c r="K580" s="10" t="s">
        <v>1830</v>
      </c>
      <c r="L580" s="10" t="s">
        <v>408</v>
      </c>
      <c r="M580" s="10" t="s">
        <v>1238</v>
      </c>
      <c r="N580" s="7"/>
    </row>
    <row r="581" s="1" customFormat="1" ht="28.5" customHeight="1" spans="1:14">
      <c r="A581" s="8">
        <v>5005</v>
      </c>
      <c r="B581" s="9">
        <v>500522</v>
      </c>
      <c r="C581" s="9" t="s">
        <v>36</v>
      </c>
      <c r="D581" s="9">
        <v>200</v>
      </c>
      <c r="E581" s="9">
        <v>31500522</v>
      </c>
      <c r="F581" s="9">
        <v>31500117</v>
      </c>
      <c r="G581" s="10" t="s">
        <v>1831</v>
      </c>
      <c r="H581" s="10" t="s">
        <v>563</v>
      </c>
      <c r="I581" s="10"/>
      <c r="J581" s="9">
        <v>574</v>
      </c>
      <c r="K581" s="10" t="s">
        <v>1832</v>
      </c>
      <c r="L581" s="10" t="s">
        <v>408</v>
      </c>
      <c r="M581" s="10" t="s">
        <v>1238</v>
      </c>
      <c r="N581" s="7"/>
    </row>
    <row r="582" s="1" customFormat="1" ht="28.5" customHeight="1" spans="1:14">
      <c r="A582" s="8"/>
      <c r="B582" s="9"/>
      <c r="C582" s="9"/>
      <c r="D582" s="9"/>
      <c r="E582" s="9"/>
      <c r="F582" s="9"/>
      <c r="G582" s="10"/>
      <c r="H582" s="10"/>
      <c r="I582" s="10" t="s">
        <v>1289</v>
      </c>
      <c r="J582" s="9"/>
      <c r="K582" s="10"/>
      <c r="L582" s="10"/>
      <c r="M582" s="10" t="s">
        <v>1290</v>
      </c>
      <c r="N582" s="7"/>
    </row>
    <row r="583" s="1" customFormat="1" ht="28.5" customHeight="1" spans="1:14">
      <c r="A583" s="8"/>
      <c r="B583" s="9">
        <v>10401</v>
      </c>
      <c r="C583" s="9" t="s">
        <v>32</v>
      </c>
      <c r="D583" s="9">
        <v>3000</v>
      </c>
      <c r="E583" s="9"/>
      <c r="F583" s="9">
        <v>10400</v>
      </c>
      <c r="G583" s="10" t="s">
        <v>1235</v>
      </c>
      <c r="H583" s="10" t="s">
        <v>563</v>
      </c>
      <c r="I583" s="10"/>
      <c r="J583" s="9">
        <v>10001</v>
      </c>
      <c r="K583" s="10" t="s">
        <v>1833</v>
      </c>
      <c r="L583" s="10" t="s">
        <v>221</v>
      </c>
      <c r="M583" s="10" t="s">
        <v>1834</v>
      </c>
      <c r="N583" s="7"/>
    </row>
    <row r="584" s="1" customFormat="1" ht="28.5" customHeight="1" spans="1:14">
      <c r="A584" s="8"/>
      <c r="B584" s="9">
        <v>10402</v>
      </c>
      <c r="C584" s="9" t="s">
        <v>32</v>
      </c>
      <c r="D584" s="9">
        <v>2500</v>
      </c>
      <c r="E584" s="9"/>
      <c r="F584" s="9">
        <v>10400</v>
      </c>
      <c r="G584" s="10" t="s">
        <v>1835</v>
      </c>
      <c r="H584" s="10" t="s">
        <v>563</v>
      </c>
      <c r="I584" s="10"/>
      <c r="J584" s="9">
        <v>10002</v>
      </c>
      <c r="K584" s="10" t="s">
        <v>1836</v>
      </c>
      <c r="L584" s="10" t="s">
        <v>221</v>
      </c>
      <c r="M584" s="10" t="s">
        <v>1834</v>
      </c>
      <c r="N584" s="7"/>
    </row>
    <row r="585" s="1" customFormat="1" ht="28.5" customHeight="1" spans="1:14">
      <c r="A585" s="8"/>
      <c r="B585" s="9">
        <v>10403</v>
      </c>
      <c r="C585" s="9" t="s">
        <v>32</v>
      </c>
      <c r="D585" s="9">
        <v>2000</v>
      </c>
      <c r="E585" s="9"/>
      <c r="F585" s="9">
        <v>10400</v>
      </c>
      <c r="G585" s="10" t="s">
        <v>1242</v>
      </c>
      <c r="H585" s="10" t="s">
        <v>563</v>
      </c>
      <c r="I585" s="10"/>
      <c r="J585" s="9">
        <v>10003</v>
      </c>
      <c r="K585" s="10" t="s">
        <v>1837</v>
      </c>
      <c r="L585" s="10" t="s">
        <v>221</v>
      </c>
      <c r="M585" s="10" t="s">
        <v>1834</v>
      </c>
      <c r="N585" s="7"/>
    </row>
    <row r="586" s="1" customFormat="1" ht="28.5" customHeight="1" spans="1:14">
      <c r="A586" s="8"/>
      <c r="B586" s="9">
        <v>10404</v>
      </c>
      <c r="C586" s="9" t="s">
        <v>32</v>
      </c>
      <c r="D586" s="9">
        <v>1500</v>
      </c>
      <c r="E586" s="9"/>
      <c r="F586" s="9">
        <v>10400</v>
      </c>
      <c r="G586" s="10" t="s">
        <v>1838</v>
      </c>
      <c r="H586" s="10" t="s">
        <v>563</v>
      </c>
      <c r="I586" s="10"/>
      <c r="J586" s="9">
        <v>10004</v>
      </c>
      <c r="K586" s="10" t="s">
        <v>1839</v>
      </c>
      <c r="L586" s="10" t="s">
        <v>221</v>
      </c>
      <c r="M586" s="10" t="s">
        <v>1834</v>
      </c>
      <c r="N586" s="7"/>
    </row>
    <row r="587" s="1" customFormat="1" ht="28.5" customHeight="1" spans="1:14">
      <c r="A587" s="8"/>
      <c r="B587" s="9">
        <v>10405</v>
      </c>
      <c r="C587" s="9" t="s">
        <v>32</v>
      </c>
      <c r="D587" s="9">
        <v>1000</v>
      </c>
      <c r="E587" s="9"/>
      <c r="F587" s="9">
        <v>10400</v>
      </c>
      <c r="G587" s="10" t="s">
        <v>1248</v>
      </c>
      <c r="H587" s="10" t="s">
        <v>563</v>
      </c>
      <c r="I587" s="10"/>
      <c r="J587" s="9">
        <v>10005</v>
      </c>
      <c r="K587" s="10" t="s">
        <v>1840</v>
      </c>
      <c r="L587" s="10" t="s">
        <v>221</v>
      </c>
      <c r="M587" s="10" t="s">
        <v>1834</v>
      </c>
      <c r="N587" s="7"/>
    </row>
    <row r="588" s="1" customFormat="1" ht="28.5" customHeight="1" spans="1:14">
      <c r="A588" s="8">
        <v>10401</v>
      </c>
      <c r="B588" s="9">
        <v>10406</v>
      </c>
      <c r="C588" s="9" t="s">
        <v>32</v>
      </c>
      <c r="D588" s="9">
        <v>0</v>
      </c>
      <c r="E588" s="9"/>
      <c r="F588" s="9">
        <v>10401</v>
      </c>
      <c r="G588" s="10" t="s">
        <v>1261</v>
      </c>
      <c r="H588" s="10" t="s">
        <v>563</v>
      </c>
      <c r="I588" s="10"/>
      <c r="J588" s="9">
        <v>60006</v>
      </c>
      <c r="K588" s="10" t="s">
        <v>1841</v>
      </c>
      <c r="L588" s="10" t="s">
        <v>218</v>
      </c>
      <c r="M588" s="10" t="s">
        <v>1842</v>
      </c>
      <c r="N588" s="7"/>
    </row>
    <row r="589" s="1" customFormat="1" ht="28.5" customHeight="1" spans="1:14">
      <c r="A589" s="8">
        <v>10401</v>
      </c>
      <c r="B589" s="9">
        <v>10407</v>
      </c>
      <c r="C589" s="9" t="s">
        <v>32</v>
      </c>
      <c r="D589" s="9">
        <v>0</v>
      </c>
      <c r="E589" s="9"/>
      <c r="F589" s="9">
        <v>10401</v>
      </c>
      <c r="G589" s="10" t="s">
        <v>1263</v>
      </c>
      <c r="H589" s="10" t="s">
        <v>563</v>
      </c>
      <c r="I589" s="10"/>
      <c r="J589" s="9">
        <v>60007</v>
      </c>
      <c r="K589" s="10" t="s">
        <v>1843</v>
      </c>
      <c r="L589" s="10" t="s">
        <v>218</v>
      </c>
      <c r="M589" s="10" t="s">
        <v>1842</v>
      </c>
      <c r="N589" s="7"/>
    </row>
    <row r="590" s="1" customFormat="1" ht="28.5" customHeight="1" spans="1:14">
      <c r="A590" s="8">
        <v>10401</v>
      </c>
      <c r="B590" s="9">
        <v>10408</v>
      </c>
      <c r="C590" s="9" t="s">
        <v>32</v>
      </c>
      <c r="D590" s="9">
        <v>0</v>
      </c>
      <c r="E590" s="9"/>
      <c r="F590" s="9">
        <v>10401</v>
      </c>
      <c r="G590" s="10" t="s">
        <v>1265</v>
      </c>
      <c r="H590" s="10" t="s">
        <v>563</v>
      </c>
      <c r="I590" s="10"/>
      <c r="J590" s="9">
        <v>60008</v>
      </c>
      <c r="K590" s="10" t="s">
        <v>1844</v>
      </c>
      <c r="L590" s="10" t="s">
        <v>218</v>
      </c>
      <c r="M590" s="10" t="s">
        <v>1842</v>
      </c>
      <c r="N590" s="7"/>
    </row>
    <row r="591" s="1" customFormat="1" ht="28.5" customHeight="1" spans="1:14">
      <c r="A591" s="8">
        <v>10401</v>
      </c>
      <c r="B591" s="9">
        <v>10409</v>
      </c>
      <c r="C591" s="9" t="s">
        <v>32</v>
      </c>
      <c r="D591" s="9">
        <v>0</v>
      </c>
      <c r="E591" s="9"/>
      <c r="F591" s="9">
        <v>10401</v>
      </c>
      <c r="G591" s="10" t="s">
        <v>1267</v>
      </c>
      <c r="H591" s="10" t="s">
        <v>563</v>
      </c>
      <c r="I591" s="10"/>
      <c r="J591" s="9">
        <v>60009</v>
      </c>
      <c r="K591" s="10" t="s">
        <v>1845</v>
      </c>
      <c r="L591" s="10" t="s">
        <v>218</v>
      </c>
      <c r="M591" s="10" t="s">
        <v>1842</v>
      </c>
      <c r="N591" s="7"/>
    </row>
    <row r="592" s="1" customFormat="1" ht="28.5" customHeight="1" spans="1:14">
      <c r="A592" s="8">
        <v>10401</v>
      </c>
      <c r="B592" s="9">
        <v>10410</v>
      </c>
      <c r="C592" s="9" t="s">
        <v>32</v>
      </c>
      <c r="D592" s="9">
        <v>0</v>
      </c>
      <c r="E592" s="9"/>
      <c r="F592" s="9">
        <v>10401</v>
      </c>
      <c r="G592" s="10" t="s">
        <v>1269</v>
      </c>
      <c r="H592" s="10" t="s">
        <v>563</v>
      </c>
      <c r="I592" s="10"/>
      <c r="J592" s="9">
        <v>60010</v>
      </c>
      <c r="K592" s="10" t="s">
        <v>1846</v>
      </c>
      <c r="L592" s="10" t="s">
        <v>218</v>
      </c>
      <c r="M592" s="10" t="s">
        <v>1842</v>
      </c>
      <c r="N592" s="7"/>
    </row>
    <row r="593" s="1" customFormat="1" ht="28.5" customHeight="1" spans="1:14">
      <c r="A593" s="8">
        <v>10401</v>
      </c>
      <c r="B593" s="9">
        <v>10411</v>
      </c>
      <c r="C593" s="9" t="s">
        <v>32</v>
      </c>
      <c r="D593" s="9">
        <v>3000</v>
      </c>
      <c r="E593" s="9"/>
      <c r="F593" s="9">
        <v>10402</v>
      </c>
      <c r="G593" s="10" t="s">
        <v>1847</v>
      </c>
      <c r="H593" s="10" t="s">
        <v>563</v>
      </c>
      <c r="I593" s="10"/>
      <c r="J593" s="9">
        <v>20011</v>
      </c>
      <c r="K593" s="10" t="s">
        <v>1848</v>
      </c>
      <c r="L593" s="10" t="s">
        <v>221</v>
      </c>
      <c r="M593" s="10" t="s">
        <v>1842</v>
      </c>
      <c r="N593" s="7"/>
    </row>
    <row r="594" s="1" customFormat="1" ht="28.5" customHeight="1" spans="1:14">
      <c r="A594" s="8">
        <v>10401</v>
      </c>
      <c r="B594" s="9">
        <v>10412</v>
      </c>
      <c r="C594" s="9" t="s">
        <v>32</v>
      </c>
      <c r="D594" s="9">
        <v>2500</v>
      </c>
      <c r="E594" s="9"/>
      <c r="F594" s="9">
        <v>10402</v>
      </c>
      <c r="G594" s="10" t="s">
        <v>1849</v>
      </c>
      <c r="H594" s="10" t="s">
        <v>563</v>
      </c>
      <c r="I594" s="10"/>
      <c r="J594" s="9">
        <v>20012</v>
      </c>
      <c r="K594" s="10" t="s">
        <v>1850</v>
      </c>
      <c r="L594" s="10" t="s">
        <v>221</v>
      </c>
      <c r="M594" s="10" t="s">
        <v>1842</v>
      </c>
      <c r="N594" s="7"/>
    </row>
    <row r="595" s="1" customFormat="1" ht="28.5" customHeight="1" spans="1:14">
      <c r="A595" s="8">
        <v>10401</v>
      </c>
      <c r="B595" s="9">
        <v>10413</v>
      </c>
      <c r="C595" s="9" t="s">
        <v>32</v>
      </c>
      <c r="D595" s="9">
        <v>2000</v>
      </c>
      <c r="E595" s="9"/>
      <c r="F595" s="9">
        <v>10402</v>
      </c>
      <c r="G595" s="10" t="s">
        <v>1851</v>
      </c>
      <c r="H595" s="10" t="s">
        <v>563</v>
      </c>
      <c r="I595" s="10"/>
      <c r="J595" s="9">
        <v>20013</v>
      </c>
      <c r="K595" s="10" t="s">
        <v>1852</v>
      </c>
      <c r="L595" s="10" t="s">
        <v>221</v>
      </c>
      <c r="M595" s="10" t="s">
        <v>1842</v>
      </c>
      <c r="N595" s="7"/>
    </row>
    <row r="596" s="1" customFormat="1" ht="28.5" customHeight="1" spans="1:14">
      <c r="A596" s="8">
        <v>10401</v>
      </c>
      <c r="B596" s="9">
        <v>10414</v>
      </c>
      <c r="C596" s="9" t="s">
        <v>32</v>
      </c>
      <c r="D596" s="9">
        <v>1500</v>
      </c>
      <c r="E596" s="9"/>
      <c r="F596" s="9">
        <v>10402</v>
      </c>
      <c r="G596" s="10" t="s">
        <v>1853</v>
      </c>
      <c r="H596" s="10" t="s">
        <v>563</v>
      </c>
      <c r="I596" s="10"/>
      <c r="J596" s="9">
        <v>20014</v>
      </c>
      <c r="K596" s="10" t="s">
        <v>1854</v>
      </c>
      <c r="L596" s="10" t="s">
        <v>221</v>
      </c>
      <c r="M596" s="10" t="s">
        <v>1842</v>
      </c>
      <c r="N596" s="7"/>
    </row>
    <row r="597" s="1" customFormat="1" ht="28.5" customHeight="1" spans="1:14">
      <c r="A597" s="8">
        <v>10401</v>
      </c>
      <c r="B597" s="9">
        <v>10415</v>
      </c>
      <c r="C597" s="9" t="s">
        <v>32</v>
      </c>
      <c r="D597" s="9">
        <v>1000</v>
      </c>
      <c r="E597" s="9"/>
      <c r="F597" s="9">
        <v>10402</v>
      </c>
      <c r="G597" s="10" t="s">
        <v>1855</v>
      </c>
      <c r="H597" s="10" t="s">
        <v>563</v>
      </c>
      <c r="I597" s="10"/>
      <c r="J597" s="9">
        <v>20015</v>
      </c>
      <c r="K597" s="10" t="s">
        <v>1856</v>
      </c>
      <c r="L597" s="10" t="s">
        <v>221</v>
      </c>
      <c r="M597" s="10" t="s">
        <v>1842</v>
      </c>
      <c r="N597" s="7"/>
    </row>
    <row r="598" s="1" customFormat="1" ht="28.5" customHeight="1" spans="1:14">
      <c r="A598" s="8"/>
      <c r="B598" s="9"/>
      <c r="C598" s="9" t="s">
        <v>1289</v>
      </c>
      <c r="D598" s="9">
        <v>3000</v>
      </c>
      <c r="E598" s="9"/>
      <c r="F598" s="9"/>
      <c r="G598" s="10" t="s">
        <v>1857</v>
      </c>
      <c r="H598" s="10" t="s">
        <v>563</v>
      </c>
      <c r="I598" s="10"/>
      <c r="J598" s="9">
        <v>90016</v>
      </c>
      <c r="K598" s="10" t="s">
        <v>1858</v>
      </c>
      <c r="L598" s="10" t="s">
        <v>224</v>
      </c>
      <c r="M598" s="10" t="s">
        <v>1834</v>
      </c>
      <c r="N598" s="7"/>
    </row>
    <row r="599" s="1" customFormat="1" ht="28.5" customHeight="1" spans="1:14">
      <c r="A599" s="8"/>
      <c r="B599" s="9"/>
      <c r="C599" s="9" t="s">
        <v>1289</v>
      </c>
      <c r="D599" s="9">
        <v>2500</v>
      </c>
      <c r="E599" s="9"/>
      <c r="F599" s="9"/>
      <c r="G599" s="10" t="s">
        <v>1857</v>
      </c>
      <c r="H599" s="10" t="s">
        <v>563</v>
      </c>
      <c r="I599" s="10"/>
      <c r="J599" s="9">
        <v>90017</v>
      </c>
      <c r="K599" s="10" t="s">
        <v>1858</v>
      </c>
      <c r="L599" s="10" t="s">
        <v>224</v>
      </c>
      <c r="M599" s="10" t="s">
        <v>1834</v>
      </c>
      <c r="N599" s="7"/>
    </row>
    <row r="600" s="1" customFormat="1" ht="28.5" customHeight="1" spans="1:14">
      <c r="A600" s="8"/>
      <c r="B600" s="9"/>
      <c r="C600" s="9" t="s">
        <v>1289</v>
      </c>
      <c r="D600" s="9">
        <v>2000</v>
      </c>
      <c r="E600" s="9"/>
      <c r="F600" s="9"/>
      <c r="G600" s="10" t="s">
        <v>1857</v>
      </c>
      <c r="H600" s="10" t="s">
        <v>563</v>
      </c>
      <c r="I600" s="10"/>
      <c r="J600" s="9">
        <v>90018</v>
      </c>
      <c r="K600" s="10" t="s">
        <v>1858</v>
      </c>
      <c r="L600" s="10" t="s">
        <v>224</v>
      </c>
      <c r="M600" s="10" t="s">
        <v>1834</v>
      </c>
      <c r="N600" s="7"/>
    </row>
    <row r="601" s="1" customFormat="1" ht="28.5" customHeight="1" spans="1:14">
      <c r="A601" s="8"/>
      <c r="B601" s="9"/>
      <c r="C601" s="9" t="s">
        <v>1289</v>
      </c>
      <c r="D601" s="9">
        <v>1500</v>
      </c>
      <c r="E601" s="9"/>
      <c r="F601" s="9"/>
      <c r="G601" s="10" t="s">
        <v>1857</v>
      </c>
      <c r="H601" s="10" t="s">
        <v>563</v>
      </c>
      <c r="I601" s="10"/>
      <c r="J601" s="9">
        <v>90019</v>
      </c>
      <c r="K601" s="10" t="s">
        <v>1858</v>
      </c>
      <c r="L601" s="10" t="s">
        <v>224</v>
      </c>
      <c r="M601" s="10" t="s">
        <v>1834</v>
      </c>
      <c r="N601" s="7"/>
    </row>
    <row r="602" s="1" customFormat="1" ht="28.5" customHeight="1" spans="1:14">
      <c r="A602" s="8"/>
      <c r="B602" s="9"/>
      <c r="C602" s="9" t="s">
        <v>1289</v>
      </c>
      <c r="D602" s="9">
        <v>1000</v>
      </c>
      <c r="E602" s="9"/>
      <c r="F602" s="9"/>
      <c r="G602" s="10" t="s">
        <v>1857</v>
      </c>
      <c r="H602" s="10" t="s">
        <v>563</v>
      </c>
      <c r="I602" s="10"/>
      <c r="J602" s="9">
        <v>90020</v>
      </c>
      <c r="K602" s="10" t="s">
        <v>1858</v>
      </c>
      <c r="L602" s="10" t="s">
        <v>224</v>
      </c>
      <c r="M602" s="10" t="s">
        <v>1834</v>
      </c>
      <c r="N602" s="7"/>
    </row>
    <row r="603" s="1" customFormat="1" ht="28.5" customHeight="1" spans="1:14">
      <c r="A603" s="8"/>
      <c r="B603" s="9"/>
      <c r="C603" s="9" t="s">
        <v>1289</v>
      </c>
      <c r="D603" s="9">
        <v>3000</v>
      </c>
      <c r="E603" s="9"/>
      <c r="F603" s="9"/>
      <c r="G603" s="10" t="s">
        <v>1859</v>
      </c>
      <c r="H603" s="10" t="s">
        <v>563</v>
      </c>
      <c r="I603" s="10"/>
      <c r="J603" s="9">
        <v>70021</v>
      </c>
      <c r="K603" s="10" t="s">
        <v>1860</v>
      </c>
      <c r="L603" s="10" t="s">
        <v>228</v>
      </c>
      <c r="M603" s="10" t="s">
        <v>1834</v>
      </c>
      <c r="N603" s="7"/>
    </row>
    <row r="604" s="1" customFormat="1" ht="28.5" customHeight="1" spans="1:14">
      <c r="A604" s="8"/>
      <c r="B604" s="9"/>
      <c r="C604" s="9" t="s">
        <v>1289</v>
      </c>
      <c r="D604" s="9">
        <v>2500</v>
      </c>
      <c r="E604" s="9"/>
      <c r="F604" s="9"/>
      <c r="G604" s="10" t="s">
        <v>1859</v>
      </c>
      <c r="H604" s="10" t="s">
        <v>563</v>
      </c>
      <c r="I604" s="10"/>
      <c r="J604" s="9">
        <v>70022</v>
      </c>
      <c r="K604" s="10" t="s">
        <v>1860</v>
      </c>
      <c r="L604" s="10" t="s">
        <v>228</v>
      </c>
      <c r="M604" s="10" t="s">
        <v>1834</v>
      </c>
      <c r="N604" s="7"/>
    </row>
    <row r="605" s="1" customFormat="1" ht="28.5" customHeight="1" spans="1:14">
      <c r="A605" s="8"/>
      <c r="B605" s="9"/>
      <c r="C605" s="9" t="s">
        <v>1289</v>
      </c>
      <c r="D605" s="9">
        <v>2000</v>
      </c>
      <c r="E605" s="9"/>
      <c r="F605" s="9"/>
      <c r="G605" s="10" t="s">
        <v>1859</v>
      </c>
      <c r="H605" s="10" t="s">
        <v>563</v>
      </c>
      <c r="I605" s="10"/>
      <c r="J605" s="9">
        <v>70023</v>
      </c>
      <c r="K605" s="10" t="s">
        <v>1860</v>
      </c>
      <c r="L605" s="10" t="s">
        <v>228</v>
      </c>
      <c r="M605" s="10" t="s">
        <v>1834</v>
      </c>
      <c r="N605" s="7"/>
    </row>
    <row r="606" s="1" customFormat="1" ht="28.5" customHeight="1" spans="1:14">
      <c r="A606" s="8"/>
      <c r="B606" s="9"/>
      <c r="C606" s="9" t="s">
        <v>1289</v>
      </c>
      <c r="D606" s="9">
        <v>1500</v>
      </c>
      <c r="E606" s="9"/>
      <c r="F606" s="9"/>
      <c r="G606" s="10" t="s">
        <v>1859</v>
      </c>
      <c r="H606" s="10" t="s">
        <v>563</v>
      </c>
      <c r="I606" s="10"/>
      <c r="J606" s="9">
        <v>70024</v>
      </c>
      <c r="K606" s="10" t="s">
        <v>1860</v>
      </c>
      <c r="L606" s="10" t="s">
        <v>228</v>
      </c>
      <c r="M606" s="10" t="s">
        <v>1834</v>
      </c>
      <c r="N606" s="7"/>
    </row>
    <row r="607" s="1" customFormat="1" ht="28.5" customHeight="1" spans="1:14">
      <c r="A607" s="8"/>
      <c r="B607" s="9"/>
      <c r="C607" s="9" t="s">
        <v>1289</v>
      </c>
      <c r="D607" s="9">
        <v>1000</v>
      </c>
      <c r="E607" s="9"/>
      <c r="F607" s="9"/>
      <c r="G607" s="10" t="s">
        <v>1859</v>
      </c>
      <c r="H607" s="10" t="s">
        <v>563</v>
      </c>
      <c r="I607" s="10"/>
      <c r="J607" s="9">
        <v>70025</v>
      </c>
      <c r="K607" s="10" t="s">
        <v>1860</v>
      </c>
      <c r="L607" s="10" t="s">
        <v>228</v>
      </c>
      <c r="M607" s="10" t="s">
        <v>1834</v>
      </c>
      <c r="N607" s="7"/>
    </row>
    <row r="608" s="1" customFormat="1" ht="28.5" customHeight="1" spans="1:14">
      <c r="A608" s="8"/>
      <c r="B608" s="9"/>
      <c r="C608" s="9" t="s">
        <v>1289</v>
      </c>
      <c r="D608" s="9">
        <v>3000</v>
      </c>
      <c r="E608" s="9"/>
      <c r="F608" s="9"/>
      <c r="G608" s="10" t="s">
        <v>1861</v>
      </c>
      <c r="H608" s="10" t="s">
        <v>563</v>
      </c>
      <c r="I608" s="10"/>
      <c r="J608" s="9">
        <v>80026</v>
      </c>
      <c r="K608" s="10" t="s">
        <v>1862</v>
      </c>
      <c r="L608" s="10" t="s">
        <v>231</v>
      </c>
      <c r="M608" s="10" t="s">
        <v>1834</v>
      </c>
      <c r="N608" s="7"/>
    </row>
    <row r="609" s="1" customFormat="1" ht="28.5" customHeight="1" spans="1:14">
      <c r="A609" s="8"/>
      <c r="B609" s="9"/>
      <c r="C609" s="9" t="s">
        <v>1289</v>
      </c>
      <c r="D609" s="9">
        <v>2500</v>
      </c>
      <c r="E609" s="9"/>
      <c r="F609" s="9"/>
      <c r="G609" s="10" t="s">
        <v>1861</v>
      </c>
      <c r="H609" s="10" t="s">
        <v>563</v>
      </c>
      <c r="I609" s="10"/>
      <c r="J609" s="9">
        <v>80027</v>
      </c>
      <c r="K609" s="10" t="s">
        <v>1862</v>
      </c>
      <c r="L609" s="10" t="s">
        <v>231</v>
      </c>
      <c r="M609" s="10" t="s">
        <v>1834</v>
      </c>
      <c r="N609" s="7"/>
    </row>
    <row r="610" s="1" customFormat="1" ht="28.5" customHeight="1" spans="1:14">
      <c r="A610" s="8"/>
      <c r="B610" s="9"/>
      <c r="C610" s="9" t="s">
        <v>1289</v>
      </c>
      <c r="D610" s="9">
        <v>2000</v>
      </c>
      <c r="E610" s="9"/>
      <c r="F610" s="9"/>
      <c r="G610" s="10" t="s">
        <v>1861</v>
      </c>
      <c r="H610" s="10" t="s">
        <v>563</v>
      </c>
      <c r="I610" s="10"/>
      <c r="J610" s="9">
        <v>80028</v>
      </c>
      <c r="K610" s="10" t="s">
        <v>1862</v>
      </c>
      <c r="L610" s="10" t="s">
        <v>231</v>
      </c>
      <c r="M610" s="10" t="s">
        <v>1834</v>
      </c>
      <c r="N610" s="7"/>
    </row>
    <row r="611" s="1" customFormat="1" ht="28.5" customHeight="1" spans="1:14">
      <c r="A611" s="8"/>
      <c r="B611" s="9"/>
      <c r="C611" s="9" t="s">
        <v>1289</v>
      </c>
      <c r="D611" s="9">
        <v>1500</v>
      </c>
      <c r="E611" s="9"/>
      <c r="F611" s="9"/>
      <c r="G611" s="10" t="s">
        <v>1861</v>
      </c>
      <c r="H611" s="10" t="s">
        <v>563</v>
      </c>
      <c r="I611" s="10"/>
      <c r="J611" s="9">
        <v>80029</v>
      </c>
      <c r="K611" s="10" t="s">
        <v>1862</v>
      </c>
      <c r="L611" s="10" t="s">
        <v>231</v>
      </c>
      <c r="M611" s="10" t="s">
        <v>1834</v>
      </c>
      <c r="N611" s="7"/>
    </row>
    <row r="612" s="1" customFormat="1" ht="28.5" customHeight="1" spans="1:14">
      <c r="A612" s="8"/>
      <c r="B612" s="9"/>
      <c r="C612" s="9" t="s">
        <v>1289</v>
      </c>
      <c r="D612" s="9">
        <v>1000</v>
      </c>
      <c r="E612" s="9"/>
      <c r="F612" s="9"/>
      <c r="G612" s="10" t="s">
        <v>1861</v>
      </c>
      <c r="H612" s="10" t="s">
        <v>563</v>
      </c>
      <c r="I612" s="10"/>
      <c r="J612" s="9">
        <v>80030</v>
      </c>
      <c r="K612" s="10" t="s">
        <v>1862</v>
      </c>
      <c r="L612" s="10" t="s">
        <v>231</v>
      </c>
      <c r="M612" s="10" t="s">
        <v>1834</v>
      </c>
      <c r="N612" s="7"/>
    </row>
    <row r="613" s="1" customFormat="1" ht="28.5" customHeight="1" spans="1:14">
      <c r="A613" s="8"/>
      <c r="B613" s="9"/>
      <c r="C613" s="9" t="s">
        <v>1289</v>
      </c>
      <c r="D613" s="9">
        <v>3000</v>
      </c>
      <c r="E613" s="9"/>
      <c r="F613" s="9"/>
      <c r="G613" s="10" t="s">
        <v>1863</v>
      </c>
      <c r="H613" s="10" t="s">
        <v>563</v>
      </c>
      <c r="I613" s="10"/>
      <c r="J613" s="9">
        <v>10031</v>
      </c>
      <c r="K613" s="10" t="s">
        <v>1864</v>
      </c>
      <c r="L613" s="10" t="s">
        <v>234</v>
      </c>
      <c r="M613" s="10" t="s">
        <v>1834</v>
      </c>
      <c r="N613" s="7"/>
    </row>
    <row r="614" s="1" customFormat="1" ht="28.5" customHeight="1" spans="1:14">
      <c r="A614" s="8"/>
      <c r="B614" s="9"/>
      <c r="C614" s="9" t="s">
        <v>1289</v>
      </c>
      <c r="D614" s="9">
        <v>2500</v>
      </c>
      <c r="E614" s="9"/>
      <c r="F614" s="9"/>
      <c r="G614" s="10" t="s">
        <v>1865</v>
      </c>
      <c r="H614" s="10" t="s">
        <v>563</v>
      </c>
      <c r="I614" s="10"/>
      <c r="J614" s="9">
        <v>10032</v>
      </c>
      <c r="K614" s="10" t="s">
        <v>1866</v>
      </c>
      <c r="L614" s="10" t="s">
        <v>234</v>
      </c>
      <c r="M614" s="10" t="s">
        <v>1834</v>
      </c>
      <c r="N614" s="7"/>
    </row>
    <row r="615" s="1" customFormat="1" ht="28.5" customHeight="1" spans="1:14">
      <c r="A615" s="8"/>
      <c r="B615" s="9"/>
      <c r="C615" s="9" t="s">
        <v>1289</v>
      </c>
      <c r="D615" s="9">
        <v>2000</v>
      </c>
      <c r="E615" s="9"/>
      <c r="F615" s="9"/>
      <c r="G615" s="10" t="s">
        <v>1867</v>
      </c>
      <c r="H615" s="10" t="s">
        <v>563</v>
      </c>
      <c r="I615" s="10"/>
      <c r="J615" s="9">
        <v>10033</v>
      </c>
      <c r="K615" s="10" t="s">
        <v>1868</v>
      </c>
      <c r="L615" s="10" t="s">
        <v>234</v>
      </c>
      <c r="M615" s="10" t="s">
        <v>1834</v>
      </c>
      <c r="N615" s="7"/>
    </row>
    <row r="616" s="1" customFormat="1" ht="28.5" customHeight="1" spans="1:14">
      <c r="A616" s="8"/>
      <c r="B616" s="9"/>
      <c r="C616" s="9" t="s">
        <v>1289</v>
      </c>
      <c r="D616" s="9">
        <v>1500</v>
      </c>
      <c r="E616" s="9"/>
      <c r="F616" s="9"/>
      <c r="G616" s="10" t="s">
        <v>1869</v>
      </c>
      <c r="H616" s="10" t="s">
        <v>563</v>
      </c>
      <c r="I616" s="10"/>
      <c r="J616" s="9">
        <v>10034</v>
      </c>
      <c r="K616" s="10" t="s">
        <v>1870</v>
      </c>
      <c r="L616" s="10" t="s">
        <v>234</v>
      </c>
      <c r="M616" s="10" t="s">
        <v>1834</v>
      </c>
      <c r="N616" s="7"/>
    </row>
    <row r="617" s="1" customFormat="1" ht="28.5" customHeight="1" spans="1:14">
      <c r="A617" s="8"/>
      <c r="B617" s="9"/>
      <c r="C617" s="9" t="s">
        <v>1289</v>
      </c>
      <c r="D617" s="9">
        <v>1000</v>
      </c>
      <c r="E617" s="9"/>
      <c r="F617" s="9"/>
      <c r="G617" s="10" t="s">
        <v>1871</v>
      </c>
      <c r="H617" s="10" t="s">
        <v>563</v>
      </c>
      <c r="I617" s="10"/>
      <c r="J617" s="9">
        <v>10035</v>
      </c>
      <c r="K617" s="10" t="s">
        <v>1872</v>
      </c>
      <c r="L617" s="10" t="s">
        <v>234</v>
      </c>
      <c r="M617" s="10" t="s">
        <v>1834</v>
      </c>
      <c r="N617" s="7"/>
    </row>
    <row r="618" s="1" customFormat="1" ht="28.5" customHeight="1" spans="1:14">
      <c r="A618" s="8">
        <v>10401</v>
      </c>
      <c r="B618" s="9">
        <v>10416</v>
      </c>
      <c r="C618" s="9" t="s">
        <v>32</v>
      </c>
      <c r="D618" s="9">
        <v>0</v>
      </c>
      <c r="E618" s="9"/>
      <c r="F618" s="9">
        <v>10403</v>
      </c>
      <c r="G618" s="10" t="s">
        <v>1251</v>
      </c>
      <c r="H618" s="10" t="s">
        <v>563</v>
      </c>
      <c r="I618" s="10"/>
      <c r="J618" s="9">
        <v>60036</v>
      </c>
      <c r="K618" s="10" t="s">
        <v>1873</v>
      </c>
      <c r="L618" s="10" t="s">
        <v>238</v>
      </c>
      <c r="M618" s="10" t="s">
        <v>1842</v>
      </c>
      <c r="N618" s="7"/>
    </row>
    <row r="619" s="1" customFormat="1" ht="28.5" customHeight="1" spans="1:14">
      <c r="A619" s="8">
        <v>10401</v>
      </c>
      <c r="B619" s="9">
        <v>10417</v>
      </c>
      <c r="C619" s="9" t="s">
        <v>32</v>
      </c>
      <c r="D619" s="9">
        <v>0</v>
      </c>
      <c r="E619" s="9"/>
      <c r="F619" s="9">
        <v>10403</v>
      </c>
      <c r="G619" s="10" t="s">
        <v>1253</v>
      </c>
      <c r="H619" s="10" t="s">
        <v>563</v>
      </c>
      <c r="I619" s="10"/>
      <c r="J619" s="9">
        <v>60037</v>
      </c>
      <c r="K619" s="10" t="s">
        <v>1874</v>
      </c>
      <c r="L619" s="10" t="s">
        <v>238</v>
      </c>
      <c r="M619" s="10" t="s">
        <v>1842</v>
      </c>
      <c r="N619" s="7"/>
    </row>
    <row r="620" s="1" customFormat="1" ht="28.5" customHeight="1" spans="1:14">
      <c r="A620" s="8">
        <v>10401</v>
      </c>
      <c r="B620" s="9">
        <v>10418</v>
      </c>
      <c r="C620" s="9" t="s">
        <v>32</v>
      </c>
      <c r="D620" s="9">
        <v>0</v>
      </c>
      <c r="E620" s="9"/>
      <c r="F620" s="9">
        <v>10403</v>
      </c>
      <c r="G620" s="10" t="s">
        <v>1255</v>
      </c>
      <c r="H620" s="10" t="s">
        <v>563</v>
      </c>
      <c r="I620" s="10"/>
      <c r="J620" s="9">
        <v>60038</v>
      </c>
      <c r="K620" s="10" t="s">
        <v>1875</v>
      </c>
      <c r="L620" s="10" t="s">
        <v>238</v>
      </c>
      <c r="M620" s="10" t="s">
        <v>1842</v>
      </c>
      <c r="N620" s="7"/>
    </row>
    <row r="621" s="1" customFormat="1" ht="28.5" customHeight="1" spans="1:14">
      <c r="A621" s="8">
        <v>10401</v>
      </c>
      <c r="B621" s="9">
        <v>10419</v>
      </c>
      <c r="C621" s="9" t="s">
        <v>32</v>
      </c>
      <c r="D621" s="9">
        <v>0</v>
      </c>
      <c r="E621" s="9"/>
      <c r="F621" s="9">
        <v>10403</v>
      </c>
      <c r="G621" s="10" t="s">
        <v>1257</v>
      </c>
      <c r="H621" s="10" t="s">
        <v>563</v>
      </c>
      <c r="I621" s="10"/>
      <c r="J621" s="9">
        <v>60039</v>
      </c>
      <c r="K621" s="10" t="s">
        <v>1876</v>
      </c>
      <c r="L621" s="10" t="s">
        <v>238</v>
      </c>
      <c r="M621" s="10" t="s">
        <v>1842</v>
      </c>
      <c r="N621" s="7"/>
    </row>
    <row r="622" s="1" customFormat="1" ht="28.5" customHeight="1" spans="1:14">
      <c r="A622" s="8">
        <v>10401</v>
      </c>
      <c r="B622" s="9">
        <v>10420</v>
      </c>
      <c r="C622" s="9" t="s">
        <v>32</v>
      </c>
      <c r="D622" s="9">
        <v>0</v>
      </c>
      <c r="E622" s="9"/>
      <c r="F622" s="9">
        <v>10403</v>
      </c>
      <c r="G622" s="10" t="s">
        <v>1259</v>
      </c>
      <c r="H622" s="10" t="s">
        <v>563</v>
      </c>
      <c r="I622" s="10"/>
      <c r="J622" s="9">
        <v>60040</v>
      </c>
      <c r="K622" s="10" t="s">
        <v>1877</v>
      </c>
      <c r="L622" s="10" t="s">
        <v>238</v>
      </c>
      <c r="M622" s="10" t="s">
        <v>1842</v>
      </c>
      <c r="N622" s="7"/>
    </row>
    <row r="623" s="1" customFormat="1" ht="28.5" customHeight="1" spans="1:14">
      <c r="A623" s="8">
        <v>10401</v>
      </c>
      <c r="B623" s="9">
        <v>10421</v>
      </c>
      <c r="C623" s="9" t="s">
        <v>32</v>
      </c>
      <c r="D623" s="9">
        <v>3000</v>
      </c>
      <c r="E623" s="9"/>
      <c r="F623" s="9">
        <v>10404</v>
      </c>
      <c r="G623" s="10" t="s">
        <v>1271</v>
      </c>
      <c r="H623" s="10" t="s">
        <v>563</v>
      </c>
      <c r="I623" s="10"/>
      <c r="J623" s="9">
        <v>50041</v>
      </c>
      <c r="K623" s="10" t="s">
        <v>1878</v>
      </c>
      <c r="L623" s="10" t="s">
        <v>241</v>
      </c>
      <c r="M623" s="10" t="s">
        <v>1842</v>
      </c>
      <c r="N623" s="7"/>
    </row>
    <row r="624" s="1" customFormat="1" ht="28.5" customHeight="1" spans="1:14">
      <c r="A624" s="8">
        <v>10401</v>
      </c>
      <c r="B624" s="9">
        <v>10422</v>
      </c>
      <c r="C624" s="9" t="s">
        <v>32</v>
      </c>
      <c r="D624" s="9">
        <v>2500</v>
      </c>
      <c r="E624" s="9"/>
      <c r="F624" s="9">
        <v>10404</v>
      </c>
      <c r="G624" s="10" t="s">
        <v>1274</v>
      </c>
      <c r="H624" s="10" t="s">
        <v>563</v>
      </c>
      <c r="I624" s="10"/>
      <c r="J624" s="9">
        <v>50042</v>
      </c>
      <c r="K624" s="10" t="s">
        <v>1879</v>
      </c>
      <c r="L624" s="10" t="s">
        <v>241</v>
      </c>
      <c r="M624" s="10" t="s">
        <v>1842</v>
      </c>
      <c r="N624" s="7"/>
    </row>
    <row r="625" s="1" customFormat="1" ht="28.5" customHeight="1" spans="1:14">
      <c r="A625" s="8">
        <v>10401</v>
      </c>
      <c r="B625" s="9">
        <v>10423</v>
      </c>
      <c r="C625" s="9" t="s">
        <v>32</v>
      </c>
      <c r="D625" s="9">
        <v>2000</v>
      </c>
      <c r="E625" s="9"/>
      <c r="F625" s="9">
        <v>10404</v>
      </c>
      <c r="G625" s="10" t="s">
        <v>1880</v>
      </c>
      <c r="H625" s="10" t="s">
        <v>563</v>
      </c>
      <c r="I625" s="10"/>
      <c r="J625" s="9">
        <v>50043</v>
      </c>
      <c r="K625" s="10" t="s">
        <v>1881</v>
      </c>
      <c r="L625" s="10" t="s">
        <v>241</v>
      </c>
      <c r="M625" s="10" t="s">
        <v>1842</v>
      </c>
      <c r="N625" s="7"/>
    </row>
    <row r="626" s="1" customFormat="1" ht="28.5" customHeight="1" spans="1:14">
      <c r="A626" s="8">
        <v>10401</v>
      </c>
      <c r="B626" s="9">
        <v>10424</v>
      </c>
      <c r="C626" s="9" t="s">
        <v>32</v>
      </c>
      <c r="D626" s="9">
        <v>1500</v>
      </c>
      <c r="E626" s="9"/>
      <c r="F626" s="9">
        <v>10404</v>
      </c>
      <c r="G626" s="10" t="s">
        <v>1882</v>
      </c>
      <c r="H626" s="10" t="s">
        <v>563</v>
      </c>
      <c r="I626" s="10"/>
      <c r="J626" s="9">
        <v>50044</v>
      </c>
      <c r="K626" s="10" t="s">
        <v>1883</v>
      </c>
      <c r="L626" s="10" t="s">
        <v>241</v>
      </c>
      <c r="M626" s="10" t="s">
        <v>1842</v>
      </c>
      <c r="N626" s="7"/>
    </row>
    <row r="627" s="1" customFormat="1" ht="28.5" customHeight="1" spans="1:14">
      <c r="A627" s="8">
        <v>10401</v>
      </c>
      <c r="B627" s="9">
        <v>10425</v>
      </c>
      <c r="C627" s="9" t="s">
        <v>32</v>
      </c>
      <c r="D627" s="9">
        <v>1000</v>
      </c>
      <c r="E627" s="9"/>
      <c r="F627" s="9">
        <v>10404</v>
      </c>
      <c r="G627" s="10" t="s">
        <v>1286</v>
      </c>
      <c r="H627" s="10" t="s">
        <v>563</v>
      </c>
      <c r="I627" s="10"/>
      <c r="J627" s="9">
        <v>50045</v>
      </c>
      <c r="K627" s="10" t="s">
        <v>1884</v>
      </c>
      <c r="L627" s="10" t="s">
        <v>241</v>
      </c>
      <c r="M627" s="10" t="s">
        <v>1842</v>
      </c>
      <c r="N627" s="7"/>
    </row>
    <row r="628" s="1" customFormat="1" ht="28.5" customHeight="1" spans="1:14">
      <c r="A628" s="8"/>
      <c r="B628" s="9"/>
      <c r="C628" s="9" t="s">
        <v>1289</v>
      </c>
      <c r="D628" s="9">
        <v>3000</v>
      </c>
      <c r="E628" s="9"/>
      <c r="F628" s="9"/>
      <c r="G628" s="10" t="s">
        <v>1885</v>
      </c>
      <c r="H628" s="10" t="s">
        <v>563</v>
      </c>
      <c r="I628" s="10"/>
      <c r="J628" s="9">
        <v>30046</v>
      </c>
      <c r="K628" s="10" t="s">
        <v>1886</v>
      </c>
      <c r="L628" s="10" t="s">
        <v>243</v>
      </c>
      <c r="M628" s="10" t="s">
        <v>1834</v>
      </c>
      <c r="N628" s="7"/>
    </row>
    <row r="629" s="1" customFormat="1" ht="28.5" customHeight="1" spans="1:14">
      <c r="A629" s="8"/>
      <c r="B629" s="9"/>
      <c r="C629" s="9" t="s">
        <v>1289</v>
      </c>
      <c r="D629" s="9">
        <v>2500</v>
      </c>
      <c r="E629" s="9"/>
      <c r="F629" s="9"/>
      <c r="G629" s="10" t="s">
        <v>1887</v>
      </c>
      <c r="H629" s="10" t="s">
        <v>563</v>
      </c>
      <c r="I629" s="10"/>
      <c r="J629" s="9">
        <v>30047</v>
      </c>
      <c r="K629" s="10" t="s">
        <v>1888</v>
      </c>
      <c r="L629" s="10" t="s">
        <v>243</v>
      </c>
      <c r="M629" s="10" t="s">
        <v>1834</v>
      </c>
      <c r="N629" s="7"/>
    </row>
    <row r="630" s="1" customFormat="1" ht="28.5" customHeight="1" spans="1:14">
      <c r="A630" s="8"/>
      <c r="B630" s="9"/>
      <c r="C630" s="9" t="s">
        <v>1289</v>
      </c>
      <c r="D630" s="9">
        <v>2000</v>
      </c>
      <c r="E630" s="9"/>
      <c r="F630" s="9"/>
      <c r="G630" s="10" t="s">
        <v>1889</v>
      </c>
      <c r="H630" s="10" t="s">
        <v>563</v>
      </c>
      <c r="I630" s="10"/>
      <c r="J630" s="9">
        <v>30048</v>
      </c>
      <c r="K630" s="10" t="s">
        <v>1890</v>
      </c>
      <c r="L630" s="10" t="s">
        <v>243</v>
      </c>
      <c r="M630" s="10" t="s">
        <v>1834</v>
      </c>
      <c r="N630" s="7"/>
    </row>
    <row r="631" s="1" customFormat="1" ht="28.5" customHeight="1" spans="1:14">
      <c r="A631" s="8"/>
      <c r="B631" s="9"/>
      <c r="C631" s="9" t="s">
        <v>1289</v>
      </c>
      <c r="D631" s="9">
        <v>1500</v>
      </c>
      <c r="E631" s="9"/>
      <c r="F631" s="9"/>
      <c r="G631" s="10" t="s">
        <v>1891</v>
      </c>
      <c r="H631" s="10" t="s">
        <v>563</v>
      </c>
      <c r="I631" s="10"/>
      <c r="J631" s="9">
        <v>30049</v>
      </c>
      <c r="K631" s="10" t="s">
        <v>1892</v>
      </c>
      <c r="L631" s="10" t="s">
        <v>243</v>
      </c>
      <c r="M631" s="10" t="s">
        <v>1834</v>
      </c>
      <c r="N631" s="7"/>
    </row>
    <row r="632" s="1" customFormat="1" ht="28.5" customHeight="1" spans="1:14">
      <c r="A632" s="8"/>
      <c r="B632" s="9"/>
      <c r="C632" s="9" t="s">
        <v>1289</v>
      </c>
      <c r="D632" s="9">
        <v>1000</v>
      </c>
      <c r="E632" s="9"/>
      <c r="F632" s="9"/>
      <c r="G632" s="10" t="s">
        <v>1893</v>
      </c>
      <c r="H632" s="10" t="s">
        <v>563</v>
      </c>
      <c r="I632" s="10"/>
      <c r="J632" s="9">
        <v>30050</v>
      </c>
      <c r="K632" s="10" t="s">
        <v>1894</v>
      </c>
      <c r="L632" s="10" t="s">
        <v>243</v>
      </c>
      <c r="M632" s="10" t="s">
        <v>1834</v>
      </c>
      <c r="N632" s="7"/>
    </row>
    <row r="633" s="1" customFormat="1" ht="28.5" customHeight="1" spans="1:14">
      <c r="A633" s="8">
        <v>10401</v>
      </c>
      <c r="B633" s="9">
        <v>10426</v>
      </c>
      <c r="C633" s="9" t="s">
        <v>32</v>
      </c>
      <c r="D633" s="9">
        <v>3000</v>
      </c>
      <c r="E633" s="9"/>
      <c r="F633" s="9">
        <v>10405</v>
      </c>
      <c r="G633" s="10" t="s">
        <v>1895</v>
      </c>
      <c r="H633" s="10" t="s">
        <v>563</v>
      </c>
      <c r="I633" s="10"/>
      <c r="J633" s="9">
        <v>40051</v>
      </c>
      <c r="K633" s="10" t="s">
        <v>1896</v>
      </c>
      <c r="L633" s="10" t="s">
        <v>246</v>
      </c>
      <c r="M633" s="10" t="s">
        <v>1842</v>
      </c>
      <c r="N633" s="7"/>
    </row>
    <row r="634" s="1" customFormat="1" ht="28.5" customHeight="1" spans="1:14">
      <c r="A634" s="8">
        <v>10401</v>
      </c>
      <c r="B634" s="9">
        <v>10427</v>
      </c>
      <c r="C634" s="9" t="s">
        <v>32</v>
      </c>
      <c r="D634" s="9">
        <v>2500</v>
      </c>
      <c r="E634" s="9"/>
      <c r="F634" s="9">
        <v>10405</v>
      </c>
      <c r="G634" s="10" t="s">
        <v>1897</v>
      </c>
      <c r="H634" s="10" t="s">
        <v>563</v>
      </c>
      <c r="I634" s="10"/>
      <c r="J634" s="9">
        <v>40052</v>
      </c>
      <c r="K634" s="10" t="s">
        <v>1898</v>
      </c>
      <c r="L634" s="10" t="s">
        <v>246</v>
      </c>
      <c r="M634" s="10" t="s">
        <v>1842</v>
      </c>
      <c r="N634" s="7"/>
    </row>
    <row r="635" s="1" customFormat="1" ht="28.5" customHeight="1" spans="1:14">
      <c r="A635" s="8">
        <v>10401</v>
      </c>
      <c r="B635" s="9">
        <v>10428</v>
      </c>
      <c r="C635" s="9" t="s">
        <v>32</v>
      </c>
      <c r="D635" s="9">
        <v>2000</v>
      </c>
      <c r="E635" s="9"/>
      <c r="F635" s="9">
        <v>10405</v>
      </c>
      <c r="G635" s="10" t="s">
        <v>1899</v>
      </c>
      <c r="H635" s="10" t="s">
        <v>563</v>
      </c>
      <c r="I635" s="10"/>
      <c r="J635" s="9">
        <v>40053</v>
      </c>
      <c r="K635" s="10" t="s">
        <v>1900</v>
      </c>
      <c r="L635" s="10" t="s">
        <v>246</v>
      </c>
      <c r="M635" s="10" t="s">
        <v>1842</v>
      </c>
      <c r="N635" s="7"/>
    </row>
    <row r="636" s="1" customFormat="1" ht="28.5" customHeight="1" spans="1:14">
      <c r="A636" s="8">
        <v>10401</v>
      </c>
      <c r="B636" s="9">
        <v>10429</v>
      </c>
      <c r="C636" s="9" t="s">
        <v>32</v>
      </c>
      <c r="D636" s="9">
        <v>1500</v>
      </c>
      <c r="E636" s="9"/>
      <c r="F636" s="9">
        <v>10405</v>
      </c>
      <c r="G636" s="10" t="s">
        <v>1901</v>
      </c>
      <c r="H636" s="10" t="s">
        <v>563</v>
      </c>
      <c r="I636" s="10"/>
      <c r="J636" s="9">
        <v>40054</v>
      </c>
      <c r="K636" s="10" t="s">
        <v>1902</v>
      </c>
      <c r="L636" s="10" t="s">
        <v>246</v>
      </c>
      <c r="M636" s="10" t="s">
        <v>1842</v>
      </c>
      <c r="N636" s="7"/>
    </row>
    <row r="637" s="1" customFormat="1" ht="28.5" customHeight="1" spans="1:14">
      <c r="A637" s="8">
        <v>10401</v>
      </c>
      <c r="B637" s="9">
        <v>10430</v>
      </c>
      <c r="C637" s="9" t="s">
        <v>32</v>
      </c>
      <c r="D637" s="9">
        <v>1000</v>
      </c>
      <c r="E637" s="9"/>
      <c r="F637" s="9">
        <v>10405</v>
      </c>
      <c r="G637" s="10" t="s">
        <v>1903</v>
      </c>
      <c r="H637" s="10" t="s">
        <v>563</v>
      </c>
      <c r="I637" s="10"/>
      <c r="J637" s="9">
        <v>40055</v>
      </c>
      <c r="K637" s="10" t="s">
        <v>1904</v>
      </c>
      <c r="L637" s="10" t="s">
        <v>246</v>
      </c>
      <c r="M637" s="10" t="s">
        <v>1842</v>
      </c>
      <c r="N637" s="7"/>
    </row>
    <row r="638" s="1" customFormat="1" ht="28.5" customHeight="1" spans="1:14">
      <c r="A638" s="8"/>
      <c r="B638" s="9"/>
      <c r="C638" s="9" t="s">
        <v>1289</v>
      </c>
      <c r="D638" s="9">
        <v>3000</v>
      </c>
      <c r="E638" s="9"/>
      <c r="F638" s="9"/>
      <c r="G638" s="10" t="s">
        <v>1905</v>
      </c>
      <c r="H638" s="10" t="s">
        <v>563</v>
      </c>
      <c r="I638" s="10"/>
      <c r="J638" s="9">
        <v>100056</v>
      </c>
      <c r="K638" s="10" t="s">
        <v>250</v>
      </c>
      <c r="L638" s="10" t="s">
        <v>248</v>
      </c>
      <c r="M638" s="10" t="s">
        <v>1834</v>
      </c>
      <c r="N638" s="7"/>
    </row>
    <row r="639" s="1" customFormat="1" ht="28.5" customHeight="1" spans="1:14">
      <c r="A639" s="8"/>
      <c r="B639" s="9"/>
      <c r="C639" s="9" t="s">
        <v>1289</v>
      </c>
      <c r="D639" s="9">
        <v>2500</v>
      </c>
      <c r="E639" s="9"/>
      <c r="F639" s="9"/>
      <c r="G639" s="10" t="s">
        <v>1905</v>
      </c>
      <c r="H639" s="10" t="s">
        <v>563</v>
      </c>
      <c r="I639" s="10"/>
      <c r="J639" s="9">
        <v>100057</v>
      </c>
      <c r="K639" s="10" t="s">
        <v>250</v>
      </c>
      <c r="L639" s="10" t="s">
        <v>248</v>
      </c>
      <c r="M639" s="10" t="s">
        <v>1834</v>
      </c>
      <c r="N639" s="7"/>
    </row>
    <row r="640" s="1" customFormat="1" ht="28.5" customHeight="1" spans="1:14">
      <c r="A640" s="8"/>
      <c r="B640" s="9"/>
      <c r="C640" s="9" t="s">
        <v>1289</v>
      </c>
      <c r="D640" s="9">
        <v>2000</v>
      </c>
      <c r="E640" s="9"/>
      <c r="F640" s="9"/>
      <c r="G640" s="10" t="s">
        <v>1905</v>
      </c>
      <c r="H640" s="10" t="s">
        <v>563</v>
      </c>
      <c r="I640" s="10"/>
      <c r="J640" s="9">
        <v>100058</v>
      </c>
      <c r="K640" s="10" t="s">
        <v>250</v>
      </c>
      <c r="L640" s="10" t="s">
        <v>248</v>
      </c>
      <c r="M640" s="10" t="s">
        <v>1834</v>
      </c>
      <c r="N640" s="7"/>
    </row>
    <row r="641" s="1" customFormat="1" ht="28.5" customHeight="1" spans="1:14">
      <c r="A641" s="8"/>
      <c r="B641" s="9"/>
      <c r="C641" s="9" t="s">
        <v>1289</v>
      </c>
      <c r="D641" s="9">
        <v>1500</v>
      </c>
      <c r="E641" s="9"/>
      <c r="F641" s="9"/>
      <c r="G641" s="10" t="s">
        <v>1905</v>
      </c>
      <c r="H641" s="10" t="s">
        <v>563</v>
      </c>
      <c r="I641" s="10"/>
      <c r="J641" s="9">
        <v>100059</v>
      </c>
      <c r="K641" s="10" t="s">
        <v>250</v>
      </c>
      <c r="L641" s="10" t="s">
        <v>248</v>
      </c>
      <c r="M641" s="10" t="s">
        <v>1834</v>
      </c>
      <c r="N641" s="7"/>
    </row>
    <row r="642" s="1" customFormat="1" ht="28.5" customHeight="1" spans="1:14">
      <c r="A642" s="8"/>
      <c r="B642" s="9"/>
      <c r="C642" s="9" t="s">
        <v>1289</v>
      </c>
      <c r="D642" s="9">
        <v>1000</v>
      </c>
      <c r="E642" s="9"/>
      <c r="F642" s="9"/>
      <c r="G642" s="10" t="s">
        <v>1905</v>
      </c>
      <c r="H642" s="10" t="s">
        <v>563</v>
      </c>
      <c r="I642" s="10"/>
      <c r="J642" s="9">
        <v>100060</v>
      </c>
      <c r="K642" s="10" t="s">
        <v>250</v>
      </c>
      <c r="L642" s="10" t="s">
        <v>248</v>
      </c>
      <c r="M642" s="10" t="s">
        <v>1834</v>
      </c>
      <c r="N642" s="7"/>
    </row>
    <row r="643" s="1" customFormat="1" ht="28.5" customHeight="1" spans="1:14">
      <c r="A643" s="8"/>
      <c r="B643" s="9"/>
      <c r="C643" s="9" t="s">
        <v>1289</v>
      </c>
      <c r="D643" s="9">
        <v>3000</v>
      </c>
      <c r="E643" s="9"/>
      <c r="F643" s="9"/>
      <c r="G643" s="10" t="s">
        <v>1906</v>
      </c>
      <c r="H643" s="10" t="s">
        <v>563</v>
      </c>
      <c r="I643" s="10"/>
      <c r="J643" s="9">
        <v>10061</v>
      </c>
      <c r="K643" s="10" t="s">
        <v>1907</v>
      </c>
      <c r="L643" s="10" t="s">
        <v>252</v>
      </c>
      <c r="M643" s="10" t="s">
        <v>1834</v>
      </c>
      <c r="N643" s="7"/>
    </row>
    <row r="644" s="1" customFormat="1" ht="28.5" customHeight="1" spans="1:14">
      <c r="A644" s="8"/>
      <c r="B644" s="9"/>
      <c r="C644" s="9" t="s">
        <v>1289</v>
      </c>
      <c r="D644" s="9">
        <v>2500</v>
      </c>
      <c r="E644" s="9"/>
      <c r="F644" s="9"/>
      <c r="G644" s="10" t="s">
        <v>1908</v>
      </c>
      <c r="H644" s="10" t="s">
        <v>563</v>
      </c>
      <c r="I644" s="10"/>
      <c r="J644" s="9">
        <v>10062</v>
      </c>
      <c r="K644" s="10" t="s">
        <v>1909</v>
      </c>
      <c r="L644" s="10" t="s">
        <v>252</v>
      </c>
      <c r="M644" s="10" t="s">
        <v>1834</v>
      </c>
      <c r="N644" s="7"/>
    </row>
    <row r="645" s="1" customFormat="1" ht="28.5" customHeight="1" spans="1:14">
      <c r="A645" s="8"/>
      <c r="B645" s="9"/>
      <c r="C645" s="9" t="s">
        <v>1289</v>
      </c>
      <c r="D645" s="9">
        <v>2000</v>
      </c>
      <c r="E645" s="9"/>
      <c r="F645" s="9"/>
      <c r="G645" s="10" t="s">
        <v>1910</v>
      </c>
      <c r="H645" s="10" t="s">
        <v>563</v>
      </c>
      <c r="I645" s="10"/>
      <c r="J645" s="9">
        <v>10063</v>
      </c>
      <c r="K645" s="10" t="s">
        <v>1911</v>
      </c>
      <c r="L645" s="10" t="s">
        <v>252</v>
      </c>
      <c r="M645" s="10" t="s">
        <v>1834</v>
      </c>
      <c r="N645" s="7"/>
    </row>
    <row r="646" s="1" customFormat="1" ht="28.5" customHeight="1" spans="1:14">
      <c r="A646" s="8"/>
      <c r="B646" s="9"/>
      <c r="C646" s="9" t="s">
        <v>1289</v>
      </c>
      <c r="D646" s="9">
        <v>1500</v>
      </c>
      <c r="E646" s="9"/>
      <c r="F646" s="9"/>
      <c r="G646" s="10" t="s">
        <v>1912</v>
      </c>
      <c r="H646" s="10" t="s">
        <v>563</v>
      </c>
      <c r="I646" s="10"/>
      <c r="J646" s="9">
        <v>10064</v>
      </c>
      <c r="K646" s="10" t="s">
        <v>1913</v>
      </c>
      <c r="L646" s="10" t="s">
        <v>252</v>
      </c>
      <c r="M646" s="10" t="s">
        <v>1834</v>
      </c>
      <c r="N646" s="7"/>
    </row>
    <row r="647" s="1" customFormat="1" ht="28.5" customHeight="1" spans="1:14">
      <c r="A647" s="8"/>
      <c r="B647" s="9"/>
      <c r="C647" s="9" t="s">
        <v>1289</v>
      </c>
      <c r="D647" s="9">
        <v>1000</v>
      </c>
      <c r="E647" s="9"/>
      <c r="F647" s="9"/>
      <c r="G647" s="10" t="s">
        <v>1914</v>
      </c>
      <c r="H647" s="10" t="s">
        <v>563</v>
      </c>
      <c r="I647" s="10"/>
      <c r="J647" s="9">
        <v>10065</v>
      </c>
      <c r="K647" s="10" t="s">
        <v>1915</v>
      </c>
      <c r="L647" s="10" t="s">
        <v>252</v>
      </c>
      <c r="M647" s="10" t="s">
        <v>1834</v>
      </c>
      <c r="N647" s="7"/>
    </row>
    <row r="648" s="1" customFormat="1" ht="28.5" customHeight="1" spans="1:14">
      <c r="A648" s="8">
        <v>10501</v>
      </c>
      <c r="B648" s="9">
        <v>10501</v>
      </c>
      <c r="C648" s="9" t="s">
        <v>33</v>
      </c>
      <c r="D648" s="9">
        <v>0</v>
      </c>
      <c r="E648" s="9"/>
      <c r="F648" s="9">
        <v>10500</v>
      </c>
      <c r="G648" s="10" t="s">
        <v>1313</v>
      </c>
      <c r="H648" s="10" t="s">
        <v>563</v>
      </c>
      <c r="I648" s="10"/>
      <c r="J648" s="9">
        <v>60066</v>
      </c>
      <c r="K648" s="10" t="s">
        <v>1916</v>
      </c>
      <c r="L648" s="10" t="s">
        <v>251</v>
      </c>
      <c r="M648" s="10" t="s">
        <v>1842</v>
      </c>
      <c r="N648" s="7"/>
    </row>
    <row r="649" s="1" customFormat="1" ht="28.5" customHeight="1" spans="1:14">
      <c r="A649" s="8">
        <v>10501</v>
      </c>
      <c r="B649" s="9">
        <v>10502</v>
      </c>
      <c r="C649" s="9" t="s">
        <v>33</v>
      </c>
      <c r="D649" s="9">
        <v>0</v>
      </c>
      <c r="E649" s="9"/>
      <c r="F649" s="9">
        <v>10500</v>
      </c>
      <c r="G649" s="10" t="s">
        <v>1315</v>
      </c>
      <c r="H649" s="10" t="s">
        <v>563</v>
      </c>
      <c r="I649" s="10"/>
      <c r="J649" s="9">
        <v>60067</v>
      </c>
      <c r="K649" s="10" t="s">
        <v>1917</v>
      </c>
      <c r="L649" s="10" t="s">
        <v>251</v>
      </c>
      <c r="M649" s="10" t="s">
        <v>1842</v>
      </c>
      <c r="N649" s="7"/>
    </row>
    <row r="650" s="1" customFormat="1" ht="28.5" customHeight="1" spans="1:14">
      <c r="A650" s="8">
        <v>10501</v>
      </c>
      <c r="B650" s="9">
        <v>10503</v>
      </c>
      <c r="C650" s="9" t="s">
        <v>33</v>
      </c>
      <c r="D650" s="9">
        <v>0</v>
      </c>
      <c r="E650" s="9"/>
      <c r="F650" s="9">
        <v>10500</v>
      </c>
      <c r="G650" s="10" t="s">
        <v>1317</v>
      </c>
      <c r="H650" s="10" t="s">
        <v>563</v>
      </c>
      <c r="I650" s="10"/>
      <c r="J650" s="9">
        <v>60068</v>
      </c>
      <c r="K650" s="10" t="s">
        <v>1918</v>
      </c>
      <c r="L650" s="10" t="s">
        <v>251</v>
      </c>
      <c r="M650" s="10" t="s">
        <v>1842</v>
      </c>
      <c r="N650" s="7"/>
    </row>
    <row r="651" s="1" customFormat="1" ht="28.5" customHeight="1" spans="1:14">
      <c r="A651" s="8">
        <v>10501</v>
      </c>
      <c r="B651" s="9">
        <v>10504</v>
      </c>
      <c r="C651" s="9" t="s">
        <v>33</v>
      </c>
      <c r="D651" s="9">
        <v>0</v>
      </c>
      <c r="E651" s="9"/>
      <c r="F651" s="9">
        <v>10500</v>
      </c>
      <c r="G651" s="10" t="s">
        <v>1319</v>
      </c>
      <c r="H651" s="10" t="s">
        <v>563</v>
      </c>
      <c r="I651" s="10"/>
      <c r="J651" s="9">
        <v>60069</v>
      </c>
      <c r="K651" s="10" t="s">
        <v>1919</v>
      </c>
      <c r="L651" s="10" t="s">
        <v>251</v>
      </c>
      <c r="M651" s="10" t="s">
        <v>1842</v>
      </c>
      <c r="N651" s="7"/>
    </row>
    <row r="652" s="1" customFormat="1" ht="28.5" customHeight="1" spans="1:14">
      <c r="A652" s="8">
        <v>10501</v>
      </c>
      <c r="B652" s="9">
        <v>10505</v>
      </c>
      <c r="C652" s="9" t="s">
        <v>33</v>
      </c>
      <c r="D652" s="9">
        <v>0</v>
      </c>
      <c r="E652" s="9"/>
      <c r="F652" s="9">
        <v>10500</v>
      </c>
      <c r="G652" s="10" t="s">
        <v>1321</v>
      </c>
      <c r="H652" s="10" t="s">
        <v>563</v>
      </c>
      <c r="I652" s="10"/>
      <c r="J652" s="9">
        <v>60070</v>
      </c>
      <c r="K652" s="10" t="s">
        <v>1920</v>
      </c>
      <c r="L652" s="10" t="s">
        <v>251</v>
      </c>
      <c r="M652" s="10" t="s">
        <v>1842</v>
      </c>
      <c r="N652" s="7"/>
    </row>
    <row r="653" s="1" customFormat="1" ht="28.5" customHeight="1" spans="1:14">
      <c r="A653" s="8">
        <v>10501</v>
      </c>
      <c r="B653" s="9">
        <v>10506</v>
      </c>
      <c r="C653" s="9" t="s">
        <v>33</v>
      </c>
      <c r="D653" s="9">
        <v>3000</v>
      </c>
      <c r="E653" s="9"/>
      <c r="F653" s="9">
        <v>10501</v>
      </c>
      <c r="G653" s="10" t="s">
        <v>1921</v>
      </c>
      <c r="H653" s="10" t="s">
        <v>563</v>
      </c>
      <c r="I653" s="10"/>
      <c r="J653" s="9">
        <v>20071</v>
      </c>
      <c r="K653" s="10" t="s">
        <v>1922</v>
      </c>
      <c r="L653" s="10" t="s">
        <v>252</v>
      </c>
      <c r="M653" s="10" t="s">
        <v>1842</v>
      </c>
      <c r="N653" s="7"/>
    </row>
    <row r="654" s="1" customFormat="1" ht="28.5" customHeight="1" spans="1:14">
      <c r="A654" s="8">
        <v>10501</v>
      </c>
      <c r="B654" s="9">
        <v>10507</v>
      </c>
      <c r="C654" s="9" t="s">
        <v>33</v>
      </c>
      <c r="D654" s="9">
        <v>2500</v>
      </c>
      <c r="E654" s="9"/>
      <c r="F654" s="9">
        <v>10501</v>
      </c>
      <c r="G654" s="10" t="s">
        <v>1923</v>
      </c>
      <c r="H654" s="10" t="s">
        <v>563</v>
      </c>
      <c r="I654" s="10"/>
      <c r="J654" s="9">
        <v>20072</v>
      </c>
      <c r="K654" s="10" t="s">
        <v>1924</v>
      </c>
      <c r="L654" s="10" t="s">
        <v>252</v>
      </c>
      <c r="M654" s="10" t="s">
        <v>1842</v>
      </c>
      <c r="N654" s="7"/>
    </row>
    <row r="655" s="1" customFormat="1" ht="28.5" customHeight="1" spans="1:14">
      <c r="A655" s="8">
        <v>10501</v>
      </c>
      <c r="B655" s="9">
        <v>10508</v>
      </c>
      <c r="C655" s="9" t="s">
        <v>33</v>
      </c>
      <c r="D655" s="9">
        <v>2000</v>
      </c>
      <c r="E655" s="9"/>
      <c r="F655" s="9">
        <v>10501</v>
      </c>
      <c r="G655" s="10" t="s">
        <v>1925</v>
      </c>
      <c r="H655" s="10" t="s">
        <v>563</v>
      </c>
      <c r="I655" s="10"/>
      <c r="J655" s="9">
        <v>20073</v>
      </c>
      <c r="K655" s="10" t="s">
        <v>1926</v>
      </c>
      <c r="L655" s="10" t="s">
        <v>252</v>
      </c>
      <c r="M655" s="10" t="s">
        <v>1842</v>
      </c>
      <c r="N655" s="7"/>
    </row>
    <row r="656" s="1" customFormat="1" ht="28.5" customHeight="1" spans="1:14">
      <c r="A656" s="8">
        <v>10501</v>
      </c>
      <c r="B656" s="9">
        <v>10509</v>
      </c>
      <c r="C656" s="9" t="s">
        <v>33</v>
      </c>
      <c r="D656" s="9">
        <v>1500</v>
      </c>
      <c r="E656" s="9"/>
      <c r="F656" s="9">
        <v>10501</v>
      </c>
      <c r="G656" s="10" t="s">
        <v>1927</v>
      </c>
      <c r="H656" s="10" t="s">
        <v>563</v>
      </c>
      <c r="I656" s="10"/>
      <c r="J656" s="9">
        <v>20074</v>
      </c>
      <c r="K656" s="10" t="s">
        <v>1928</v>
      </c>
      <c r="L656" s="10" t="s">
        <v>252</v>
      </c>
      <c r="M656" s="10" t="s">
        <v>1842</v>
      </c>
      <c r="N656" s="7"/>
    </row>
    <row r="657" s="1" customFormat="1" ht="28.5" customHeight="1" spans="1:14">
      <c r="A657" s="8">
        <v>10501</v>
      </c>
      <c r="B657" s="9">
        <v>10510</v>
      </c>
      <c r="C657" s="9" t="s">
        <v>33</v>
      </c>
      <c r="D657" s="9">
        <v>1000</v>
      </c>
      <c r="E657" s="9"/>
      <c r="F657" s="9">
        <v>10501</v>
      </c>
      <c r="G657" s="10" t="s">
        <v>1929</v>
      </c>
      <c r="H657" s="10" t="s">
        <v>563</v>
      </c>
      <c r="I657" s="10"/>
      <c r="J657" s="9">
        <v>20075</v>
      </c>
      <c r="K657" s="10" t="s">
        <v>1930</v>
      </c>
      <c r="L657" s="10" t="s">
        <v>252</v>
      </c>
      <c r="M657" s="10" t="s">
        <v>1842</v>
      </c>
      <c r="N657" s="7"/>
    </row>
    <row r="658" s="1" customFormat="1" ht="28.5" customHeight="1" spans="1:14">
      <c r="A658" s="8"/>
      <c r="B658" s="9"/>
      <c r="C658" s="9" t="s">
        <v>1289</v>
      </c>
      <c r="D658" s="9">
        <v>3000</v>
      </c>
      <c r="E658" s="9"/>
      <c r="F658" s="9"/>
      <c r="G658" s="10" t="s">
        <v>1857</v>
      </c>
      <c r="H658" s="10" t="s">
        <v>563</v>
      </c>
      <c r="I658" s="10"/>
      <c r="J658" s="9">
        <v>90076</v>
      </c>
      <c r="K658" s="10" t="s">
        <v>1858</v>
      </c>
      <c r="L658" s="10" t="s">
        <v>224</v>
      </c>
      <c r="M658" s="10" t="s">
        <v>1834</v>
      </c>
      <c r="N658" s="7"/>
    </row>
    <row r="659" s="1" customFormat="1" ht="28.5" customHeight="1" spans="1:14">
      <c r="A659" s="8"/>
      <c r="B659" s="9"/>
      <c r="C659" s="9" t="s">
        <v>1289</v>
      </c>
      <c r="D659" s="9">
        <v>2500</v>
      </c>
      <c r="E659" s="9"/>
      <c r="F659" s="9"/>
      <c r="G659" s="10" t="s">
        <v>1857</v>
      </c>
      <c r="H659" s="10" t="s">
        <v>563</v>
      </c>
      <c r="I659" s="10"/>
      <c r="J659" s="9">
        <v>90077</v>
      </c>
      <c r="K659" s="10" t="s">
        <v>1858</v>
      </c>
      <c r="L659" s="10" t="s">
        <v>224</v>
      </c>
      <c r="M659" s="10" t="s">
        <v>1834</v>
      </c>
      <c r="N659" s="7"/>
    </row>
    <row r="660" s="1" customFormat="1" ht="28.5" customHeight="1" spans="1:14">
      <c r="A660" s="8"/>
      <c r="B660" s="9"/>
      <c r="C660" s="9" t="s">
        <v>1289</v>
      </c>
      <c r="D660" s="9">
        <v>2000</v>
      </c>
      <c r="E660" s="9"/>
      <c r="F660" s="9"/>
      <c r="G660" s="10" t="s">
        <v>1857</v>
      </c>
      <c r="H660" s="10" t="s">
        <v>563</v>
      </c>
      <c r="I660" s="10"/>
      <c r="J660" s="9">
        <v>90078</v>
      </c>
      <c r="K660" s="10" t="s">
        <v>1858</v>
      </c>
      <c r="L660" s="10" t="s">
        <v>224</v>
      </c>
      <c r="M660" s="10" t="s">
        <v>1834</v>
      </c>
      <c r="N660" s="7"/>
    </row>
    <row r="661" s="1" customFormat="1" ht="28.5" customHeight="1" spans="1:14">
      <c r="A661" s="8"/>
      <c r="B661" s="9"/>
      <c r="C661" s="9" t="s">
        <v>1289</v>
      </c>
      <c r="D661" s="9">
        <v>1500</v>
      </c>
      <c r="E661" s="9"/>
      <c r="F661" s="9"/>
      <c r="G661" s="10" t="s">
        <v>1857</v>
      </c>
      <c r="H661" s="10" t="s">
        <v>563</v>
      </c>
      <c r="I661" s="10"/>
      <c r="J661" s="9">
        <v>90079</v>
      </c>
      <c r="K661" s="10" t="s">
        <v>1858</v>
      </c>
      <c r="L661" s="10" t="s">
        <v>224</v>
      </c>
      <c r="M661" s="10" t="s">
        <v>1834</v>
      </c>
      <c r="N661" s="7"/>
    </row>
    <row r="662" s="1" customFormat="1" ht="28.5" customHeight="1" spans="1:14">
      <c r="A662" s="8"/>
      <c r="B662" s="9"/>
      <c r="C662" s="9" t="s">
        <v>1289</v>
      </c>
      <c r="D662" s="9">
        <v>1000</v>
      </c>
      <c r="E662" s="9"/>
      <c r="F662" s="9"/>
      <c r="G662" s="10" t="s">
        <v>1857</v>
      </c>
      <c r="H662" s="10" t="s">
        <v>563</v>
      </c>
      <c r="I662" s="10"/>
      <c r="J662" s="9">
        <v>90080</v>
      </c>
      <c r="K662" s="10" t="s">
        <v>1858</v>
      </c>
      <c r="L662" s="10" t="s">
        <v>224</v>
      </c>
      <c r="M662" s="10" t="s">
        <v>1834</v>
      </c>
      <c r="N662" s="7"/>
    </row>
    <row r="663" s="1" customFormat="1" ht="28.5" customHeight="1" spans="1:14">
      <c r="A663" s="8"/>
      <c r="B663" s="9"/>
      <c r="C663" s="9" t="s">
        <v>1289</v>
      </c>
      <c r="D663" s="9">
        <v>3000</v>
      </c>
      <c r="E663" s="9"/>
      <c r="F663" s="9"/>
      <c r="G663" s="10" t="s">
        <v>1859</v>
      </c>
      <c r="H663" s="10" t="s">
        <v>563</v>
      </c>
      <c r="I663" s="10"/>
      <c r="J663" s="9">
        <v>70081</v>
      </c>
      <c r="K663" s="10" t="s">
        <v>1860</v>
      </c>
      <c r="L663" s="10" t="s">
        <v>228</v>
      </c>
      <c r="M663" s="10" t="s">
        <v>1834</v>
      </c>
      <c r="N663" s="7"/>
    </row>
    <row r="664" s="1" customFormat="1" ht="28.5" customHeight="1" spans="1:14">
      <c r="A664" s="8"/>
      <c r="B664" s="9"/>
      <c r="C664" s="9" t="s">
        <v>1289</v>
      </c>
      <c r="D664" s="9">
        <v>2500</v>
      </c>
      <c r="E664" s="9"/>
      <c r="F664" s="9"/>
      <c r="G664" s="10" t="s">
        <v>1859</v>
      </c>
      <c r="H664" s="10" t="s">
        <v>563</v>
      </c>
      <c r="I664" s="10"/>
      <c r="J664" s="9">
        <v>70082</v>
      </c>
      <c r="K664" s="10" t="s">
        <v>1860</v>
      </c>
      <c r="L664" s="10" t="s">
        <v>228</v>
      </c>
      <c r="M664" s="10" t="s">
        <v>1834</v>
      </c>
      <c r="N664" s="7"/>
    </row>
    <row r="665" s="1" customFormat="1" ht="28.5" customHeight="1" spans="1:14">
      <c r="A665" s="8"/>
      <c r="B665" s="9"/>
      <c r="C665" s="9" t="s">
        <v>1289</v>
      </c>
      <c r="D665" s="9">
        <v>2000</v>
      </c>
      <c r="E665" s="9"/>
      <c r="F665" s="9"/>
      <c r="G665" s="10" t="s">
        <v>1859</v>
      </c>
      <c r="H665" s="10" t="s">
        <v>563</v>
      </c>
      <c r="I665" s="10"/>
      <c r="J665" s="9">
        <v>70083</v>
      </c>
      <c r="K665" s="10" t="s">
        <v>1860</v>
      </c>
      <c r="L665" s="10" t="s">
        <v>228</v>
      </c>
      <c r="M665" s="10" t="s">
        <v>1834</v>
      </c>
      <c r="N665" s="7"/>
    </row>
    <row r="666" s="1" customFormat="1" ht="28.5" customHeight="1" spans="1:14">
      <c r="A666" s="8"/>
      <c r="B666" s="9"/>
      <c r="C666" s="9" t="s">
        <v>1289</v>
      </c>
      <c r="D666" s="9">
        <v>1500</v>
      </c>
      <c r="E666" s="9"/>
      <c r="F666" s="9"/>
      <c r="G666" s="10" t="s">
        <v>1859</v>
      </c>
      <c r="H666" s="10" t="s">
        <v>563</v>
      </c>
      <c r="I666" s="10"/>
      <c r="J666" s="9">
        <v>70084</v>
      </c>
      <c r="K666" s="10" t="s">
        <v>1860</v>
      </c>
      <c r="L666" s="10" t="s">
        <v>228</v>
      </c>
      <c r="M666" s="10" t="s">
        <v>1834</v>
      </c>
      <c r="N666" s="7"/>
    </row>
    <row r="667" s="1" customFormat="1" ht="28.5" customHeight="1" spans="1:14">
      <c r="A667" s="8"/>
      <c r="B667" s="9"/>
      <c r="C667" s="9" t="s">
        <v>1289</v>
      </c>
      <c r="D667" s="9">
        <v>1000</v>
      </c>
      <c r="E667" s="9"/>
      <c r="F667" s="9"/>
      <c r="G667" s="10" t="s">
        <v>1859</v>
      </c>
      <c r="H667" s="10" t="s">
        <v>563</v>
      </c>
      <c r="I667" s="10"/>
      <c r="J667" s="9">
        <v>70085</v>
      </c>
      <c r="K667" s="10" t="s">
        <v>1860</v>
      </c>
      <c r="L667" s="10" t="s">
        <v>228</v>
      </c>
      <c r="M667" s="10" t="s">
        <v>1834</v>
      </c>
      <c r="N667" s="7"/>
    </row>
    <row r="668" s="1" customFormat="1" ht="28.5" customHeight="1" spans="1:14">
      <c r="A668" s="8"/>
      <c r="B668" s="9"/>
      <c r="C668" s="9" t="s">
        <v>1289</v>
      </c>
      <c r="D668" s="9">
        <v>3000</v>
      </c>
      <c r="E668" s="9"/>
      <c r="F668" s="9"/>
      <c r="G668" s="10" t="s">
        <v>1861</v>
      </c>
      <c r="H668" s="10" t="s">
        <v>563</v>
      </c>
      <c r="I668" s="10"/>
      <c r="J668" s="9">
        <v>80086</v>
      </c>
      <c r="K668" s="10" t="s">
        <v>1862</v>
      </c>
      <c r="L668" s="10" t="s">
        <v>231</v>
      </c>
      <c r="M668" s="10" t="s">
        <v>1834</v>
      </c>
      <c r="N668" s="7"/>
    </row>
    <row r="669" s="1" customFormat="1" ht="28.5" customHeight="1" spans="1:14">
      <c r="A669" s="8"/>
      <c r="B669" s="9"/>
      <c r="C669" s="9" t="s">
        <v>1289</v>
      </c>
      <c r="D669" s="9">
        <v>2500</v>
      </c>
      <c r="E669" s="9"/>
      <c r="F669" s="9"/>
      <c r="G669" s="10" t="s">
        <v>1861</v>
      </c>
      <c r="H669" s="10" t="s">
        <v>563</v>
      </c>
      <c r="I669" s="10"/>
      <c r="J669" s="9">
        <v>80087</v>
      </c>
      <c r="K669" s="10" t="s">
        <v>1862</v>
      </c>
      <c r="L669" s="10" t="s">
        <v>231</v>
      </c>
      <c r="M669" s="10" t="s">
        <v>1834</v>
      </c>
      <c r="N669" s="7"/>
    </row>
    <row r="670" s="1" customFormat="1" ht="28.5" customHeight="1" spans="1:14">
      <c r="A670" s="8"/>
      <c r="B670" s="9"/>
      <c r="C670" s="9" t="s">
        <v>1289</v>
      </c>
      <c r="D670" s="9">
        <v>2000</v>
      </c>
      <c r="E670" s="9"/>
      <c r="F670" s="9"/>
      <c r="G670" s="10" t="s">
        <v>1861</v>
      </c>
      <c r="H670" s="10" t="s">
        <v>563</v>
      </c>
      <c r="I670" s="10"/>
      <c r="J670" s="9">
        <v>80088</v>
      </c>
      <c r="K670" s="10" t="s">
        <v>1862</v>
      </c>
      <c r="L670" s="10" t="s">
        <v>231</v>
      </c>
      <c r="M670" s="10" t="s">
        <v>1834</v>
      </c>
      <c r="N670" s="7"/>
    </row>
    <row r="671" s="1" customFormat="1" ht="28.5" customHeight="1" spans="1:14">
      <c r="A671" s="8"/>
      <c r="B671" s="9"/>
      <c r="C671" s="9" t="s">
        <v>1289</v>
      </c>
      <c r="D671" s="9">
        <v>1500</v>
      </c>
      <c r="E671" s="9"/>
      <c r="F671" s="9"/>
      <c r="G671" s="10" t="s">
        <v>1861</v>
      </c>
      <c r="H671" s="10" t="s">
        <v>563</v>
      </c>
      <c r="I671" s="10"/>
      <c r="J671" s="9">
        <v>80089</v>
      </c>
      <c r="K671" s="10" t="s">
        <v>1862</v>
      </c>
      <c r="L671" s="10" t="s">
        <v>231</v>
      </c>
      <c r="M671" s="10" t="s">
        <v>1834</v>
      </c>
      <c r="N671" s="7"/>
    </row>
    <row r="672" s="1" customFormat="1" ht="28.5" customHeight="1" spans="1:14">
      <c r="A672" s="8"/>
      <c r="B672" s="9"/>
      <c r="C672" s="9" t="s">
        <v>1289</v>
      </c>
      <c r="D672" s="9">
        <v>1000</v>
      </c>
      <c r="E672" s="9"/>
      <c r="F672" s="9"/>
      <c r="G672" s="10" t="s">
        <v>1861</v>
      </c>
      <c r="H672" s="10" t="s">
        <v>563</v>
      </c>
      <c r="I672" s="10"/>
      <c r="J672" s="9">
        <v>80090</v>
      </c>
      <c r="K672" s="10" t="s">
        <v>1862</v>
      </c>
      <c r="L672" s="10" t="s">
        <v>231</v>
      </c>
      <c r="M672" s="10" t="s">
        <v>1834</v>
      </c>
      <c r="N672" s="7"/>
    </row>
    <row r="673" s="1" customFormat="1" ht="28.5" customHeight="1" spans="1:14">
      <c r="A673" s="8"/>
      <c r="B673" s="9"/>
      <c r="C673" s="9" t="s">
        <v>1289</v>
      </c>
      <c r="D673" s="9">
        <v>3000</v>
      </c>
      <c r="E673" s="9"/>
      <c r="F673" s="9"/>
      <c r="G673" s="10" t="s">
        <v>1931</v>
      </c>
      <c r="H673" s="10" t="s">
        <v>563</v>
      </c>
      <c r="I673" s="10"/>
      <c r="J673" s="9">
        <v>10091</v>
      </c>
      <c r="K673" s="10" t="s">
        <v>1932</v>
      </c>
      <c r="L673" s="10" t="s">
        <v>253</v>
      </c>
      <c r="M673" s="10" t="s">
        <v>1834</v>
      </c>
      <c r="N673" s="7"/>
    </row>
    <row r="674" s="1" customFormat="1" ht="28.5" customHeight="1" spans="1:14">
      <c r="A674" s="8"/>
      <c r="B674" s="9"/>
      <c r="C674" s="9" t="s">
        <v>1289</v>
      </c>
      <c r="D674" s="9">
        <v>2500</v>
      </c>
      <c r="E674" s="9"/>
      <c r="F674" s="9"/>
      <c r="G674" s="10" t="s">
        <v>1933</v>
      </c>
      <c r="H674" s="10" t="s">
        <v>563</v>
      </c>
      <c r="I674" s="10"/>
      <c r="J674" s="9">
        <v>10092</v>
      </c>
      <c r="K674" s="10" t="s">
        <v>1934</v>
      </c>
      <c r="L674" s="10" t="s">
        <v>253</v>
      </c>
      <c r="M674" s="10" t="s">
        <v>1834</v>
      </c>
      <c r="N674" s="7"/>
    </row>
    <row r="675" s="1" customFormat="1" ht="28.5" customHeight="1" spans="1:14">
      <c r="A675" s="8"/>
      <c r="B675" s="9"/>
      <c r="C675" s="9" t="s">
        <v>1289</v>
      </c>
      <c r="D675" s="9">
        <v>2000</v>
      </c>
      <c r="E675" s="9"/>
      <c r="F675" s="9"/>
      <c r="G675" s="10" t="s">
        <v>1935</v>
      </c>
      <c r="H675" s="10" t="s">
        <v>563</v>
      </c>
      <c r="I675" s="10"/>
      <c r="J675" s="9">
        <v>10093</v>
      </c>
      <c r="K675" s="10" t="s">
        <v>1936</v>
      </c>
      <c r="L675" s="10" t="s">
        <v>253</v>
      </c>
      <c r="M675" s="10" t="s">
        <v>1834</v>
      </c>
      <c r="N675" s="7"/>
    </row>
    <row r="676" s="1" customFormat="1" ht="28.5" customHeight="1" spans="1:14">
      <c r="A676" s="8"/>
      <c r="B676" s="9"/>
      <c r="C676" s="9" t="s">
        <v>1289</v>
      </c>
      <c r="D676" s="9">
        <v>1500</v>
      </c>
      <c r="E676" s="9"/>
      <c r="F676" s="9"/>
      <c r="G676" s="10" t="s">
        <v>1937</v>
      </c>
      <c r="H676" s="10" t="s">
        <v>563</v>
      </c>
      <c r="I676" s="10"/>
      <c r="J676" s="9">
        <v>10094</v>
      </c>
      <c r="K676" s="10" t="s">
        <v>1938</v>
      </c>
      <c r="L676" s="10" t="s">
        <v>253</v>
      </c>
      <c r="M676" s="10" t="s">
        <v>1834</v>
      </c>
      <c r="N676" s="7"/>
    </row>
    <row r="677" s="1" customFormat="1" ht="28.5" customHeight="1" spans="1:14">
      <c r="A677" s="8"/>
      <c r="B677" s="9"/>
      <c r="C677" s="9" t="s">
        <v>1289</v>
      </c>
      <c r="D677" s="9">
        <v>1000</v>
      </c>
      <c r="E677" s="9"/>
      <c r="F677" s="9"/>
      <c r="G677" s="10" t="s">
        <v>1939</v>
      </c>
      <c r="H677" s="10" t="s">
        <v>563</v>
      </c>
      <c r="I677" s="10"/>
      <c r="J677" s="9">
        <v>10095</v>
      </c>
      <c r="K677" s="10" t="s">
        <v>1940</v>
      </c>
      <c r="L677" s="10" t="s">
        <v>253</v>
      </c>
      <c r="M677" s="10" t="s">
        <v>1834</v>
      </c>
      <c r="N677" s="7"/>
    </row>
    <row r="678" s="1" customFormat="1" ht="28.5" customHeight="1" spans="1:14">
      <c r="A678" s="8">
        <v>10501</v>
      </c>
      <c r="B678" s="9">
        <v>10511</v>
      </c>
      <c r="C678" s="9" t="s">
        <v>33</v>
      </c>
      <c r="D678" s="9">
        <v>0</v>
      </c>
      <c r="E678" s="9"/>
      <c r="F678" s="9">
        <v>10502</v>
      </c>
      <c r="G678" s="10" t="s">
        <v>1303</v>
      </c>
      <c r="H678" s="10" t="s">
        <v>563</v>
      </c>
      <c r="I678" s="10"/>
      <c r="J678" s="9">
        <v>60096</v>
      </c>
      <c r="K678" s="10" t="s">
        <v>1941</v>
      </c>
      <c r="L678" s="10" t="s">
        <v>254</v>
      </c>
      <c r="M678" s="10" t="s">
        <v>1842</v>
      </c>
      <c r="N678" s="7"/>
    </row>
    <row r="679" s="1" customFormat="1" ht="28.5" customHeight="1" spans="1:14">
      <c r="A679" s="8">
        <v>10501</v>
      </c>
      <c r="B679" s="9">
        <v>10512</v>
      </c>
      <c r="C679" s="9" t="s">
        <v>33</v>
      </c>
      <c r="D679" s="9">
        <v>0</v>
      </c>
      <c r="E679" s="9"/>
      <c r="F679" s="9">
        <v>10502</v>
      </c>
      <c r="G679" s="10" t="s">
        <v>1305</v>
      </c>
      <c r="H679" s="10" t="s">
        <v>563</v>
      </c>
      <c r="I679" s="10"/>
      <c r="J679" s="9">
        <v>60097</v>
      </c>
      <c r="K679" s="10" t="s">
        <v>1942</v>
      </c>
      <c r="L679" s="10" t="s">
        <v>254</v>
      </c>
      <c r="M679" s="10" t="s">
        <v>1842</v>
      </c>
      <c r="N679" s="7"/>
    </row>
    <row r="680" s="1" customFormat="1" ht="28.5" customHeight="1" spans="1:14">
      <c r="A680" s="8">
        <v>10501</v>
      </c>
      <c r="B680" s="9">
        <v>10513</v>
      </c>
      <c r="C680" s="9" t="s">
        <v>33</v>
      </c>
      <c r="D680" s="9">
        <v>0</v>
      </c>
      <c r="E680" s="9"/>
      <c r="F680" s="9">
        <v>10502</v>
      </c>
      <c r="G680" s="10" t="s">
        <v>1307</v>
      </c>
      <c r="H680" s="10" t="s">
        <v>563</v>
      </c>
      <c r="I680" s="10"/>
      <c r="J680" s="9">
        <v>60098</v>
      </c>
      <c r="K680" s="10" t="s">
        <v>1943</v>
      </c>
      <c r="L680" s="10" t="s">
        <v>254</v>
      </c>
      <c r="M680" s="10" t="s">
        <v>1842</v>
      </c>
      <c r="N680" s="7"/>
    </row>
    <row r="681" s="1" customFormat="1" ht="28.5" customHeight="1" spans="1:14">
      <c r="A681" s="8">
        <v>10501</v>
      </c>
      <c r="B681" s="9">
        <v>10514</v>
      </c>
      <c r="C681" s="9" t="s">
        <v>33</v>
      </c>
      <c r="D681" s="9">
        <v>0</v>
      </c>
      <c r="E681" s="9"/>
      <c r="F681" s="9">
        <v>10502</v>
      </c>
      <c r="G681" s="10" t="s">
        <v>1309</v>
      </c>
      <c r="H681" s="10" t="s">
        <v>563</v>
      </c>
      <c r="I681" s="10"/>
      <c r="J681" s="9">
        <v>60099</v>
      </c>
      <c r="K681" s="10" t="s">
        <v>1944</v>
      </c>
      <c r="L681" s="10" t="s">
        <v>254</v>
      </c>
      <c r="M681" s="10" t="s">
        <v>1842</v>
      </c>
      <c r="N681" s="7"/>
    </row>
    <row r="682" s="1" customFormat="1" ht="28.5" customHeight="1" spans="1:14">
      <c r="A682" s="8">
        <v>10501</v>
      </c>
      <c r="B682" s="9">
        <v>10515</v>
      </c>
      <c r="C682" s="9" t="s">
        <v>33</v>
      </c>
      <c r="D682" s="9">
        <v>0</v>
      </c>
      <c r="E682" s="9"/>
      <c r="F682" s="9">
        <v>10502</v>
      </c>
      <c r="G682" s="10" t="s">
        <v>1311</v>
      </c>
      <c r="H682" s="10" t="s">
        <v>563</v>
      </c>
      <c r="I682" s="10"/>
      <c r="J682" s="9">
        <v>60100</v>
      </c>
      <c r="K682" s="10" t="s">
        <v>1945</v>
      </c>
      <c r="L682" s="10" t="s">
        <v>254</v>
      </c>
      <c r="M682" s="10" t="s">
        <v>1842</v>
      </c>
      <c r="N682" s="7"/>
    </row>
    <row r="683" s="1" customFormat="1" ht="28.5" customHeight="1" spans="1:14">
      <c r="A683" s="8">
        <v>10501</v>
      </c>
      <c r="B683" s="9">
        <v>10516</v>
      </c>
      <c r="C683" s="9" t="s">
        <v>33</v>
      </c>
      <c r="D683" s="9">
        <v>3000</v>
      </c>
      <c r="E683" s="9"/>
      <c r="F683" s="9">
        <v>10503</v>
      </c>
      <c r="G683" s="10" t="s">
        <v>1286</v>
      </c>
      <c r="H683" s="10" t="s">
        <v>563</v>
      </c>
      <c r="I683" s="10"/>
      <c r="J683" s="9">
        <v>50101</v>
      </c>
      <c r="K683" s="10" t="s">
        <v>1884</v>
      </c>
      <c r="L683" s="10" t="s">
        <v>255</v>
      </c>
      <c r="M683" s="10" t="s">
        <v>1842</v>
      </c>
      <c r="N683" s="7"/>
    </row>
    <row r="684" s="1" customFormat="1" ht="28.5" customHeight="1" spans="1:14">
      <c r="A684" s="8">
        <v>10501</v>
      </c>
      <c r="B684" s="9">
        <v>10517</v>
      </c>
      <c r="C684" s="9" t="s">
        <v>33</v>
      </c>
      <c r="D684" s="9">
        <v>2500</v>
      </c>
      <c r="E684" s="9"/>
      <c r="F684" s="9">
        <v>10503</v>
      </c>
      <c r="G684" s="10" t="s">
        <v>1323</v>
      </c>
      <c r="H684" s="10" t="s">
        <v>563</v>
      </c>
      <c r="I684" s="10"/>
      <c r="J684" s="9">
        <v>50102</v>
      </c>
      <c r="K684" s="10" t="s">
        <v>1946</v>
      </c>
      <c r="L684" s="10" t="s">
        <v>255</v>
      </c>
      <c r="M684" s="10" t="s">
        <v>1842</v>
      </c>
      <c r="N684" s="7"/>
    </row>
    <row r="685" s="1" customFormat="1" ht="28.5" customHeight="1" spans="1:14">
      <c r="A685" s="8">
        <v>10501</v>
      </c>
      <c r="B685" s="9">
        <v>10518</v>
      </c>
      <c r="C685" s="9" t="s">
        <v>33</v>
      </c>
      <c r="D685" s="9">
        <v>2000</v>
      </c>
      <c r="E685" s="9"/>
      <c r="F685" s="9">
        <v>10503</v>
      </c>
      <c r="G685" s="10" t="s">
        <v>1947</v>
      </c>
      <c r="H685" s="10" t="s">
        <v>563</v>
      </c>
      <c r="I685" s="10"/>
      <c r="J685" s="9">
        <v>50103</v>
      </c>
      <c r="K685" s="10" t="s">
        <v>1948</v>
      </c>
      <c r="L685" s="10" t="s">
        <v>255</v>
      </c>
      <c r="M685" s="10" t="s">
        <v>1842</v>
      </c>
      <c r="N685" s="7"/>
    </row>
    <row r="686" s="1" customFormat="1" ht="28.5" customHeight="1" spans="1:14">
      <c r="A686" s="8">
        <v>10501</v>
      </c>
      <c r="B686" s="9">
        <v>10519</v>
      </c>
      <c r="C686" s="9" t="s">
        <v>33</v>
      </c>
      <c r="D686" s="9">
        <v>1500</v>
      </c>
      <c r="E686" s="9"/>
      <c r="F686" s="9">
        <v>10503</v>
      </c>
      <c r="G686" s="10" t="s">
        <v>1949</v>
      </c>
      <c r="H686" s="10" t="s">
        <v>563</v>
      </c>
      <c r="I686" s="10"/>
      <c r="J686" s="9">
        <v>50104</v>
      </c>
      <c r="K686" s="10" t="s">
        <v>1950</v>
      </c>
      <c r="L686" s="10" t="s">
        <v>255</v>
      </c>
      <c r="M686" s="10" t="s">
        <v>1842</v>
      </c>
      <c r="N686" s="7"/>
    </row>
    <row r="687" s="1" customFormat="1" ht="28.5" customHeight="1" spans="1:14">
      <c r="A687" s="8">
        <v>10501</v>
      </c>
      <c r="B687" s="9">
        <v>10520</v>
      </c>
      <c r="C687" s="9" t="s">
        <v>33</v>
      </c>
      <c r="D687" s="9">
        <v>1000</v>
      </c>
      <c r="E687" s="9"/>
      <c r="F687" s="9">
        <v>10503</v>
      </c>
      <c r="G687" s="10" t="s">
        <v>1335</v>
      </c>
      <c r="H687" s="10" t="s">
        <v>563</v>
      </c>
      <c r="I687" s="10"/>
      <c r="J687" s="9">
        <v>50105</v>
      </c>
      <c r="K687" s="10" t="s">
        <v>1951</v>
      </c>
      <c r="L687" s="10" t="s">
        <v>255</v>
      </c>
      <c r="M687" s="10" t="s">
        <v>1842</v>
      </c>
      <c r="N687" s="7"/>
    </row>
    <row r="688" s="1" customFormat="1" ht="28.5" customHeight="1" spans="1:14">
      <c r="A688" s="8"/>
      <c r="B688" s="9"/>
      <c r="C688" s="9" t="s">
        <v>1289</v>
      </c>
      <c r="D688" s="9">
        <v>3000</v>
      </c>
      <c r="E688" s="9"/>
      <c r="F688" s="9"/>
      <c r="G688" s="10" t="s">
        <v>1952</v>
      </c>
      <c r="H688" s="10" t="s">
        <v>563</v>
      </c>
      <c r="I688" s="10"/>
      <c r="J688" s="9">
        <v>30106</v>
      </c>
      <c r="K688" s="10" t="s">
        <v>1953</v>
      </c>
      <c r="L688" s="10" t="s">
        <v>256</v>
      </c>
      <c r="M688" s="10" t="s">
        <v>1834</v>
      </c>
      <c r="N688" s="7"/>
    </row>
    <row r="689" s="1" customFormat="1" ht="28.5" customHeight="1" spans="1:14">
      <c r="A689" s="8"/>
      <c r="B689" s="9"/>
      <c r="C689" s="9" t="s">
        <v>1289</v>
      </c>
      <c r="D689" s="9">
        <v>2500</v>
      </c>
      <c r="E689" s="9"/>
      <c r="F689" s="9"/>
      <c r="G689" s="10" t="s">
        <v>1954</v>
      </c>
      <c r="H689" s="10" t="s">
        <v>563</v>
      </c>
      <c r="I689" s="10"/>
      <c r="J689" s="9">
        <v>30107</v>
      </c>
      <c r="K689" s="10" t="s">
        <v>1955</v>
      </c>
      <c r="L689" s="10" t="s">
        <v>256</v>
      </c>
      <c r="M689" s="10" t="s">
        <v>1834</v>
      </c>
      <c r="N689" s="7"/>
    </row>
    <row r="690" s="1" customFormat="1" ht="28.5" customHeight="1" spans="1:14">
      <c r="A690" s="8"/>
      <c r="B690" s="9"/>
      <c r="C690" s="9" t="s">
        <v>1289</v>
      </c>
      <c r="D690" s="9">
        <v>2000</v>
      </c>
      <c r="E690" s="9"/>
      <c r="F690" s="9"/>
      <c r="G690" s="10" t="s">
        <v>1956</v>
      </c>
      <c r="H690" s="10" t="s">
        <v>563</v>
      </c>
      <c r="I690" s="10"/>
      <c r="J690" s="9">
        <v>30108</v>
      </c>
      <c r="K690" s="10" t="s">
        <v>1957</v>
      </c>
      <c r="L690" s="10" t="s">
        <v>256</v>
      </c>
      <c r="M690" s="10" t="s">
        <v>1834</v>
      </c>
      <c r="N690" s="7"/>
    </row>
    <row r="691" s="1" customFormat="1" ht="28.5" customHeight="1" spans="1:14">
      <c r="A691" s="8"/>
      <c r="B691" s="9"/>
      <c r="C691" s="9" t="s">
        <v>1289</v>
      </c>
      <c r="D691" s="9">
        <v>1500</v>
      </c>
      <c r="E691" s="9"/>
      <c r="F691" s="9"/>
      <c r="G691" s="10" t="s">
        <v>1958</v>
      </c>
      <c r="H691" s="10" t="s">
        <v>563</v>
      </c>
      <c r="I691" s="10"/>
      <c r="J691" s="9">
        <v>30109</v>
      </c>
      <c r="K691" s="10" t="s">
        <v>1959</v>
      </c>
      <c r="L691" s="10" t="s">
        <v>256</v>
      </c>
      <c r="M691" s="10" t="s">
        <v>1834</v>
      </c>
      <c r="N691" s="7"/>
    </row>
    <row r="692" s="1" customFormat="1" ht="28.5" customHeight="1" spans="1:14">
      <c r="A692" s="8"/>
      <c r="B692" s="9"/>
      <c r="C692" s="9" t="s">
        <v>1289</v>
      </c>
      <c r="D692" s="9">
        <v>1000</v>
      </c>
      <c r="E692" s="9"/>
      <c r="F692" s="9"/>
      <c r="G692" s="10" t="s">
        <v>1960</v>
      </c>
      <c r="H692" s="10" t="s">
        <v>563</v>
      </c>
      <c r="I692" s="10"/>
      <c r="J692" s="9">
        <v>30110</v>
      </c>
      <c r="K692" s="10" t="s">
        <v>1961</v>
      </c>
      <c r="L692" s="10" t="s">
        <v>256</v>
      </c>
      <c r="M692" s="10" t="s">
        <v>1834</v>
      </c>
      <c r="N692" s="7"/>
    </row>
    <row r="693" s="1" customFormat="1" ht="28.5" customHeight="1" spans="1:14">
      <c r="A693" s="8">
        <v>10501</v>
      </c>
      <c r="B693" s="9">
        <v>10521</v>
      </c>
      <c r="C693" s="9" t="s">
        <v>33</v>
      </c>
      <c r="D693" s="9">
        <v>3000</v>
      </c>
      <c r="E693" s="9"/>
      <c r="F693" s="9">
        <v>10504</v>
      </c>
      <c r="G693" s="10" t="s">
        <v>1903</v>
      </c>
      <c r="H693" s="10" t="s">
        <v>563</v>
      </c>
      <c r="I693" s="10"/>
      <c r="J693" s="9">
        <v>40111</v>
      </c>
      <c r="K693" s="10" t="s">
        <v>1904</v>
      </c>
      <c r="L693" s="10" t="s">
        <v>257</v>
      </c>
      <c r="M693" s="10" t="s">
        <v>1842</v>
      </c>
      <c r="N693" s="7"/>
    </row>
    <row r="694" s="1" customFormat="1" ht="28.5" customHeight="1" spans="1:14">
      <c r="A694" s="8">
        <v>10501</v>
      </c>
      <c r="B694" s="9">
        <v>10522</v>
      </c>
      <c r="C694" s="9" t="s">
        <v>33</v>
      </c>
      <c r="D694" s="9">
        <v>2500</v>
      </c>
      <c r="E694" s="9"/>
      <c r="F694" s="9">
        <v>10504</v>
      </c>
      <c r="G694" s="10" t="s">
        <v>1962</v>
      </c>
      <c r="H694" s="10" t="s">
        <v>563</v>
      </c>
      <c r="I694" s="10"/>
      <c r="J694" s="9">
        <v>40112</v>
      </c>
      <c r="K694" s="10" t="s">
        <v>1963</v>
      </c>
      <c r="L694" s="10" t="s">
        <v>257</v>
      </c>
      <c r="M694" s="10" t="s">
        <v>1842</v>
      </c>
      <c r="N694" s="7"/>
    </row>
    <row r="695" s="1" customFormat="1" ht="28.5" customHeight="1" spans="1:14">
      <c r="A695" s="8">
        <v>10501</v>
      </c>
      <c r="B695" s="9">
        <v>10523</v>
      </c>
      <c r="C695" s="9" t="s">
        <v>33</v>
      </c>
      <c r="D695" s="9">
        <v>2000</v>
      </c>
      <c r="E695" s="9"/>
      <c r="F695" s="9">
        <v>10504</v>
      </c>
      <c r="G695" s="10" t="s">
        <v>1964</v>
      </c>
      <c r="H695" s="10" t="s">
        <v>563</v>
      </c>
      <c r="I695" s="10"/>
      <c r="J695" s="9">
        <v>40113</v>
      </c>
      <c r="K695" s="10" t="s">
        <v>1965</v>
      </c>
      <c r="L695" s="10" t="s">
        <v>257</v>
      </c>
      <c r="M695" s="10" t="s">
        <v>1842</v>
      </c>
      <c r="N695" s="7"/>
    </row>
    <row r="696" s="1" customFormat="1" ht="28.5" customHeight="1" spans="1:14">
      <c r="A696" s="8">
        <v>10501</v>
      </c>
      <c r="B696" s="9">
        <v>10524</v>
      </c>
      <c r="C696" s="9" t="s">
        <v>33</v>
      </c>
      <c r="D696" s="9">
        <v>1500</v>
      </c>
      <c r="E696" s="9"/>
      <c r="F696" s="9">
        <v>10504</v>
      </c>
      <c r="G696" s="10" t="s">
        <v>1966</v>
      </c>
      <c r="H696" s="10" t="s">
        <v>563</v>
      </c>
      <c r="I696" s="10"/>
      <c r="J696" s="9">
        <v>40114</v>
      </c>
      <c r="K696" s="10" t="s">
        <v>1967</v>
      </c>
      <c r="L696" s="10" t="s">
        <v>257</v>
      </c>
      <c r="M696" s="10" t="s">
        <v>1842</v>
      </c>
      <c r="N696" s="7"/>
    </row>
    <row r="697" s="1" customFormat="1" ht="28.5" customHeight="1" spans="1:14">
      <c r="A697" s="8">
        <v>10501</v>
      </c>
      <c r="B697" s="9">
        <v>10525</v>
      </c>
      <c r="C697" s="9" t="s">
        <v>33</v>
      </c>
      <c r="D697" s="9">
        <v>1000</v>
      </c>
      <c r="E697" s="9"/>
      <c r="F697" s="9">
        <v>10504</v>
      </c>
      <c r="G697" s="10" t="s">
        <v>1968</v>
      </c>
      <c r="H697" s="10" t="s">
        <v>563</v>
      </c>
      <c r="I697" s="10"/>
      <c r="J697" s="9">
        <v>40115</v>
      </c>
      <c r="K697" s="10" t="s">
        <v>1969</v>
      </c>
      <c r="L697" s="10" t="s">
        <v>257</v>
      </c>
      <c r="M697" s="10" t="s">
        <v>1842</v>
      </c>
      <c r="N697" s="7"/>
    </row>
    <row r="698" s="1" customFormat="1" ht="28.5" customHeight="1" spans="1:14">
      <c r="A698" s="8"/>
      <c r="B698" s="9"/>
      <c r="C698" s="9" t="s">
        <v>1289</v>
      </c>
      <c r="D698" s="9">
        <v>3000</v>
      </c>
      <c r="E698" s="9"/>
      <c r="F698" s="9"/>
      <c r="G698" s="10" t="s">
        <v>1905</v>
      </c>
      <c r="H698" s="10" t="s">
        <v>563</v>
      </c>
      <c r="I698" s="10"/>
      <c r="J698" s="9">
        <v>100116</v>
      </c>
      <c r="K698" s="10" t="s">
        <v>250</v>
      </c>
      <c r="L698" s="10" t="s">
        <v>248</v>
      </c>
      <c r="M698" s="10" t="s">
        <v>1834</v>
      </c>
      <c r="N698" s="7"/>
    </row>
    <row r="699" s="1" customFormat="1" ht="28.5" customHeight="1" spans="1:14">
      <c r="A699" s="8"/>
      <c r="B699" s="9"/>
      <c r="C699" s="9" t="s">
        <v>1289</v>
      </c>
      <c r="D699" s="9">
        <v>2500</v>
      </c>
      <c r="E699" s="9"/>
      <c r="F699" s="9"/>
      <c r="G699" s="10" t="s">
        <v>1905</v>
      </c>
      <c r="H699" s="10" t="s">
        <v>563</v>
      </c>
      <c r="I699" s="10"/>
      <c r="J699" s="9">
        <v>100117</v>
      </c>
      <c r="K699" s="10" t="s">
        <v>250</v>
      </c>
      <c r="L699" s="10" t="s">
        <v>248</v>
      </c>
      <c r="M699" s="10" t="s">
        <v>1834</v>
      </c>
      <c r="N699" s="7"/>
    </row>
    <row r="700" s="1" customFormat="1" ht="28.5" customHeight="1" spans="1:14">
      <c r="A700" s="8"/>
      <c r="B700" s="9"/>
      <c r="C700" s="9" t="s">
        <v>1289</v>
      </c>
      <c r="D700" s="9">
        <v>2000</v>
      </c>
      <c r="E700" s="9"/>
      <c r="F700" s="9"/>
      <c r="G700" s="10" t="s">
        <v>1905</v>
      </c>
      <c r="H700" s="10" t="s">
        <v>563</v>
      </c>
      <c r="I700" s="10"/>
      <c r="J700" s="9">
        <v>100118</v>
      </c>
      <c r="K700" s="10" t="s">
        <v>250</v>
      </c>
      <c r="L700" s="10" t="s">
        <v>248</v>
      </c>
      <c r="M700" s="10" t="s">
        <v>1834</v>
      </c>
      <c r="N700" s="7"/>
    </row>
    <row r="701" s="1" customFormat="1" ht="28.5" customHeight="1" spans="1:14">
      <c r="A701" s="8"/>
      <c r="B701" s="9"/>
      <c r="C701" s="9" t="s">
        <v>1289</v>
      </c>
      <c r="D701" s="9">
        <v>1500</v>
      </c>
      <c r="E701" s="9"/>
      <c r="F701" s="9"/>
      <c r="G701" s="10" t="s">
        <v>1905</v>
      </c>
      <c r="H701" s="10" t="s">
        <v>563</v>
      </c>
      <c r="I701" s="10"/>
      <c r="J701" s="9">
        <v>100119</v>
      </c>
      <c r="K701" s="10" t="s">
        <v>250</v>
      </c>
      <c r="L701" s="10" t="s">
        <v>248</v>
      </c>
      <c r="M701" s="10" t="s">
        <v>1834</v>
      </c>
      <c r="N701" s="7"/>
    </row>
    <row r="702" s="1" customFormat="1" ht="28.5" customHeight="1" spans="1:14">
      <c r="A702" s="8"/>
      <c r="B702" s="9"/>
      <c r="C702" s="9" t="s">
        <v>1289</v>
      </c>
      <c r="D702" s="9">
        <v>1000</v>
      </c>
      <c r="E702" s="9"/>
      <c r="F702" s="9"/>
      <c r="G702" s="10" t="s">
        <v>1905</v>
      </c>
      <c r="H702" s="10" t="s">
        <v>563</v>
      </c>
      <c r="I702" s="10"/>
      <c r="J702" s="9">
        <v>100120</v>
      </c>
      <c r="K702" s="10" t="s">
        <v>250</v>
      </c>
      <c r="L702" s="10" t="s">
        <v>248</v>
      </c>
      <c r="M702" s="10" t="s">
        <v>1834</v>
      </c>
      <c r="N702" s="7"/>
    </row>
    <row r="703" s="1" customFormat="1" ht="28.5" customHeight="1" spans="1:14">
      <c r="A703" s="8"/>
      <c r="B703" s="9"/>
      <c r="C703" s="9" t="s">
        <v>1289</v>
      </c>
      <c r="D703" s="9">
        <v>3000</v>
      </c>
      <c r="E703" s="9"/>
      <c r="F703" s="9"/>
      <c r="G703" s="10" t="s">
        <v>1970</v>
      </c>
      <c r="H703" s="10" t="s">
        <v>563</v>
      </c>
      <c r="I703" s="10"/>
      <c r="J703" s="9">
        <v>10121</v>
      </c>
      <c r="K703" s="10" t="s">
        <v>1971</v>
      </c>
      <c r="L703" s="10" t="s">
        <v>260</v>
      </c>
      <c r="M703" s="10" t="s">
        <v>1834</v>
      </c>
      <c r="N703" s="7"/>
    </row>
    <row r="704" s="1" customFormat="1" ht="28.5" customHeight="1" spans="1:14">
      <c r="A704" s="8"/>
      <c r="B704" s="9"/>
      <c r="C704" s="9" t="s">
        <v>1289</v>
      </c>
      <c r="D704" s="9">
        <v>2500</v>
      </c>
      <c r="E704" s="9"/>
      <c r="F704" s="9"/>
      <c r="G704" s="10" t="s">
        <v>1972</v>
      </c>
      <c r="H704" s="10" t="s">
        <v>563</v>
      </c>
      <c r="I704" s="10"/>
      <c r="J704" s="9">
        <v>10122</v>
      </c>
      <c r="K704" s="10" t="s">
        <v>1973</v>
      </c>
      <c r="L704" s="10" t="s">
        <v>260</v>
      </c>
      <c r="M704" s="10" t="s">
        <v>1834</v>
      </c>
      <c r="N704" s="7"/>
    </row>
    <row r="705" s="1" customFormat="1" ht="28.5" customHeight="1" spans="1:14">
      <c r="A705" s="8"/>
      <c r="B705" s="9"/>
      <c r="C705" s="9" t="s">
        <v>1289</v>
      </c>
      <c r="D705" s="9">
        <v>2000</v>
      </c>
      <c r="E705" s="9"/>
      <c r="F705" s="9"/>
      <c r="G705" s="10" t="s">
        <v>1908</v>
      </c>
      <c r="H705" s="10" t="s">
        <v>563</v>
      </c>
      <c r="I705" s="10"/>
      <c r="J705" s="9">
        <v>10123</v>
      </c>
      <c r="K705" s="10" t="s">
        <v>1909</v>
      </c>
      <c r="L705" s="10" t="s">
        <v>260</v>
      </c>
      <c r="M705" s="10" t="s">
        <v>1834</v>
      </c>
      <c r="N705" s="7"/>
    </row>
    <row r="706" s="1" customFormat="1" ht="28.5" customHeight="1" spans="1:14">
      <c r="A706" s="8"/>
      <c r="B706" s="9"/>
      <c r="C706" s="9" t="s">
        <v>1289</v>
      </c>
      <c r="D706" s="9">
        <v>1500</v>
      </c>
      <c r="E706" s="9"/>
      <c r="F706" s="9"/>
      <c r="G706" s="10" t="s">
        <v>1974</v>
      </c>
      <c r="H706" s="10" t="s">
        <v>563</v>
      </c>
      <c r="I706" s="10"/>
      <c r="J706" s="9">
        <v>10124</v>
      </c>
      <c r="K706" s="10" t="s">
        <v>1975</v>
      </c>
      <c r="L706" s="10" t="s">
        <v>260</v>
      </c>
      <c r="M706" s="10" t="s">
        <v>1834</v>
      </c>
      <c r="N706" s="7"/>
    </row>
    <row r="707" s="1" customFormat="1" ht="28.5" customHeight="1" spans="1:14">
      <c r="A707" s="8"/>
      <c r="B707" s="9"/>
      <c r="C707" s="9" t="s">
        <v>1289</v>
      </c>
      <c r="D707" s="9">
        <v>1000</v>
      </c>
      <c r="E707" s="9"/>
      <c r="F707" s="9"/>
      <c r="G707" s="10" t="s">
        <v>1910</v>
      </c>
      <c r="H707" s="10" t="s">
        <v>563</v>
      </c>
      <c r="I707" s="10"/>
      <c r="J707" s="9">
        <v>10125</v>
      </c>
      <c r="K707" s="10" t="s">
        <v>1911</v>
      </c>
      <c r="L707" s="10" t="s">
        <v>260</v>
      </c>
      <c r="M707" s="10" t="s">
        <v>1834</v>
      </c>
      <c r="N707" s="7"/>
    </row>
    <row r="708" s="1" customFormat="1" ht="28.5" customHeight="1" spans="1:14">
      <c r="A708" s="8">
        <v>10601</v>
      </c>
      <c r="B708" s="9">
        <v>10601</v>
      </c>
      <c r="C708" s="9" t="s">
        <v>34</v>
      </c>
      <c r="D708" s="9">
        <v>0</v>
      </c>
      <c r="E708" s="9"/>
      <c r="F708" s="9">
        <v>10600</v>
      </c>
      <c r="G708" s="10" t="s">
        <v>1351</v>
      </c>
      <c r="H708" s="10" t="s">
        <v>563</v>
      </c>
      <c r="I708" s="10"/>
      <c r="J708" s="9">
        <v>60126</v>
      </c>
      <c r="K708" s="10" t="s">
        <v>1976</v>
      </c>
      <c r="L708" s="10" t="s">
        <v>259</v>
      </c>
      <c r="M708" s="10" t="s">
        <v>1842</v>
      </c>
      <c r="N708" s="7"/>
    </row>
    <row r="709" s="1" customFormat="1" ht="28.5" customHeight="1" spans="1:14">
      <c r="A709" s="8">
        <v>10601</v>
      </c>
      <c r="B709" s="9">
        <v>10602</v>
      </c>
      <c r="C709" s="9" t="s">
        <v>34</v>
      </c>
      <c r="D709" s="9">
        <v>0</v>
      </c>
      <c r="E709" s="9"/>
      <c r="F709" s="9">
        <v>10600</v>
      </c>
      <c r="G709" s="10" t="s">
        <v>1353</v>
      </c>
      <c r="H709" s="10" t="s">
        <v>563</v>
      </c>
      <c r="I709" s="10"/>
      <c r="J709" s="9">
        <v>60127</v>
      </c>
      <c r="K709" s="10" t="s">
        <v>1977</v>
      </c>
      <c r="L709" s="10" t="s">
        <v>259</v>
      </c>
      <c r="M709" s="10" t="s">
        <v>1842</v>
      </c>
      <c r="N709" s="7"/>
    </row>
    <row r="710" s="1" customFormat="1" ht="28.5" customHeight="1" spans="1:14">
      <c r="A710" s="8">
        <v>10601</v>
      </c>
      <c r="B710" s="9">
        <v>10603</v>
      </c>
      <c r="C710" s="9" t="s">
        <v>34</v>
      </c>
      <c r="D710" s="9">
        <v>0</v>
      </c>
      <c r="E710" s="9"/>
      <c r="F710" s="9">
        <v>10600</v>
      </c>
      <c r="G710" s="10" t="s">
        <v>1355</v>
      </c>
      <c r="H710" s="10" t="s">
        <v>563</v>
      </c>
      <c r="I710" s="10"/>
      <c r="J710" s="9">
        <v>60128</v>
      </c>
      <c r="K710" s="10" t="s">
        <v>1978</v>
      </c>
      <c r="L710" s="10" t="s">
        <v>259</v>
      </c>
      <c r="M710" s="10" t="s">
        <v>1842</v>
      </c>
      <c r="N710" s="7"/>
    </row>
    <row r="711" s="1" customFormat="1" ht="28.5" customHeight="1" spans="1:14">
      <c r="A711" s="8">
        <v>10601</v>
      </c>
      <c r="B711" s="9">
        <v>10604</v>
      </c>
      <c r="C711" s="9" t="s">
        <v>34</v>
      </c>
      <c r="D711" s="9">
        <v>0</v>
      </c>
      <c r="E711" s="9"/>
      <c r="F711" s="9">
        <v>10600</v>
      </c>
      <c r="G711" s="10" t="s">
        <v>1357</v>
      </c>
      <c r="H711" s="10" t="s">
        <v>563</v>
      </c>
      <c r="I711" s="10"/>
      <c r="J711" s="9">
        <v>60129</v>
      </c>
      <c r="K711" s="10" t="s">
        <v>1979</v>
      </c>
      <c r="L711" s="10" t="s">
        <v>259</v>
      </c>
      <c r="M711" s="10" t="s">
        <v>1842</v>
      </c>
      <c r="N711" s="7"/>
    </row>
    <row r="712" s="1" customFormat="1" ht="28.5" customHeight="1" spans="1:14">
      <c r="A712" s="8">
        <v>10601</v>
      </c>
      <c r="B712" s="9">
        <v>10605</v>
      </c>
      <c r="C712" s="9" t="s">
        <v>34</v>
      </c>
      <c r="D712" s="9">
        <v>0</v>
      </c>
      <c r="E712" s="9"/>
      <c r="F712" s="9">
        <v>10600</v>
      </c>
      <c r="G712" s="10" t="s">
        <v>1359</v>
      </c>
      <c r="H712" s="10" t="s">
        <v>563</v>
      </c>
      <c r="I712" s="10"/>
      <c r="J712" s="9">
        <v>60130</v>
      </c>
      <c r="K712" s="10" t="s">
        <v>1980</v>
      </c>
      <c r="L712" s="10" t="s">
        <v>259</v>
      </c>
      <c r="M712" s="10" t="s">
        <v>1842</v>
      </c>
      <c r="N712" s="7"/>
    </row>
    <row r="713" s="1" customFormat="1" ht="28.5" customHeight="1" spans="1:14">
      <c r="A713" s="8">
        <v>10601</v>
      </c>
      <c r="B713" s="9">
        <v>10606</v>
      </c>
      <c r="C713" s="9" t="s">
        <v>34</v>
      </c>
      <c r="D713" s="9">
        <v>3000</v>
      </c>
      <c r="E713" s="9"/>
      <c r="F713" s="9">
        <v>10601</v>
      </c>
      <c r="G713" s="10" t="s">
        <v>1981</v>
      </c>
      <c r="H713" s="10" t="s">
        <v>563</v>
      </c>
      <c r="I713" s="10"/>
      <c r="J713" s="9">
        <v>20131</v>
      </c>
      <c r="K713" s="10" t="s">
        <v>1982</v>
      </c>
      <c r="L713" s="10" t="s">
        <v>260</v>
      </c>
      <c r="M713" s="10" t="s">
        <v>1842</v>
      </c>
      <c r="N713" s="7"/>
    </row>
    <row r="714" s="1" customFormat="1" ht="28.5" customHeight="1" spans="1:14">
      <c r="A714" s="8">
        <v>10601</v>
      </c>
      <c r="B714" s="9">
        <v>10607</v>
      </c>
      <c r="C714" s="9" t="s">
        <v>34</v>
      </c>
      <c r="D714" s="9">
        <v>2500</v>
      </c>
      <c r="E714" s="9"/>
      <c r="F714" s="9">
        <v>10601</v>
      </c>
      <c r="G714" s="10" t="s">
        <v>1983</v>
      </c>
      <c r="H714" s="10" t="s">
        <v>563</v>
      </c>
      <c r="I714" s="10"/>
      <c r="J714" s="9">
        <v>20132</v>
      </c>
      <c r="K714" s="10" t="s">
        <v>1984</v>
      </c>
      <c r="L714" s="10" t="s">
        <v>260</v>
      </c>
      <c r="M714" s="10" t="s">
        <v>1842</v>
      </c>
      <c r="N714" s="7"/>
    </row>
    <row r="715" s="1" customFormat="1" ht="28.5" customHeight="1" spans="1:14">
      <c r="A715" s="8">
        <v>10601</v>
      </c>
      <c r="B715" s="9">
        <v>10608</v>
      </c>
      <c r="C715" s="9" t="s">
        <v>34</v>
      </c>
      <c r="D715" s="9">
        <v>2000</v>
      </c>
      <c r="E715" s="9"/>
      <c r="F715" s="9">
        <v>10601</v>
      </c>
      <c r="G715" s="10" t="s">
        <v>1927</v>
      </c>
      <c r="H715" s="10" t="s">
        <v>563</v>
      </c>
      <c r="I715" s="10"/>
      <c r="J715" s="9">
        <v>20133</v>
      </c>
      <c r="K715" s="10" t="s">
        <v>1928</v>
      </c>
      <c r="L715" s="10" t="s">
        <v>260</v>
      </c>
      <c r="M715" s="10" t="s">
        <v>1842</v>
      </c>
      <c r="N715" s="7"/>
    </row>
    <row r="716" s="1" customFormat="1" ht="28.5" customHeight="1" spans="1:14">
      <c r="A716" s="8">
        <v>10601</v>
      </c>
      <c r="B716" s="9">
        <v>10609</v>
      </c>
      <c r="C716" s="9" t="s">
        <v>34</v>
      </c>
      <c r="D716" s="9">
        <v>1500</v>
      </c>
      <c r="E716" s="9"/>
      <c r="F716" s="9">
        <v>10601</v>
      </c>
      <c r="G716" s="10" t="s">
        <v>1985</v>
      </c>
      <c r="H716" s="10" t="s">
        <v>563</v>
      </c>
      <c r="I716" s="10"/>
      <c r="J716" s="9">
        <v>20134</v>
      </c>
      <c r="K716" s="10" t="s">
        <v>1986</v>
      </c>
      <c r="L716" s="10" t="s">
        <v>260</v>
      </c>
      <c r="M716" s="10" t="s">
        <v>1842</v>
      </c>
      <c r="N716" s="7"/>
    </row>
    <row r="717" s="1" customFormat="1" ht="28.5" customHeight="1" spans="1:14">
      <c r="A717" s="8">
        <v>10601</v>
      </c>
      <c r="B717" s="9">
        <v>10610</v>
      </c>
      <c r="C717" s="9" t="s">
        <v>34</v>
      </c>
      <c r="D717" s="9">
        <v>1000</v>
      </c>
      <c r="E717" s="9"/>
      <c r="F717" s="9">
        <v>10601</v>
      </c>
      <c r="G717" s="10" t="s">
        <v>1929</v>
      </c>
      <c r="H717" s="10" t="s">
        <v>563</v>
      </c>
      <c r="I717" s="10"/>
      <c r="J717" s="9">
        <v>20135</v>
      </c>
      <c r="K717" s="10" t="s">
        <v>1930</v>
      </c>
      <c r="L717" s="10" t="s">
        <v>260</v>
      </c>
      <c r="M717" s="10" t="s">
        <v>1842</v>
      </c>
      <c r="N717" s="7"/>
    </row>
    <row r="718" s="1" customFormat="1" ht="28.5" customHeight="1" spans="1:14">
      <c r="A718" s="8"/>
      <c r="B718" s="9"/>
      <c r="C718" s="9" t="s">
        <v>1289</v>
      </c>
      <c r="D718" s="9">
        <v>3000</v>
      </c>
      <c r="E718" s="9"/>
      <c r="F718" s="9"/>
      <c r="G718" s="10" t="s">
        <v>1857</v>
      </c>
      <c r="H718" s="10" t="s">
        <v>563</v>
      </c>
      <c r="I718" s="10"/>
      <c r="J718" s="9">
        <v>90136</v>
      </c>
      <c r="K718" s="10" t="s">
        <v>1858</v>
      </c>
      <c r="L718" s="10" t="s">
        <v>224</v>
      </c>
      <c r="M718" s="10" t="s">
        <v>1834</v>
      </c>
      <c r="N718" s="7"/>
    </row>
    <row r="719" s="1" customFormat="1" ht="28.5" customHeight="1" spans="1:14">
      <c r="A719" s="8"/>
      <c r="B719" s="9"/>
      <c r="C719" s="9" t="s">
        <v>1289</v>
      </c>
      <c r="D719" s="9">
        <v>2500</v>
      </c>
      <c r="E719" s="9"/>
      <c r="F719" s="9"/>
      <c r="G719" s="10" t="s">
        <v>1857</v>
      </c>
      <c r="H719" s="10" t="s">
        <v>563</v>
      </c>
      <c r="I719" s="10"/>
      <c r="J719" s="9">
        <v>90137</v>
      </c>
      <c r="K719" s="10" t="s">
        <v>1858</v>
      </c>
      <c r="L719" s="10" t="s">
        <v>224</v>
      </c>
      <c r="M719" s="10" t="s">
        <v>1834</v>
      </c>
      <c r="N719" s="7"/>
    </row>
    <row r="720" s="1" customFormat="1" ht="28.5" customHeight="1" spans="1:14">
      <c r="A720" s="8"/>
      <c r="B720" s="9"/>
      <c r="C720" s="9" t="s">
        <v>1289</v>
      </c>
      <c r="D720" s="9">
        <v>2000</v>
      </c>
      <c r="E720" s="9"/>
      <c r="F720" s="9"/>
      <c r="G720" s="10" t="s">
        <v>1857</v>
      </c>
      <c r="H720" s="10" t="s">
        <v>563</v>
      </c>
      <c r="I720" s="10"/>
      <c r="J720" s="9">
        <v>90138</v>
      </c>
      <c r="K720" s="10" t="s">
        <v>1858</v>
      </c>
      <c r="L720" s="10" t="s">
        <v>224</v>
      </c>
      <c r="M720" s="10" t="s">
        <v>1834</v>
      </c>
      <c r="N720" s="7"/>
    </row>
    <row r="721" s="1" customFormat="1" ht="28.5" customHeight="1" spans="1:14">
      <c r="A721" s="8"/>
      <c r="B721" s="9"/>
      <c r="C721" s="9" t="s">
        <v>1289</v>
      </c>
      <c r="D721" s="9">
        <v>1500</v>
      </c>
      <c r="E721" s="9"/>
      <c r="F721" s="9"/>
      <c r="G721" s="10" t="s">
        <v>1857</v>
      </c>
      <c r="H721" s="10" t="s">
        <v>563</v>
      </c>
      <c r="I721" s="10"/>
      <c r="J721" s="9">
        <v>90139</v>
      </c>
      <c r="K721" s="10" t="s">
        <v>1858</v>
      </c>
      <c r="L721" s="10" t="s">
        <v>224</v>
      </c>
      <c r="M721" s="10" t="s">
        <v>1834</v>
      </c>
      <c r="N721" s="7"/>
    </row>
    <row r="722" s="1" customFormat="1" ht="28.5" customHeight="1" spans="1:14">
      <c r="A722" s="8"/>
      <c r="B722" s="9"/>
      <c r="C722" s="9" t="s">
        <v>1289</v>
      </c>
      <c r="D722" s="9">
        <v>1000</v>
      </c>
      <c r="E722" s="9"/>
      <c r="F722" s="9"/>
      <c r="G722" s="10" t="s">
        <v>1857</v>
      </c>
      <c r="H722" s="10" t="s">
        <v>563</v>
      </c>
      <c r="I722" s="10"/>
      <c r="J722" s="9">
        <v>90140</v>
      </c>
      <c r="K722" s="10" t="s">
        <v>1858</v>
      </c>
      <c r="L722" s="10" t="s">
        <v>224</v>
      </c>
      <c r="M722" s="10" t="s">
        <v>1834</v>
      </c>
      <c r="N722" s="7"/>
    </row>
    <row r="723" s="1" customFormat="1" ht="28.5" customHeight="1" spans="1:14">
      <c r="A723" s="8"/>
      <c r="B723" s="9"/>
      <c r="C723" s="9" t="s">
        <v>1289</v>
      </c>
      <c r="D723" s="9">
        <v>3000</v>
      </c>
      <c r="E723" s="9"/>
      <c r="F723" s="9"/>
      <c r="G723" s="10" t="s">
        <v>1859</v>
      </c>
      <c r="H723" s="10" t="s">
        <v>563</v>
      </c>
      <c r="I723" s="10"/>
      <c r="J723" s="9">
        <v>70141</v>
      </c>
      <c r="K723" s="10" t="s">
        <v>1860</v>
      </c>
      <c r="L723" s="10" t="s">
        <v>228</v>
      </c>
      <c r="M723" s="10" t="s">
        <v>1834</v>
      </c>
      <c r="N723" s="7"/>
    </row>
    <row r="724" s="1" customFormat="1" ht="28.5" customHeight="1" spans="1:14">
      <c r="A724" s="8"/>
      <c r="B724" s="9"/>
      <c r="C724" s="9" t="s">
        <v>1289</v>
      </c>
      <c r="D724" s="9">
        <v>2500</v>
      </c>
      <c r="E724" s="9"/>
      <c r="F724" s="9"/>
      <c r="G724" s="10" t="s">
        <v>1859</v>
      </c>
      <c r="H724" s="10" t="s">
        <v>563</v>
      </c>
      <c r="I724" s="10"/>
      <c r="J724" s="9">
        <v>70142</v>
      </c>
      <c r="K724" s="10" t="s">
        <v>1860</v>
      </c>
      <c r="L724" s="10" t="s">
        <v>228</v>
      </c>
      <c r="M724" s="10" t="s">
        <v>1834</v>
      </c>
      <c r="N724" s="7"/>
    </row>
    <row r="725" s="1" customFormat="1" ht="28.5" customHeight="1" spans="1:14">
      <c r="A725" s="8"/>
      <c r="B725" s="9"/>
      <c r="C725" s="9" t="s">
        <v>1289</v>
      </c>
      <c r="D725" s="9">
        <v>2000</v>
      </c>
      <c r="E725" s="9"/>
      <c r="F725" s="9"/>
      <c r="G725" s="10" t="s">
        <v>1859</v>
      </c>
      <c r="H725" s="10" t="s">
        <v>563</v>
      </c>
      <c r="I725" s="10"/>
      <c r="J725" s="9">
        <v>70143</v>
      </c>
      <c r="K725" s="10" t="s">
        <v>1860</v>
      </c>
      <c r="L725" s="10" t="s">
        <v>228</v>
      </c>
      <c r="M725" s="10" t="s">
        <v>1834</v>
      </c>
      <c r="N725" s="7"/>
    </row>
    <row r="726" s="1" customFormat="1" ht="28.5" customHeight="1" spans="1:14">
      <c r="A726" s="8"/>
      <c r="B726" s="9"/>
      <c r="C726" s="9" t="s">
        <v>1289</v>
      </c>
      <c r="D726" s="9">
        <v>1500</v>
      </c>
      <c r="E726" s="9"/>
      <c r="F726" s="9"/>
      <c r="G726" s="10" t="s">
        <v>1859</v>
      </c>
      <c r="H726" s="10" t="s">
        <v>563</v>
      </c>
      <c r="I726" s="10"/>
      <c r="J726" s="9">
        <v>70144</v>
      </c>
      <c r="K726" s="10" t="s">
        <v>1860</v>
      </c>
      <c r="L726" s="10" t="s">
        <v>228</v>
      </c>
      <c r="M726" s="10" t="s">
        <v>1834</v>
      </c>
      <c r="N726" s="7"/>
    </row>
    <row r="727" s="1" customFormat="1" ht="28.5" customHeight="1" spans="1:14">
      <c r="A727" s="8"/>
      <c r="B727" s="9"/>
      <c r="C727" s="9" t="s">
        <v>1289</v>
      </c>
      <c r="D727" s="9">
        <v>1000</v>
      </c>
      <c r="E727" s="9"/>
      <c r="F727" s="9"/>
      <c r="G727" s="10" t="s">
        <v>1859</v>
      </c>
      <c r="H727" s="10" t="s">
        <v>563</v>
      </c>
      <c r="I727" s="10"/>
      <c r="J727" s="9">
        <v>70145</v>
      </c>
      <c r="K727" s="10" t="s">
        <v>1860</v>
      </c>
      <c r="L727" s="10" t="s">
        <v>228</v>
      </c>
      <c r="M727" s="10" t="s">
        <v>1834</v>
      </c>
      <c r="N727" s="7"/>
    </row>
    <row r="728" s="1" customFormat="1" ht="28.5" customHeight="1" spans="1:14">
      <c r="A728" s="8"/>
      <c r="B728" s="9"/>
      <c r="C728" s="9" t="s">
        <v>1289</v>
      </c>
      <c r="D728" s="9">
        <v>3000</v>
      </c>
      <c r="E728" s="9"/>
      <c r="F728" s="9"/>
      <c r="G728" s="10" t="s">
        <v>1861</v>
      </c>
      <c r="H728" s="10" t="s">
        <v>563</v>
      </c>
      <c r="I728" s="10"/>
      <c r="J728" s="9">
        <v>80146</v>
      </c>
      <c r="K728" s="10" t="s">
        <v>1862</v>
      </c>
      <c r="L728" s="10" t="s">
        <v>231</v>
      </c>
      <c r="M728" s="10" t="s">
        <v>1834</v>
      </c>
      <c r="N728" s="7"/>
    </row>
    <row r="729" s="1" customFormat="1" ht="28.5" customHeight="1" spans="1:14">
      <c r="A729" s="8"/>
      <c r="B729" s="9"/>
      <c r="C729" s="9" t="s">
        <v>1289</v>
      </c>
      <c r="D729" s="9">
        <v>2500</v>
      </c>
      <c r="E729" s="9"/>
      <c r="F729" s="9"/>
      <c r="G729" s="10" t="s">
        <v>1861</v>
      </c>
      <c r="H729" s="10" t="s">
        <v>563</v>
      </c>
      <c r="I729" s="10"/>
      <c r="J729" s="9">
        <v>80147</v>
      </c>
      <c r="K729" s="10" t="s">
        <v>1862</v>
      </c>
      <c r="L729" s="10" t="s">
        <v>231</v>
      </c>
      <c r="M729" s="10" t="s">
        <v>1834</v>
      </c>
      <c r="N729" s="7"/>
    </row>
    <row r="730" s="1" customFormat="1" ht="28.5" customHeight="1" spans="1:14">
      <c r="A730" s="8"/>
      <c r="B730" s="9"/>
      <c r="C730" s="9" t="s">
        <v>1289</v>
      </c>
      <c r="D730" s="9">
        <v>2000</v>
      </c>
      <c r="E730" s="9"/>
      <c r="F730" s="9"/>
      <c r="G730" s="10" t="s">
        <v>1861</v>
      </c>
      <c r="H730" s="10" t="s">
        <v>563</v>
      </c>
      <c r="I730" s="10"/>
      <c r="J730" s="9">
        <v>80148</v>
      </c>
      <c r="K730" s="10" t="s">
        <v>1862</v>
      </c>
      <c r="L730" s="10" t="s">
        <v>231</v>
      </c>
      <c r="M730" s="10" t="s">
        <v>1834</v>
      </c>
      <c r="N730" s="7"/>
    </row>
    <row r="731" s="1" customFormat="1" ht="28.5" customHeight="1" spans="1:14">
      <c r="A731" s="8"/>
      <c r="B731" s="9"/>
      <c r="C731" s="9" t="s">
        <v>1289</v>
      </c>
      <c r="D731" s="9">
        <v>1500</v>
      </c>
      <c r="E731" s="9"/>
      <c r="F731" s="9"/>
      <c r="G731" s="10" t="s">
        <v>1861</v>
      </c>
      <c r="H731" s="10" t="s">
        <v>563</v>
      </c>
      <c r="I731" s="10"/>
      <c r="J731" s="9">
        <v>80149</v>
      </c>
      <c r="K731" s="10" t="s">
        <v>1862</v>
      </c>
      <c r="L731" s="10" t="s">
        <v>231</v>
      </c>
      <c r="M731" s="10" t="s">
        <v>1834</v>
      </c>
      <c r="N731" s="7"/>
    </row>
    <row r="732" s="1" customFormat="1" ht="28.5" customHeight="1" spans="1:14">
      <c r="A732" s="8"/>
      <c r="B732" s="9"/>
      <c r="C732" s="9" t="s">
        <v>1289</v>
      </c>
      <c r="D732" s="9">
        <v>1000</v>
      </c>
      <c r="E732" s="9"/>
      <c r="F732" s="9"/>
      <c r="G732" s="10" t="s">
        <v>1861</v>
      </c>
      <c r="H732" s="10" t="s">
        <v>563</v>
      </c>
      <c r="I732" s="10"/>
      <c r="J732" s="9">
        <v>80150</v>
      </c>
      <c r="K732" s="10" t="s">
        <v>1862</v>
      </c>
      <c r="L732" s="10" t="s">
        <v>231</v>
      </c>
      <c r="M732" s="10" t="s">
        <v>1834</v>
      </c>
      <c r="N732" s="7"/>
    </row>
    <row r="733" s="1" customFormat="1" ht="28.5" customHeight="1" spans="1:14">
      <c r="A733" s="8">
        <v>10602</v>
      </c>
      <c r="B733" s="9">
        <v>10611</v>
      </c>
      <c r="C733" s="9" t="s">
        <v>34</v>
      </c>
      <c r="D733" s="9">
        <v>3000</v>
      </c>
      <c r="E733" s="9"/>
      <c r="F733" s="9">
        <v>10602</v>
      </c>
      <c r="G733" s="10" t="s">
        <v>1987</v>
      </c>
      <c r="H733" s="10" t="s">
        <v>563</v>
      </c>
      <c r="I733" s="10"/>
      <c r="J733" s="9">
        <v>10151</v>
      </c>
      <c r="K733" s="10" t="s">
        <v>1988</v>
      </c>
      <c r="L733" s="10" t="s">
        <v>261</v>
      </c>
      <c r="M733" s="10" t="s">
        <v>1842</v>
      </c>
      <c r="N733" s="7"/>
    </row>
    <row r="734" s="1" customFormat="1" ht="28.5" customHeight="1" spans="1:14">
      <c r="A734" s="8">
        <v>10602</v>
      </c>
      <c r="B734" s="9">
        <v>10612</v>
      </c>
      <c r="C734" s="9" t="s">
        <v>34</v>
      </c>
      <c r="D734" s="9">
        <v>2500</v>
      </c>
      <c r="E734" s="9"/>
      <c r="F734" s="9">
        <v>10602</v>
      </c>
      <c r="G734" s="10" t="s">
        <v>1989</v>
      </c>
      <c r="H734" s="10" t="s">
        <v>563</v>
      </c>
      <c r="I734" s="10"/>
      <c r="J734" s="9">
        <v>10152</v>
      </c>
      <c r="K734" s="10" t="s">
        <v>1990</v>
      </c>
      <c r="L734" s="10" t="s">
        <v>261</v>
      </c>
      <c r="M734" s="10" t="s">
        <v>1842</v>
      </c>
      <c r="N734" s="7"/>
    </row>
    <row r="735" s="1" customFormat="1" ht="28.5" customHeight="1" spans="1:14">
      <c r="A735" s="8">
        <v>10602</v>
      </c>
      <c r="B735" s="9">
        <v>10613</v>
      </c>
      <c r="C735" s="9" t="s">
        <v>34</v>
      </c>
      <c r="D735" s="9">
        <v>2000</v>
      </c>
      <c r="E735" s="9"/>
      <c r="F735" s="9">
        <v>10602</v>
      </c>
      <c r="G735" s="10" t="s">
        <v>1991</v>
      </c>
      <c r="H735" s="10" t="s">
        <v>563</v>
      </c>
      <c r="I735" s="10"/>
      <c r="J735" s="9">
        <v>10153</v>
      </c>
      <c r="K735" s="10" t="s">
        <v>1992</v>
      </c>
      <c r="L735" s="10" t="s">
        <v>261</v>
      </c>
      <c r="M735" s="10" t="s">
        <v>1842</v>
      </c>
      <c r="N735" s="7"/>
    </row>
    <row r="736" s="1" customFormat="1" ht="28.5" customHeight="1" spans="1:14">
      <c r="A736" s="8">
        <v>10602</v>
      </c>
      <c r="B736" s="9">
        <v>10614</v>
      </c>
      <c r="C736" s="9" t="s">
        <v>34</v>
      </c>
      <c r="D736" s="9">
        <v>1500</v>
      </c>
      <c r="E736" s="9"/>
      <c r="F736" s="9">
        <v>10602</v>
      </c>
      <c r="G736" s="10" t="s">
        <v>1993</v>
      </c>
      <c r="H736" s="10" t="s">
        <v>563</v>
      </c>
      <c r="I736" s="10"/>
      <c r="J736" s="9">
        <v>10154</v>
      </c>
      <c r="K736" s="10" t="s">
        <v>1994</v>
      </c>
      <c r="L736" s="10" t="s">
        <v>261</v>
      </c>
      <c r="M736" s="10" t="s">
        <v>1842</v>
      </c>
      <c r="N736" s="7"/>
    </row>
    <row r="737" s="1" customFormat="1" ht="28.5" customHeight="1" spans="1:14">
      <c r="A737" s="8">
        <v>10602</v>
      </c>
      <c r="B737" s="9">
        <v>10615</v>
      </c>
      <c r="C737" s="9" t="s">
        <v>34</v>
      </c>
      <c r="D737" s="9">
        <v>1000</v>
      </c>
      <c r="E737" s="9"/>
      <c r="F737" s="9">
        <v>10602</v>
      </c>
      <c r="G737" s="10" t="s">
        <v>1995</v>
      </c>
      <c r="H737" s="10" t="s">
        <v>563</v>
      </c>
      <c r="I737" s="10"/>
      <c r="J737" s="9">
        <v>10155</v>
      </c>
      <c r="K737" s="10" t="s">
        <v>1996</v>
      </c>
      <c r="L737" s="10" t="s">
        <v>261</v>
      </c>
      <c r="M737" s="10" t="s">
        <v>1842</v>
      </c>
      <c r="N737" s="7"/>
    </row>
    <row r="738" s="1" customFormat="1" ht="28.5" customHeight="1" spans="1:14">
      <c r="A738" s="8">
        <v>10601</v>
      </c>
      <c r="B738" s="9">
        <v>10616</v>
      </c>
      <c r="C738" s="9" t="s">
        <v>34</v>
      </c>
      <c r="D738" s="9">
        <v>0</v>
      </c>
      <c r="E738" s="9"/>
      <c r="F738" s="9">
        <v>10603</v>
      </c>
      <c r="G738" s="10" t="s">
        <v>1341</v>
      </c>
      <c r="H738" s="10" t="s">
        <v>563</v>
      </c>
      <c r="I738" s="10"/>
      <c r="J738" s="9">
        <v>60156</v>
      </c>
      <c r="K738" s="10" t="s">
        <v>1997</v>
      </c>
      <c r="L738" s="10" t="s">
        <v>262</v>
      </c>
      <c r="M738" s="10" t="s">
        <v>1842</v>
      </c>
      <c r="N738" s="7"/>
    </row>
    <row r="739" s="1" customFormat="1" ht="28.5" customHeight="1" spans="1:14">
      <c r="A739" s="8">
        <v>10601</v>
      </c>
      <c r="B739" s="9">
        <v>10617</v>
      </c>
      <c r="C739" s="9" t="s">
        <v>34</v>
      </c>
      <c r="D739" s="9">
        <v>0</v>
      </c>
      <c r="E739" s="9"/>
      <c r="F739" s="9">
        <v>10603</v>
      </c>
      <c r="G739" s="10" t="s">
        <v>1343</v>
      </c>
      <c r="H739" s="10" t="s">
        <v>563</v>
      </c>
      <c r="I739" s="10"/>
      <c r="J739" s="9">
        <v>60157</v>
      </c>
      <c r="K739" s="10" t="s">
        <v>1998</v>
      </c>
      <c r="L739" s="10" t="s">
        <v>262</v>
      </c>
      <c r="M739" s="10" t="s">
        <v>1842</v>
      </c>
      <c r="N739" s="7"/>
    </row>
    <row r="740" s="1" customFormat="1" ht="28.5" customHeight="1" spans="1:14">
      <c r="A740" s="8">
        <v>10601</v>
      </c>
      <c r="B740" s="9">
        <v>10618</v>
      </c>
      <c r="C740" s="9" t="s">
        <v>34</v>
      </c>
      <c r="D740" s="9">
        <v>0</v>
      </c>
      <c r="E740" s="9"/>
      <c r="F740" s="9">
        <v>10603</v>
      </c>
      <c r="G740" s="10" t="s">
        <v>1345</v>
      </c>
      <c r="H740" s="10" t="s">
        <v>563</v>
      </c>
      <c r="I740" s="10"/>
      <c r="J740" s="9">
        <v>60158</v>
      </c>
      <c r="K740" s="10" t="s">
        <v>1999</v>
      </c>
      <c r="L740" s="10" t="s">
        <v>262</v>
      </c>
      <c r="M740" s="10" t="s">
        <v>1842</v>
      </c>
      <c r="N740" s="7"/>
    </row>
    <row r="741" s="1" customFormat="1" ht="28.5" customHeight="1" spans="1:14">
      <c r="A741" s="8">
        <v>10601</v>
      </c>
      <c r="B741" s="9">
        <v>10619</v>
      </c>
      <c r="C741" s="9" t="s">
        <v>34</v>
      </c>
      <c r="D741" s="9">
        <v>0</v>
      </c>
      <c r="E741" s="9"/>
      <c r="F741" s="9">
        <v>10603</v>
      </c>
      <c r="G741" s="10" t="s">
        <v>1347</v>
      </c>
      <c r="H741" s="10" t="s">
        <v>563</v>
      </c>
      <c r="I741" s="10"/>
      <c r="J741" s="9">
        <v>60159</v>
      </c>
      <c r="K741" s="10" t="s">
        <v>2000</v>
      </c>
      <c r="L741" s="10" t="s">
        <v>262</v>
      </c>
      <c r="M741" s="10" t="s">
        <v>1842</v>
      </c>
      <c r="N741" s="7"/>
    </row>
    <row r="742" s="1" customFormat="1" ht="28.5" customHeight="1" spans="1:14">
      <c r="A742" s="8">
        <v>10601</v>
      </c>
      <c r="B742" s="9">
        <v>10620</v>
      </c>
      <c r="C742" s="9" t="s">
        <v>34</v>
      </c>
      <c r="D742" s="9">
        <v>0</v>
      </c>
      <c r="E742" s="9"/>
      <c r="F742" s="9">
        <v>10603</v>
      </c>
      <c r="G742" s="10" t="s">
        <v>1349</v>
      </c>
      <c r="H742" s="10" t="s">
        <v>563</v>
      </c>
      <c r="I742" s="10"/>
      <c r="J742" s="9">
        <v>60160</v>
      </c>
      <c r="K742" s="10" t="s">
        <v>2001</v>
      </c>
      <c r="L742" s="10" t="s">
        <v>262</v>
      </c>
      <c r="M742" s="10" t="s">
        <v>1842</v>
      </c>
      <c r="N742" s="7"/>
    </row>
    <row r="743" s="1" customFormat="1" ht="28.5" customHeight="1" spans="1:14">
      <c r="A743" s="8">
        <v>10601</v>
      </c>
      <c r="B743" s="9">
        <v>10621</v>
      </c>
      <c r="C743" s="9" t="s">
        <v>34</v>
      </c>
      <c r="D743" s="9">
        <v>3000</v>
      </c>
      <c r="E743" s="9"/>
      <c r="F743" s="9">
        <v>10604</v>
      </c>
      <c r="G743" s="10" t="s">
        <v>1335</v>
      </c>
      <c r="H743" s="10" t="s">
        <v>563</v>
      </c>
      <c r="I743" s="10"/>
      <c r="J743" s="9">
        <v>50161</v>
      </c>
      <c r="K743" s="10" t="s">
        <v>1951</v>
      </c>
      <c r="L743" s="10" t="s">
        <v>263</v>
      </c>
      <c r="M743" s="10" t="s">
        <v>1842</v>
      </c>
      <c r="N743" s="7"/>
    </row>
    <row r="744" s="1" customFormat="1" ht="28.5" customHeight="1" spans="1:14">
      <c r="A744" s="8">
        <v>10601</v>
      </c>
      <c r="B744" s="9">
        <v>10622</v>
      </c>
      <c r="C744" s="9" t="s">
        <v>34</v>
      </c>
      <c r="D744" s="9">
        <v>2500</v>
      </c>
      <c r="E744" s="9"/>
      <c r="F744" s="9">
        <v>10604</v>
      </c>
      <c r="G744" s="10" t="s">
        <v>1361</v>
      </c>
      <c r="H744" s="10" t="s">
        <v>563</v>
      </c>
      <c r="I744" s="10"/>
      <c r="J744" s="9">
        <v>50162</v>
      </c>
      <c r="K744" s="10" t="s">
        <v>2002</v>
      </c>
      <c r="L744" s="10" t="s">
        <v>263</v>
      </c>
      <c r="M744" s="10" t="s">
        <v>1842</v>
      </c>
      <c r="N744" s="7"/>
    </row>
    <row r="745" s="1" customFormat="1" ht="28.5" customHeight="1" spans="1:14">
      <c r="A745" s="8">
        <v>10601</v>
      </c>
      <c r="B745" s="9">
        <v>10623</v>
      </c>
      <c r="C745" s="9" t="s">
        <v>34</v>
      </c>
      <c r="D745" s="9">
        <v>2000</v>
      </c>
      <c r="E745" s="9"/>
      <c r="F745" s="9">
        <v>10604</v>
      </c>
      <c r="G745" s="10" t="s">
        <v>2003</v>
      </c>
      <c r="H745" s="10" t="s">
        <v>563</v>
      </c>
      <c r="I745" s="10"/>
      <c r="J745" s="9">
        <v>50163</v>
      </c>
      <c r="K745" s="10" t="s">
        <v>2004</v>
      </c>
      <c r="L745" s="10" t="s">
        <v>263</v>
      </c>
      <c r="M745" s="10" t="s">
        <v>1842</v>
      </c>
      <c r="N745" s="7"/>
    </row>
    <row r="746" s="1" customFormat="1" ht="28.5" customHeight="1" spans="1:14">
      <c r="A746" s="8">
        <v>10601</v>
      </c>
      <c r="B746" s="9">
        <v>10624</v>
      </c>
      <c r="C746" s="9" t="s">
        <v>34</v>
      </c>
      <c r="D746" s="9">
        <v>1500</v>
      </c>
      <c r="E746" s="9"/>
      <c r="F746" s="9">
        <v>10604</v>
      </c>
      <c r="G746" s="10" t="s">
        <v>2005</v>
      </c>
      <c r="H746" s="10" t="s">
        <v>563</v>
      </c>
      <c r="I746" s="10"/>
      <c r="J746" s="9">
        <v>50164</v>
      </c>
      <c r="K746" s="10" t="s">
        <v>2006</v>
      </c>
      <c r="L746" s="10" t="s">
        <v>263</v>
      </c>
      <c r="M746" s="10" t="s">
        <v>1842</v>
      </c>
      <c r="N746" s="7"/>
    </row>
    <row r="747" s="1" customFormat="1" ht="28.5" customHeight="1" spans="1:14">
      <c r="A747" s="8">
        <v>10601</v>
      </c>
      <c r="B747" s="9">
        <v>10625</v>
      </c>
      <c r="C747" s="9" t="s">
        <v>34</v>
      </c>
      <c r="D747" s="9">
        <v>1000</v>
      </c>
      <c r="E747" s="9"/>
      <c r="F747" s="9">
        <v>10604</v>
      </c>
      <c r="G747" s="10" t="s">
        <v>1373</v>
      </c>
      <c r="H747" s="10" t="s">
        <v>563</v>
      </c>
      <c r="I747" s="10"/>
      <c r="J747" s="9">
        <v>50165</v>
      </c>
      <c r="K747" s="10" t="s">
        <v>2007</v>
      </c>
      <c r="L747" s="10" t="s">
        <v>263</v>
      </c>
      <c r="M747" s="10" t="s">
        <v>1842</v>
      </c>
      <c r="N747" s="7"/>
    </row>
    <row r="748" s="1" customFormat="1" ht="28.5" customHeight="1" spans="1:14">
      <c r="A748" s="8">
        <v>10601</v>
      </c>
      <c r="B748" s="9">
        <v>10626</v>
      </c>
      <c r="C748" s="9" t="s">
        <v>34</v>
      </c>
      <c r="D748" s="9">
        <v>3000</v>
      </c>
      <c r="E748" s="9"/>
      <c r="F748" s="9">
        <v>10605</v>
      </c>
      <c r="G748" s="10" t="s">
        <v>2008</v>
      </c>
      <c r="H748" s="10" t="s">
        <v>563</v>
      </c>
      <c r="I748" s="10"/>
      <c r="J748" s="9">
        <v>30166</v>
      </c>
      <c r="K748" s="10" t="s">
        <v>2009</v>
      </c>
      <c r="L748" s="10" t="s">
        <v>264</v>
      </c>
      <c r="M748" s="10" t="s">
        <v>1842</v>
      </c>
      <c r="N748" s="7"/>
    </row>
    <row r="749" s="1" customFormat="1" ht="28.5" customHeight="1" spans="1:14">
      <c r="A749" s="8">
        <v>10601</v>
      </c>
      <c r="B749" s="9">
        <v>10627</v>
      </c>
      <c r="C749" s="9" t="s">
        <v>34</v>
      </c>
      <c r="D749" s="9">
        <v>2500</v>
      </c>
      <c r="E749" s="9"/>
      <c r="F749" s="9">
        <v>10605</v>
      </c>
      <c r="G749" s="10" t="s">
        <v>2010</v>
      </c>
      <c r="H749" s="10" t="s">
        <v>563</v>
      </c>
      <c r="I749" s="10"/>
      <c r="J749" s="9">
        <v>30167</v>
      </c>
      <c r="K749" s="10" t="s">
        <v>2011</v>
      </c>
      <c r="L749" s="10" t="s">
        <v>264</v>
      </c>
      <c r="M749" s="10" t="s">
        <v>1842</v>
      </c>
      <c r="N749" s="7"/>
    </row>
    <row r="750" s="1" customFormat="1" ht="28.5" customHeight="1" spans="1:14">
      <c r="A750" s="8">
        <v>10601</v>
      </c>
      <c r="B750" s="9">
        <v>10628</v>
      </c>
      <c r="C750" s="9" t="s">
        <v>34</v>
      </c>
      <c r="D750" s="9">
        <v>2000</v>
      </c>
      <c r="E750" s="9"/>
      <c r="F750" s="9">
        <v>10605</v>
      </c>
      <c r="G750" s="10" t="s">
        <v>2012</v>
      </c>
      <c r="H750" s="10" t="s">
        <v>563</v>
      </c>
      <c r="I750" s="10"/>
      <c r="J750" s="9">
        <v>30168</v>
      </c>
      <c r="K750" s="10" t="s">
        <v>2013</v>
      </c>
      <c r="L750" s="10" t="s">
        <v>264</v>
      </c>
      <c r="M750" s="10" t="s">
        <v>1842</v>
      </c>
      <c r="N750" s="7"/>
    </row>
    <row r="751" s="1" customFormat="1" ht="28.5" customHeight="1" spans="1:14">
      <c r="A751" s="8">
        <v>10601</v>
      </c>
      <c r="B751" s="9">
        <v>10629</v>
      </c>
      <c r="C751" s="9" t="s">
        <v>34</v>
      </c>
      <c r="D751" s="9">
        <v>1500</v>
      </c>
      <c r="E751" s="9"/>
      <c r="F751" s="9">
        <v>10605</v>
      </c>
      <c r="G751" s="10" t="s">
        <v>2014</v>
      </c>
      <c r="H751" s="10" t="s">
        <v>563</v>
      </c>
      <c r="I751" s="10"/>
      <c r="J751" s="9">
        <v>30169</v>
      </c>
      <c r="K751" s="10" t="s">
        <v>2015</v>
      </c>
      <c r="L751" s="10" t="s">
        <v>264</v>
      </c>
      <c r="M751" s="10" t="s">
        <v>1842</v>
      </c>
      <c r="N751" s="7"/>
    </row>
    <row r="752" s="1" customFormat="1" ht="28.5" customHeight="1" spans="1:14">
      <c r="A752" s="8">
        <v>10601</v>
      </c>
      <c r="B752" s="9">
        <v>10630</v>
      </c>
      <c r="C752" s="9" t="s">
        <v>34</v>
      </c>
      <c r="D752" s="9">
        <v>1000</v>
      </c>
      <c r="E752" s="9"/>
      <c r="F752" s="9">
        <v>10605</v>
      </c>
      <c r="G752" s="10" t="s">
        <v>2016</v>
      </c>
      <c r="H752" s="10" t="s">
        <v>563</v>
      </c>
      <c r="I752" s="10"/>
      <c r="J752" s="9">
        <v>30170</v>
      </c>
      <c r="K752" s="10" t="s">
        <v>2017</v>
      </c>
      <c r="L752" s="10" t="s">
        <v>264</v>
      </c>
      <c r="M752" s="10" t="s">
        <v>1842</v>
      </c>
      <c r="N752" s="7"/>
    </row>
    <row r="753" s="1" customFormat="1" ht="28.5" customHeight="1" spans="1:14">
      <c r="A753" s="8">
        <v>10601</v>
      </c>
      <c r="B753" s="9">
        <v>10631</v>
      </c>
      <c r="C753" s="9" t="s">
        <v>34</v>
      </c>
      <c r="D753" s="9">
        <v>3000</v>
      </c>
      <c r="E753" s="9"/>
      <c r="F753" s="9">
        <v>10606</v>
      </c>
      <c r="G753" s="10" t="s">
        <v>1968</v>
      </c>
      <c r="H753" s="10" t="s">
        <v>563</v>
      </c>
      <c r="I753" s="10"/>
      <c r="J753" s="9">
        <v>40171</v>
      </c>
      <c r="K753" s="10" t="s">
        <v>1969</v>
      </c>
      <c r="L753" s="10" t="s">
        <v>265</v>
      </c>
      <c r="M753" s="10" t="s">
        <v>1842</v>
      </c>
      <c r="N753" s="7"/>
    </row>
    <row r="754" s="1" customFormat="1" ht="28.5" customHeight="1" spans="1:14">
      <c r="A754" s="8">
        <v>10601</v>
      </c>
      <c r="B754" s="9">
        <v>10632</v>
      </c>
      <c r="C754" s="9" t="s">
        <v>34</v>
      </c>
      <c r="D754" s="9">
        <v>2500</v>
      </c>
      <c r="E754" s="9"/>
      <c r="F754" s="9">
        <v>10606</v>
      </c>
      <c r="G754" s="10" t="s">
        <v>2018</v>
      </c>
      <c r="H754" s="10" t="s">
        <v>563</v>
      </c>
      <c r="I754" s="10"/>
      <c r="J754" s="9">
        <v>40172</v>
      </c>
      <c r="K754" s="10" t="s">
        <v>2019</v>
      </c>
      <c r="L754" s="10" t="s">
        <v>265</v>
      </c>
      <c r="M754" s="10" t="s">
        <v>1842</v>
      </c>
      <c r="N754" s="7"/>
    </row>
    <row r="755" s="1" customFormat="1" ht="28.5" customHeight="1" spans="1:14">
      <c r="A755" s="8">
        <v>10601</v>
      </c>
      <c r="B755" s="9">
        <v>10633</v>
      </c>
      <c r="C755" s="9" t="s">
        <v>34</v>
      </c>
      <c r="D755" s="9">
        <v>2000</v>
      </c>
      <c r="E755" s="9"/>
      <c r="F755" s="9">
        <v>10606</v>
      </c>
      <c r="G755" s="10" t="s">
        <v>2020</v>
      </c>
      <c r="H755" s="10" t="s">
        <v>563</v>
      </c>
      <c r="I755" s="10"/>
      <c r="J755" s="9">
        <v>40173</v>
      </c>
      <c r="K755" s="10" t="s">
        <v>2021</v>
      </c>
      <c r="L755" s="10" t="s">
        <v>265</v>
      </c>
      <c r="M755" s="10" t="s">
        <v>1842</v>
      </c>
      <c r="N755" s="7"/>
    </row>
    <row r="756" s="1" customFormat="1" ht="28.5" customHeight="1" spans="1:14">
      <c r="A756" s="8">
        <v>10601</v>
      </c>
      <c r="B756" s="9">
        <v>10634</v>
      </c>
      <c r="C756" s="9" t="s">
        <v>34</v>
      </c>
      <c r="D756" s="9">
        <v>1500</v>
      </c>
      <c r="E756" s="9"/>
      <c r="F756" s="9">
        <v>10606</v>
      </c>
      <c r="G756" s="10" t="s">
        <v>2022</v>
      </c>
      <c r="H756" s="10" t="s">
        <v>563</v>
      </c>
      <c r="I756" s="10"/>
      <c r="J756" s="9">
        <v>40174</v>
      </c>
      <c r="K756" s="10" t="s">
        <v>2023</v>
      </c>
      <c r="L756" s="10" t="s">
        <v>265</v>
      </c>
      <c r="M756" s="10" t="s">
        <v>1842</v>
      </c>
      <c r="N756" s="7"/>
    </row>
    <row r="757" s="1" customFormat="1" ht="28.5" customHeight="1" spans="1:14">
      <c r="A757" s="8">
        <v>10601</v>
      </c>
      <c r="B757" s="9">
        <v>10635</v>
      </c>
      <c r="C757" s="9" t="s">
        <v>34</v>
      </c>
      <c r="D757" s="9">
        <v>1000</v>
      </c>
      <c r="E757" s="9"/>
      <c r="F757" s="9">
        <v>10606</v>
      </c>
      <c r="G757" s="10" t="s">
        <v>2024</v>
      </c>
      <c r="H757" s="10" t="s">
        <v>563</v>
      </c>
      <c r="I757" s="10"/>
      <c r="J757" s="9">
        <v>40175</v>
      </c>
      <c r="K757" s="10" t="s">
        <v>2025</v>
      </c>
      <c r="L757" s="10" t="s">
        <v>265</v>
      </c>
      <c r="M757" s="10" t="s">
        <v>1842</v>
      </c>
      <c r="N757" s="7"/>
    </row>
    <row r="758" s="1" customFormat="1" ht="28.5" customHeight="1" spans="1:14">
      <c r="A758" s="8"/>
      <c r="B758" s="9"/>
      <c r="C758" s="9" t="s">
        <v>1289</v>
      </c>
      <c r="D758" s="9">
        <v>3000</v>
      </c>
      <c r="E758" s="9"/>
      <c r="F758" s="9"/>
      <c r="G758" s="10" t="s">
        <v>1905</v>
      </c>
      <c r="H758" s="10" t="s">
        <v>563</v>
      </c>
      <c r="I758" s="10"/>
      <c r="J758" s="9">
        <v>100176</v>
      </c>
      <c r="K758" s="10" t="s">
        <v>250</v>
      </c>
      <c r="L758" s="10" t="s">
        <v>248</v>
      </c>
      <c r="M758" s="10" t="s">
        <v>1834</v>
      </c>
      <c r="N758" s="7"/>
    </row>
    <row r="759" s="1" customFormat="1" ht="28.5" customHeight="1" spans="1:14">
      <c r="A759" s="8"/>
      <c r="B759" s="9"/>
      <c r="C759" s="9" t="s">
        <v>1289</v>
      </c>
      <c r="D759" s="9">
        <v>2500</v>
      </c>
      <c r="E759" s="9"/>
      <c r="F759" s="9"/>
      <c r="G759" s="10" t="s">
        <v>1905</v>
      </c>
      <c r="H759" s="10" t="s">
        <v>563</v>
      </c>
      <c r="I759" s="10"/>
      <c r="J759" s="9">
        <v>100177</v>
      </c>
      <c r="K759" s="10" t="s">
        <v>250</v>
      </c>
      <c r="L759" s="10" t="s">
        <v>248</v>
      </c>
      <c r="M759" s="10" t="s">
        <v>1834</v>
      </c>
      <c r="N759" s="7"/>
    </row>
    <row r="760" s="1" customFormat="1" ht="28.5" customHeight="1" spans="1:14">
      <c r="A760" s="8"/>
      <c r="B760" s="9"/>
      <c r="C760" s="9" t="s">
        <v>1289</v>
      </c>
      <c r="D760" s="9">
        <v>2000</v>
      </c>
      <c r="E760" s="9"/>
      <c r="F760" s="9"/>
      <c r="G760" s="10" t="s">
        <v>1905</v>
      </c>
      <c r="H760" s="10" t="s">
        <v>563</v>
      </c>
      <c r="I760" s="10"/>
      <c r="J760" s="9">
        <v>100178</v>
      </c>
      <c r="K760" s="10" t="s">
        <v>250</v>
      </c>
      <c r="L760" s="10" t="s">
        <v>248</v>
      </c>
      <c r="M760" s="10" t="s">
        <v>1834</v>
      </c>
      <c r="N760" s="7"/>
    </row>
    <row r="761" s="1" customFormat="1" ht="28.5" customHeight="1" spans="1:14">
      <c r="A761" s="8"/>
      <c r="B761" s="9"/>
      <c r="C761" s="9" t="s">
        <v>1289</v>
      </c>
      <c r="D761" s="9">
        <v>1500</v>
      </c>
      <c r="E761" s="9"/>
      <c r="F761" s="9"/>
      <c r="G761" s="10" t="s">
        <v>1905</v>
      </c>
      <c r="H761" s="10" t="s">
        <v>563</v>
      </c>
      <c r="I761" s="10"/>
      <c r="J761" s="9">
        <v>100179</v>
      </c>
      <c r="K761" s="10" t="s">
        <v>250</v>
      </c>
      <c r="L761" s="10" t="s">
        <v>248</v>
      </c>
      <c r="M761" s="10" t="s">
        <v>1834</v>
      </c>
      <c r="N761" s="7"/>
    </row>
    <row r="762" s="1" customFormat="1" ht="28.5" customHeight="1" spans="1:14">
      <c r="A762" s="8"/>
      <c r="B762" s="9"/>
      <c r="C762" s="9" t="s">
        <v>1289</v>
      </c>
      <c r="D762" s="9">
        <v>1000</v>
      </c>
      <c r="E762" s="9"/>
      <c r="F762" s="9"/>
      <c r="G762" s="10" t="s">
        <v>1905</v>
      </c>
      <c r="H762" s="10" t="s">
        <v>563</v>
      </c>
      <c r="I762" s="10"/>
      <c r="J762" s="9">
        <v>100180</v>
      </c>
      <c r="K762" s="10" t="s">
        <v>250</v>
      </c>
      <c r="L762" s="10" t="s">
        <v>248</v>
      </c>
      <c r="M762" s="10" t="s">
        <v>1834</v>
      </c>
      <c r="N762" s="7"/>
    </row>
    <row r="763" s="1" customFormat="1" ht="28.5" customHeight="1" spans="1:14">
      <c r="A763" s="8"/>
      <c r="B763" s="9"/>
      <c r="C763" s="9" t="s">
        <v>1289</v>
      </c>
      <c r="D763" s="9">
        <v>3000</v>
      </c>
      <c r="E763" s="9"/>
      <c r="F763" s="9"/>
      <c r="G763" s="10" t="s">
        <v>2026</v>
      </c>
      <c r="H763" s="10" t="s">
        <v>563</v>
      </c>
      <c r="I763" s="10"/>
      <c r="J763" s="9">
        <v>10181</v>
      </c>
      <c r="K763" s="10" t="s">
        <v>2027</v>
      </c>
      <c r="L763" s="10" t="s">
        <v>268</v>
      </c>
      <c r="M763" s="10" t="s">
        <v>1834</v>
      </c>
      <c r="N763" s="7"/>
    </row>
    <row r="764" s="1" customFormat="1" ht="28.5" customHeight="1" spans="1:14">
      <c r="A764" s="8"/>
      <c r="B764" s="9"/>
      <c r="C764" s="9" t="s">
        <v>1289</v>
      </c>
      <c r="D764" s="9">
        <v>2500</v>
      </c>
      <c r="E764" s="9"/>
      <c r="F764" s="9"/>
      <c r="G764" s="10" t="s">
        <v>2028</v>
      </c>
      <c r="H764" s="10" t="s">
        <v>563</v>
      </c>
      <c r="I764" s="10"/>
      <c r="J764" s="9">
        <v>10182</v>
      </c>
      <c r="K764" s="10" t="s">
        <v>2029</v>
      </c>
      <c r="L764" s="10" t="s">
        <v>268</v>
      </c>
      <c r="M764" s="10" t="s">
        <v>1834</v>
      </c>
      <c r="N764" s="7"/>
    </row>
    <row r="765" s="1" customFormat="1" ht="28.5" customHeight="1" spans="1:14">
      <c r="A765" s="8"/>
      <c r="B765" s="9"/>
      <c r="C765" s="9" t="s">
        <v>1289</v>
      </c>
      <c r="D765" s="9">
        <v>2000</v>
      </c>
      <c r="E765" s="9"/>
      <c r="F765" s="9"/>
      <c r="G765" s="10" t="s">
        <v>2030</v>
      </c>
      <c r="H765" s="10" t="s">
        <v>563</v>
      </c>
      <c r="I765" s="10"/>
      <c r="J765" s="9">
        <v>10183</v>
      </c>
      <c r="K765" s="10" t="s">
        <v>2031</v>
      </c>
      <c r="L765" s="10" t="s">
        <v>268</v>
      </c>
      <c r="M765" s="10" t="s">
        <v>1834</v>
      </c>
      <c r="N765" s="7"/>
    </row>
    <row r="766" s="1" customFormat="1" ht="28.5" customHeight="1" spans="1:14">
      <c r="A766" s="8"/>
      <c r="B766" s="9"/>
      <c r="C766" s="9" t="s">
        <v>1289</v>
      </c>
      <c r="D766" s="9">
        <v>1500</v>
      </c>
      <c r="E766" s="9"/>
      <c r="F766" s="9"/>
      <c r="G766" s="10" t="s">
        <v>2032</v>
      </c>
      <c r="H766" s="10" t="s">
        <v>563</v>
      </c>
      <c r="I766" s="10"/>
      <c r="J766" s="9">
        <v>10184</v>
      </c>
      <c r="K766" s="10" t="s">
        <v>2033</v>
      </c>
      <c r="L766" s="10" t="s">
        <v>268</v>
      </c>
      <c r="M766" s="10" t="s">
        <v>1834</v>
      </c>
      <c r="N766" s="7"/>
    </row>
    <row r="767" s="1" customFormat="1" ht="28.5" customHeight="1" spans="1:14">
      <c r="A767" s="8"/>
      <c r="B767" s="9"/>
      <c r="C767" s="9" t="s">
        <v>1289</v>
      </c>
      <c r="D767" s="9">
        <v>1000</v>
      </c>
      <c r="E767" s="9"/>
      <c r="F767" s="9"/>
      <c r="G767" s="10" t="s">
        <v>2034</v>
      </c>
      <c r="H767" s="10" t="s">
        <v>563</v>
      </c>
      <c r="I767" s="10"/>
      <c r="J767" s="9">
        <v>10185</v>
      </c>
      <c r="K767" s="10" t="s">
        <v>2035</v>
      </c>
      <c r="L767" s="10" t="s">
        <v>268</v>
      </c>
      <c r="M767" s="10" t="s">
        <v>1834</v>
      </c>
      <c r="N767" s="7"/>
    </row>
    <row r="768" s="1" customFormat="1" ht="28.5" customHeight="1" spans="1:14">
      <c r="A768" s="8">
        <v>10701</v>
      </c>
      <c r="B768" s="9">
        <v>10701</v>
      </c>
      <c r="C768" s="9" t="s">
        <v>35</v>
      </c>
      <c r="D768" s="9">
        <v>0</v>
      </c>
      <c r="E768" s="9"/>
      <c r="F768" s="9">
        <v>10700</v>
      </c>
      <c r="G768" s="10" t="s">
        <v>1396</v>
      </c>
      <c r="H768" s="10" t="s">
        <v>563</v>
      </c>
      <c r="I768" s="10"/>
      <c r="J768" s="9">
        <v>60186</v>
      </c>
      <c r="K768" s="10" t="s">
        <v>2036</v>
      </c>
      <c r="L768" s="10" t="s">
        <v>267</v>
      </c>
      <c r="M768" s="10" t="s">
        <v>1842</v>
      </c>
      <c r="N768" s="7"/>
    </row>
    <row r="769" s="1" customFormat="1" ht="28.5" customHeight="1" spans="1:14">
      <c r="A769" s="8">
        <v>10701</v>
      </c>
      <c r="B769" s="9">
        <v>10702</v>
      </c>
      <c r="C769" s="9" t="s">
        <v>35</v>
      </c>
      <c r="D769" s="9">
        <v>0</v>
      </c>
      <c r="E769" s="9"/>
      <c r="F769" s="9">
        <v>10700</v>
      </c>
      <c r="G769" s="10" t="s">
        <v>1398</v>
      </c>
      <c r="H769" s="10" t="s">
        <v>563</v>
      </c>
      <c r="I769" s="10"/>
      <c r="J769" s="9">
        <v>60187</v>
      </c>
      <c r="K769" s="10" t="s">
        <v>2037</v>
      </c>
      <c r="L769" s="10" t="s">
        <v>267</v>
      </c>
      <c r="M769" s="10" t="s">
        <v>1842</v>
      </c>
      <c r="N769" s="7"/>
    </row>
    <row r="770" s="1" customFormat="1" ht="28.5" customHeight="1" spans="1:14">
      <c r="A770" s="8">
        <v>10701</v>
      </c>
      <c r="B770" s="9">
        <v>10703</v>
      </c>
      <c r="C770" s="9" t="s">
        <v>35</v>
      </c>
      <c r="D770" s="9">
        <v>0</v>
      </c>
      <c r="E770" s="9"/>
      <c r="F770" s="9">
        <v>10700</v>
      </c>
      <c r="G770" s="10" t="s">
        <v>1400</v>
      </c>
      <c r="H770" s="10" t="s">
        <v>563</v>
      </c>
      <c r="I770" s="10"/>
      <c r="J770" s="9">
        <v>60188</v>
      </c>
      <c r="K770" s="10" t="s">
        <v>2038</v>
      </c>
      <c r="L770" s="10" t="s">
        <v>267</v>
      </c>
      <c r="M770" s="10" t="s">
        <v>1842</v>
      </c>
      <c r="N770" s="7"/>
    </row>
    <row r="771" s="1" customFormat="1" ht="28.5" customHeight="1" spans="1:14">
      <c r="A771" s="8">
        <v>10701</v>
      </c>
      <c r="B771" s="9">
        <v>10704</v>
      </c>
      <c r="C771" s="9" t="s">
        <v>35</v>
      </c>
      <c r="D771" s="9">
        <v>0</v>
      </c>
      <c r="E771" s="9"/>
      <c r="F771" s="9">
        <v>10700</v>
      </c>
      <c r="G771" s="10" t="s">
        <v>1402</v>
      </c>
      <c r="H771" s="10" t="s">
        <v>563</v>
      </c>
      <c r="I771" s="10"/>
      <c r="J771" s="9">
        <v>60189</v>
      </c>
      <c r="K771" s="10" t="s">
        <v>2039</v>
      </c>
      <c r="L771" s="10" t="s">
        <v>267</v>
      </c>
      <c r="M771" s="10" t="s">
        <v>1842</v>
      </c>
      <c r="N771" s="7"/>
    </row>
    <row r="772" s="1" customFormat="1" ht="28.5" customHeight="1" spans="1:14">
      <c r="A772" s="8">
        <v>10701</v>
      </c>
      <c r="B772" s="9">
        <v>10705</v>
      </c>
      <c r="C772" s="9" t="s">
        <v>35</v>
      </c>
      <c r="D772" s="9">
        <v>0</v>
      </c>
      <c r="E772" s="9"/>
      <c r="F772" s="9">
        <v>10700</v>
      </c>
      <c r="G772" s="10" t="s">
        <v>1404</v>
      </c>
      <c r="H772" s="10" t="s">
        <v>563</v>
      </c>
      <c r="I772" s="10"/>
      <c r="J772" s="9">
        <v>60190</v>
      </c>
      <c r="K772" s="10" t="s">
        <v>2040</v>
      </c>
      <c r="L772" s="10" t="s">
        <v>267</v>
      </c>
      <c r="M772" s="10" t="s">
        <v>1842</v>
      </c>
      <c r="N772" s="7"/>
    </row>
    <row r="773" s="1" customFormat="1" ht="28.5" customHeight="1" spans="1:14">
      <c r="A773" s="8">
        <v>10701</v>
      </c>
      <c r="B773" s="9">
        <v>10706</v>
      </c>
      <c r="C773" s="9" t="s">
        <v>35</v>
      </c>
      <c r="D773" s="9">
        <v>3000</v>
      </c>
      <c r="E773" s="9"/>
      <c r="F773" s="9">
        <v>10701</v>
      </c>
      <c r="G773" s="10" t="s">
        <v>1929</v>
      </c>
      <c r="H773" s="10" t="s">
        <v>563</v>
      </c>
      <c r="I773" s="10"/>
      <c r="J773" s="9">
        <v>20191</v>
      </c>
      <c r="K773" s="10" t="s">
        <v>1930</v>
      </c>
      <c r="L773" s="10" t="s">
        <v>268</v>
      </c>
      <c r="M773" s="10" t="s">
        <v>1842</v>
      </c>
      <c r="N773" s="7"/>
    </row>
    <row r="774" s="1" customFormat="1" ht="28.5" customHeight="1" spans="1:14">
      <c r="A774" s="8">
        <v>10701</v>
      </c>
      <c r="B774" s="9">
        <v>10707</v>
      </c>
      <c r="C774" s="9" t="s">
        <v>35</v>
      </c>
      <c r="D774" s="9">
        <v>2500</v>
      </c>
      <c r="E774" s="9"/>
      <c r="F774" s="9">
        <v>10701</v>
      </c>
      <c r="G774" s="10" t="s">
        <v>2041</v>
      </c>
      <c r="H774" s="10" t="s">
        <v>563</v>
      </c>
      <c r="I774" s="10"/>
      <c r="J774" s="9">
        <v>20192</v>
      </c>
      <c r="K774" s="10" t="s">
        <v>2042</v>
      </c>
      <c r="L774" s="10" t="s">
        <v>268</v>
      </c>
      <c r="M774" s="10" t="s">
        <v>1842</v>
      </c>
      <c r="N774" s="7"/>
    </row>
    <row r="775" s="1" customFormat="1" ht="28.5" customHeight="1" spans="1:14">
      <c r="A775" s="8">
        <v>10701</v>
      </c>
      <c r="B775" s="9">
        <v>10708</v>
      </c>
      <c r="C775" s="9" t="s">
        <v>35</v>
      </c>
      <c r="D775" s="9">
        <v>2000</v>
      </c>
      <c r="E775" s="9"/>
      <c r="F775" s="9">
        <v>10701</v>
      </c>
      <c r="G775" s="10" t="s">
        <v>2043</v>
      </c>
      <c r="H775" s="10" t="s">
        <v>563</v>
      </c>
      <c r="I775" s="10"/>
      <c r="J775" s="9">
        <v>20193</v>
      </c>
      <c r="K775" s="10" t="s">
        <v>2044</v>
      </c>
      <c r="L775" s="10" t="s">
        <v>268</v>
      </c>
      <c r="M775" s="10" t="s">
        <v>1842</v>
      </c>
      <c r="N775" s="7"/>
    </row>
    <row r="776" s="1" customFormat="1" ht="28.5" customHeight="1" spans="1:14">
      <c r="A776" s="8">
        <v>10701</v>
      </c>
      <c r="B776" s="9">
        <v>10709</v>
      </c>
      <c r="C776" s="9" t="s">
        <v>35</v>
      </c>
      <c r="D776" s="9">
        <v>1500</v>
      </c>
      <c r="E776" s="9"/>
      <c r="F776" s="9">
        <v>10701</v>
      </c>
      <c r="G776" s="10" t="s">
        <v>2045</v>
      </c>
      <c r="H776" s="10" t="s">
        <v>563</v>
      </c>
      <c r="I776" s="10"/>
      <c r="J776" s="9">
        <v>20194</v>
      </c>
      <c r="K776" s="10" t="s">
        <v>2046</v>
      </c>
      <c r="L776" s="10" t="s">
        <v>268</v>
      </c>
      <c r="M776" s="10" t="s">
        <v>1842</v>
      </c>
      <c r="N776" s="7"/>
    </row>
    <row r="777" s="1" customFormat="1" ht="28.5" customHeight="1" spans="1:14">
      <c r="A777" s="8">
        <v>10701</v>
      </c>
      <c r="B777" s="9">
        <v>10710</v>
      </c>
      <c r="C777" s="9" t="s">
        <v>35</v>
      </c>
      <c r="D777" s="9">
        <v>1000</v>
      </c>
      <c r="E777" s="9"/>
      <c r="F777" s="9">
        <v>10701</v>
      </c>
      <c r="G777" s="10" t="s">
        <v>2047</v>
      </c>
      <c r="H777" s="10" t="s">
        <v>563</v>
      </c>
      <c r="I777" s="10"/>
      <c r="J777" s="9">
        <v>20195</v>
      </c>
      <c r="K777" s="10" t="s">
        <v>2048</v>
      </c>
      <c r="L777" s="10" t="s">
        <v>268</v>
      </c>
      <c r="M777" s="10" t="s">
        <v>1842</v>
      </c>
      <c r="N777" s="7"/>
    </row>
    <row r="778" s="1" customFormat="1" ht="28.5" customHeight="1" spans="1:14">
      <c r="A778" s="8"/>
      <c r="B778" s="9"/>
      <c r="C778" s="9" t="s">
        <v>1289</v>
      </c>
      <c r="D778" s="9">
        <v>3000</v>
      </c>
      <c r="E778" s="9"/>
      <c r="F778" s="9"/>
      <c r="G778" s="10" t="s">
        <v>1857</v>
      </c>
      <c r="H778" s="10" t="s">
        <v>563</v>
      </c>
      <c r="I778" s="10"/>
      <c r="J778" s="9">
        <v>90196</v>
      </c>
      <c r="K778" s="10" t="s">
        <v>1858</v>
      </c>
      <c r="L778" s="10" t="s">
        <v>224</v>
      </c>
      <c r="M778" s="10" t="s">
        <v>1834</v>
      </c>
      <c r="N778" s="7"/>
    </row>
    <row r="779" s="1" customFormat="1" ht="28.5" customHeight="1" spans="1:14">
      <c r="A779" s="8"/>
      <c r="B779" s="9"/>
      <c r="C779" s="9" t="s">
        <v>1289</v>
      </c>
      <c r="D779" s="9">
        <v>2500</v>
      </c>
      <c r="E779" s="9"/>
      <c r="F779" s="9"/>
      <c r="G779" s="10" t="s">
        <v>1857</v>
      </c>
      <c r="H779" s="10" t="s">
        <v>563</v>
      </c>
      <c r="I779" s="10"/>
      <c r="J779" s="9">
        <v>90197</v>
      </c>
      <c r="K779" s="10" t="s">
        <v>1858</v>
      </c>
      <c r="L779" s="10" t="s">
        <v>224</v>
      </c>
      <c r="M779" s="10" t="s">
        <v>1834</v>
      </c>
      <c r="N779" s="7"/>
    </row>
    <row r="780" s="1" customFormat="1" ht="28.5" customHeight="1" spans="1:14">
      <c r="A780" s="8"/>
      <c r="B780" s="9"/>
      <c r="C780" s="9" t="s">
        <v>1289</v>
      </c>
      <c r="D780" s="9">
        <v>2000</v>
      </c>
      <c r="E780" s="9"/>
      <c r="F780" s="9"/>
      <c r="G780" s="10" t="s">
        <v>1857</v>
      </c>
      <c r="H780" s="10" t="s">
        <v>563</v>
      </c>
      <c r="I780" s="10"/>
      <c r="J780" s="9">
        <v>90198</v>
      </c>
      <c r="K780" s="10" t="s">
        <v>1858</v>
      </c>
      <c r="L780" s="10" t="s">
        <v>224</v>
      </c>
      <c r="M780" s="10" t="s">
        <v>1834</v>
      </c>
      <c r="N780" s="7"/>
    </row>
    <row r="781" s="1" customFormat="1" ht="28.5" customHeight="1" spans="1:14">
      <c r="A781" s="8"/>
      <c r="B781" s="9"/>
      <c r="C781" s="9" t="s">
        <v>1289</v>
      </c>
      <c r="D781" s="9">
        <v>1500</v>
      </c>
      <c r="E781" s="9"/>
      <c r="F781" s="9"/>
      <c r="G781" s="10" t="s">
        <v>1857</v>
      </c>
      <c r="H781" s="10" t="s">
        <v>563</v>
      </c>
      <c r="I781" s="10"/>
      <c r="J781" s="9">
        <v>90199</v>
      </c>
      <c r="K781" s="10" t="s">
        <v>1858</v>
      </c>
      <c r="L781" s="10" t="s">
        <v>224</v>
      </c>
      <c r="M781" s="10" t="s">
        <v>1834</v>
      </c>
      <c r="N781" s="7"/>
    </row>
    <row r="782" s="1" customFormat="1" ht="28.5" customHeight="1" spans="1:14">
      <c r="A782" s="8"/>
      <c r="B782" s="9"/>
      <c r="C782" s="9" t="s">
        <v>1289</v>
      </c>
      <c r="D782" s="9">
        <v>1000</v>
      </c>
      <c r="E782" s="9"/>
      <c r="F782" s="9"/>
      <c r="G782" s="10" t="s">
        <v>1857</v>
      </c>
      <c r="H782" s="10" t="s">
        <v>563</v>
      </c>
      <c r="I782" s="10"/>
      <c r="J782" s="9">
        <v>90200</v>
      </c>
      <c r="K782" s="10" t="s">
        <v>1858</v>
      </c>
      <c r="L782" s="10" t="s">
        <v>224</v>
      </c>
      <c r="M782" s="10" t="s">
        <v>1834</v>
      </c>
      <c r="N782" s="7"/>
    </row>
    <row r="783" s="1" customFormat="1" ht="28.5" customHeight="1" spans="1:14">
      <c r="A783" s="8">
        <v>10703</v>
      </c>
      <c r="B783" s="9">
        <v>10711</v>
      </c>
      <c r="C783" s="9" t="s">
        <v>35</v>
      </c>
      <c r="D783" s="9">
        <v>3000</v>
      </c>
      <c r="E783" s="9"/>
      <c r="F783" s="9">
        <v>10702</v>
      </c>
      <c r="G783" s="10" t="s">
        <v>1859</v>
      </c>
      <c r="H783" s="10" t="s">
        <v>563</v>
      </c>
      <c r="I783" s="10"/>
      <c r="J783" s="9">
        <v>70201</v>
      </c>
      <c r="K783" s="10" t="s">
        <v>1860</v>
      </c>
      <c r="L783" s="10" t="s">
        <v>228</v>
      </c>
      <c r="M783" s="10" t="s">
        <v>1842</v>
      </c>
      <c r="N783" s="7"/>
    </row>
    <row r="784" s="1" customFormat="1" ht="28.5" customHeight="1" spans="1:14">
      <c r="A784" s="8">
        <v>10703</v>
      </c>
      <c r="B784" s="9">
        <v>10712</v>
      </c>
      <c r="C784" s="9" t="s">
        <v>35</v>
      </c>
      <c r="D784" s="9">
        <v>2500</v>
      </c>
      <c r="E784" s="9"/>
      <c r="F784" s="9">
        <v>10702</v>
      </c>
      <c r="G784" s="10" t="s">
        <v>1859</v>
      </c>
      <c r="H784" s="10" t="s">
        <v>563</v>
      </c>
      <c r="I784" s="10"/>
      <c r="J784" s="9">
        <v>70202</v>
      </c>
      <c r="K784" s="10" t="s">
        <v>1860</v>
      </c>
      <c r="L784" s="10" t="s">
        <v>228</v>
      </c>
      <c r="M784" s="10" t="s">
        <v>1842</v>
      </c>
      <c r="N784" s="7"/>
    </row>
    <row r="785" s="1" customFormat="1" ht="28.5" customHeight="1" spans="1:14">
      <c r="A785" s="8">
        <v>10703</v>
      </c>
      <c r="B785" s="9">
        <v>10713</v>
      </c>
      <c r="C785" s="9" t="s">
        <v>35</v>
      </c>
      <c r="D785" s="9">
        <v>2000</v>
      </c>
      <c r="E785" s="9"/>
      <c r="F785" s="9">
        <v>10702</v>
      </c>
      <c r="G785" s="10" t="s">
        <v>1859</v>
      </c>
      <c r="H785" s="10" t="s">
        <v>563</v>
      </c>
      <c r="I785" s="10"/>
      <c r="J785" s="9">
        <v>70203</v>
      </c>
      <c r="K785" s="10" t="s">
        <v>1860</v>
      </c>
      <c r="L785" s="10" t="s">
        <v>228</v>
      </c>
      <c r="M785" s="10" t="s">
        <v>1842</v>
      </c>
      <c r="N785" s="7"/>
    </row>
    <row r="786" s="1" customFormat="1" ht="28.5" customHeight="1" spans="1:14">
      <c r="A786" s="8">
        <v>10703</v>
      </c>
      <c r="B786" s="9">
        <v>10714</v>
      </c>
      <c r="C786" s="9" t="s">
        <v>35</v>
      </c>
      <c r="D786" s="9">
        <v>1500</v>
      </c>
      <c r="E786" s="9"/>
      <c r="F786" s="9">
        <v>10702</v>
      </c>
      <c r="G786" s="10" t="s">
        <v>1859</v>
      </c>
      <c r="H786" s="10" t="s">
        <v>563</v>
      </c>
      <c r="I786" s="10"/>
      <c r="J786" s="9">
        <v>70204</v>
      </c>
      <c r="K786" s="10" t="s">
        <v>1860</v>
      </c>
      <c r="L786" s="10" t="s">
        <v>228</v>
      </c>
      <c r="M786" s="10" t="s">
        <v>1842</v>
      </c>
      <c r="N786" s="7"/>
    </row>
    <row r="787" s="1" customFormat="1" ht="28.5" customHeight="1" spans="1:14">
      <c r="A787" s="8">
        <v>10703</v>
      </c>
      <c r="B787" s="9">
        <v>10715</v>
      </c>
      <c r="C787" s="9" t="s">
        <v>35</v>
      </c>
      <c r="D787" s="9">
        <v>1000</v>
      </c>
      <c r="E787" s="9"/>
      <c r="F787" s="9">
        <v>10702</v>
      </c>
      <c r="G787" s="10" t="s">
        <v>1859</v>
      </c>
      <c r="H787" s="10" t="s">
        <v>563</v>
      </c>
      <c r="I787" s="10"/>
      <c r="J787" s="9">
        <v>70205</v>
      </c>
      <c r="K787" s="10" t="s">
        <v>1860</v>
      </c>
      <c r="L787" s="10" t="s">
        <v>228</v>
      </c>
      <c r="M787" s="10" t="s">
        <v>1842</v>
      </c>
      <c r="N787" s="7"/>
    </row>
    <row r="788" s="1" customFormat="1" ht="28.5" customHeight="1" spans="1:14">
      <c r="A788" s="8"/>
      <c r="B788" s="9"/>
      <c r="C788" s="9" t="s">
        <v>1289</v>
      </c>
      <c r="D788" s="9">
        <v>3000</v>
      </c>
      <c r="E788" s="9"/>
      <c r="F788" s="9"/>
      <c r="G788" s="10" t="s">
        <v>1861</v>
      </c>
      <c r="H788" s="10" t="s">
        <v>563</v>
      </c>
      <c r="I788" s="10"/>
      <c r="J788" s="9">
        <v>80206</v>
      </c>
      <c r="K788" s="10" t="s">
        <v>1862</v>
      </c>
      <c r="L788" s="10" t="s">
        <v>231</v>
      </c>
      <c r="M788" s="10" t="s">
        <v>1834</v>
      </c>
      <c r="N788" s="7"/>
    </row>
    <row r="789" s="1" customFormat="1" ht="28.5" customHeight="1" spans="1:14">
      <c r="A789" s="8"/>
      <c r="B789" s="9"/>
      <c r="C789" s="9" t="s">
        <v>1289</v>
      </c>
      <c r="D789" s="9">
        <v>2500</v>
      </c>
      <c r="E789" s="9"/>
      <c r="F789" s="9"/>
      <c r="G789" s="10" t="s">
        <v>1861</v>
      </c>
      <c r="H789" s="10" t="s">
        <v>563</v>
      </c>
      <c r="I789" s="10"/>
      <c r="J789" s="9">
        <v>80207</v>
      </c>
      <c r="K789" s="10" t="s">
        <v>1862</v>
      </c>
      <c r="L789" s="10" t="s">
        <v>231</v>
      </c>
      <c r="M789" s="10" t="s">
        <v>1834</v>
      </c>
      <c r="N789" s="7"/>
    </row>
    <row r="790" s="1" customFormat="1" ht="28.5" customHeight="1" spans="1:14">
      <c r="A790" s="8"/>
      <c r="B790" s="9"/>
      <c r="C790" s="9" t="s">
        <v>1289</v>
      </c>
      <c r="D790" s="9">
        <v>2000</v>
      </c>
      <c r="E790" s="9"/>
      <c r="F790" s="9"/>
      <c r="G790" s="10" t="s">
        <v>1861</v>
      </c>
      <c r="H790" s="10" t="s">
        <v>563</v>
      </c>
      <c r="I790" s="10"/>
      <c r="J790" s="9">
        <v>80208</v>
      </c>
      <c r="K790" s="10" t="s">
        <v>1862</v>
      </c>
      <c r="L790" s="10" t="s">
        <v>231</v>
      </c>
      <c r="M790" s="10" t="s">
        <v>1834</v>
      </c>
      <c r="N790" s="7"/>
    </row>
    <row r="791" s="1" customFormat="1" ht="28.5" customHeight="1" spans="1:14">
      <c r="A791" s="8"/>
      <c r="B791" s="9"/>
      <c r="C791" s="9" t="s">
        <v>1289</v>
      </c>
      <c r="D791" s="9">
        <v>1500</v>
      </c>
      <c r="E791" s="9"/>
      <c r="F791" s="9"/>
      <c r="G791" s="10" t="s">
        <v>1861</v>
      </c>
      <c r="H791" s="10" t="s">
        <v>563</v>
      </c>
      <c r="I791" s="10"/>
      <c r="J791" s="9">
        <v>80209</v>
      </c>
      <c r="K791" s="10" t="s">
        <v>1862</v>
      </c>
      <c r="L791" s="10" t="s">
        <v>231</v>
      </c>
      <c r="M791" s="10" t="s">
        <v>1834</v>
      </c>
      <c r="N791" s="7"/>
    </row>
    <row r="792" s="1" customFormat="1" ht="28.5" customHeight="1" spans="1:14">
      <c r="A792" s="8"/>
      <c r="B792" s="9"/>
      <c r="C792" s="9" t="s">
        <v>1289</v>
      </c>
      <c r="D792" s="9">
        <v>1000</v>
      </c>
      <c r="E792" s="9"/>
      <c r="F792" s="9"/>
      <c r="G792" s="10" t="s">
        <v>1861</v>
      </c>
      <c r="H792" s="10" t="s">
        <v>563</v>
      </c>
      <c r="I792" s="10"/>
      <c r="J792" s="9">
        <v>80210</v>
      </c>
      <c r="K792" s="10" t="s">
        <v>1862</v>
      </c>
      <c r="L792" s="10" t="s">
        <v>231</v>
      </c>
      <c r="M792" s="10" t="s">
        <v>1834</v>
      </c>
      <c r="N792" s="7"/>
    </row>
    <row r="793" s="1" customFormat="1" ht="28.5" customHeight="1" spans="1:14">
      <c r="A793" s="8">
        <v>10702</v>
      </c>
      <c r="B793" s="9">
        <v>10716</v>
      </c>
      <c r="C793" s="9" t="s">
        <v>35</v>
      </c>
      <c r="D793" s="9">
        <v>3000</v>
      </c>
      <c r="E793" s="9"/>
      <c r="F793" s="9">
        <v>10703</v>
      </c>
      <c r="G793" s="10" t="s">
        <v>2049</v>
      </c>
      <c r="H793" s="10" t="s">
        <v>563</v>
      </c>
      <c r="I793" s="10"/>
      <c r="J793" s="9">
        <v>10211</v>
      </c>
      <c r="K793" s="10" t="s">
        <v>2050</v>
      </c>
      <c r="L793" s="10" t="s">
        <v>269</v>
      </c>
      <c r="M793" s="10" t="s">
        <v>1842</v>
      </c>
      <c r="N793" s="7"/>
    </row>
    <row r="794" s="1" customFormat="1" ht="28.5" customHeight="1" spans="1:14">
      <c r="A794" s="8">
        <v>10702</v>
      </c>
      <c r="B794" s="9">
        <v>10717</v>
      </c>
      <c r="C794" s="9" t="s">
        <v>35</v>
      </c>
      <c r="D794" s="9">
        <v>2500</v>
      </c>
      <c r="E794" s="9"/>
      <c r="F794" s="9">
        <v>10703</v>
      </c>
      <c r="G794" s="10" t="s">
        <v>1993</v>
      </c>
      <c r="H794" s="10" t="s">
        <v>563</v>
      </c>
      <c r="I794" s="10"/>
      <c r="J794" s="9">
        <v>10212</v>
      </c>
      <c r="K794" s="10" t="s">
        <v>1994</v>
      </c>
      <c r="L794" s="10" t="s">
        <v>269</v>
      </c>
      <c r="M794" s="10" t="s">
        <v>1842</v>
      </c>
      <c r="N794" s="7"/>
    </row>
    <row r="795" s="1" customFormat="1" ht="28.5" customHeight="1" spans="1:14">
      <c r="A795" s="8">
        <v>10702</v>
      </c>
      <c r="B795" s="9">
        <v>10718</v>
      </c>
      <c r="C795" s="9" t="s">
        <v>35</v>
      </c>
      <c r="D795" s="9">
        <v>2000</v>
      </c>
      <c r="E795" s="9"/>
      <c r="F795" s="9">
        <v>10703</v>
      </c>
      <c r="G795" s="10" t="s">
        <v>2051</v>
      </c>
      <c r="H795" s="10" t="s">
        <v>563</v>
      </c>
      <c r="I795" s="10"/>
      <c r="J795" s="9">
        <v>10213</v>
      </c>
      <c r="K795" s="10" t="s">
        <v>2052</v>
      </c>
      <c r="L795" s="10" t="s">
        <v>269</v>
      </c>
      <c r="M795" s="10" t="s">
        <v>1842</v>
      </c>
      <c r="N795" s="7"/>
    </row>
    <row r="796" s="1" customFormat="1" ht="28.5" customHeight="1" spans="1:14">
      <c r="A796" s="8">
        <v>10702</v>
      </c>
      <c r="B796" s="9">
        <v>10719</v>
      </c>
      <c r="C796" s="9" t="s">
        <v>35</v>
      </c>
      <c r="D796" s="9">
        <v>1500</v>
      </c>
      <c r="E796" s="9"/>
      <c r="F796" s="9">
        <v>10703</v>
      </c>
      <c r="G796" s="10" t="s">
        <v>2053</v>
      </c>
      <c r="H796" s="10" t="s">
        <v>563</v>
      </c>
      <c r="I796" s="10"/>
      <c r="J796" s="9">
        <v>10214</v>
      </c>
      <c r="K796" s="10" t="s">
        <v>2054</v>
      </c>
      <c r="L796" s="10" t="s">
        <v>269</v>
      </c>
      <c r="M796" s="10" t="s">
        <v>1842</v>
      </c>
      <c r="N796" s="7"/>
    </row>
    <row r="797" s="1" customFormat="1" ht="28.5" customHeight="1" spans="1:14">
      <c r="A797" s="8">
        <v>10702</v>
      </c>
      <c r="B797" s="9">
        <v>10720</v>
      </c>
      <c r="C797" s="9" t="s">
        <v>35</v>
      </c>
      <c r="D797" s="9">
        <v>1000</v>
      </c>
      <c r="E797" s="9"/>
      <c r="F797" s="9">
        <v>10703</v>
      </c>
      <c r="G797" s="10" t="s">
        <v>2055</v>
      </c>
      <c r="H797" s="10" t="s">
        <v>563</v>
      </c>
      <c r="I797" s="10"/>
      <c r="J797" s="9">
        <v>10215</v>
      </c>
      <c r="K797" s="10" t="s">
        <v>2056</v>
      </c>
      <c r="L797" s="10" t="s">
        <v>269</v>
      </c>
      <c r="M797" s="10" t="s">
        <v>1842</v>
      </c>
      <c r="N797" s="7"/>
    </row>
    <row r="798" s="1" customFormat="1" ht="28.5" customHeight="1" spans="1:14">
      <c r="A798" s="8">
        <v>10701</v>
      </c>
      <c r="B798" s="9">
        <v>10721</v>
      </c>
      <c r="C798" s="9" t="s">
        <v>35</v>
      </c>
      <c r="D798" s="9">
        <v>0</v>
      </c>
      <c r="E798" s="9"/>
      <c r="F798" s="9">
        <v>10704</v>
      </c>
      <c r="G798" s="10" t="s">
        <v>1386</v>
      </c>
      <c r="H798" s="10" t="s">
        <v>563</v>
      </c>
      <c r="I798" s="10"/>
      <c r="J798" s="9">
        <v>60216</v>
      </c>
      <c r="K798" s="10" t="s">
        <v>2057</v>
      </c>
      <c r="L798" s="10" t="s">
        <v>270</v>
      </c>
      <c r="M798" s="10" t="s">
        <v>1842</v>
      </c>
      <c r="N798" s="7"/>
    </row>
    <row r="799" s="1" customFormat="1" ht="28.5" customHeight="1" spans="1:14">
      <c r="A799" s="8">
        <v>10701</v>
      </c>
      <c r="B799" s="9">
        <v>10722</v>
      </c>
      <c r="C799" s="9" t="s">
        <v>35</v>
      </c>
      <c r="D799" s="9">
        <v>0</v>
      </c>
      <c r="E799" s="9"/>
      <c r="F799" s="9">
        <v>10704</v>
      </c>
      <c r="G799" s="10" t="s">
        <v>1388</v>
      </c>
      <c r="H799" s="10" t="s">
        <v>563</v>
      </c>
      <c r="I799" s="10"/>
      <c r="J799" s="9">
        <v>60217</v>
      </c>
      <c r="K799" s="10" t="s">
        <v>2058</v>
      </c>
      <c r="L799" s="10" t="s">
        <v>270</v>
      </c>
      <c r="M799" s="10" t="s">
        <v>1842</v>
      </c>
      <c r="N799" s="7"/>
    </row>
    <row r="800" s="1" customFormat="1" ht="28.5" customHeight="1" spans="1:14">
      <c r="A800" s="8">
        <v>10701</v>
      </c>
      <c r="B800" s="9">
        <v>10723</v>
      </c>
      <c r="C800" s="9" t="s">
        <v>35</v>
      </c>
      <c r="D800" s="9">
        <v>0</v>
      </c>
      <c r="E800" s="9"/>
      <c r="F800" s="9">
        <v>10704</v>
      </c>
      <c r="G800" s="10" t="s">
        <v>1390</v>
      </c>
      <c r="H800" s="10" t="s">
        <v>563</v>
      </c>
      <c r="I800" s="10"/>
      <c r="J800" s="9">
        <v>60218</v>
      </c>
      <c r="K800" s="10" t="s">
        <v>2059</v>
      </c>
      <c r="L800" s="10" t="s">
        <v>270</v>
      </c>
      <c r="M800" s="10" t="s">
        <v>1842</v>
      </c>
      <c r="N800" s="7"/>
    </row>
    <row r="801" s="1" customFormat="1" ht="28.5" customHeight="1" spans="1:14">
      <c r="A801" s="8">
        <v>10701</v>
      </c>
      <c r="B801" s="9">
        <v>10724</v>
      </c>
      <c r="C801" s="9" t="s">
        <v>35</v>
      </c>
      <c r="D801" s="9">
        <v>0</v>
      </c>
      <c r="E801" s="9"/>
      <c r="F801" s="9">
        <v>10704</v>
      </c>
      <c r="G801" s="10" t="s">
        <v>1392</v>
      </c>
      <c r="H801" s="10" t="s">
        <v>563</v>
      </c>
      <c r="I801" s="10"/>
      <c r="J801" s="9">
        <v>60219</v>
      </c>
      <c r="K801" s="10" t="s">
        <v>2060</v>
      </c>
      <c r="L801" s="10" t="s">
        <v>270</v>
      </c>
      <c r="M801" s="10" t="s">
        <v>1842</v>
      </c>
      <c r="N801" s="7"/>
    </row>
    <row r="802" s="1" customFormat="1" ht="28.5" customHeight="1" spans="1:14">
      <c r="A802" s="8">
        <v>10701</v>
      </c>
      <c r="B802" s="9">
        <v>10725</v>
      </c>
      <c r="C802" s="9" t="s">
        <v>35</v>
      </c>
      <c r="D802" s="9">
        <v>0</v>
      </c>
      <c r="E802" s="9"/>
      <c r="F802" s="9">
        <v>10704</v>
      </c>
      <c r="G802" s="10" t="s">
        <v>1394</v>
      </c>
      <c r="H802" s="10" t="s">
        <v>563</v>
      </c>
      <c r="I802" s="10"/>
      <c r="J802" s="9">
        <v>60220</v>
      </c>
      <c r="K802" s="10" t="s">
        <v>2061</v>
      </c>
      <c r="L802" s="10" t="s">
        <v>270</v>
      </c>
      <c r="M802" s="10" t="s">
        <v>1842</v>
      </c>
      <c r="N802" s="7"/>
    </row>
    <row r="803" s="1" customFormat="1" ht="28.5" customHeight="1" spans="1:14">
      <c r="A803" s="8">
        <v>10701</v>
      </c>
      <c r="B803" s="9">
        <v>10726</v>
      </c>
      <c r="C803" s="9" t="s">
        <v>35</v>
      </c>
      <c r="D803" s="9">
        <v>3000</v>
      </c>
      <c r="E803" s="9"/>
      <c r="F803" s="9">
        <v>10705</v>
      </c>
      <c r="G803" s="10" t="s">
        <v>1406</v>
      </c>
      <c r="H803" s="10" t="s">
        <v>563</v>
      </c>
      <c r="I803" s="10"/>
      <c r="J803" s="9">
        <v>50221</v>
      </c>
      <c r="K803" s="10" t="s">
        <v>2062</v>
      </c>
      <c r="L803" s="10" t="s">
        <v>271</v>
      </c>
      <c r="M803" s="10" t="s">
        <v>1842</v>
      </c>
      <c r="N803" s="7"/>
    </row>
    <row r="804" s="1" customFormat="1" ht="28.5" customHeight="1" spans="1:14">
      <c r="A804" s="8">
        <v>10701</v>
      </c>
      <c r="B804" s="9">
        <v>10727</v>
      </c>
      <c r="C804" s="9" t="s">
        <v>35</v>
      </c>
      <c r="D804" s="9">
        <v>2500</v>
      </c>
      <c r="E804" s="9"/>
      <c r="F804" s="9">
        <v>10705</v>
      </c>
      <c r="G804" s="10" t="s">
        <v>2005</v>
      </c>
      <c r="H804" s="10" t="s">
        <v>563</v>
      </c>
      <c r="I804" s="10"/>
      <c r="J804" s="9">
        <v>50222</v>
      </c>
      <c r="K804" s="10" t="s">
        <v>2006</v>
      </c>
      <c r="L804" s="10" t="s">
        <v>271</v>
      </c>
      <c r="M804" s="10" t="s">
        <v>1842</v>
      </c>
      <c r="N804" s="7"/>
    </row>
    <row r="805" s="1" customFormat="1" ht="28.5" customHeight="1" spans="1:14">
      <c r="A805" s="8">
        <v>10701</v>
      </c>
      <c r="B805" s="9">
        <v>10728</v>
      </c>
      <c r="C805" s="9" t="s">
        <v>35</v>
      </c>
      <c r="D805" s="9">
        <v>2000</v>
      </c>
      <c r="E805" s="9"/>
      <c r="F805" s="9">
        <v>10705</v>
      </c>
      <c r="G805" s="10" t="s">
        <v>2063</v>
      </c>
      <c r="H805" s="10" t="s">
        <v>563</v>
      </c>
      <c r="I805" s="10"/>
      <c r="J805" s="9">
        <v>50223</v>
      </c>
      <c r="K805" s="10" t="s">
        <v>2064</v>
      </c>
      <c r="L805" s="10" t="s">
        <v>271</v>
      </c>
      <c r="M805" s="10" t="s">
        <v>1842</v>
      </c>
      <c r="N805" s="7"/>
    </row>
    <row r="806" s="1" customFormat="1" ht="28.5" customHeight="1" spans="1:14">
      <c r="A806" s="8">
        <v>10701</v>
      </c>
      <c r="B806" s="9">
        <v>10729</v>
      </c>
      <c r="C806" s="9" t="s">
        <v>35</v>
      </c>
      <c r="D806" s="9">
        <v>1500</v>
      </c>
      <c r="E806" s="9"/>
      <c r="F806" s="9">
        <v>10705</v>
      </c>
      <c r="G806" s="10" t="s">
        <v>1409</v>
      </c>
      <c r="H806" s="10" t="s">
        <v>563</v>
      </c>
      <c r="I806" s="10"/>
      <c r="J806" s="9">
        <v>50224</v>
      </c>
      <c r="K806" s="10" t="s">
        <v>2065</v>
      </c>
      <c r="L806" s="10" t="s">
        <v>271</v>
      </c>
      <c r="M806" s="10" t="s">
        <v>1842</v>
      </c>
      <c r="N806" s="7"/>
    </row>
    <row r="807" s="1" customFormat="1" ht="28.5" customHeight="1" spans="1:14">
      <c r="A807" s="8">
        <v>10701</v>
      </c>
      <c r="B807" s="9">
        <v>10730</v>
      </c>
      <c r="C807" s="9" t="s">
        <v>35</v>
      </c>
      <c r="D807" s="9">
        <v>1000</v>
      </c>
      <c r="E807" s="9"/>
      <c r="F807" s="9">
        <v>10705</v>
      </c>
      <c r="G807" s="10" t="s">
        <v>1442</v>
      </c>
      <c r="H807" s="10" t="s">
        <v>563</v>
      </c>
      <c r="I807" s="10"/>
      <c r="J807" s="9">
        <v>50225</v>
      </c>
      <c r="K807" s="10" t="s">
        <v>2066</v>
      </c>
      <c r="L807" s="10" t="s">
        <v>271</v>
      </c>
      <c r="M807" s="10" t="s">
        <v>1842</v>
      </c>
      <c r="N807" s="7"/>
    </row>
    <row r="808" s="1" customFormat="1" ht="28.5" customHeight="1" spans="1:14">
      <c r="A808" s="8">
        <v>10701</v>
      </c>
      <c r="B808" s="9">
        <v>10731</v>
      </c>
      <c r="C808" s="9" t="s">
        <v>35</v>
      </c>
      <c r="D808" s="9">
        <v>3000</v>
      </c>
      <c r="E808" s="9"/>
      <c r="F808" s="9">
        <v>10706</v>
      </c>
      <c r="G808" s="10" t="s">
        <v>2016</v>
      </c>
      <c r="H808" s="10" t="s">
        <v>563</v>
      </c>
      <c r="I808" s="10"/>
      <c r="J808" s="9">
        <v>30226</v>
      </c>
      <c r="K808" s="10" t="s">
        <v>2017</v>
      </c>
      <c r="L808" s="10" t="s">
        <v>272</v>
      </c>
      <c r="M808" s="10" t="s">
        <v>1842</v>
      </c>
      <c r="N808" s="7"/>
    </row>
    <row r="809" s="1" customFormat="1" ht="28.5" customHeight="1" spans="1:14">
      <c r="A809" s="8">
        <v>10701</v>
      </c>
      <c r="B809" s="9">
        <v>10732</v>
      </c>
      <c r="C809" s="9" t="s">
        <v>35</v>
      </c>
      <c r="D809" s="9">
        <v>2500</v>
      </c>
      <c r="E809" s="9"/>
      <c r="F809" s="9">
        <v>10706</v>
      </c>
      <c r="G809" s="10" t="s">
        <v>2067</v>
      </c>
      <c r="H809" s="10" t="s">
        <v>563</v>
      </c>
      <c r="I809" s="10"/>
      <c r="J809" s="9">
        <v>30227</v>
      </c>
      <c r="K809" s="10" t="s">
        <v>2068</v>
      </c>
      <c r="L809" s="10" t="s">
        <v>272</v>
      </c>
      <c r="M809" s="10" t="s">
        <v>1842</v>
      </c>
      <c r="N809" s="7"/>
    </row>
    <row r="810" s="1" customFormat="1" ht="28.5" customHeight="1" spans="1:14">
      <c r="A810" s="8">
        <v>10701</v>
      </c>
      <c r="B810" s="9">
        <v>10733</v>
      </c>
      <c r="C810" s="9" t="s">
        <v>35</v>
      </c>
      <c r="D810" s="9">
        <v>2000</v>
      </c>
      <c r="E810" s="9"/>
      <c r="F810" s="9">
        <v>10706</v>
      </c>
      <c r="G810" s="10" t="s">
        <v>2069</v>
      </c>
      <c r="H810" s="10" t="s">
        <v>563</v>
      </c>
      <c r="I810" s="10"/>
      <c r="J810" s="9">
        <v>30228</v>
      </c>
      <c r="K810" s="10" t="s">
        <v>2070</v>
      </c>
      <c r="L810" s="10" t="s">
        <v>272</v>
      </c>
      <c r="M810" s="10" t="s">
        <v>1842</v>
      </c>
      <c r="N810" s="7"/>
    </row>
    <row r="811" s="1" customFormat="1" ht="28.5" customHeight="1" spans="1:14">
      <c r="A811" s="8">
        <v>10701</v>
      </c>
      <c r="B811" s="9">
        <v>10734</v>
      </c>
      <c r="C811" s="9" t="s">
        <v>35</v>
      </c>
      <c r="D811" s="9">
        <v>1500</v>
      </c>
      <c r="E811" s="9"/>
      <c r="F811" s="9">
        <v>10706</v>
      </c>
      <c r="G811" s="10" t="s">
        <v>2071</v>
      </c>
      <c r="H811" s="10" t="s">
        <v>563</v>
      </c>
      <c r="I811" s="10"/>
      <c r="J811" s="9">
        <v>30229</v>
      </c>
      <c r="K811" s="10" t="s">
        <v>2072</v>
      </c>
      <c r="L811" s="10" t="s">
        <v>272</v>
      </c>
      <c r="M811" s="10" t="s">
        <v>1842</v>
      </c>
      <c r="N811" s="7"/>
    </row>
    <row r="812" s="1" customFormat="1" ht="28.5" customHeight="1" spans="1:14">
      <c r="A812" s="8">
        <v>10701</v>
      </c>
      <c r="B812" s="9">
        <v>10735</v>
      </c>
      <c r="C812" s="9" t="s">
        <v>35</v>
      </c>
      <c r="D812" s="9">
        <v>1000</v>
      </c>
      <c r="E812" s="9"/>
      <c r="F812" s="9">
        <v>10706</v>
      </c>
      <c r="G812" s="10" t="s">
        <v>2073</v>
      </c>
      <c r="H812" s="10" t="s">
        <v>563</v>
      </c>
      <c r="I812" s="10"/>
      <c r="J812" s="9">
        <v>30230</v>
      </c>
      <c r="K812" s="10" t="s">
        <v>2074</v>
      </c>
      <c r="L812" s="10" t="s">
        <v>272</v>
      </c>
      <c r="M812" s="10" t="s">
        <v>1842</v>
      </c>
      <c r="N812" s="7"/>
    </row>
    <row r="813" s="1" customFormat="1" ht="28.5" customHeight="1" spans="1:14">
      <c r="A813" s="8">
        <v>10701</v>
      </c>
      <c r="B813" s="9">
        <v>10736</v>
      </c>
      <c r="C813" s="9" t="s">
        <v>35</v>
      </c>
      <c r="D813" s="9">
        <v>3000</v>
      </c>
      <c r="E813" s="9"/>
      <c r="F813" s="9">
        <v>10707</v>
      </c>
      <c r="G813" s="10" t="s">
        <v>2024</v>
      </c>
      <c r="H813" s="10" t="s">
        <v>563</v>
      </c>
      <c r="I813" s="10"/>
      <c r="J813" s="9">
        <v>40231</v>
      </c>
      <c r="K813" s="10" t="s">
        <v>2025</v>
      </c>
      <c r="L813" s="10" t="s">
        <v>273</v>
      </c>
      <c r="M813" s="10" t="s">
        <v>1842</v>
      </c>
      <c r="N813" s="7"/>
    </row>
    <row r="814" s="1" customFormat="1" ht="28.5" customHeight="1" spans="1:14">
      <c r="A814" s="8">
        <v>10701</v>
      </c>
      <c r="B814" s="9">
        <v>10737</v>
      </c>
      <c r="C814" s="9" t="s">
        <v>35</v>
      </c>
      <c r="D814" s="9">
        <v>2500</v>
      </c>
      <c r="E814" s="9"/>
      <c r="F814" s="9">
        <v>10707</v>
      </c>
      <c r="G814" s="10" t="s">
        <v>2075</v>
      </c>
      <c r="H814" s="10" t="s">
        <v>563</v>
      </c>
      <c r="I814" s="10"/>
      <c r="J814" s="9">
        <v>40232</v>
      </c>
      <c r="K814" s="10" t="s">
        <v>2076</v>
      </c>
      <c r="L814" s="10" t="s">
        <v>273</v>
      </c>
      <c r="M814" s="10" t="s">
        <v>1842</v>
      </c>
      <c r="N814" s="7"/>
    </row>
    <row r="815" s="1" customFormat="1" ht="28.5" customHeight="1" spans="1:14">
      <c r="A815" s="8">
        <v>10701</v>
      </c>
      <c r="B815" s="9">
        <v>10738</v>
      </c>
      <c r="C815" s="9" t="s">
        <v>35</v>
      </c>
      <c r="D815" s="9">
        <v>2000</v>
      </c>
      <c r="E815" s="9"/>
      <c r="F815" s="9">
        <v>10707</v>
      </c>
      <c r="G815" s="10" t="s">
        <v>2077</v>
      </c>
      <c r="H815" s="10" t="s">
        <v>563</v>
      </c>
      <c r="I815" s="10"/>
      <c r="J815" s="9">
        <v>40233</v>
      </c>
      <c r="K815" s="10" t="s">
        <v>2078</v>
      </c>
      <c r="L815" s="10" t="s">
        <v>273</v>
      </c>
      <c r="M815" s="10" t="s">
        <v>1842</v>
      </c>
      <c r="N815" s="7"/>
    </row>
    <row r="816" s="1" customFormat="1" ht="28.5" customHeight="1" spans="1:14">
      <c r="A816" s="8">
        <v>10701</v>
      </c>
      <c r="B816" s="9">
        <v>10739</v>
      </c>
      <c r="C816" s="9" t="s">
        <v>35</v>
      </c>
      <c r="D816" s="9">
        <v>1500</v>
      </c>
      <c r="E816" s="9"/>
      <c r="F816" s="9">
        <v>10707</v>
      </c>
      <c r="G816" s="10" t="s">
        <v>2079</v>
      </c>
      <c r="H816" s="10" t="s">
        <v>563</v>
      </c>
      <c r="I816" s="10"/>
      <c r="J816" s="9">
        <v>40234</v>
      </c>
      <c r="K816" s="10" t="s">
        <v>2080</v>
      </c>
      <c r="L816" s="10" t="s">
        <v>273</v>
      </c>
      <c r="M816" s="10" t="s">
        <v>1842</v>
      </c>
      <c r="N816" s="7"/>
    </row>
    <row r="817" s="1" customFormat="1" ht="28.5" customHeight="1" spans="1:14">
      <c r="A817" s="8">
        <v>10701</v>
      </c>
      <c r="B817" s="9">
        <v>10740</v>
      </c>
      <c r="C817" s="9" t="s">
        <v>35</v>
      </c>
      <c r="D817" s="9">
        <v>1000</v>
      </c>
      <c r="E817" s="9"/>
      <c r="F817" s="9">
        <v>10707</v>
      </c>
      <c r="G817" s="10" t="s">
        <v>2081</v>
      </c>
      <c r="H817" s="10" t="s">
        <v>563</v>
      </c>
      <c r="I817" s="10"/>
      <c r="J817" s="9">
        <v>40235</v>
      </c>
      <c r="K817" s="10" t="s">
        <v>2082</v>
      </c>
      <c r="L817" s="10" t="s">
        <v>273</v>
      </c>
      <c r="M817" s="10" t="s">
        <v>1842</v>
      </c>
      <c r="N817" s="7"/>
    </row>
    <row r="818" s="1" customFormat="1" ht="28.5" customHeight="1" spans="1:14">
      <c r="A818" s="8">
        <v>10703</v>
      </c>
      <c r="B818" s="9">
        <v>10741</v>
      </c>
      <c r="C818" s="9" t="s">
        <v>35</v>
      </c>
      <c r="D818" s="9">
        <v>3000</v>
      </c>
      <c r="E818" s="9"/>
      <c r="F818" s="9">
        <v>10708</v>
      </c>
      <c r="G818" s="10" t="s">
        <v>1905</v>
      </c>
      <c r="H818" s="10" t="s">
        <v>563</v>
      </c>
      <c r="I818" s="10"/>
      <c r="J818" s="9">
        <v>100236</v>
      </c>
      <c r="K818" s="10" t="s">
        <v>250</v>
      </c>
      <c r="L818" s="10" t="s">
        <v>248</v>
      </c>
      <c r="M818" s="10" t="s">
        <v>1842</v>
      </c>
      <c r="N818" s="7"/>
    </row>
    <row r="819" s="1" customFormat="1" ht="28.5" customHeight="1" spans="1:14">
      <c r="A819" s="8">
        <v>10703</v>
      </c>
      <c r="B819" s="9">
        <v>10742</v>
      </c>
      <c r="C819" s="9" t="s">
        <v>35</v>
      </c>
      <c r="D819" s="9">
        <v>2500</v>
      </c>
      <c r="E819" s="9"/>
      <c r="F819" s="9">
        <v>10708</v>
      </c>
      <c r="G819" s="10" t="s">
        <v>1905</v>
      </c>
      <c r="H819" s="10" t="s">
        <v>563</v>
      </c>
      <c r="I819" s="10"/>
      <c r="J819" s="9">
        <v>100237</v>
      </c>
      <c r="K819" s="10" t="s">
        <v>250</v>
      </c>
      <c r="L819" s="10" t="s">
        <v>248</v>
      </c>
      <c r="M819" s="10" t="s">
        <v>1842</v>
      </c>
      <c r="N819" s="7"/>
    </row>
    <row r="820" s="1" customFormat="1" ht="28.5" customHeight="1" spans="1:14">
      <c r="A820" s="8">
        <v>10703</v>
      </c>
      <c r="B820" s="9">
        <v>10743</v>
      </c>
      <c r="C820" s="9" t="s">
        <v>35</v>
      </c>
      <c r="D820" s="9">
        <v>2000</v>
      </c>
      <c r="E820" s="9"/>
      <c r="F820" s="9">
        <v>10708</v>
      </c>
      <c r="G820" s="10" t="s">
        <v>1905</v>
      </c>
      <c r="H820" s="10" t="s">
        <v>563</v>
      </c>
      <c r="I820" s="10"/>
      <c r="J820" s="9">
        <v>100238</v>
      </c>
      <c r="K820" s="10" t="s">
        <v>250</v>
      </c>
      <c r="L820" s="10" t="s">
        <v>248</v>
      </c>
      <c r="M820" s="10" t="s">
        <v>1842</v>
      </c>
      <c r="N820" s="7"/>
    </row>
    <row r="821" s="1" customFormat="1" ht="28.5" customHeight="1" spans="1:14">
      <c r="A821" s="8">
        <v>10703</v>
      </c>
      <c r="B821" s="9">
        <v>10744</v>
      </c>
      <c r="C821" s="9" t="s">
        <v>35</v>
      </c>
      <c r="D821" s="9">
        <v>1500</v>
      </c>
      <c r="E821" s="9"/>
      <c r="F821" s="9">
        <v>10708</v>
      </c>
      <c r="G821" s="10" t="s">
        <v>1905</v>
      </c>
      <c r="H821" s="10" t="s">
        <v>563</v>
      </c>
      <c r="I821" s="10"/>
      <c r="J821" s="9">
        <v>100239</v>
      </c>
      <c r="K821" s="10" t="s">
        <v>250</v>
      </c>
      <c r="L821" s="10" t="s">
        <v>248</v>
      </c>
      <c r="M821" s="10" t="s">
        <v>1842</v>
      </c>
      <c r="N821" s="7"/>
    </row>
    <row r="822" s="1" customFormat="1" ht="28.5" customHeight="1" spans="1:14">
      <c r="A822" s="8">
        <v>10703</v>
      </c>
      <c r="B822" s="9">
        <v>10745</v>
      </c>
      <c r="C822" s="9" t="s">
        <v>35</v>
      </c>
      <c r="D822" s="9">
        <v>1000</v>
      </c>
      <c r="E822" s="9"/>
      <c r="F822" s="9">
        <v>10708</v>
      </c>
      <c r="G822" s="10" t="s">
        <v>1905</v>
      </c>
      <c r="H822" s="10" t="s">
        <v>563</v>
      </c>
      <c r="I822" s="10"/>
      <c r="J822" s="9">
        <v>100240</v>
      </c>
      <c r="K822" s="10" t="s">
        <v>250</v>
      </c>
      <c r="L822" s="10" t="s">
        <v>248</v>
      </c>
      <c r="M822" s="10" t="s">
        <v>1842</v>
      </c>
      <c r="N822" s="7"/>
    </row>
    <row r="823" s="1" customFormat="1" ht="28.5" customHeight="1" spans="1:14">
      <c r="A823" s="8"/>
      <c r="B823" s="9"/>
      <c r="C823" s="9" t="s">
        <v>1289</v>
      </c>
      <c r="D823" s="9">
        <v>3000</v>
      </c>
      <c r="E823" s="9"/>
      <c r="F823" s="9"/>
      <c r="G823" s="10" t="s">
        <v>2083</v>
      </c>
      <c r="H823" s="10" t="s">
        <v>563</v>
      </c>
      <c r="I823" s="10"/>
      <c r="J823" s="9">
        <v>10241</v>
      </c>
      <c r="K823" s="10" t="s">
        <v>2084</v>
      </c>
      <c r="L823" s="10" t="s">
        <v>276</v>
      </c>
      <c r="M823" s="10" t="s">
        <v>1834</v>
      </c>
      <c r="N823" s="7"/>
    </row>
    <row r="824" s="1" customFormat="1" ht="28.5" customHeight="1" spans="1:14">
      <c r="A824" s="8"/>
      <c r="B824" s="9"/>
      <c r="C824" s="9" t="s">
        <v>1289</v>
      </c>
      <c r="D824" s="9">
        <v>2500</v>
      </c>
      <c r="E824" s="9"/>
      <c r="F824" s="9"/>
      <c r="G824" s="10" t="s">
        <v>2085</v>
      </c>
      <c r="H824" s="10" t="s">
        <v>563</v>
      </c>
      <c r="I824" s="10"/>
      <c r="J824" s="9">
        <v>10242</v>
      </c>
      <c r="K824" s="10" t="s">
        <v>2086</v>
      </c>
      <c r="L824" s="10" t="s">
        <v>276</v>
      </c>
      <c r="M824" s="10" t="s">
        <v>1834</v>
      </c>
      <c r="N824" s="7"/>
    </row>
    <row r="825" s="1" customFormat="1" ht="28.5" customHeight="1" spans="1:14">
      <c r="A825" s="8"/>
      <c r="B825" s="9"/>
      <c r="C825" s="9" t="s">
        <v>1289</v>
      </c>
      <c r="D825" s="9">
        <v>2000</v>
      </c>
      <c r="E825" s="9"/>
      <c r="F825" s="9"/>
      <c r="G825" s="10" t="s">
        <v>2087</v>
      </c>
      <c r="H825" s="10" t="s">
        <v>563</v>
      </c>
      <c r="I825" s="10"/>
      <c r="J825" s="9">
        <v>10243</v>
      </c>
      <c r="K825" s="10" t="s">
        <v>2088</v>
      </c>
      <c r="L825" s="10" t="s">
        <v>276</v>
      </c>
      <c r="M825" s="10" t="s">
        <v>1834</v>
      </c>
      <c r="N825" s="7"/>
    </row>
    <row r="826" s="1" customFormat="1" ht="28.5" customHeight="1" spans="1:14">
      <c r="A826" s="8"/>
      <c r="B826" s="9"/>
      <c r="C826" s="9" t="s">
        <v>1289</v>
      </c>
      <c r="D826" s="9">
        <v>1500</v>
      </c>
      <c r="E826" s="9"/>
      <c r="F826" s="9"/>
      <c r="G826" s="10" t="s">
        <v>2089</v>
      </c>
      <c r="H826" s="10" t="s">
        <v>563</v>
      </c>
      <c r="I826" s="10"/>
      <c r="J826" s="9">
        <v>10244</v>
      </c>
      <c r="K826" s="10" t="s">
        <v>2090</v>
      </c>
      <c r="L826" s="10" t="s">
        <v>276</v>
      </c>
      <c r="M826" s="10" t="s">
        <v>1834</v>
      </c>
      <c r="N826" s="7"/>
    </row>
    <row r="827" s="1" customFormat="1" ht="28.5" customHeight="1" spans="1:14">
      <c r="A827" s="8"/>
      <c r="B827" s="9"/>
      <c r="C827" s="9" t="s">
        <v>1289</v>
      </c>
      <c r="D827" s="9">
        <v>1000</v>
      </c>
      <c r="E827" s="9"/>
      <c r="F827" s="9"/>
      <c r="G827" s="10" t="s">
        <v>2091</v>
      </c>
      <c r="H827" s="10" t="s">
        <v>563</v>
      </c>
      <c r="I827" s="10"/>
      <c r="J827" s="9">
        <v>10245</v>
      </c>
      <c r="K827" s="10" t="s">
        <v>2092</v>
      </c>
      <c r="L827" s="10" t="s">
        <v>276</v>
      </c>
      <c r="M827" s="10" t="s">
        <v>1834</v>
      </c>
      <c r="N827" s="7"/>
    </row>
    <row r="828" s="1" customFormat="1" ht="28.5" customHeight="1" spans="1:14">
      <c r="A828" s="8">
        <v>10801</v>
      </c>
      <c r="B828" s="9">
        <v>10801</v>
      </c>
      <c r="C828" s="9" t="s">
        <v>36</v>
      </c>
      <c r="D828" s="9">
        <v>0</v>
      </c>
      <c r="E828" s="9"/>
      <c r="F828" s="9">
        <v>10800</v>
      </c>
      <c r="G828" s="10" t="s">
        <v>1432</v>
      </c>
      <c r="H828" s="10" t="s">
        <v>563</v>
      </c>
      <c r="I828" s="10"/>
      <c r="J828" s="9">
        <v>60246</v>
      </c>
      <c r="K828" s="10" t="s">
        <v>2093</v>
      </c>
      <c r="L828" s="10" t="s">
        <v>275</v>
      </c>
      <c r="M828" s="10" t="s">
        <v>1842</v>
      </c>
      <c r="N828" s="7"/>
    </row>
    <row r="829" s="1" customFormat="1" ht="28.5" customHeight="1" spans="1:14">
      <c r="A829" s="8">
        <v>10801</v>
      </c>
      <c r="B829" s="9">
        <v>10802</v>
      </c>
      <c r="C829" s="9" t="s">
        <v>36</v>
      </c>
      <c r="D829" s="9">
        <v>0</v>
      </c>
      <c r="E829" s="9"/>
      <c r="F829" s="9">
        <v>10800</v>
      </c>
      <c r="G829" s="10" t="s">
        <v>1434</v>
      </c>
      <c r="H829" s="10" t="s">
        <v>563</v>
      </c>
      <c r="I829" s="10"/>
      <c r="J829" s="9">
        <v>60247</v>
      </c>
      <c r="K829" s="10" t="s">
        <v>2094</v>
      </c>
      <c r="L829" s="10" t="s">
        <v>275</v>
      </c>
      <c r="M829" s="10" t="s">
        <v>1842</v>
      </c>
      <c r="N829" s="7"/>
    </row>
    <row r="830" s="1" customFormat="1" ht="28.5" customHeight="1" spans="1:14">
      <c r="A830" s="8">
        <v>10801</v>
      </c>
      <c r="B830" s="9">
        <v>10803</v>
      </c>
      <c r="C830" s="9" t="s">
        <v>36</v>
      </c>
      <c r="D830" s="9">
        <v>0</v>
      </c>
      <c r="E830" s="9"/>
      <c r="F830" s="9">
        <v>10800</v>
      </c>
      <c r="G830" s="10" t="s">
        <v>1436</v>
      </c>
      <c r="H830" s="10" t="s">
        <v>563</v>
      </c>
      <c r="I830" s="10"/>
      <c r="J830" s="9">
        <v>60248</v>
      </c>
      <c r="K830" s="10" t="s">
        <v>2095</v>
      </c>
      <c r="L830" s="10" t="s">
        <v>275</v>
      </c>
      <c r="M830" s="10" t="s">
        <v>1842</v>
      </c>
      <c r="N830" s="7"/>
    </row>
    <row r="831" s="1" customFormat="1" ht="28.5" customHeight="1" spans="1:14">
      <c r="A831" s="8">
        <v>10801</v>
      </c>
      <c r="B831" s="9">
        <v>10804</v>
      </c>
      <c r="C831" s="9" t="s">
        <v>36</v>
      </c>
      <c r="D831" s="9">
        <v>0</v>
      </c>
      <c r="E831" s="9"/>
      <c r="F831" s="9">
        <v>10800</v>
      </c>
      <c r="G831" s="10" t="s">
        <v>1438</v>
      </c>
      <c r="H831" s="10" t="s">
        <v>563</v>
      </c>
      <c r="I831" s="10"/>
      <c r="J831" s="9">
        <v>60249</v>
      </c>
      <c r="K831" s="10" t="s">
        <v>2096</v>
      </c>
      <c r="L831" s="10" t="s">
        <v>275</v>
      </c>
      <c r="M831" s="10" t="s">
        <v>1842</v>
      </c>
      <c r="N831" s="7"/>
    </row>
    <row r="832" s="1" customFormat="1" ht="28.5" customHeight="1" spans="1:14">
      <c r="A832" s="8">
        <v>10801</v>
      </c>
      <c r="B832" s="9">
        <v>10805</v>
      </c>
      <c r="C832" s="9" t="s">
        <v>36</v>
      </c>
      <c r="D832" s="9">
        <v>0</v>
      </c>
      <c r="E832" s="9"/>
      <c r="F832" s="9">
        <v>10800</v>
      </c>
      <c r="G832" s="10" t="s">
        <v>1440</v>
      </c>
      <c r="H832" s="10" t="s">
        <v>563</v>
      </c>
      <c r="I832" s="10"/>
      <c r="J832" s="9">
        <v>60250</v>
      </c>
      <c r="K832" s="10" t="s">
        <v>2097</v>
      </c>
      <c r="L832" s="10" t="s">
        <v>275</v>
      </c>
      <c r="M832" s="10" t="s">
        <v>1842</v>
      </c>
      <c r="N832" s="7"/>
    </row>
    <row r="833" s="1" customFormat="1" ht="28.5" customHeight="1" spans="1:14">
      <c r="A833" s="8">
        <v>10801</v>
      </c>
      <c r="B833" s="9">
        <v>10806</v>
      </c>
      <c r="C833" s="9" t="s">
        <v>36</v>
      </c>
      <c r="D833" s="9">
        <v>3000</v>
      </c>
      <c r="E833" s="9"/>
      <c r="F833" s="9">
        <v>10801</v>
      </c>
      <c r="G833" s="10" t="s">
        <v>2047</v>
      </c>
      <c r="H833" s="10" t="s">
        <v>563</v>
      </c>
      <c r="I833" s="10"/>
      <c r="J833" s="9">
        <v>20251</v>
      </c>
      <c r="K833" s="10" t="s">
        <v>2048</v>
      </c>
      <c r="L833" s="10" t="s">
        <v>276</v>
      </c>
      <c r="M833" s="10" t="s">
        <v>1842</v>
      </c>
      <c r="N833" s="7"/>
    </row>
    <row r="834" s="1" customFormat="1" ht="28.5" customHeight="1" spans="1:14">
      <c r="A834" s="8">
        <v>10801</v>
      </c>
      <c r="B834" s="9">
        <v>10807</v>
      </c>
      <c r="C834" s="9" t="s">
        <v>36</v>
      </c>
      <c r="D834" s="9">
        <v>2500</v>
      </c>
      <c r="E834" s="9"/>
      <c r="F834" s="9">
        <v>10801</v>
      </c>
      <c r="G834" s="10" t="s">
        <v>2098</v>
      </c>
      <c r="H834" s="10" t="s">
        <v>563</v>
      </c>
      <c r="I834" s="10"/>
      <c r="J834" s="9">
        <v>20252</v>
      </c>
      <c r="K834" s="10" t="s">
        <v>2099</v>
      </c>
      <c r="L834" s="10" t="s">
        <v>276</v>
      </c>
      <c r="M834" s="10" t="s">
        <v>1842</v>
      </c>
      <c r="N834" s="7"/>
    </row>
    <row r="835" s="1" customFormat="1" ht="28.5" customHeight="1" spans="1:14">
      <c r="A835" s="8">
        <v>10801</v>
      </c>
      <c r="B835" s="9">
        <v>10808</v>
      </c>
      <c r="C835" s="9" t="s">
        <v>36</v>
      </c>
      <c r="D835" s="9">
        <v>2000</v>
      </c>
      <c r="E835" s="9"/>
      <c r="F835" s="9">
        <v>10801</v>
      </c>
      <c r="G835" s="10" t="s">
        <v>2100</v>
      </c>
      <c r="H835" s="10" t="s">
        <v>563</v>
      </c>
      <c r="I835" s="10"/>
      <c r="J835" s="9">
        <v>20253</v>
      </c>
      <c r="K835" s="10" t="s">
        <v>2101</v>
      </c>
      <c r="L835" s="10" t="s">
        <v>276</v>
      </c>
      <c r="M835" s="10" t="s">
        <v>1842</v>
      </c>
      <c r="N835" s="7"/>
    </row>
    <row r="836" s="1" customFormat="1" ht="28.5" customHeight="1" spans="1:14">
      <c r="A836" s="8">
        <v>10801</v>
      </c>
      <c r="B836" s="9">
        <v>10809</v>
      </c>
      <c r="C836" s="9" t="s">
        <v>36</v>
      </c>
      <c r="D836" s="9">
        <v>1500</v>
      </c>
      <c r="E836" s="9"/>
      <c r="F836" s="9">
        <v>10801</v>
      </c>
      <c r="G836" s="10" t="s">
        <v>2102</v>
      </c>
      <c r="H836" s="10" t="s">
        <v>563</v>
      </c>
      <c r="I836" s="10"/>
      <c r="J836" s="9">
        <v>20254</v>
      </c>
      <c r="K836" s="10" t="s">
        <v>2103</v>
      </c>
      <c r="L836" s="10" t="s">
        <v>276</v>
      </c>
      <c r="M836" s="10" t="s">
        <v>1842</v>
      </c>
      <c r="N836" s="7"/>
    </row>
    <row r="837" s="1" customFormat="1" ht="28.5" customHeight="1" spans="1:14">
      <c r="A837" s="8">
        <v>10801</v>
      </c>
      <c r="B837" s="9">
        <v>10810</v>
      </c>
      <c r="C837" s="9" t="s">
        <v>36</v>
      </c>
      <c r="D837" s="9">
        <v>1000</v>
      </c>
      <c r="E837" s="9"/>
      <c r="F837" s="9">
        <v>10801</v>
      </c>
      <c r="G837" s="10" t="s">
        <v>2104</v>
      </c>
      <c r="H837" s="10" t="s">
        <v>563</v>
      </c>
      <c r="I837" s="10"/>
      <c r="J837" s="9">
        <v>20255</v>
      </c>
      <c r="K837" s="10" t="s">
        <v>2105</v>
      </c>
      <c r="L837" s="10" t="s">
        <v>276</v>
      </c>
      <c r="M837" s="10" t="s">
        <v>1842</v>
      </c>
      <c r="N837" s="7"/>
    </row>
    <row r="838" s="1" customFormat="1" ht="28.5" customHeight="1" spans="1:14">
      <c r="A838" s="8"/>
      <c r="B838" s="9"/>
      <c r="C838" s="9" t="s">
        <v>1289</v>
      </c>
      <c r="D838" s="9">
        <v>3000</v>
      </c>
      <c r="E838" s="9"/>
      <c r="F838" s="9"/>
      <c r="G838" s="10" t="s">
        <v>1857</v>
      </c>
      <c r="H838" s="10" t="s">
        <v>563</v>
      </c>
      <c r="I838" s="10"/>
      <c r="J838" s="9">
        <v>90256</v>
      </c>
      <c r="K838" s="10" t="s">
        <v>1858</v>
      </c>
      <c r="L838" s="10" t="s">
        <v>224</v>
      </c>
      <c r="M838" s="10" t="s">
        <v>1834</v>
      </c>
      <c r="N838" s="7"/>
    </row>
    <row r="839" s="1" customFormat="1" ht="28.5" customHeight="1" spans="1:14">
      <c r="A839" s="8"/>
      <c r="B839" s="9"/>
      <c r="C839" s="9" t="s">
        <v>1289</v>
      </c>
      <c r="D839" s="9">
        <v>2500</v>
      </c>
      <c r="E839" s="9"/>
      <c r="F839" s="9"/>
      <c r="G839" s="10" t="s">
        <v>1857</v>
      </c>
      <c r="H839" s="10" t="s">
        <v>563</v>
      </c>
      <c r="I839" s="10"/>
      <c r="J839" s="9">
        <v>90257</v>
      </c>
      <c r="K839" s="10" t="s">
        <v>1858</v>
      </c>
      <c r="L839" s="10" t="s">
        <v>224</v>
      </c>
      <c r="M839" s="10" t="s">
        <v>1834</v>
      </c>
      <c r="N839" s="7"/>
    </row>
    <row r="840" s="1" customFormat="1" ht="28.5" customHeight="1" spans="1:14">
      <c r="A840" s="8"/>
      <c r="B840" s="9"/>
      <c r="C840" s="9" t="s">
        <v>1289</v>
      </c>
      <c r="D840" s="9">
        <v>2000</v>
      </c>
      <c r="E840" s="9"/>
      <c r="F840" s="9"/>
      <c r="G840" s="10" t="s">
        <v>1857</v>
      </c>
      <c r="H840" s="10" t="s">
        <v>563</v>
      </c>
      <c r="I840" s="10"/>
      <c r="J840" s="9">
        <v>90258</v>
      </c>
      <c r="K840" s="10" t="s">
        <v>1858</v>
      </c>
      <c r="L840" s="10" t="s">
        <v>224</v>
      </c>
      <c r="M840" s="10" t="s">
        <v>1834</v>
      </c>
      <c r="N840" s="7"/>
    </row>
    <row r="841" s="1" customFormat="1" ht="28.5" customHeight="1" spans="1:14">
      <c r="A841" s="8"/>
      <c r="B841" s="9"/>
      <c r="C841" s="9" t="s">
        <v>1289</v>
      </c>
      <c r="D841" s="9">
        <v>1500</v>
      </c>
      <c r="E841" s="9"/>
      <c r="F841" s="9"/>
      <c r="G841" s="10" t="s">
        <v>1857</v>
      </c>
      <c r="H841" s="10" t="s">
        <v>563</v>
      </c>
      <c r="I841" s="10"/>
      <c r="J841" s="9">
        <v>90259</v>
      </c>
      <c r="K841" s="10" t="s">
        <v>1858</v>
      </c>
      <c r="L841" s="10" t="s">
        <v>224</v>
      </c>
      <c r="M841" s="10" t="s">
        <v>1834</v>
      </c>
      <c r="N841" s="7"/>
    </row>
    <row r="842" s="1" customFormat="1" ht="28.5" customHeight="1" spans="1:14">
      <c r="A842" s="8"/>
      <c r="B842" s="9"/>
      <c r="C842" s="9" t="s">
        <v>1289</v>
      </c>
      <c r="D842" s="9">
        <v>1000</v>
      </c>
      <c r="E842" s="9"/>
      <c r="F842" s="9"/>
      <c r="G842" s="10" t="s">
        <v>1857</v>
      </c>
      <c r="H842" s="10" t="s">
        <v>563</v>
      </c>
      <c r="I842" s="10"/>
      <c r="J842" s="9">
        <v>90260</v>
      </c>
      <c r="K842" s="10" t="s">
        <v>1858</v>
      </c>
      <c r="L842" s="10" t="s">
        <v>224</v>
      </c>
      <c r="M842" s="10" t="s">
        <v>1834</v>
      </c>
      <c r="N842" s="7"/>
    </row>
    <row r="843" s="1" customFormat="1" ht="28.5" customHeight="1" spans="1:14">
      <c r="A843" s="8">
        <v>10803</v>
      </c>
      <c r="B843" s="9">
        <v>10811</v>
      </c>
      <c r="C843" s="9" t="s">
        <v>36</v>
      </c>
      <c r="D843" s="9">
        <v>3000</v>
      </c>
      <c r="E843" s="9"/>
      <c r="F843" s="9">
        <v>10802</v>
      </c>
      <c r="G843" s="10" t="s">
        <v>1859</v>
      </c>
      <c r="H843" s="10" t="s">
        <v>563</v>
      </c>
      <c r="I843" s="10"/>
      <c r="J843" s="9">
        <v>70261</v>
      </c>
      <c r="K843" s="10" t="s">
        <v>1860</v>
      </c>
      <c r="L843" s="10" t="s">
        <v>228</v>
      </c>
      <c r="M843" s="10" t="s">
        <v>1842</v>
      </c>
      <c r="N843" s="7"/>
    </row>
    <row r="844" s="1" customFormat="1" ht="28.5" customHeight="1" spans="1:14">
      <c r="A844" s="8">
        <v>10803</v>
      </c>
      <c r="B844" s="9">
        <v>10812</v>
      </c>
      <c r="C844" s="9" t="s">
        <v>36</v>
      </c>
      <c r="D844" s="9">
        <v>2500</v>
      </c>
      <c r="E844" s="9"/>
      <c r="F844" s="9">
        <v>10802</v>
      </c>
      <c r="G844" s="10" t="s">
        <v>1859</v>
      </c>
      <c r="H844" s="10" t="s">
        <v>563</v>
      </c>
      <c r="I844" s="10"/>
      <c r="J844" s="9">
        <v>70262</v>
      </c>
      <c r="K844" s="10" t="s">
        <v>1860</v>
      </c>
      <c r="L844" s="10" t="s">
        <v>228</v>
      </c>
      <c r="M844" s="10" t="s">
        <v>1842</v>
      </c>
      <c r="N844" s="7"/>
    </row>
    <row r="845" s="1" customFormat="1" ht="28.5" customHeight="1" spans="1:14">
      <c r="A845" s="8">
        <v>10803</v>
      </c>
      <c r="B845" s="9">
        <v>10813</v>
      </c>
      <c r="C845" s="9" t="s">
        <v>36</v>
      </c>
      <c r="D845" s="9">
        <v>2000</v>
      </c>
      <c r="E845" s="9"/>
      <c r="F845" s="9">
        <v>10802</v>
      </c>
      <c r="G845" s="10" t="s">
        <v>1859</v>
      </c>
      <c r="H845" s="10" t="s">
        <v>563</v>
      </c>
      <c r="I845" s="10"/>
      <c r="J845" s="9">
        <v>70263</v>
      </c>
      <c r="K845" s="10" t="s">
        <v>1860</v>
      </c>
      <c r="L845" s="10" t="s">
        <v>228</v>
      </c>
      <c r="M845" s="10" t="s">
        <v>1842</v>
      </c>
      <c r="N845" s="7"/>
    </row>
    <row r="846" s="1" customFormat="1" ht="28.5" customHeight="1" spans="1:14">
      <c r="A846" s="8">
        <v>10803</v>
      </c>
      <c r="B846" s="9">
        <v>10814</v>
      </c>
      <c r="C846" s="9" t="s">
        <v>36</v>
      </c>
      <c r="D846" s="9">
        <v>1500</v>
      </c>
      <c r="E846" s="9"/>
      <c r="F846" s="9">
        <v>10802</v>
      </c>
      <c r="G846" s="10" t="s">
        <v>1859</v>
      </c>
      <c r="H846" s="10" t="s">
        <v>563</v>
      </c>
      <c r="I846" s="10"/>
      <c r="J846" s="9">
        <v>70264</v>
      </c>
      <c r="K846" s="10" t="s">
        <v>1860</v>
      </c>
      <c r="L846" s="10" t="s">
        <v>228</v>
      </c>
      <c r="M846" s="10" t="s">
        <v>1842</v>
      </c>
      <c r="N846" s="7"/>
    </row>
    <row r="847" s="1" customFormat="1" ht="28.5" customHeight="1" spans="1:14">
      <c r="A847" s="8">
        <v>10803</v>
      </c>
      <c r="B847" s="9">
        <v>10815</v>
      </c>
      <c r="C847" s="9" t="s">
        <v>36</v>
      </c>
      <c r="D847" s="9">
        <v>1000</v>
      </c>
      <c r="E847" s="9"/>
      <c r="F847" s="9">
        <v>10802</v>
      </c>
      <c r="G847" s="10" t="s">
        <v>1859</v>
      </c>
      <c r="H847" s="10" t="s">
        <v>563</v>
      </c>
      <c r="I847" s="10"/>
      <c r="J847" s="9">
        <v>70265</v>
      </c>
      <c r="K847" s="10" t="s">
        <v>1860</v>
      </c>
      <c r="L847" s="10" t="s">
        <v>228</v>
      </c>
      <c r="M847" s="10" t="s">
        <v>1842</v>
      </c>
      <c r="N847" s="7"/>
    </row>
    <row r="848" s="1" customFormat="1" ht="28.5" customHeight="1" spans="1:14">
      <c r="A848" s="8">
        <v>10803</v>
      </c>
      <c r="B848" s="9">
        <v>10816</v>
      </c>
      <c r="C848" s="9" t="s">
        <v>36</v>
      </c>
      <c r="D848" s="9">
        <v>3000</v>
      </c>
      <c r="E848" s="9"/>
      <c r="F848" s="9">
        <v>10803</v>
      </c>
      <c r="G848" s="10" t="s">
        <v>1861</v>
      </c>
      <c r="H848" s="10" t="s">
        <v>563</v>
      </c>
      <c r="I848" s="10"/>
      <c r="J848" s="9">
        <v>80266</v>
      </c>
      <c r="K848" s="10" t="s">
        <v>1862</v>
      </c>
      <c r="L848" s="10" t="s">
        <v>231</v>
      </c>
      <c r="M848" s="10" t="s">
        <v>1842</v>
      </c>
      <c r="N848" s="7"/>
    </row>
    <row r="849" s="1" customFormat="1" ht="28.5" customHeight="1" spans="1:14">
      <c r="A849" s="8">
        <v>10803</v>
      </c>
      <c r="B849" s="9">
        <v>10817</v>
      </c>
      <c r="C849" s="9" t="s">
        <v>36</v>
      </c>
      <c r="D849" s="9">
        <v>2500</v>
      </c>
      <c r="E849" s="9"/>
      <c r="F849" s="9">
        <v>10803</v>
      </c>
      <c r="G849" s="10" t="s">
        <v>1861</v>
      </c>
      <c r="H849" s="10" t="s">
        <v>563</v>
      </c>
      <c r="I849" s="10"/>
      <c r="J849" s="9">
        <v>80267</v>
      </c>
      <c r="K849" s="10" t="s">
        <v>1862</v>
      </c>
      <c r="L849" s="10" t="s">
        <v>231</v>
      </c>
      <c r="M849" s="10" t="s">
        <v>1842</v>
      </c>
      <c r="N849" s="7"/>
    </row>
    <row r="850" s="1" customFormat="1" ht="28.5" customHeight="1" spans="1:14">
      <c r="A850" s="8">
        <v>10803</v>
      </c>
      <c r="B850" s="9">
        <v>10818</v>
      </c>
      <c r="C850" s="9" t="s">
        <v>36</v>
      </c>
      <c r="D850" s="9">
        <v>2000</v>
      </c>
      <c r="E850" s="9"/>
      <c r="F850" s="9">
        <v>10803</v>
      </c>
      <c r="G850" s="10" t="s">
        <v>1861</v>
      </c>
      <c r="H850" s="10" t="s">
        <v>563</v>
      </c>
      <c r="I850" s="10"/>
      <c r="J850" s="9">
        <v>80268</v>
      </c>
      <c r="K850" s="10" t="s">
        <v>1862</v>
      </c>
      <c r="L850" s="10" t="s">
        <v>231</v>
      </c>
      <c r="M850" s="10" t="s">
        <v>1842</v>
      </c>
      <c r="N850" s="7"/>
    </row>
    <row r="851" s="1" customFormat="1" ht="28.5" customHeight="1" spans="1:14">
      <c r="A851" s="8">
        <v>10803</v>
      </c>
      <c r="B851" s="9">
        <v>10819</v>
      </c>
      <c r="C851" s="9" t="s">
        <v>36</v>
      </c>
      <c r="D851" s="9">
        <v>1500</v>
      </c>
      <c r="E851" s="9"/>
      <c r="F851" s="9">
        <v>10803</v>
      </c>
      <c r="G851" s="10" t="s">
        <v>1861</v>
      </c>
      <c r="H851" s="10" t="s">
        <v>563</v>
      </c>
      <c r="I851" s="10"/>
      <c r="J851" s="9">
        <v>80269</v>
      </c>
      <c r="K851" s="10" t="s">
        <v>1862</v>
      </c>
      <c r="L851" s="10" t="s">
        <v>231</v>
      </c>
      <c r="M851" s="10" t="s">
        <v>1842</v>
      </c>
      <c r="N851" s="7"/>
    </row>
    <row r="852" s="1" customFormat="1" ht="28.5" customHeight="1" spans="1:14">
      <c r="A852" s="8">
        <v>10803</v>
      </c>
      <c r="B852" s="9">
        <v>10820</v>
      </c>
      <c r="C852" s="9" t="s">
        <v>36</v>
      </c>
      <c r="D852" s="9">
        <v>1000</v>
      </c>
      <c r="E852" s="9"/>
      <c r="F852" s="9">
        <v>10803</v>
      </c>
      <c r="G852" s="10" t="s">
        <v>1861</v>
      </c>
      <c r="H852" s="10" t="s">
        <v>563</v>
      </c>
      <c r="I852" s="10"/>
      <c r="J852" s="9">
        <v>80270</v>
      </c>
      <c r="K852" s="10" t="s">
        <v>1862</v>
      </c>
      <c r="L852" s="10" t="s">
        <v>231</v>
      </c>
      <c r="M852" s="10" t="s">
        <v>1842</v>
      </c>
      <c r="N852" s="7"/>
    </row>
    <row r="853" s="1" customFormat="1" ht="28.5" customHeight="1" spans="1:14">
      <c r="A853" s="8">
        <v>10802</v>
      </c>
      <c r="B853" s="9">
        <v>10821</v>
      </c>
      <c r="C853" s="9" t="s">
        <v>36</v>
      </c>
      <c r="D853" s="9">
        <v>3000</v>
      </c>
      <c r="E853" s="9"/>
      <c r="F853" s="9">
        <v>10804</v>
      </c>
      <c r="G853" s="10" t="s">
        <v>2055</v>
      </c>
      <c r="H853" s="10" t="s">
        <v>563</v>
      </c>
      <c r="I853" s="10"/>
      <c r="J853" s="9">
        <v>10271</v>
      </c>
      <c r="K853" s="10" t="s">
        <v>2056</v>
      </c>
      <c r="L853" s="10" t="s">
        <v>277</v>
      </c>
      <c r="M853" s="10" t="s">
        <v>1842</v>
      </c>
      <c r="N853" s="7"/>
    </row>
    <row r="854" s="1" customFormat="1" ht="28.5" customHeight="1" spans="1:14">
      <c r="A854" s="8">
        <v>10802</v>
      </c>
      <c r="B854" s="9">
        <v>10822</v>
      </c>
      <c r="C854" s="9" t="s">
        <v>36</v>
      </c>
      <c r="D854" s="9">
        <v>2500</v>
      </c>
      <c r="E854" s="9"/>
      <c r="F854" s="9">
        <v>10804</v>
      </c>
      <c r="G854" s="10" t="s">
        <v>2106</v>
      </c>
      <c r="H854" s="10" t="s">
        <v>563</v>
      </c>
      <c r="I854" s="10"/>
      <c r="J854" s="9">
        <v>10272</v>
      </c>
      <c r="K854" s="10" t="s">
        <v>2107</v>
      </c>
      <c r="L854" s="10" t="s">
        <v>277</v>
      </c>
      <c r="M854" s="10" t="s">
        <v>1842</v>
      </c>
      <c r="N854" s="7"/>
    </row>
    <row r="855" s="1" customFormat="1" ht="28.5" customHeight="1" spans="1:14">
      <c r="A855" s="8">
        <v>10802</v>
      </c>
      <c r="B855" s="9">
        <v>10823</v>
      </c>
      <c r="C855" s="9" t="s">
        <v>36</v>
      </c>
      <c r="D855" s="9">
        <v>2000</v>
      </c>
      <c r="E855" s="9"/>
      <c r="F855" s="9">
        <v>10804</v>
      </c>
      <c r="G855" s="10" t="s">
        <v>2108</v>
      </c>
      <c r="H855" s="10" t="s">
        <v>563</v>
      </c>
      <c r="I855" s="10"/>
      <c r="J855" s="9">
        <v>10273</v>
      </c>
      <c r="K855" s="10" t="s">
        <v>2109</v>
      </c>
      <c r="L855" s="10" t="s">
        <v>277</v>
      </c>
      <c r="M855" s="10" t="s">
        <v>1842</v>
      </c>
      <c r="N855" s="7"/>
    </row>
    <row r="856" s="1" customFormat="1" ht="28.5" customHeight="1" spans="1:14">
      <c r="A856" s="8">
        <v>10802</v>
      </c>
      <c r="B856" s="9">
        <v>10824</v>
      </c>
      <c r="C856" s="9" t="s">
        <v>36</v>
      </c>
      <c r="D856" s="9">
        <v>1500</v>
      </c>
      <c r="E856" s="9"/>
      <c r="F856" s="9">
        <v>10804</v>
      </c>
      <c r="G856" s="10" t="s">
        <v>2110</v>
      </c>
      <c r="H856" s="10" t="s">
        <v>563</v>
      </c>
      <c r="I856" s="10"/>
      <c r="J856" s="9">
        <v>10274</v>
      </c>
      <c r="K856" s="10" t="s">
        <v>2111</v>
      </c>
      <c r="L856" s="10" t="s">
        <v>277</v>
      </c>
      <c r="M856" s="10" t="s">
        <v>1842</v>
      </c>
      <c r="N856" s="7"/>
    </row>
    <row r="857" s="1" customFormat="1" ht="28.5" customHeight="1" spans="1:14">
      <c r="A857" s="8">
        <v>10802</v>
      </c>
      <c r="B857" s="9">
        <v>10825</v>
      </c>
      <c r="C857" s="9" t="s">
        <v>36</v>
      </c>
      <c r="D857" s="9">
        <v>1000</v>
      </c>
      <c r="E857" s="9"/>
      <c r="F857" s="9">
        <v>10804</v>
      </c>
      <c r="G857" s="10" t="s">
        <v>1865</v>
      </c>
      <c r="H857" s="10" t="s">
        <v>563</v>
      </c>
      <c r="I857" s="10"/>
      <c r="J857" s="9">
        <v>10275</v>
      </c>
      <c r="K857" s="10" t="s">
        <v>1866</v>
      </c>
      <c r="L857" s="10" t="s">
        <v>277</v>
      </c>
      <c r="M857" s="10" t="s">
        <v>1842</v>
      </c>
      <c r="N857" s="7"/>
    </row>
    <row r="858" s="1" customFormat="1" ht="28.5" customHeight="1" spans="1:14">
      <c r="A858" s="8">
        <v>10801</v>
      </c>
      <c r="B858" s="9">
        <v>10826</v>
      </c>
      <c r="C858" s="9" t="s">
        <v>36</v>
      </c>
      <c r="D858" s="9">
        <v>0</v>
      </c>
      <c r="E858" s="9"/>
      <c r="F858" s="9">
        <v>10805</v>
      </c>
      <c r="G858" s="10" t="s">
        <v>1422</v>
      </c>
      <c r="H858" s="10" t="s">
        <v>563</v>
      </c>
      <c r="I858" s="10"/>
      <c r="J858" s="9">
        <v>60276</v>
      </c>
      <c r="K858" s="10" t="s">
        <v>2112</v>
      </c>
      <c r="L858" s="10" t="s">
        <v>278</v>
      </c>
      <c r="M858" s="10" t="s">
        <v>1842</v>
      </c>
      <c r="N858" s="7"/>
    </row>
    <row r="859" s="1" customFormat="1" ht="28.5" customHeight="1" spans="1:14">
      <c r="A859" s="8">
        <v>10801</v>
      </c>
      <c r="B859" s="9">
        <v>10827</v>
      </c>
      <c r="C859" s="9" t="s">
        <v>36</v>
      </c>
      <c r="D859" s="9">
        <v>0</v>
      </c>
      <c r="E859" s="9"/>
      <c r="F859" s="9">
        <v>10805</v>
      </c>
      <c r="G859" s="10" t="s">
        <v>1424</v>
      </c>
      <c r="H859" s="10" t="s">
        <v>563</v>
      </c>
      <c r="I859" s="10"/>
      <c r="J859" s="9">
        <v>60277</v>
      </c>
      <c r="K859" s="10" t="s">
        <v>2113</v>
      </c>
      <c r="L859" s="10" t="s">
        <v>278</v>
      </c>
      <c r="M859" s="10" t="s">
        <v>1842</v>
      </c>
      <c r="N859" s="7"/>
    </row>
    <row r="860" s="1" customFormat="1" ht="28.5" customHeight="1" spans="1:14">
      <c r="A860" s="8">
        <v>10801</v>
      </c>
      <c r="B860" s="9">
        <v>10828</v>
      </c>
      <c r="C860" s="9" t="s">
        <v>36</v>
      </c>
      <c r="D860" s="9">
        <v>0</v>
      </c>
      <c r="E860" s="9"/>
      <c r="F860" s="9">
        <v>10805</v>
      </c>
      <c r="G860" s="10" t="s">
        <v>1426</v>
      </c>
      <c r="H860" s="10" t="s">
        <v>563</v>
      </c>
      <c r="I860" s="10"/>
      <c r="J860" s="9">
        <v>60278</v>
      </c>
      <c r="K860" s="10" t="s">
        <v>2114</v>
      </c>
      <c r="L860" s="10" t="s">
        <v>278</v>
      </c>
      <c r="M860" s="10" t="s">
        <v>1842</v>
      </c>
      <c r="N860" s="7"/>
    </row>
    <row r="861" s="1" customFormat="1" ht="28.5" customHeight="1" spans="1:14">
      <c r="A861" s="8">
        <v>10801</v>
      </c>
      <c r="B861" s="9">
        <v>10829</v>
      </c>
      <c r="C861" s="9" t="s">
        <v>36</v>
      </c>
      <c r="D861" s="9">
        <v>0</v>
      </c>
      <c r="E861" s="9"/>
      <c r="F861" s="9">
        <v>10805</v>
      </c>
      <c r="G861" s="10" t="s">
        <v>1428</v>
      </c>
      <c r="H861" s="10" t="s">
        <v>563</v>
      </c>
      <c r="I861" s="10"/>
      <c r="J861" s="9">
        <v>60279</v>
      </c>
      <c r="K861" s="10" t="s">
        <v>2115</v>
      </c>
      <c r="L861" s="10" t="s">
        <v>278</v>
      </c>
      <c r="M861" s="10" t="s">
        <v>1842</v>
      </c>
      <c r="N861" s="7"/>
    </row>
    <row r="862" s="1" customFormat="1" ht="28.5" customHeight="1" spans="1:14">
      <c r="A862" s="8">
        <v>10801</v>
      </c>
      <c r="B862" s="9">
        <v>10830</v>
      </c>
      <c r="C862" s="9" t="s">
        <v>36</v>
      </c>
      <c r="D862" s="9">
        <v>0</v>
      </c>
      <c r="E862" s="9"/>
      <c r="F862" s="9">
        <v>10805</v>
      </c>
      <c r="G862" s="10" t="s">
        <v>1430</v>
      </c>
      <c r="H862" s="10" t="s">
        <v>563</v>
      </c>
      <c r="I862" s="10"/>
      <c r="J862" s="9">
        <v>60280</v>
      </c>
      <c r="K862" s="10" t="s">
        <v>2116</v>
      </c>
      <c r="L862" s="10" t="s">
        <v>278</v>
      </c>
      <c r="M862" s="10" t="s">
        <v>1842</v>
      </c>
      <c r="N862" s="7"/>
    </row>
    <row r="863" s="1" customFormat="1" ht="28.5" customHeight="1" spans="1:14">
      <c r="A863" s="8">
        <v>10801</v>
      </c>
      <c r="B863" s="9">
        <v>10831</v>
      </c>
      <c r="C863" s="9" t="s">
        <v>36</v>
      </c>
      <c r="D863" s="9">
        <v>3000</v>
      </c>
      <c r="E863" s="9"/>
      <c r="F863" s="9">
        <v>10806</v>
      </c>
      <c r="G863" s="10" t="s">
        <v>1442</v>
      </c>
      <c r="H863" s="10" t="s">
        <v>563</v>
      </c>
      <c r="I863" s="10"/>
      <c r="J863" s="9">
        <v>50281</v>
      </c>
      <c r="K863" s="10" t="s">
        <v>2066</v>
      </c>
      <c r="L863" s="10" t="s">
        <v>279</v>
      </c>
      <c r="M863" s="10" t="s">
        <v>1842</v>
      </c>
      <c r="N863" s="7"/>
    </row>
    <row r="864" s="1" customFormat="1" ht="28.5" customHeight="1" spans="1:14">
      <c r="A864" s="8">
        <v>10801</v>
      </c>
      <c r="B864" s="9">
        <v>10832</v>
      </c>
      <c r="C864" s="9" t="s">
        <v>36</v>
      </c>
      <c r="D864" s="9">
        <v>2500</v>
      </c>
      <c r="E864" s="9"/>
      <c r="F864" s="9">
        <v>10806</v>
      </c>
      <c r="G864" s="10" t="s">
        <v>2117</v>
      </c>
      <c r="H864" s="10" t="s">
        <v>563</v>
      </c>
      <c r="I864" s="10"/>
      <c r="J864" s="9">
        <v>50282</v>
      </c>
      <c r="K864" s="10" t="s">
        <v>2118</v>
      </c>
      <c r="L864" s="10" t="s">
        <v>279</v>
      </c>
      <c r="M864" s="10" t="s">
        <v>1842</v>
      </c>
      <c r="N864" s="7"/>
    </row>
    <row r="865" s="1" customFormat="1" ht="28.5" customHeight="1" spans="1:14">
      <c r="A865" s="8">
        <v>10801</v>
      </c>
      <c r="B865" s="9">
        <v>10833</v>
      </c>
      <c r="C865" s="9" t="s">
        <v>36</v>
      </c>
      <c r="D865" s="9">
        <v>2000</v>
      </c>
      <c r="E865" s="9"/>
      <c r="F865" s="9">
        <v>10806</v>
      </c>
      <c r="G865" s="10" t="s">
        <v>2119</v>
      </c>
      <c r="H865" s="10" t="s">
        <v>563</v>
      </c>
      <c r="I865" s="10"/>
      <c r="J865" s="9">
        <v>50283</v>
      </c>
      <c r="K865" s="10" t="s">
        <v>2120</v>
      </c>
      <c r="L865" s="10" t="s">
        <v>279</v>
      </c>
      <c r="M865" s="10" t="s">
        <v>1842</v>
      </c>
      <c r="N865" s="7"/>
    </row>
    <row r="866" s="1" customFormat="1" ht="28.5" customHeight="1" spans="1:14">
      <c r="A866" s="8">
        <v>10801</v>
      </c>
      <c r="B866" s="9">
        <v>10834</v>
      </c>
      <c r="C866" s="9" t="s">
        <v>36</v>
      </c>
      <c r="D866" s="9">
        <v>1500</v>
      </c>
      <c r="E866" s="9"/>
      <c r="F866" s="9">
        <v>10806</v>
      </c>
      <c r="G866" s="10" t="s">
        <v>1451</v>
      </c>
      <c r="H866" s="10" t="s">
        <v>563</v>
      </c>
      <c r="I866" s="10"/>
      <c r="J866" s="9">
        <v>50284</v>
      </c>
      <c r="K866" s="10" t="s">
        <v>2121</v>
      </c>
      <c r="L866" s="10" t="s">
        <v>279</v>
      </c>
      <c r="M866" s="10" t="s">
        <v>1842</v>
      </c>
      <c r="N866" s="7"/>
    </row>
    <row r="867" s="1" customFormat="1" ht="28.5" customHeight="1" spans="1:14">
      <c r="A867" s="8">
        <v>10801</v>
      </c>
      <c r="B867" s="9">
        <v>10835</v>
      </c>
      <c r="C867" s="9" t="s">
        <v>36</v>
      </c>
      <c r="D867" s="9">
        <v>1000</v>
      </c>
      <c r="E867" s="9"/>
      <c r="F867" s="9">
        <v>10806</v>
      </c>
      <c r="G867" s="10" t="s">
        <v>1454</v>
      </c>
      <c r="H867" s="10" t="s">
        <v>563</v>
      </c>
      <c r="I867" s="10"/>
      <c r="J867" s="9">
        <v>50285</v>
      </c>
      <c r="K867" s="10" t="s">
        <v>2122</v>
      </c>
      <c r="L867" s="10" t="s">
        <v>279</v>
      </c>
      <c r="M867" s="10" t="s">
        <v>1842</v>
      </c>
      <c r="N867" s="7"/>
    </row>
    <row r="868" s="1" customFormat="1" ht="28.5" customHeight="1" spans="1:14">
      <c r="A868" s="8">
        <v>10801</v>
      </c>
      <c r="B868" s="9">
        <v>10836</v>
      </c>
      <c r="C868" s="9" t="s">
        <v>36</v>
      </c>
      <c r="D868" s="9">
        <v>3000</v>
      </c>
      <c r="E868" s="9"/>
      <c r="F868" s="9">
        <v>10807</v>
      </c>
      <c r="G868" s="10" t="s">
        <v>2073</v>
      </c>
      <c r="H868" s="10" t="s">
        <v>563</v>
      </c>
      <c r="I868" s="10"/>
      <c r="J868" s="9">
        <v>30286</v>
      </c>
      <c r="K868" s="10" t="s">
        <v>2074</v>
      </c>
      <c r="L868" s="10" t="s">
        <v>280</v>
      </c>
      <c r="M868" s="10" t="s">
        <v>1842</v>
      </c>
      <c r="N868" s="7"/>
    </row>
    <row r="869" s="1" customFormat="1" ht="28.5" customHeight="1" spans="1:14">
      <c r="A869" s="8">
        <v>10801</v>
      </c>
      <c r="B869" s="9">
        <v>10837</v>
      </c>
      <c r="C869" s="9" t="s">
        <v>36</v>
      </c>
      <c r="D869" s="9">
        <v>2500</v>
      </c>
      <c r="E869" s="9"/>
      <c r="F869" s="9">
        <v>10807</v>
      </c>
      <c r="G869" s="10" t="s">
        <v>1885</v>
      </c>
      <c r="H869" s="10" t="s">
        <v>563</v>
      </c>
      <c r="I869" s="10"/>
      <c r="J869" s="9">
        <v>30287</v>
      </c>
      <c r="K869" s="10" t="s">
        <v>1886</v>
      </c>
      <c r="L869" s="10" t="s">
        <v>280</v>
      </c>
      <c r="M869" s="10" t="s">
        <v>1842</v>
      </c>
      <c r="N869" s="7"/>
    </row>
    <row r="870" s="1" customFormat="1" ht="28.5" customHeight="1" spans="1:14">
      <c r="A870" s="8">
        <v>10801</v>
      </c>
      <c r="B870" s="9">
        <v>10838</v>
      </c>
      <c r="C870" s="9" t="s">
        <v>36</v>
      </c>
      <c r="D870" s="9">
        <v>2000</v>
      </c>
      <c r="E870" s="9"/>
      <c r="F870" s="9">
        <v>10807</v>
      </c>
      <c r="G870" s="10" t="s">
        <v>2123</v>
      </c>
      <c r="H870" s="10" t="s">
        <v>563</v>
      </c>
      <c r="I870" s="10"/>
      <c r="J870" s="9">
        <v>30288</v>
      </c>
      <c r="K870" s="10" t="s">
        <v>2124</v>
      </c>
      <c r="L870" s="10" t="s">
        <v>280</v>
      </c>
      <c r="M870" s="10" t="s">
        <v>1842</v>
      </c>
      <c r="N870" s="7"/>
    </row>
    <row r="871" s="1" customFormat="1" ht="28.5" customHeight="1" spans="1:14">
      <c r="A871" s="8">
        <v>10801</v>
      </c>
      <c r="B871" s="9">
        <v>10839</v>
      </c>
      <c r="C871" s="9" t="s">
        <v>36</v>
      </c>
      <c r="D871" s="9">
        <v>1500</v>
      </c>
      <c r="E871" s="9"/>
      <c r="F871" s="9">
        <v>10807</v>
      </c>
      <c r="G871" s="10" t="s">
        <v>2125</v>
      </c>
      <c r="H871" s="10" t="s">
        <v>563</v>
      </c>
      <c r="I871" s="10"/>
      <c r="J871" s="9">
        <v>30289</v>
      </c>
      <c r="K871" s="10" t="s">
        <v>2126</v>
      </c>
      <c r="L871" s="10" t="s">
        <v>280</v>
      </c>
      <c r="M871" s="10" t="s">
        <v>1842</v>
      </c>
      <c r="N871" s="7"/>
    </row>
    <row r="872" s="1" customFormat="1" ht="28.5" customHeight="1" spans="1:14">
      <c r="A872" s="8">
        <v>10801</v>
      </c>
      <c r="B872" s="9">
        <v>10840</v>
      </c>
      <c r="C872" s="9" t="s">
        <v>36</v>
      </c>
      <c r="D872" s="9">
        <v>1000</v>
      </c>
      <c r="E872" s="9"/>
      <c r="F872" s="9">
        <v>10807</v>
      </c>
      <c r="G872" s="10" t="s">
        <v>1893</v>
      </c>
      <c r="H872" s="10" t="s">
        <v>563</v>
      </c>
      <c r="I872" s="10"/>
      <c r="J872" s="9">
        <v>30290</v>
      </c>
      <c r="K872" s="10" t="s">
        <v>1894</v>
      </c>
      <c r="L872" s="10" t="s">
        <v>280</v>
      </c>
      <c r="M872" s="10" t="s">
        <v>1842</v>
      </c>
      <c r="N872" s="7"/>
    </row>
    <row r="873" s="1" customFormat="1" ht="28.5" customHeight="1" spans="1:14">
      <c r="A873" s="8">
        <v>10801</v>
      </c>
      <c r="B873" s="9">
        <v>10841</v>
      </c>
      <c r="C873" s="9" t="s">
        <v>36</v>
      </c>
      <c r="D873" s="9">
        <v>3000</v>
      </c>
      <c r="E873" s="9"/>
      <c r="F873" s="9">
        <v>10808</v>
      </c>
      <c r="G873" s="10" t="s">
        <v>2081</v>
      </c>
      <c r="H873" s="10" t="s">
        <v>563</v>
      </c>
      <c r="I873" s="10"/>
      <c r="J873" s="9">
        <v>40291</v>
      </c>
      <c r="K873" s="10" t="s">
        <v>2082</v>
      </c>
      <c r="L873" s="10" t="s">
        <v>281</v>
      </c>
      <c r="M873" s="10" t="s">
        <v>1842</v>
      </c>
      <c r="N873" s="7"/>
    </row>
    <row r="874" s="1" customFormat="1" ht="28.5" customHeight="1" spans="1:14">
      <c r="A874" s="8">
        <v>10801</v>
      </c>
      <c r="B874" s="9">
        <v>10842</v>
      </c>
      <c r="C874" s="9" t="s">
        <v>36</v>
      </c>
      <c r="D874" s="9">
        <v>2500</v>
      </c>
      <c r="E874" s="9"/>
      <c r="F874" s="9">
        <v>10808</v>
      </c>
      <c r="G874" s="10" t="s">
        <v>2127</v>
      </c>
      <c r="H874" s="10" t="s">
        <v>563</v>
      </c>
      <c r="I874" s="10"/>
      <c r="J874" s="9">
        <v>40292</v>
      </c>
      <c r="K874" s="10" t="s">
        <v>2128</v>
      </c>
      <c r="L874" s="10" t="s">
        <v>281</v>
      </c>
      <c r="M874" s="10" t="s">
        <v>1842</v>
      </c>
      <c r="N874" s="7"/>
    </row>
    <row r="875" s="1" customFormat="1" ht="28.5" customHeight="1" spans="1:14">
      <c r="A875" s="8">
        <v>10801</v>
      </c>
      <c r="B875" s="9">
        <v>10843</v>
      </c>
      <c r="C875" s="9" t="s">
        <v>36</v>
      </c>
      <c r="D875" s="9">
        <v>2000</v>
      </c>
      <c r="E875" s="9"/>
      <c r="F875" s="9">
        <v>10808</v>
      </c>
      <c r="G875" s="10" t="s">
        <v>2129</v>
      </c>
      <c r="H875" s="10" t="s">
        <v>563</v>
      </c>
      <c r="I875" s="10"/>
      <c r="J875" s="9">
        <v>40293</v>
      </c>
      <c r="K875" s="10" t="s">
        <v>2130</v>
      </c>
      <c r="L875" s="10" t="s">
        <v>281</v>
      </c>
      <c r="M875" s="10" t="s">
        <v>1842</v>
      </c>
      <c r="N875" s="7"/>
    </row>
    <row r="876" s="1" customFormat="1" ht="28.5" customHeight="1" spans="1:14">
      <c r="A876" s="8">
        <v>10801</v>
      </c>
      <c r="B876" s="9">
        <v>10844</v>
      </c>
      <c r="C876" s="9" t="s">
        <v>36</v>
      </c>
      <c r="D876" s="9">
        <v>1500</v>
      </c>
      <c r="E876" s="9"/>
      <c r="F876" s="9">
        <v>10808</v>
      </c>
      <c r="G876" s="10" t="s">
        <v>2131</v>
      </c>
      <c r="H876" s="10" t="s">
        <v>563</v>
      </c>
      <c r="I876" s="10"/>
      <c r="J876" s="9">
        <v>40294</v>
      </c>
      <c r="K876" s="10" t="s">
        <v>2132</v>
      </c>
      <c r="L876" s="10" t="s">
        <v>281</v>
      </c>
      <c r="M876" s="10" t="s">
        <v>1842</v>
      </c>
      <c r="N876" s="7"/>
    </row>
    <row r="877" s="1" customFormat="1" ht="28.5" customHeight="1" spans="1:14">
      <c r="A877" s="8">
        <v>10801</v>
      </c>
      <c r="B877" s="9">
        <v>10845</v>
      </c>
      <c r="C877" s="9" t="s">
        <v>36</v>
      </c>
      <c r="D877" s="9">
        <v>1000</v>
      </c>
      <c r="E877" s="9"/>
      <c r="F877" s="9">
        <v>10808</v>
      </c>
      <c r="G877" s="10" t="s">
        <v>2133</v>
      </c>
      <c r="H877" s="10" t="s">
        <v>563</v>
      </c>
      <c r="I877" s="10"/>
      <c r="J877" s="9">
        <v>40295</v>
      </c>
      <c r="K877" s="10" t="s">
        <v>2134</v>
      </c>
      <c r="L877" s="10" t="s">
        <v>281</v>
      </c>
      <c r="M877" s="10" t="s">
        <v>1842</v>
      </c>
      <c r="N877" s="7"/>
    </row>
    <row r="878" s="1" customFormat="1" ht="28.5" customHeight="1" spans="1:14">
      <c r="A878" s="8">
        <v>10803</v>
      </c>
      <c r="B878" s="9">
        <v>10846</v>
      </c>
      <c r="C878" s="9" t="s">
        <v>36</v>
      </c>
      <c r="D878" s="9">
        <v>3000</v>
      </c>
      <c r="E878" s="9"/>
      <c r="F878" s="9">
        <v>10809</v>
      </c>
      <c r="G878" s="10" t="s">
        <v>1905</v>
      </c>
      <c r="H878" s="10" t="s">
        <v>563</v>
      </c>
      <c r="I878" s="10"/>
      <c r="J878" s="9">
        <v>100296</v>
      </c>
      <c r="K878" s="10" t="s">
        <v>250</v>
      </c>
      <c r="L878" s="10" t="s">
        <v>248</v>
      </c>
      <c r="M878" s="10" t="s">
        <v>1842</v>
      </c>
      <c r="N878" s="7"/>
    </row>
    <row r="879" s="1" customFormat="1" ht="28.5" customHeight="1" spans="1:14">
      <c r="A879" s="8">
        <v>10803</v>
      </c>
      <c r="B879" s="9">
        <v>10847</v>
      </c>
      <c r="C879" s="9" t="s">
        <v>36</v>
      </c>
      <c r="D879" s="9">
        <v>2500</v>
      </c>
      <c r="E879" s="9"/>
      <c r="F879" s="9">
        <v>10809</v>
      </c>
      <c r="G879" s="10" t="s">
        <v>1905</v>
      </c>
      <c r="H879" s="10" t="s">
        <v>563</v>
      </c>
      <c r="I879" s="10"/>
      <c r="J879" s="9">
        <v>100297</v>
      </c>
      <c r="K879" s="10" t="s">
        <v>250</v>
      </c>
      <c r="L879" s="10" t="s">
        <v>248</v>
      </c>
      <c r="M879" s="10" t="s">
        <v>1842</v>
      </c>
      <c r="N879" s="7"/>
    </row>
    <row r="880" s="1" customFormat="1" ht="28.5" customHeight="1" spans="1:14">
      <c r="A880" s="8">
        <v>10803</v>
      </c>
      <c r="B880" s="9">
        <v>10848</v>
      </c>
      <c r="C880" s="9" t="s">
        <v>36</v>
      </c>
      <c r="D880" s="9">
        <v>2000</v>
      </c>
      <c r="E880" s="9"/>
      <c r="F880" s="9">
        <v>10809</v>
      </c>
      <c r="G880" s="10" t="s">
        <v>1905</v>
      </c>
      <c r="H880" s="10" t="s">
        <v>563</v>
      </c>
      <c r="I880" s="10"/>
      <c r="J880" s="9">
        <v>100298</v>
      </c>
      <c r="K880" s="10" t="s">
        <v>250</v>
      </c>
      <c r="L880" s="10" t="s">
        <v>248</v>
      </c>
      <c r="M880" s="10" t="s">
        <v>1842</v>
      </c>
      <c r="N880" s="7"/>
    </row>
    <row r="881" s="1" customFormat="1" ht="28.5" customHeight="1" spans="1:14">
      <c r="A881" s="8">
        <v>10803</v>
      </c>
      <c r="B881" s="9">
        <v>10849</v>
      </c>
      <c r="C881" s="9" t="s">
        <v>36</v>
      </c>
      <c r="D881" s="9">
        <v>1500</v>
      </c>
      <c r="E881" s="9"/>
      <c r="F881" s="9">
        <v>10809</v>
      </c>
      <c r="G881" s="10" t="s">
        <v>1905</v>
      </c>
      <c r="H881" s="10" t="s">
        <v>563</v>
      </c>
      <c r="I881" s="10"/>
      <c r="J881" s="9">
        <v>100299</v>
      </c>
      <c r="K881" s="10" t="s">
        <v>250</v>
      </c>
      <c r="L881" s="10" t="s">
        <v>248</v>
      </c>
      <c r="M881" s="10" t="s">
        <v>1842</v>
      </c>
      <c r="N881" s="7"/>
    </row>
    <row r="882" s="1" customFormat="1" ht="28.5" customHeight="1" spans="1:14">
      <c r="A882" s="8">
        <v>10803</v>
      </c>
      <c r="B882" s="9">
        <v>10850</v>
      </c>
      <c r="C882" s="9" t="s">
        <v>36</v>
      </c>
      <c r="D882" s="9">
        <v>1000</v>
      </c>
      <c r="E882" s="9"/>
      <c r="F882" s="9">
        <v>10809</v>
      </c>
      <c r="G882" s="10" t="s">
        <v>1905</v>
      </c>
      <c r="H882" s="10" t="s">
        <v>563</v>
      </c>
      <c r="I882" s="10"/>
      <c r="J882" s="9">
        <v>100300</v>
      </c>
      <c r="K882" s="10" t="s">
        <v>250</v>
      </c>
      <c r="L882" s="10" t="s">
        <v>248</v>
      </c>
      <c r="M882" s="10" t="s">
        <v>1842</v>
      </c>
      <c r="N882" s="7"/>
    </row>
    <row r="883" s="1" customFormat="1" ht="28.5" customHeight="1" spans="1:14">
      <c r="A883" s="8"/>
      <c r="B883" s="9"/>
      <c r="C883" s="9" t="s">
        <v>1289</v>
      </c>
      <c r="D883" s="9">
        <v>3000</v>
      </c>
      <c r="E883" s="9"/>
      <c r="F883" s="9"/>
      <c r="G883" s="10" t="s">
        <v>2135</v>
      </c>
      <c r="H883" s="10" t="s">
        <v>563</v>
      </c>
      <c r="I883" s="10"/>
      <c r="J883" s="9">
        <v>10301</v>
      </c>
      <c r="K883" s="10" t="s">
        <v>2136</v>
      </c>
      <c r="L883" s="10" t="s">
        <v>221</v>
      </c>
      <c r="M883" s="10" t="s">
        <v>1834</v>
      </c>
      <c r="N883" s="7"/>
    </row>
    <row r="884" s="1" customFormat="1" ht="28.5" customHeight="1" spans="1:14">
      <c r="A884" s="8"/>
      <c r="B884" s="9"/>
      <c r="C884" s="9" t="s">
        <v>1289</v>
      </c>
      <c r="D884" s="9">
        <v>2500</v>
      </c>
      <c r="E884" s="9"/>
      <c r="F884" s="9"/>
      <c r="G884" s="10" t="s">
        <v>2137</v>
      </c>
      <c r="H884" s="10" t="s">
        <v>563</v>
      </c>
      <c r="I884" s="10"/>
      <c r="J884" s="9">
        <v>10302</v>
      </c>
      <c r="K884" s="10" t="s">
        <v>2138</v>
      </c>
      <c r="L884" s="10" t="s">
        <v>221</v>
      </c>
      <c r="M884" s="10" t="s">
        <v>1834</v>
      </c>
      <c r="N884" s="7"/>
    </row>
    <row r="885" s="1" customFormat="1" ht="28.5" customHeight="1" spans="1:14">
      <c r="A885" s="8"/>
      <c r="B885" s="9"/>
      <c r="C885" s="9" t="s">
        <v>1289</v>
      </c>
      <c r="D885" s="9">
        <v>2000</v>
      </c>
      <c r="E885" s="9"/>
      <c r="F885" s="9"/>
      <c r="G885" s="10" t="s">
        <v>2139</v>
      </c>
      <c r="H885" s="10" t="s">
        <v>563</v>
      </c>
      <c r="I885" s="10"/>
      <c r="J885" s="9">
        <v>10303</v>
      </c>
      <c r="K885" s="10" t="s">
        <v>2140</v>
      </c>
      <c r="L885" s="10" t="s">
        <v>221</v>
      </c>
      <c r="M885" s="10" t="s">
        <v>1834</v>
      </c>
      <c r="N885" s="7"/>
    </row>
    <row r="886" s="1" customFormat="1" ht="28.5" customHeight="1" spans="1:14">
      <c r="A886" s="8"/>
      <c r="B886" s="9"/>
      <c r="C886" s="9" t="s">
        <v>1289</v>
      </c>
      <c r="D886" s="9">
        <v>1500</v>
      </c>
      <c r="E886" s="9"/>
      <c r="F886" s="9"/>
      <c r="G886" s="10" t="s">
        <v>2032</v>
      </c>
      <c r="H886" s="10" t="s">
        <v>563</v>
      </c>
      <c r="I886" s="10"/>
      <c r="J886" s="9">
        <v>10304</v>
      </c>
      <c r="K886" s="10" t="s">
        <v>2033</v>
      </c>
      <c r="L886" s="10" t="s">
        <v>221</v>
      </c>
      <c r="M886" s="10" t="s">
        <v>1834</v>
      </c>
      <c r="N886" s="7"/>
    </row>
    <row r="887" s="1" customFormat="1" ht="28.5" customHeight="1" spans="1:14">
      <c r="A887" s="8"/>
      <c r="B887" s="9"/>
      <c r="C887" s="9" t="s">
        <v>1289</v>
      </c>
      <c r="D887" s="9">
        <v>1000</v>
      </c>
      <c r="E887" s="9"/>
      <c r="F887" s="9"/>
      <c r="G887" s="10" t="s">
        <v>2034</v>
      </c>
      <c r="H887" s="10" t="s">
        <v>563</v>
      </c>
      <c r="I887" s="10"/>
      <c r="J887" s="9">
        <v>10305</v>
      </c>
      <c r="K887" s="10" t="s">
        <v>2035</v>
      </c>
      <c r="L887" s="10" t="s">
        <v>221</v>
      </c>
      <c r="M887" s="10" t="s">
        <v>1834</v>
      </c>
      <c r="N887" s="7"/>
    </row>
    <row r="888" s="1" customFormat="1" ht="28.5" customHeight="1" spans="1:14">
      <c r="A888" s="8">
        <v>20401</v>
      </c>
      <c r="B888" s="9">
        <v>20401</v>
      </c>
      <c r="C888" s="9" t="s">
        <v>32</v>
      </c>
      <c r="D888" s="9">
        <v>0</v>
      </c>
      <c r="E888" s="9"/>
      <c r="F888" s="9">
        <v>20400</v>
      </c>
      <c r="G888" s="10" t="s">
        <v>1261</v>
      </c>
      <c r="H888" s="10" t="s">
        <v>563</v>
      </c>
      <c r="I888" s="10"/>
      <c r="J888" s="9">
        <v>60306</v>
      </c>
      <c r="K888" s="10" t="s">
        <v>1841</v>
      </c>
      <c r="L888" s="10" t="s">
        <v>218</v>
      </c>
      <c r="M888" s="10" t="s">
        <v>1842</v>
      </c>
      <c r="N888" s="7"/>
    </row>
    <row r="889" s="1" customFormat="1" ht="28.5" customHeight="1" spans="1:14">
      <c r="A889" s="8">
        <v>20401</v>
      </c>
      <c r="B889" s="9">
        <v>20402</v>
      </c>
      <c r="C889" s="9" t="s">
        <v>32</v>
      </c>
      <c r="D889" s="9">
        <v>0</v>
      </c>
      <c r="E889" s="9"/>
      <c r="F889" s="9">
        <v>20400</v>
      </c>
      <c r="G889" s="10" t="s">
        <v>1263</v>
      </c>
      <c r="H889" s="10" t="s">
        <v>563</v>
      </c>
      <c r="I889" s="10"/>
      <c r="J889" s="9">
        <v>60307</v>
      </c>
      <c r="K889" s="10" t="s">
        <v>1843</v>
      </c>
      <c r="L889" s="10" t="s">
        <v>218</v>
      </c>
      <c r="M889" s="10" t="s">
        <v>1842</v>
      </c>
      <c r="N889" s="7"/>
    </row>
    <row r="890" s="1" customFormat="1" ht="28.5" customHeight="1" spans="1:14">
      <c r="A890" s="8">
        <v>20401</v>
      </c>
      <c r="B890" s="9">
        <v>20403</v>
      </c>
      <c r="C890" s="9" t="s">
        <v>32</v>
      </c>
      <c r="D890" s="9">
        <v>0</v>
      </c>
      <c r="E890" s="9"/>
      <c r="F890" s="9">
        <v>20400</v>
      </c>
      <c r="G890" s="10" t="s">
        <v>1265</v>
      </c>
      <c r="H890" s="10" t="s">
        <v>563</v>
      </c>
      <c r="I890" s="10"/>
      <c r="J890" s="9">
        <v>60308</v>
      </c>
      <c r="K890" s="10" t="s">
        <v>1844</v>
      </c>
      <c r="L890" s="10" t="s">
        <v>218</v>
      </c>
      <c r="M890" s="10" t="s">
        <v>1842</v>
      </c>
      <c r="N890" s="7"/>
    </row>
    <row r="891" s="1" customFormat="1" ht="28.5" customHeight="1" spans="1:14">
      <c r="A891" s="8">
        <v>20401</v>
      </c>
      <c r="B891" s="9">
        <v>20404</v>
      </c>
      <c r="C891" s="9" t="s">
        <v>32</v>
      </c>
      <c r="D891" s="9">
        <v>0</v>
      </c>
      <c r="E891" s="9"/>
      <c r="F891" s="9">
        <v>20400</v>
      </c>
      <c r="G891" s="10" t="s">
        <v>1267</v>
      </c>
      <c r="H891" s="10" t="s">
        <v>563</v>
      </c>
      <c r="I891" s="10"/>
      <c r="J891" s="9">
        <v>60309</v>
      </c>
      <c r="K891" s="10" t="s">
        <v>1845</v>
      </c>
      <c r="L891" s="10" t="s">
        <v>218</v>
      </c>
      <c r="M891" s="10" t="s">
        <v>1842</v>
      </c>
      <c r="N891" s="7"/>
    </row>
    <row r="892" s="1" customFormat="1" ht="28.5" customHeight="1" spans="1:14">
      <c r="A892" s="8">
        <v>20401</v>
      </c>
      <c r="B892" s="9">
        <v>20405</v>
      </c>
      <c r="C892" s="9" t="s">
        <v>32</v>
      </c>
      <c r="D892" s="9">
        <v>0</v>
      </c>
      <c r="E892" s="9"/>
      <c r="F892" s="9">
        <v>20400</v>
      </c>
      <c r="G892" s="10" t="s">
        <v>1269</v>
      </c>
      <c r="H892" s="10" t="s">
        <v>563</v>
      </c>
      <c r="I892" s="10"/>
      <c r="J892" s="9">
        <v>60310</v>
      </c>
      <c r="K892" s="10" t="s">
        <v>1846</v>
      </c>
      <c r="L892" s="10" t="s">
        <v>218</v>
      </c>
      <c r="M892" s="10" t="s">
        <v>1842</v>
      </c>
      <c r="N892" s="7"/>
    </row>
    <row r="893" s="1" customFormat="1" ht="28.5" customHeight="1" spans="1:14">
      <c r="A893" s="8">
        <v>20401</v>
      </c>
      <c r="B893" s="9">
        <v>20406</v>
      </c>
      <c r="C893" s="9" t="s">
        <v>32</v>
      </c>
      <c r="D893" s="9">
        <v>3000</v>
      </c>
      <c r="E893" s="9"/>
      <c r="F893" s="9">
        <v>20401</v>
      </c>
      <c r="G893" s="10" t="s">
        <v>1847</v>
      </c>
      <c r="H893" s="10" t="s">
        <v>563</v>
      </c>
      <c r="I893" s="10"/>
      <c r="J893" s="9">
        <v>20311</v>
      </c>
      <c r="K893" s="10" t="s">
        <v>1848</v>
      </c>
      <c r="L893" s="10" t="s">
        <v>221</v>
      </c>
      <c r="M893" s="10" t="s">
        <v>1842</v>
      </c>
      <c r="N893" s="7"/>
    </row>
    <row r="894" s="1" customFormat="1" ht="28.5" customHeight="1" spans="1:14">
      <c r="A894" s="8">
        <v>20401</v>
      </c>
      <c r="B894" s="9">
        <v>20407</v>
      </c>
      <c r="C894" s="9" t="s">
        <v>32</v>
      </c>
      <c r="D894" s="9">
        <v>2500</v>
      </c>
      <c r="E894" s="9"/>
      <c r="F894" s="9">
        <v>20401</v>
      </c>
      <c r="G894" s="10" t="s">
        <v>1849</v>
      </c>
      <c r="H894" s="10" t="s">
        <v>563</v>
      </c>
      <c r="I894" s="10"/>
      <c r="J894" s="9">
        <v>20312</v>
      </c>
      <c r="K894" s="10" t="s">
        <v>1850</v>
      </c>
      <c r="L894" s="10" t="s">
        <v>221</v>
      </c>
      <c r="M894" s="10" t="s">
        <v>1842</v>
      </c>
      <c r="N894" s="7"/>
    </row>
    <row r="895" s="1" customFormat="1" ht="28.5" customHeight="1" spans="1:14">
      <c r="A895" s="8">
        <v>20401</v>
      </c>
      <c r="B895" s="9">
        <v>20408</v>
      </c>
      <c r="C895" s="9" t="s">
        <v>32</v>
      </c>
      <c r="D895" s="9">
        <v>2000</v>
      </c>
      <c r="E895" s="9"/>
      <c r="F895" s="9">
        <v>20401</v>
      </c>
      <c r="G895" s="10" t="s">
        <v>1851</v>
      </c>
      <c r="H895" s="10" t="s">
        <v>563</v>
      </c>
      <c r="I895" s="10"/>
      <c r="J895" s="9">
        <v>20313</v>
      </c>
      <c r="K895" s="10" t="s">
        <v>1852</v>
      </c>
      <c r="L895" s="10" t="s">
        <v>221</v>
      </c>
      <c r="M895" s="10" t="s">
        <v>1842</v>
      </c>
      <c r="N895" s="7"/>
    </row>
    <row r="896" s="1" customFormat="1" ht="28.5" customHeight="1" spans="1:14">
      <c r="A896" s="8">
        <v>20401</v>
      </c>
      <c r="B896" s="9">
        <v>20409</v>
      </c>
      <c r="C896" s="9" t="s">
        <v>32</v>
      </c>
      <c r="D896" s="9">
        <v>1500</v>
      </c>
      <c r="E896" s="9"/>
      <c r="F896" s="9">
        <v>20401</v>
      </c>
      <c r="G896" s="10" t="s">
        <v>1853</v>
      </c>
      <c r="H896" s="10" t="s">
        <v>563</v>
      </c>
      <c r="I896" s="10"/>
      <c r="J896" s="9">
        <v>20314</v>
      </c>
      <c r="K896" s="10" t="s">
        <v>1854</v>
      </c>
      <c r="L896" s="10" t="s">
        <v>221</v>
      </c>
      <c r="M896" s="10" t="s">
        <v>1842</v>
      </c>
      <c r="N896" s="7"/>
    </row>
    <row r="897" s="1" customFormat="1" ht="28.5" customHeight="1" spans="1:14">
      <c r="A897" s="8">
        <v>20401</v>
      </c>
      <c r="B897" s="9">
        <v>20410</v>
      </c>
      <c r="C897" s="9" t="s">
        <v>32</v>
      </c>
      <c r="D897" s="9">
        <v>1000</v>
      </c>
      <c r="E897" s="9"/>
      <c r="F897" s="9">
        <v>20401</v>
      </c>
      <c r="G897" s="10" t="s">
        <v>1855</v>
      </c>
      <c r="H897" s="10" t="s">
        <v>563</v>
      </c>
      <c r="I897" s="10"/>
      <c r="J897" s="9">
        <v>20315</v>
      </c>
      <c r="K897" s="10" t="s">
        <v>1856</v>
      </c>
      <c r="L897" s="10" t="s">
        <v>221</v>
      </c>
      <c r="M897" s="10" t="s">
        <v>1842</v>
      </c>
      <c r="N897" s="7"/>
    </row>
    <row r="898" s="1" customFormat="1" ht="28.5" customHeight="1" spans="1:14">
      <c r="A898" s="8"/>
      <c r="B898" s="9"/>
      <c r="C898" s="9" t="s">
        <v>1289</v>
      </c>
      <c r="D898" s="9">
        <v>3000</v>
      </c>
      <c r="E898" s="9"/>
      <c r="F898" s="9"/>
      <c r="G898" s="10" t="s">
        <v>1857</v>
      </c>
      <c r="H898" s="10" t="s">
        <v>563</v>
      </c>
      <c r="I898" s="10"/>
      <c r="J898" s="9">
        <v>90316</v>
      </c>
      <c r="K898" s="10" t="s">
        <v>1858</v>
      </c>
      <c r="L898" s="10" t="s">
        <v>224</v>
      </c>
      <c r="M898" s="10" t="s">
        <v>1834</v>
      </c>
      <c r="N898" s="7"/>
    </row>
    <row r="899" s="1" customFormat="1" ht="28.5" customHeight="1" spans="1:14">
      <c r="A899" s="8"/>
      <c r="B899" s="9"/>
      <c r="C899" s="9" t="s">
        <v>1289</v>
      </c>
      <c r="D899" s="9">
        <v>2500</v>
      </c>
      <c r="E899" s="9"/>
      <c r="F899" s="9"/>
      <c r="G899" s="10" t="s">
        <v>1857</v>
      </c>
      <c r="H899" s="10" t="s">
        <v>563</v>
      </c>
      <c r="I899" s="10"/>
      <c r="J899" s="9">
        <v>90317</v>
      </c>
      <c r="K899" s="10" t="s">
        <v>1858</v>
      </c>
      <c r="L899" s="10" t="s">
        <v>224</v>
      </c>
      <c r="M899" s="10" t="s">
        <v>1834</v>
      </c>
      <c r="N899" s="7"/>
    </row>
    <row r="900" s="1" customFormat="1" ht="28.5" customHeight="1" spans="1:14">
      <c r="A900" s="8"/>
      <c r="B900" s="9"/>
      <c r="C900" s="9" t="s">
        <v>1289</v>
      </c>
      <c r="D900" s="9">
        <v>2000</v>
      </c>
      <c r="E900" s="9"/>
      <c r="F900" s="9"/>
      <c r="G900" s="10" t="s">
        <v>1857</v>
      </c>
      <c r="H900" s="10" t="s">
        <v>563</v>
      </c>
      <c r="I900" s="10"/>
      <c r="J900" s="9">
        <v>90318</v>
      </c>
      <c r="K900" s="10" t="s">
        <v>1858</v>
      </c>
      <c r="L900" s="10" t="s">
        <v>224</v>
      </c>
      <c r="M900" s="10" t="s">
        <v>1834</v>
      </c>
      <c r="N900" s="7"/>
    </row>
    <row r="901" s="1" customFormat="1" ht="28.5" customHeight="1" spans="1:14">
      <c r="A901" s="8"/>
      <c r="B901" s="9"/>
      <c r="C901" s="9" t="s">
        <v>1289</v>
      </c>
      <c r="D901" s="9">
        <v>1500</v>
      </c>
      <c r="E901" s="9"/>
      <c r="F901" s="9"/>
      <c r="G901" s="10" t="s">
        <v>1857</v>
      </c>
      <c r="H901" s="10" t="s">
        <v>563</v>
      </c>
      <c r="I901" s="10"/>
      <c r="J901" s="9">
        <v>90319</v>
      </c>
      <c r="K901" s="10" t="s">
        <v>1858</v>
      </c>
      <c r="L901" s="10" t="s">
        <v>224</v>
      </c>
      <c r="M901" s="10" t="s">
        <v>1834</v>
      </c>
      <c r="N901" s="7"/>
    </row>
    <row r="902" s="1" customFormat="1" ht="28.5" customHeight="1" spans="1:14">
      <c r="A902" s="8"/>
      <c r="B902" s="9"/>
      <c r="C902" s="9" t="s">
        <v>1289</v>
      </c>
      <c r="D902" s="9">
        <v>1000</v>
      </c>
      <c r="E902" s="9"/>
      <c r="F902" s="9"/>
      <c r="G902" s="10" t="s">
        <v>1857</v>
      </c>
      <c r="H902" s="10" t="s">
        <v>563</v>
      </c>
      <c r="I902" s="10"/>
      <c r="J902" s="9">
        <v>90320</v>
      </c>
      <c r="K902" s="10" t="s">
        <v>1858</v>
      </c>
      <c r="L902" s="10" t="s">
        <v>224</v>
      </c>
      <c r="M902" s="10" t="s">
        <v>1834</v>
      </c>
      <c r="N902" s="7"/>
    </row>
    <row r="903" s="1" customFormat="1" ht="28.5" customHeight="1" spans="1:14">
      <c r="A903" s="8"/>
      <c r="B903" s="9"/>
      <c r="C903" s="9" t="s">
        <v>1289</v>
      </c>
      <c r="D903" s="9">
        <v>3000</v>
      </c>
      <c r="E903" s="9"/>
      <c r="F903" s="9"/>
      <c r="G903" s="10" t="s">
        <v>1859</v>
      </c>
      <c r="H903" s="10" t="s">
        <v>563</v>
      </c>
      <c r="I903" s="10"/>
      <c r="J903" s="9">
        <v>70321</v>
      </c>
      <c r="K903" s="10" t="s">
        <v>1860</v>
      </c>
      <c r="L903" s="10" t="s">
        <v>228</v>
      </c>
      <c r="M903" s="10" t="s">
        <v>1834</v>
      </c>
      <c r="N903" s="7"/>
    </row>
    <row r="904" s="1" customFormat="1" ht="28.5" customHeight="1" spans="1:14">
      <c r="A904" s="8"/>
      <c r="B904" s="9"/>
      <c r="C904" s="9" t="s">
        <v>1289</v>
      </c>
      <c r="D904" s="9">
        <v>2500</v>
      </c>
      <c r="E904" s="9"/>
      <c r="F904" s="9"/>
      <c r="G904" s="10" t="s">
        <v>1859</v>
      </c>
      <c r="H904" s="10" t="s">
        <v>563</v>
      </c>
      <c r="I904" s="10"/>
      <c r="J904" s="9">
        <v>70322</v>
      </c>
      <c r="K904" s="10" t="s">
        <v>1860</v>
      </c>
      <c r="L904" s="10" t="s">
        <v>228</v>
      </c>
      <c r="M904" s="10" t="s">
        <v>1834</v>
      </c>
      <c r="N904" s="7"/>
    </row>
    <row r="905" s="1" customFormat="1" ht="28.5" customHeight="1" spans="1:14">
      <c r="A905" s="8"/>
      <c r="B905" s="9"/>
      <c r="C905" s="9" t="s">
        <v>1289</v>
      </c>
      <c r="D905" s="9">
        <v>2000</v>
      </c>
      <c r="E905" s="9"/>
      <c r="F905" s="9"/>
      <c r="G905" s="10" t="s">
        <v>1859</v>
      </c>
      <c r="H905" s="10" t="s">
        <v>563</v>
      </c>
      <c r="I905" s="10"/>
      <c r="J905" s="9">
        <v>70323</v>
      </c>
      <c r="K905" s="10" t="s">
        <v>1860</v>
      </c>
      <c r="L905" s="10" t="s">
        <v>228</v>
      </c>
      <c r="M905" s="10" t="s">
        <v>1834</v>
      </c>
      <c r="N905" s="7"/>
    </row>
    <row r="906" s="1" customFormat="1" ht="28.5" customHeight="1" spans="1:14">
      <c r="A906" s="8"/>
      <c r="B906" s="9"/>
      <c r="C906" s="9" t="s">
        <v>1289</v>
      </c>
      <c r="D906" s="9">
        <v>1500</v>
      </c>
      <c r="E906" s="9"/>
      <c r="F906" s="9"/>
      <c r="G906" s="10" t="s">
        <v>1859</v>
      </c>
      <c r="H906" s="10" t="s">
        <v>563</v>
      </c>
      <c r="I906" s="10"/>
      <c r="J906" s="9">
        <v>70324</v>
      </c>
      <c r="K906" s="10" t="s">
        <v>1860</v>
      </c>
      <c r="L906" s="10" t="s">
        <v>228</v>
      </c>
      <c r="M906" s="10" t="s">
        <v>1834</v>
      </c>
      <c r="N906" s="7"/>
    </row>
    <row r="907" s="1" customFormat="1" ht="28.5" customHeight="1" spans="1:14">
      <c r="A907" s="8"/>
      <c r="B907" s="9"/>
      <c r="C907" s="9" t="s">
        <v>1289</v>
      </c>
      <c r="D907" s="9">
        <v>1000</v>
      </c>
      <c r="E907" s="9"/>
      <c r="F907" s="9"/>
      <c r="G907" s="10" t="s">
        <v>1859</v>
      </c>
      <c r="H907" s="10" t="s">
        <v>563</v>
      </c>
      <c r="I907" s="10"/>
      <c r="J907" s="9">
        <v>70325</v>
      </c>
      <c r="K907" s="10" t="s">
        <v>1860</v>
      </c>
      <c r="L907" s="10" t="s">
        <v>228</v>
      </c>
      <c r="M907" s="10" t="s">
        <v>1834</v>
      </c>
      <c r="N907" s="7"/>
    </row>
    <row r="908" s="1" customFormat="1" ht="28.5" customHeight="1" spans="1:14">
      <c r="A908" s="8"/>
      <c r="B908" s="9"/>
      <c r="C908" s="9" t="s">
        <v>1289</v>
      </c>
      <c r="D908" s="9">
        <v>3000</v>
      </c>
      <c r="E908" s="9"/>
      <c r="F908" s="9"/>
      <c r="G908" s="10" t="s">
        <v>1861</v>
      </c>
      <c r="H908" s="10" t="s">
        <v>563</v>
      </c>
      <c r="I908" s="10"/>
      <c r="J908" s="9">
        <v>80326</v>
      </c>
      <c r="K908" s="10" t="s">
        <v>1862</v>
      </c>
      <c r="L908" s="10" t="s">
        <v>231</v>
      </c>
      <c r="M908" s="10" t="s">
        <v>1834</v>
      </c>
      <c r="N908" s="7"/>
    </row>
    <row r="909" s="1" customFormat="1" ht="28.5" customHeight="1" spans="1:14">
      <c r="A909" s="8"/>
      <c r="B909" s="9"/>
      <c r="C909" s="9" t="s">
        <v>1289</v>
      </c>
      <c r="D909" s="9">
        <v>2500</v>
      </c>
      <c r="E909" s="9"/>
      <c r="F909" s="9"/>
      <c r="G909" s="10" t="s">
        <v>1861</v>
      </c>
      <c r="H909" s="10" t="s">
        <v>563</v>
      </c>
      <c r="I909" s="10"/>
      <c r="J909" s="9">
        <v>80327</v>
      </c>
      <c r="K909" s="10" t="s">
        <v>1862</v>
      </c>
      <c r="L909" s="10" t="s">
        <v>231</v>
      </c>
      <c r="M909" s="10" t="s">
        <v>1834</v>
      </c>
      <c r="N909" s="7"/>
    </row>
    <row r="910" s="1" customFormat="1" ht="28.5" customHeight="1" spans="1:14">
      <c r="A910" s="8"/>
      <c r="B910" s="9"/>
      <c r="C910" s="9" t="s">
        <v>1289</v>
      </c>
      <c r="D910" s="9">
        <v>2000</v>
      </c>
      <c r="E910" s="9"/>
      <c r="F910" s="9"/>
      <c r="G910" s="10" t="s">
        <v>1861</v>
      </c>
      <c r="H910" s="10" t="s">
        <v>563</v>
      </c>
      <c r="I910" s="10"/>
      <c r="J910" s="9">
        <v>80328</v>
      </c>
      <c r="K910" s="10" t="s">
        <v>1862</v>
      </c>
      <c r="L910" s="10" t="s">
        <v>231</v>
      </c>
      <c r="M910" s="10" t="s">
        <v>1834</v>
      </c>
      <c r="N910" s="7"/>
    </row>
    <row r="911" s="1" customFormat="1" ht="28.5" customHeight="1" spans="1:14">
      <c r="A911" s="8"/>
      <c r="B911" s="9"/>
      <c r="C911" s="9" t="s">
        <v>1289</v>
      </c>
      <c r="D911" s="9">
        <v>1500</v>
      </c>
      <c r="E911" s="9"/>
      <c r="F911" s="9"/>
      <c r="G911" s="10" t="s">
        <v>1861</v>
      </c>
      <c r="H911" s="10" t="s">
        <v>563</v>
      </c>
      <c r="I911" s="10"/>
      <c r="J911" s="9">
        <v>80329</v>
      </c>
      <c r="K911" s="10" t="s">
        <v>1862</v>
      </c>
      <c r="L911" s="10" t="s">
        <v>231</v>
      </c>
      <c r="M911" s="10" t="s">
        <v>1834</v>
      </c>
      <c r="N911" s="7"/>
    </row>
    <row r="912" s="1" customFormat="1" ht="28.5" customHeight="1" spans="1:14">
      <c r="A912" s="8"/>
      <c r="B912" s="9"/>
      <c r="C912" s="9" t="s">
        <v>1289</v>
      </c>
      <c r="D912" s="9">
        <v>1000</v>
      </c>
      <c r="E912" s="9"/>
      <c r="F912" s="9"/>
      <c r="G912" s="10" t="s">
        <v>1861</v>
      </c>
      <c r="H912" s="10" t="s">
        <v>563</v>
      </c>
      <c r="I912" s="10"/>
      <c r="J912" s="9">
        <v>80330</v>
      </c>
      <c r="K912" s="10" t="s">
        <v>1862</v>
      </c>
      <c r="L912" s="10" t="s">
        <v>231</v>
      </c>
      <c r="M912" s="10" t="s">
        <v>1834</v>
      </c>
      <c r="N912" s="7"/>
    </row>
    <row r="913" s="1" customFormat="1" ht="28.5" customHeight="1" spans="1:14">
      <c r="A913" s="8"/>
      <c r="B913" s="9"/>
      <c r="C913" s="9" t="s">
        <v>1289</v>
      </c>
      <c r="D913" s="9">
        <v>3000</v>
      </c>
      <c r="E913" s="9"/>
      <c r="F913" s="9"/>
      <c r="G913" s="10" t="s">
        <v>2141</v>
      </c>
      <c r="H913" s="10" t="s">
        <v>563</v>
      </c>
      <c r="I913" s="10"/>
      <c r="J913" s="9">
        <v>100331</v>
      </c>
      <c r="K913" s="10" t="s">
        <v>284</v>
      </c>
      <c r="L913" s="10" t="s">
        <v>248</v>
      </c>
      <c r="M913" s="10" t="s">
        <v>1834</v>
      </c>
      <c r="N913" s="7"/>
    </row>
    <row r="914" s="1" customFormat="1" ht="28.5" customHeight="1" spans="1:14">
      <c r="A914" s="8"/>
      <c r="B914" s="9"/>
      <c r="C914" s="9" t="s">
        <v>1289</v>
      </c>
      <c r="D914" s="9">
        <v>2500</v>
      </c>
      <c r="E914" s="9"/>
      <c r="F914" s="9"/>
      <c r="G914" s="10" t="s">
        <v>2141</v>
      </c>
      <c r="H914" s="10" t="s">
        <v>563</v>
      </c>
      <c r="I914" s="10"/>
      <c r="J914" s="9">
        <v>100332</v>
      </c>
      <c r="K914" s="10" t="s">
        <v>284</v>
      </c>
      <c r="L914" s="10" t="s">
        <v>248</v>
      </c>
      <c r="M914" s="10" t="s">
        <v>1834</v>
      </c>
      <c r="N914" s="7"/>
    </row>
    <row r="915" s="1" customFormat="1" ht="28.5" customHeight="1" spans="1:14">
      <c r="A915" s="8"/>
      <c r="B915" s="9"/>
      <c r="C915" s="9" t="s">
        <v>1289</v>
      </c>
      <c r="D915" s="9">
        <v>2000</v>
      </c>
      <c r="E915" s="9"/>
      <c r="F915" s="9"/>
      <c r="G915" s="10" t="s">
        <v>2141</v>
      </c>
      <c r="H915" s="10" t="s">
        <v>563</v>
      </c>
      <c r="I915" s="10"/>
      <c r="J915" s="9">
        <v>100333</v>
      </c>
      <c r="K915" s="10" t="s">
        <v>284</v>
      </c>
      <c r="L915" s="10" t="s">
        <v>248</v>
      </c>
      <c r="M915" s="10" t="s">
        <v>1834</v>
      </c>
      <c r="N915" s="7"/>
    </row>
    <row r="916" s="1" customFormat="1" ht="28.5" customHeight="1" spans="1:14">
      <c r="A916" s="8"/>
      <c r="B916" s="9"/>
      <c r="C916" s="9" t="s">
        <v>1289</v>
      </c>
      <c r="D916" s="9">
        <v>1500</v>
      </c>
      <c r="E916" s="9"/>
      <c r="F916" s="9"/>
      <c r="G916" s="10" t="s">
        <v>2141</v>
      </c>
      <c r="H916" s="10" t="s">
        <v>563</v>
      </c>
      <c r="I916" s="10"/>
      <c r="J916" s="9">
        <v>100334</v>
      </c>
      <c r="K916" s="10" t="s">
        <v>284</v>
      </c>
      <c r="L916" s="10" t="s">
        <v>248</v>
      </c>
      <c r="M916" s="10" t="s">
        <v>1834</v>
      </c>
      <c r="N916" s="7"/>
    </row>
    <row r="917" s="1" customFormat="1" ht="28.5" customHeight="1" spans="1:14">
      <c r="A917" s="8"/>
      <c r="B917" s="9"/>
      <c r="C917" s="9" t="s">
        <v>1289</v>
      </c>
      <c r="D917" s="9">
        <v>1000</v>
      </c>
      <c r="E917" s="9"/>
      <c r="F917" s="9"/>
      <c r="G917" s="10" t="s">
        <v>2141</v>
      </c>
      <c r="H917" s="10" t="s">
        <v>563</v>
      </c>
      <c r="I917" s="10"/>
      <c r="J917" s="9">
        <v>100335</v>
      </c>
      <c r="K917" s="10" t="s">
        <v>284</v>
      </c>
      <c r="L917" s="10" t="s">
        <v>248</v>
      </c>
      <c r="M917" s="10" t="s">
        <v>1834</v>
      </c>
      <c r="N917" s="7"/>
    </row>
    <row r="918" s="1" customFormat="1" ht="28.5" customHeight="1" spans="1:14">
      <c r="A918" s="8"/>
      <c r="B918" s="9"/>
      <c r="C918" s="9" t="s">
        <v>1289</v>
      </c>
      <c r="D918" s="9">
        <v>3000</v>
      </c>
      <c r="E918" s="9"/>
      <c r="F918" s="9"/>
      <c r="G918" s="10" t="s">
        <v>2142</v>
      </c>
      <c r="H918" s="10" t="s">
        <v>563</v>
      </c>
      <c r="I918" s="10"/>
      <c r="J918" s="9">
        <v>10336</v>
      </c>
      <c r="K918" s="10" t="s">
        <v>2143</v>
      </c>
      <c r="L918" s="10" t="s">
        <v>285</v>
      </c>
      <c r="M918" s="10" t="s">
        <v>1834</v>
      </c>
      <c r="N918" s="7"/>
    </row>
    <row r="919" s="1" customFormat="1" ht="28.5" customHeight="1" spans="1:14">
      <c r="A919" s="8"/>
      <c r="B919" s="9"/>
      <c r="C919" s="9" t="s">
        <v>1289</v>
      </c>
      <c r="D919" s="9">
        <v>2500</v>
      </c>
      <c r="E919" s="9"/>
      <c r="F919" s="9"/>
      <c r="G919" s="10" t="s">
        <v>2144</v>
      </c>
      <c r="H919" s="10" t="s">
        <v>563</v>
      </c>
      <c r="I919" s="10"/>
      <c r="J919" s="9">
        <v>10337</v>
      </c>
      <c r="K919" s="10" t="s">
        <v>2145</v>
      </c>
      <c r="L919" s="10" t="s">
        <v>285</v>
      </c>
      <c r="M919" s="10" t="s">
        <v>1834</v>
      </c>
      <c r="N919" s="7"/>
    </row>
    <row r="920" s="1" customFormat="1" ht="28.5" customHeight="1" spans="1:14">
      <c r="A920" s="8"/>
      <c r="B920" s="9"/>
      <c r="C920" s="9" t="s">
        <v>1289</v>
      </c>
      <c r="D920" s="9">
        <v>2000</v>
      </c>
      <c r="E920" s="9"/>
      <c r="F920" s="9"/>
      <c r="G920" s="10" t="s">
        <v>2146</v>
      </c>
      <c r="H920" s="10" t="s">
        <v>563</v>
      </c>
      <c r="I920" s="10"/>
      <c r="J920" s="9">
        <v>10338</v>
      </c>
      <c r="K920" s="10" t="s">
        <v>2147</v>
      </c>
      <c r="L920" s="10" t="s">
        <v>285</v>
      </c>
      <c r="M920" s="10" t="s">
        <v>1834</v>
      </c>
      <c r="N920" s="7"/>
    </row>
    <row r="921" s="1" customFormat="1" ht="28.5" customHeight="1" spans="1:14">
      <c r="A921" s="8"/>
      <c r="B921" s="9"/>
      <c r="C921" s="9" t="s">
        <v>1289</v>
      </c>
      <c r="D921" s="9">
        <v>1500</v>
      </c>
      <c r="E921" s="9"/>
      <c r="F921" s="9"/>
      <c r="G921" s="10" t="s">
        <v>2148</v>
      </c>
      <c r="H921" s="10" t="s">
        <v>563</v>
      </c>
      <c r="I921" s="10"/>
      <c r="J921" s="9">
        <v>10339</v>
      </c>
      <c r="K921" s="10" t="s">
        <v>2149</v>
      </c>
      <c r="L921" s="10" t="s">
        <v>285</v>
      </c>
      <c r="M921" s="10" t="s">
        <v>1834</v>
      </c>
      <c r="N921" s="7"/>
    </row>
    <row r="922" s="1" customFormat="1" ht="28.5" customHeight="1" spans="1:14">
      <c r="A922" s="8"/>
      <c r="B922" s="9"/>
      <c r="C922" s="9" t="s">
        <v>1289</v>
      </c>
      <c r="D922" s="9">
        <v>1000</v>
      </c>
      <c r="E922" s="9"/>
      <c r="F922" s="9"/>
      <c r="G922" s="10" t="s">
        <v>2150</v>
      </c>
      <c r="H922" s="10" t="s">
        <v>563</v>
      </c>
      <c r="I922" s="10"/>
      <c r="J922" s="9">
        <v>10340</v>
      </c>
      <c r="K922" s="10" t="s">
        <v>2151</v>
      </c>
      <c r="L922" s="10" t="s">
        <v>285</v>
      </c>
      <c r="M922" s="10" t="s">
        <v>1834</v>
      </c>
      <c r="N922" s="7"/>
    </row>
    <row r="923" s="1" customFormat="1" ht="28.5" customHeight="1" spans="1:14">
      <c r="A923" s="8">
        <v>20401</v>
      </c>
      <c r="B923" s="9">
        <v>20411</v>
      </c>
      <c r="C923" s="9" t="s">
        <v>32</v>
      </c>
      <c r="D923" s="9">
        <v>0</v>
      </c>
      <c r="E923" s="9"/>
      <c r="F923" s="9">
        <v>20402</v>
      </c>
      <c r="G923" s="10" t="s">
        <v>1457</v>
      </c>
      <c r="H923" s="10" t="s">
        <v>563</v>
      </c>
      <c r="I923" s="10"/>
      <c r="J923" s="9">
        <v>60341</v>
      </c>
      <c r="K923" s="10" t="s">
        <v>2152</v>
      </c>
      <c r="L923" s="10" t="s">
        <v>288</v>
      </c>
      <c r="M923" s="10" t="s">
        <v>1842</v>
      </c>
      <c r="N923" s="7"/>
    </row>
    <row r="924" s="1" customFormat="1" ht="28.5" customHeight="1" spans="1:14">
      <c r="A924" s="8">
        <v>20401</v>
      </c>
      <c r="B924" s="9">
        <v>20412</v>
      </c>
      <c r="C924" s="9" t="s">
        <v>32</v>
      </c>
      <c r="D924" s="9">
        <v>0</v>
      </c>
      <c r="E924" s="9"/>
      <c r="F924" s="9">
        <v>20402</v>
      </c>
      <c r="G924" s="10" t="s">
        <v>1459</v>
      </c>
      <c r="H924" s="10" t="s">
        <v>563</v>
      </c>
      <c r="I924" s="10"/>
      <c r="J924" s="9">
        <v>60342</v>
      </c>
      <c r="K924" s="10" t="s">
        <v>2153</v>
      </c>
      <c r="L924" s="10" t="s">
        <v>288</v>
      </c>
      <c r="M924" s="10" t="s">
        <v>1842</v>
      </c>
      <c r="N924" s="7"/>
    </row>
    <row r="925" s="1" customFormat="1" ht="28.5" customHeight="1" spans="1:14">
      <c r="A925" s="8">
        <v>20401</v>
      </c>
      <c r="B925" s="9">
        <v>20413</v>
      </c>
      <c r="C925" s="9" t="s">
        <v>32</v>
      </c>
      <c r="D925" s="9">
        <v>0</v>
      </c>
      <c r="E925" s="9"/>
      <c r="F925" s="9">
        <v>20402</v>
      </c>
      <c r="G925" s="10" t="s">
        <v>1461</v>
      </c>
      <c r="H925" s="10" t="s">
        <v>563</v>
      </c>
      <c r="I925" s="10"/>
      <c r="J925" s="9">
        <v>60343</v>
      </c>
      <c r="K925" s="10" t="s">
        <v>2154</v>
      </c>
      <c r="L925" s="10" t="s">
        <v>288</v>
      </c>
      <c r="M925" s="10" t="s">
        <v>1842</v>
      </c>
      <c r="N925" s="7"/>
    </row>
    <row r="926" s="1" customFormat="1" ht="28.5" customHeight="1" spans="1:14">
      <c r="A926" s="8">
        <v>20401</v>
      </c>
      <c r="B926" s="9">
        <v>20414</v>
      </c>
      <c r="C926" s="9" t="s">
        <v>32</v>
      </c>
      <c r="D926" s="9">
        <v>0</v>
      </c>
      <c r="E926" s="9"/>
      <c r="F926" s="9">
        <v>20402</v>
      </c>
      <c r="G926" s="10" t="s">
        <v>1463</v>
      </c>
      <c r="H926" s="10" t="s">
        <v>563</v>
      </c>
      <c r="I926" s="10"/>
      <c r="J926" s="9">
        <v>60344</v>
      </c>
      <c r="K926" s="10" t="s">
        <v>2155</v>
      </c>
      <c r="L926" s="10" t="s">
        <v>288</v>
      </c>
      <c r="M926" s="10" t="s">
        <v>1842</v>
      </c>
      <c r="N926" s="7"/>
    </row>
    <row r="927" s="1" customFormat="1" ht="28.5" customHeight="1" spans="1:14">
      <c r="A927" s="8">
        <v>20401</v>
      </c>
      <c r="B927" s="9">
        <v>20415</v>
      </c>
      <c r="C927" s="9" t="s">
        <v>32</v>
      </c>
      <c r="D927" s="9">
        <v>0</v>
      </c>
      <c r="E927" s="9"/>
      <c r="F927" s="9">
        <v>20402</v>
      </c>
      <c r="G927" s="10" t="s">
        <v>1465</v>
      </c>
      <c r="H927" s="10" t="s">
        <v>563</v>
      </c>
      <c r="I927" s="10"/>
      <c r="J927" s="9">
        <v>60345</v>
      </c>
      <c r="K927" s="10" t="s">
        <v>2156</v>
      </c>
      <c r="L927" s="10" t="s">
        <v>288</v>
      </c>
      <c r="M927" s="10" t="s">
        <v>1842</v>
      </c>
      <c r="N927" s="7"/>
    </row>
    <row r="928" s="1" customFormat="1" ht="28.5" customHeight="1" spans="1:14">
      <c r="A928" s="8">
        <v>20401</v>
      </c>
      <c r="B928" s="9">
        <v>20416</v>
      </c>
      <c r="C928" s="9" t="s">
        <v>32</v>
      </c>
      <c r="D928" s="9">
        <v>3000</v>
      </c>
      <c r="E928" s="9"/>
      <c r="F928" s="9">
        <v>20403</v>
      </c>
      <c r="G928" s="10" t="s">
        <v>1467</v>
      </c>
      <c r="H928" s="10" t="s">
        <v>563</v>
      </c>
      <c r="I928" s="10"/>
      <c r="J928" s="9">
        <v>50346</v>
      </c>
      <c r="K928" s="10" t="s">
        <v>2157</v>
      </c>
      <c r="L928" s="10" t="s">
        <v>291</v>
      </c>
      <c r="M928" s="10" t="s">
        <v>1842</v>
      </c>
      <c r="N928" s="7"/>
    </row>
    <row r="929" s="1" customFormat="1" ht="28.5" customHeight="1" spans="1:14">
      <c r="A929" s="8">
        <v>20401</v>
      </c>
      <c r="B929" s="9">
        <v>20417</v>
      </c>
      <c r="C929" s="9" t="s">
        <v>32</v>
      </c>
      <c r="D929" s="9">
        <v>2500</v>
      </c>
      <c r="E929" s="9"/>
      <c r="F929" s="9">
        <v>20403</v>
      </c>
      <c r="G929" s="10" t="s">
        <v>1469</v>
      </c>
      <c r="H929" s="10" t="s">
        <v>563</v>
      </c>
      <c r="I929" s="10"/>
      <c r="J929" s="9">
        <v>50347</v>
      </c>
      <c r="K929" s="10" t="s">
        <v>2158</v>
      </c>
      <c r="L929" s="10" t="s">
        <v>291</v>
      </c>
      <c r="M929" s="10" t="s">
        <v>1842</v>
      </c>
      <c r="N929" s="7"/>
    </row>
    <row r="930" s="1" customFormat="1" ht="28.5" customHeight="1" spans="1:14">
      <c r="A930" s="8">
        <v>20401</v>
      </c>
      <c r="B930" s="9">
        <v>20418</v>
      </c>
      <c r="C930" s="9" t="s">
        <v>32</v>
      </c>
      <c r="D930" s="9">
        <v>2000</v>
      </c>
      <c r="E930" s="9"/>
      <c r="F930" s="9">
        <v>20403</v>
      </c>
      <c r="G930" s="10" t="s">
        <v>2159</v>
      </c>
      <c r="H930" s="10" t="s">
        <v>563</v>
      </c>
      <c r="I930" s="10"/>
      <c r="J930" s="9">
        <v>50348</v>
      </c>
      <c r="K930" s="10" t="s">
        <v>2160</v>
      </c>
      <c r="L930" s="10" t="s">
        <v>291</v>
      </c>
      <c r="M930" s="10" t="s">
        <v>1842</v>
      </c>
      <c r="N930" s="7"/>
    </row>
    <row r="931" s="1" customFormat="1" ht="28.5" customHeight="1" spans="1:14">
      <c r="A931" s="8">
        <v>20401</v>
      </c>
      <c r="B931" s="9">
        <v>20419</v>
      </c>
      <c r="C931" s="9" t="s">
        <v>32</v>
      </c>
      <c r="D931" s="9">
        <v>1500</v>
      </c>
      <c r="E931" s="9"/>
      <c r="F931" s="9">
        <v>20403</v>
      </c>
      <c r="G931" s="10" t="s">
        <v>2161</v>
      </c>
      <c r="H931" s="10" t="s">
        <v>563</v>
      </c>
      <c r="I931" s="10"/>
      <c r="J931" s="9">
        <v>50349</v>
      </c>
      <c r="K931" s="10" t="s">
        <v>2162</v>
      </c>
      <c r="L931" s="10" t="s">
        <v>291</v>
      </c>
      <c r="M931" s="10" t="s">
        <v>1842</v>
      </c>
      <c r="N931" s="7"/>
    </row>
    <row r="932" s="1" customFormat="1" ht="28.5" customHeight="1" spans="1:14">
      <c r="A932" s="8">
        <v>20401</v>
      </c>
      <c r="B932" s="9">
        <v>20420</v>
      </c>
      <c r="C932" s="9" t="s">
        <v>32</v>
      </c>
      <c r="D932" s="9">
        <v>1000</v>
      </c>
      <c r="E932" s="9"/>
      <c r="F932" s="9">
        <v>20403</v>
      </c>
      <c r="G932" s="10" t="s">
        <v>1477</v>
      </c>
      <c r="H932" s="10" t="s">
        <v>563</v>
      </c>
      <c r="I932" s="10"/>
      <c r="J932" s="9">
        <v>50350</v>
      </c>
      <c r="K932" s="10" t="s">
        <v>2163</v>
      </c>
      <c r="L932" s="10" t="s">
        <v>291</v>
      </c>
      <c r="M932" s="10" t="s">
        <v>1842</v>
      </c>
      <c r="N932" s="7"/>
    </row>
    <row r="933" s="1" customFormat="1" ht="28.5" customHeight="1" spans="1:14">
      <c r="A933" s="8"/>
      <c r="B933" s="9"/>
      <c r="C933" s="9" t="s">
        <v>1289</v>
      </c>
      <c r="D933" s="9">
        <v>3000</v>
      </c>
      <c r="E933" s="9"/>
      <c r="F933" s="9"/>
      <c r="G933" s="10" t="s">
        <v>2164</v>
      </c>
      <c r="H933" s="10" t="s">
        <v>563</v>
      </c>
      <c r="I933" s="10"/>
      <c r="J933" s="9">
        <v>30351</v>
      </c>
      <c r="K933" s="10" t="s">
        <v>2165</v>
      </c>
      <c r="L933" s="10" t="s">
        <v>293</v>
      </c>
      <c r="M933" s="10" t="s">
        <v>1834</v>
      </c>
      <c r="N933" s="7"/>
    </row>
    <row r="934" s="1" customFormat="1" ht="28.5" customHeight="1" spans="1:14">
      <c r="A934" s="8"/>
      <c r="B934" s="9"/>
      <c r="C934" s="9" t="s">
        <v>1289</v>
      </c>
      <c r="D934" s="9">
        <v>2500</v>
      </c>
      <c r="E934" s="9"/>
      <c r="F934" s="9"/>
      <c r="G934" s="10" t="s">
        <v>2166</v>
      </c>
      <c r="H934" s="10" t="s">
        <v>563</v>
      </c>
      <c r="I934" s="10"/>
      <c r="J934" s="9">
        <v>30352</v>
      </c>
      <c r="K934" s="10" t="s">
        <v>2167</v>
      </c>
      <c r="L934" s="10" t="s">
        <v>293</v>
      </c>
      <c r="M934" s="10" t="s">
        <v>1834</v>
      </c>
      <c r="N934" s="7"/>
    </row>
    <row r="935" s="1" customFormat="1" ht="28.5" customHeight="1" spans="1:14">
      <c r="A935" s="8"/>
      <c r="B935" s="9"/>
      <c r="C935" s="9" t="s">
        <v>1289</v>
      </c>
      <c r="D935" s="9">
        <v>2000</v>
      </c>
      <c r="E935" s="9"/>
      <c r="F935" s="9"/>
      <c r="G935" s="10" t="s">
        <v>2168</v>
      </c>
      <c r="H935" s="10" t="s">
        <v>563</v>
      </c>
      <c r="I935" s="10"/>
      <c r="J935" s="9">
        <v>30353</v>
      </c>
      <c r="K935" s="10" t="s">
        <v>2169</v>
      </c>
      <c r="L935" s="10" t="s">
        <v>293</v>
      </c>
      <c r="M935" s="10" t="s">
        <v>1834</v>
      </c>
      <c r="N935" s="7"/>
    </row>
    <row r="936" s="1" customFormat="1" ht="28.5" customHeight="1" spans="1:14">
      <c r="A936" s="8"/>
      <c r="B936" s="9"/>
      <c r="C936" s="9" t="s">
        <v>1289</v>
      </c>
      <c r="D936" s="9">
        <v>1500</v>
      </c>
      <c r="E936" s="9"/>
      <c r="F936" s="9"/>
      <c r="G936" s="10" t="s">
        <v>2170</v>
      </c>
      <c r="H936" s="10" t="s">
        <v>563</v>
      </c>
      <c r="I936" s="10"/>
      <c r="J936" s="9">
        <v>30354</v>
      </c>
      <c r="K936" s="10" t="s">
        <v>2171</v>
      </c>
      <c r="L936" s="10" t="s">
        <v>293</v>
      </c>
      <c r="M936" s="10" t="s">
        <v>1834</v>
      </c>
      <c r="N936" s="7"/>
    </row>
    <row r="937" s="1" customFormat="1" ht="28.5" customHeight="1" spans="1:14">
      <c r="A937" s="8"/>
      <c r="B937" s="9"/>
      <c r="C937" s="9" t="s">
        <v>1289</v>
      </c>
      <c r="D937" s="9">
        <v>1000</v>
      </c>
      <c r="E937" s="9"/>
      <c r="F937" s="9"/>
      <c r="G937" s="10" t="s">
        <v>2172</v>
      </c>
      <c r="H937" s="10" t="s">
        <v>563</v>
      </c>
      <c r="I937" s="10"/>
      <c r="J937" s="9">
        <v>30355</v>
      </c>
      <c r="K937" s="10" t="s">
        <v>2173</v>
      </c>
      <c r="L937" s="10" t="s">
        <v>293</v>
      </c>
      <c r="M937" s="10" t="s">
        <v>1834</v>
      </c>
      <c r="N937" s="7"/>
    </row>
    <row r="938" s="1" customFormat="1" ht="28.5" customHeight="1" spans="1:14">
      <c r="A938" s="8">
        <v>20401</v>
      </c>
      <c r="B938" s="9">
        <v>20421</v>
      </c>
      <c r="C938" s="9" t="s">
        <v>32</v>
      </c>
      <c r="D938" s="9">
        <v>3000</v>
      </c>
      <c r="E938" s="9"/>
      <c r="F938" s="9">
        <v>20404</v>
      </c>
      <c r="G938" s="10" t="s">
        <v>2174</v>
      </c>
      <c r="H938" s="10" t="s">
        <v>563</v>
      </c>
      <c r="I938" s="10"/>
      <c r="J938" s="9">
        <v>40356</v>
      </c>
      <c r="K938" s="10" t="s">
        <v>2175</v>
      </c>
      <c r="L938" s="10" t="s">
        <v>296</v>
      </c>
      <c r="M938" s="10" t="s">
        <v>1842</v>
      </c>
      <c r="N938" s="7"/>
    </row>
    <row r="939" s="1" customFormat="1" ht="28.5" customHeight="1" spans="1:14">
      <c r="A939" s="8">
        <v>20401</v>
      </c>
      <c r="B939" s="9">
        <v>20422</v>
      </c>
      <c r="C939" s="9" t="s">
        <v>32</v>
      </c>
      <c r="D939" s="9">
        <v>2500</v>
      </c>
      <c r="E939" s="9"/>
      <c r="F939" s="9">
        <v>20404</v>
      </c>
      <c r="G939" s="10" t="s">
        <v>2176</v>
      </c>
      <c r="H939" s="10" t="s">
        <v>563</v>
      </c>
      <c r="I939" s="10"/>
      <c r="J939" s="9">
        <v>40357</v>
      </c>
      <c r="K939" s="10" t="s">
        <v>2177</v>
      </c>
      <c r="L939" s="10" t="s">
        <v>296</v>
      </c>
      <c r="M939" s="10" t="s">
        <v>1842</v>
      </c>
      <c r="N939" s="7"/>
    </row>
    <row r="940" s="1" customFormat="1" ht="28.5" customHeight="1" spans="1:14">
      <c r="A940" s="8">
        <v>20401</v>
      </c>
      <c r="B940" s="9">
        <v>20423</v>
      </c>
      <c r="C940" s="9" t="s">
        <v>32</v>
      </c>
      <c r="D940" s="9">
        <v>2000</v>
      </c>
      <c r="E940" s="9"/>
      <c r="F940" s="9">
        <v>20404</v>
      </c>
      <c r="G940" s="10" t="s">
        <v>2178</v>
      </c>
      <c r="H940" s="10" t="s">
        <v>563</v>
      </c>
      <c r="I940" s="10"/>
      <c r="J940" s="9">
        <v>40358</v>
      </c>
      <c r="K940" s="10" t="s">
        <v>2179</v>
      </c>
      <c r="L940" s="10" t="s">
        <v>296</v>
      </c>
      <c r="M940" s="10" t="s">
        <v>1842</v>
      </c>
      <c r="N940" s="7"/>
    </row>
    <row r="941" s="1" customFormat="1" ht="28.5" customHeight="1" spans="1:14">
      <c r="A941" s="8">
        <v>20401</v>
      </c>
      <c r="B941" s="9">
        <v>20424</v>
      </c>
      <c r="C941" s="9" t="s">
        <v>32</v>
      </c>
      <c r="D941" s="9">
        <v>1500</v>
      </c>
      <c r="E941" s="9"/>
      <c r="F941" s="9">
        <v>20404</v>
      </c>
      <c r="G941" s="10" t="s">
        <v>2180</v>
      </c>
      <c r="H941" s="10" t="s">
        <v>563</v>
      </c>
      <c r="I941" s="10"/>
      <c r="J941" s="9">
        <v>40359</v>
      </c>
      <c r="K941" s="10" t="s">
        <v>2181</v>
      </c>
      <c r="L941" s="10" t="s">
        <v>296</v>
      </c>
      <c r="M941" s="10" t="s">
        <v>1842</v>
      </c>
      <c r="N941" s="7"/>
    </row>
    <row r="942" s="1" customFormat="1" ht="28.5" customHeight="1" spans="1:14">
      <c r="A942" s="8">
        <v>20401</v>
      </c>
      <c r="B942" s="9">
        <v>20425</v>
      </c>
      <c r="C942" s="9" t="s">
        <v>32</v>
      </c>
      <c r="D942" s="9">
        <v>1000</v>
      </c>
      <c r="E942" s="9"/>
      <c r="F942" s="9">
        <v>20404</v>
      </c>
      <c r="G942" s="10" t="s">
        <v>2182</v>
      </c>
      <c r="H942" s="10" t="s">
        <v>563</v>
      </c>
      <c r="I942" s="10"/>
      <c r="J942" s="9">
        <v>40360</v>
      </c>
      <c r="K942" s="10" t="s">
        <v>2183</v>
      </c>
      <c r="L942" s="10" t="s">
        <v>296</v>
      </c>
      <c r="M942" s="10" t="s">
        <v>1842</v>
      </c>
      <c r="N942" s="7"/>
    </row>
    <row r="943" s="1" customFormat="1" ht="28.5" customHeight="1" spans="1:14">
      <c r="A943" s="8"/>
      <c r="B943" s="9"/>
      <c r="C943" s="9" t="s">
        <v>1289</v>
      </c>
      <c r="D943" s="9">
        <v>3000</v>
      </c>
      <c r="E943" s="9"/>
      <c r="F943" s="9"/>
      <c r="G943" s="10" t="s">
        <v>2184</v>
      </c>
      <c r="H943" s="10" t="s">
        <v>563</v>
      </c>
      <c r="I943" s="10"/>
      <c r="J943" s="9">
        <v>10361</v>
      </c>
      <c r="K943" s="10" t="s">
        <v>2185</v>
      </c>
      <c r="L943" s="10" t="s">
        <v>252</v>
      </c>
      <c r="M943" s="10" t="s">
        <v>1834</v>
      </c>
      <c r="N943" s="7"/>
    </row>
    <row r="944" s="1" customFormat="1" ht="28.5" customHeight="1" spans="1:14">
      <c r="A944" s="8"/>
      <c r="B944" s="9"/>
      <c r="C944" s="9" t="s">
        <v>1289</v>
      </c>
      <c r="D944" s="9">
        <v>2500</v>
      </c>
      <c r="E944" s="9"/>
      <c r="F944" s="9"/>
      <c r="G944" s="10" t="s">
        <v>2186</v>
      </c>
      <c r="H944" s="10" t="s">
        <v>563</v>
      </c>
      <c r="I944" s="10"/>
      <c r="J944" s="9">
        <v>10362</v>
      </c>
      <c r="K944" s="10" t="s">
        <v>2187</v>
      </c>
      <c r="L944" s="10" t="s">
        <v>252</v>
      </c>
      <c r="M944" s="10" t="s">
        <v>1834</v>
      </c>
      <c r="N944" s="7"/>
    </row>
    <row r="945" s="1" customFormat="1" ht="28.5" customHeight="1" spans="1:14">
      <c r="A945" s="8"/>
      <c r="B945" s="9"/>
      <c r="C945" s="9" t="s">
        <v>1289</v>
      </c>
      <c r="D945" s="9">
        <v>2000</v>
      </c>
      <c r="E945" s="9"/>
      <c r="F945" s="9"/>
      <c r="G945" s="10" t="s">
        <v>2188</v>
      </c>
      <c r="H945" s="10" t="s">
        <v>563</v>
      </c>
      <c r="I945" s="10"/>
      <c r="J945" s="9">
        <v>10363</v>
      </c>
      <c r="K945" s="10" t="s">
        <v>2189</v>
      </c>
      <c r="L945" s="10" t="s">
        <v>252</v>
      </c>
      <c r="M945" s="10" t="s">
        <v>1834</v>
      </c>
      <c r="N945" s="7"/>
    </row>
    <row r="946" s="1" customFormat="1" ht="28.5" customHeight="1" spans="1:14">
      <c r="A946" s="8"/>
      <c r="B946" s="9"/>
      <c r="C946" s="9" t="s">
        <v>1289</v>
      </c>
      <c r="D946" s="9">
        <v>1500</v>
      </c>
      <c r="E946" s="9"/>
      <c r="F946" s="9"/>
      <c r="G946" s="10" t="s">
        <v>2190</v>
      </c>
      <c r="H946" s="10" t="s">
        <v>563</v>
      </c>
      <c r="I946" s="10"/>
      <c r="J946" s="9">
        <v>10364</v>
      </c>
      <c r="K946" s="10" t="s">
        <v>2191</v>
      </c>
      <c r="L946" s="10" t="s">
        <v>252</v>
      </c>
      <c r="M946" s="10" t="s">
        <v>1834</v>
      </c>
      <c r="N946" s="7"/>
    </row>
    <row r="947" s="1" customFormat="1" ht="28.5" customHeight="1" spans="1:14">
      <c r="A947" s="8"/>
      <c r="B947" s="9"/>
      <c r="C947" s="9" t="s">
        <v>1289</v>
      </c>
      <c r="D947" s="9">
        <v>1000</v>
      </c>
      <c r="E947" s="9"/>
      <c r="F947" s="9"/>
      <c r="G947" s="10" t="s">
        <v>2192</v>
      </c>
      <c r="H947" s="10" t="s">
        <v>563</v>
      </c>
      <c r="I947" s="10"/>
      <c r="J947" s="9">
        <v>10365</v>
      </c>
      <c r="K947" s="10" t="s">
        <v>2193</v>
      </c>
      <c r="L947" s="10" t="s">
        <v>252</v>
      </c>
      <c r="M947" s="10" t="s">
        <v>1834</v>
      </c>
      <c r="N947" s="7"/>
    </row>
    <row r="948" s="1" customFormat="1" ht="28.5" customHeight="1" spans="1:14">
      <c r="A948" s="8">
        <v>20501</v>
      </c>
      <c r="B948" s="9">
        <v>20501</v>
      </c>
      <c r="C948" s="9" t="s">
        <v>33</v>
      </c>
      <c r="D948" s="9">
        <v>0</v>
      </c>
      <c r="E948" s="9"/>
      <c r="F948" s="9">
        <v>20500</v>
      </c>
      <c r="G948" s="10" t="s">
        <v>1313</v>
      </c>
      <c r="H948" s="10" t="s">
        <v>563</v>
      </c>
      <c r="I948" s="10"/>
      <c r="J948" s="9">
        <v>60366</v>
      </c>
      <c r="K948" s="10" t="s">
        <v>1916</v>
      </c>
      <c r="L948" s="10" t="s">
        <v>251</v>
      </c>
      <c r="M948" s="10" t="s">
        <v>1842</v>
      </c>
      <c r="N948" s="7"/>
    </row>
    <row r="949" s="1" customFormat="1" ht="28.5" customHeight="1" spans="1:14">
      <c r="A949" s="8">
        <v>20501</v>
      </c>
      <c r="B949" s="9">
        <v>20502</v>
      </c>
      <c r="C949" s="9" t="s">
        <v>33</v>
      </c>
      <c r="D949" s="9">
        <v>0</v>
      </c>
      <c r="E949" s="9"/>
      <c r="F949" s="9">
        <v>20500</v>
      </c>
      <c r="G949" s="10" t="s">
        <v>1315</v>
      </c>
      <c r="H949" s="10" t="s">
        <v>563</v>
      </c>
      <c r="I949" s="10"/>
      <c r="J949" s="9">
        <v>60367</v>
      </c>
      <c r="K949" s="10" t="s">
        <v>1917</v>
      </c>
      <c r="L949" s="10" t="s">
        <v>251</v>
      </c>
      <c r="M949" s="10" t="s">
        <v>1842</v>
      </c>
      <c r="N949" s="7"/>
    </row>
    <row r="950" s="1" customFormat="1" ht="28.5" customHeight="1" spans="1:14">
      <c r="A950" s="8">
        <v>20501</v>
      </c>
      <c r="B950" s="9">
        <v>20503</v>
      </c>
      <c r="C950" s="9" t="s">
        <v>33</v>
      </c>
      <c r="D950" s="9">
        <v>0</v>
      </c>
      <c r="E950" s="9"/>
      <c r="F950" s="9">
        <v>20500</v>
      </c>
      <c r="G950" s="10" t="s">
        <v>1317</v>
      </c>
      <c r="H950" s="10" t="s">
        <v>563</v>
      </c>
      <c r="I950" s="10"/>
      <c r="J950" s="9">
        <v>60368</v>
      </c>
      <c r="K950" s="10" t="s">
        <v>1918</v>
      </c>
      <c r="L950" s="10" t="s">
        <v>251</v>
      </c>
      <c r="M950" s="10" t="s">
        <v>1842</v>
      </c>
      <c r="N950" s="7"/>
    </row>
    <row r="951" s="1" customFormat="1" ht="28.5" customHeight="1" spans="1:14">
      <c r="A951" s="8">
        <v>20501</v>
      </c>
      <c r="B951" s="9">
        <v>20504</v>
      </c>
      <c r="C951" s="9" t="s">
        <v>33</v>
      </c>
      <c r="D951" s="9">
        <v>0</v>
      </c>
      <c r="E951" s="9"/>
      <c r="F951" s="9">
        <v>20500</v>
      </c>
      <c r="G951" s="10" t="s">
        <v>1319</v>
      </c>
      <c r="H951" s="10" t="s">
        <v>563</v>
      </c>
      <c r="I951" s="10"/>
      <c r="J951" s="9">
        <v>60369</v>
      </c>
      <c r="K951" s="10" t="s">
        <v>1919</v>
      </c>
      <c r="L951" s="10" t="s">
        <v>251</v>
      </c>
      <c r="M951" s="10" t="s">
        <v>1842</v>
      </c>
      <c r="N951" s="7"/>
    </row>
    <row r="952" s="1" customFormat="1" ht="28.5" customHeight="1" spans="1:14">
      <c r="A952" s="8">
        <v>20501</v>
      </c>
      <c r="B952" s="9">
        <v>20505</v>
      </c>
      <c r="C952" s="9" t="s">
        <v>33</v>
      </c>
      <c r="D952" s="9">
        <v>0</v>
      </c>
      <c r="E952" s="9"/>
      <c r="F952" s="9">
        <v>20500</v>
      </c>
      <c r="G952" s="10" t="s">
        <v>1321</v>
      </c>
      <c r="H952" s="10" t="s">
        <v>563</v>
      </c>
      <c r="I952" s="10"/>
      <c r="J952" s="9">
        <v>60370</v>
      </c>
      <c r="K952" s="10" t="s">
        <v>1920</v>
      </c>
      <c r="L952" s="10" t="s">
        <v>251</v>
      </c>
      <c r="M952" s="10" t="s">
        <v>1842</v>
      </c>
      <c r="N952" s="7"/>
    </row>
    <row r="953" s="1" customFormat="1" ht="28.5" customHeight="1" spans="1:14">
      <c r="A953" s="8">
        <v>20501</v>
      </c>
      <c r="B953" s="9">
        <v>20506</v>
      </c>
      <c r="C953" s="9" t="s">
        <v>33</v>
      </c>
      <c r="D953" s="9">
        <v>3000</v>
      </c>
      <c r="E953" s="9"/>
      <c r="F953" s="9">
        <v>20501</v>
      </c>
      <c r="G953" s="10" t="s">
        <v>1921</v>
      </c>
      <c r="H953" s="10" t="s">
        <v>563</v>
      </c>
      <c r="I953" s="10"/>
      <c r="J953" s="9">
        <v>20371</v>
      </c>
      <c r="K953" s="10" t="s">
        <v>1922</v>
      </c>
      <c r="L953" s="10" t="s">
        <v>252</v>
      </c>
      <c r="M953" s="10" t="s">
        <v>1842</v>
      </c>
      <c r="N953" s="7"/>
    </row>
    <row r="954" s="1" customFormat="1" ht="28.5" customHeight="1" spans="1:14">
      <c r="A954" s="8">
        <v>20501</v>
      </c>
      <c r="B954" s="9">
        <v>20507</v>
      </c>
      <c r="C954" s="9" t="s">
        <v>33</v>
      </c>
      <c r="D954" s="9">
        <v>2500</v>
      </c>
      <c r="E954" s="9"/>
      <c r="F954" s="9">
        <v>20501</v>
      </c>
      <c r="G954" s="10" t="s">
        <v>1923</v>
      </c>
      <c r="H954" s="10" t="s">
        <v>563</v>
      </c>
      <c r="I954" s="10"/>
      <c r="J954" s="9">
        <v>20372</v>
      </c>
      <c r="K954" s="10" t="s">
        <v>1924</v>
      </c>
      <c r="L954" s="10" t="s">
        <v>252</v>
      </c>
      <c r="M954" s="10" t="s">
        <v>1842</v>
      </c>
      <c r="N954" s="7"/>
    </row>
    <row r="955" s="1" customFormat="1" ht="28.5" customHeight="1" spans="1:14">
      <c r="A955" s="8">
        <v>20501</v>
      </c>
      <c r="B955" s="9">
        <v>20508</v>
      </c>
      <c r="C955" s="9" t="s">
        <v>33</v>
      </c>
      <c r="D955" s="9">
        <v>2000</v>
      </c>
      <c r="E955" s="9"/>
      <c r="F955" s="9">
        <v>20501</v>
      </c>
      <c r="G955" s="10" t="s">
        <v>1925</v>
      </c>
      <c r="H955" s="10" t="s">
        <v>563</v>
      </c>
      <c r="I955" s="10"/>
      <c r="J955" s="9">
        <v>20373</v>
      </c>
      <c r="K955" s="10" t="s">
        <v>1926</v>
      </c>
      <c r="L955" s="10" t="s">
        <v>252</v>
      </c>
      <c r="M955" s="10" t="s">
        <v>1842</v>
      </c>
      <c r="N955" s="7"/>
    </row>
    <row r="956" s="1" customFormat="1" ht="28.5" customHeight="1" spans="1:14">
      <c r="A956" s="8">
        <v>20501</v>
      </c>
      <c r="B956" s="9">
        <v>20509</v>
      </c>
      <c r="C956" s="9" t="s">
        <v>33</v>
      </c>
      <c r="D956" s="9">
        <v>1500</v>
      </c>
      <c r="E956" s="9"/>
      <c r="F956" s="9">
        <v>20501</v>
      </c>
      <c r="G956" s="10" t="s">
        <v>1927</v>
      </c>
      <c r="H956" s="10" t="s">
        <v>563</v>
      </c>
      <c r="I956" s="10"/>
      <c r="J956" s="9">
        <v>20374</v>
      </c>
      <c r="K956" s="10" t="s">
        <v>1928</v>
      </c>
      <c r="L956" s="10" t="s">
        <v>252</v>
      </c>
      <c r="M956" s="10" t="s">
        <v>1842</v>
      </c>
      <c r="N956" s="7"/>
    </row>
    <row r="957" s="1" customFormat="1" ht="28.5" customHeight="1" spans="1:14">
      <c r="A957" s="8">
        <v>20501</v>
      </c>
      <c r="B957" s="9">
        <v>20510</v>
      </c>
      <c r="C957" s="9" t="s">
        <v>33</v>
      </c>
      <c r="D957" s="9">
        <v>1000</v>
      </c>
      <c r="E957" s="9"/>
      <c r="F957" s="9">
        <v>20501</v>
      </c>
      <c r="G957" s="10" t="s">
        <v>1929</v>
      </c>
      <c r="H957" s="10" t="s">
        <v>563</v>
      </c>
      <c r="I957" s="10"/>
      <c r="J957" s="9">
        <v>20375</v>
      </c>
      <c r="K957" s="10" t="s">
        <v>1930</v>
      </c>
      <c r="L957" s="10" t="s">
        <v>252</v>
      </c>
      <c r="M957" s="10" t="s">
        <v>1842</v>
      </c>
      <c r="N957" s="7"/>
    </row>
    <row r="958" s="1" customFormat="1" ht="28.5" customHeight="1" spans="1:14">
      <c r="A958" s="8"/>
      <c r="B958" s="9"/>
      <c r="C958" s="9" t="s">
        <v>1289</v>
      </c>
      <c r="D958" s="9">
        <v>3000</v>
      </c>
      <c r="E958" s="9"/>
      <c r="F958" s="9"/>
      <c r="G958" s="10" t="s">
        <v>1857</v>
      </c>
      <c r="H958" s="10" t="s">
        <v>563</v>
      </c>
      <c r="I958" s="10"/>
      <c r="J958" s="9">
        <v>90376</v>
      </c>
      <c r="K958" s="10" t="s">
        <v>1858</v>
      </c>
      <c r="L958" s="10" t="s">
        <v>224</v>
      </c>
      <c r="M958" s="10" t="s">
        <v>1834</v>
      </c>
      <c r="N958" s="7"/>
    </row>
    <row r="959" s="1" customFormat="1" ht="28.5" customHeight="1" spans="1:14">
      <c r="A959" s="8"/>
      <c r="B959" s="9"/>
      <c r="C959" s="9" t="s">
        <v>1289</v>
      </c>
      <c r="D959" s="9">
        <v>2500</v>
      </c>
      <c r="E959" s="9"/>
      <c r="F959" s="9"/>
      <c r="G959" s="10" t="s">
        <v>1857</v>
      </c>
      <c r="H959" s="10" t="s">
        <v>563</v>
      </c>
      <c r="I959" s="10"/>
      <c r="J959" s="9">
        <v>90377</v>
      </c>
      <c r="K959" s="10" t="s">
        <v>1858</v>
      </c>
      <c r="L959" s="10" t="s">
        <v>224</v>
      </c>
      <c r="M959" s="10" t="s">
        <v>1834</v>
      </c>
      <c r="N959" s="7"/>
    </row>
    <row r="960" s="1" customFormat="1" ht="28.5" customHeight="1" spans="1:14">
      <c r="A960" s="8"/>
      <c r="B960" s="9"/>
      <c r="C960" s="9" t="s">
        <v>1289</v>
      </c>
      <c r="D960" s="9">
        <v>2000</v>
      </c>
      <c r="E960" s="9"/>
      <c r="F960" s="9"/>
      <c r="G960" s="10" t="s">
        <v>1857</v>
      </c>
      <c r="H960" s="10" t="s">
        <v>563</v>
      </c>
      <c r="I960" s="10"/>
      <c r="J960" s="9">
        <v>90378</v>
      </c>
      <c r="K960" s="10" t="s">
        <v>1858</v>
      </c>
      <c r="L960" s="10" t="s">
        <v>224</v>
      </c>
      <c r="M960" s="10" t="s">
        <v>1834</v>
      </c>
      <c r="N960" s="7"/>
    </row>
    <row r="961" s="1" customFormat="1" ht="28.5" customHeight="1" spans="1:14">
      <c r="A961" s="8"/>
      <c r="B961" s="9"/>
      <c r="C961" s="9" t="s">
        <v>1289</v>
      </c>
      <c r="D961" s="9">
        <v>1500</v>
      </c>
      <c r="E961" s="9"/>
      <c r="F961" s="9"/>
      <c r="G961" s="10" t="s">
        <v>1857</v>
      </c>
      <c r="H961" s="10" t="s">
        <v>563</v>
      </c>
      <c r="I961" s="10"/>
      <c r="J961" s="9">
        <v>90379</v>
      </c>
      <c r="K961" s="10" t="s">
        <v>1858</v>
      </c>
      <c r="L961" s="10" t="s">
        <v>224</v>
      </c>
      <c r="M961" s="10" t="s">
        <v>1834</v>
      </c>
      <c r="N961" s="7"/>
    </row>
    <row r="962" s="1" customFormat="1" ht="28.5" customHeight="1" spans="1:14">
      <c r="A962" s="8"/>
      <c r="B962" s="9"/>
      <c r="C962" s="9" t="s">
        <v>1289</v>
      </c>
      <c r="D962" s="9">
        <v>1000</v>
      </c>
      <c r="E962" s="9"/>
      <c r="F962" s="9"/>
      <c r="G962" s="10" t="s">
        <v>1857</v>
      </c>
      <c r="H962" s="10" t="s">
        <v>563</v>
      </c>
      <c r="I962" s="10"/>
      <c r="J962" s="9">
        <v>90380</v>
      </c>
      <c r="K962" s="10" t="s">
        <v>1858</v>
      </c>
      <c r="L962" s="10" t="s">
        <v>224</v>
      </c>
      <c r="M962" s="10" t="s">
        <v>1834</v>
      </c>
      <c r="N962" s="7"/>
    </row>
    <row r="963" s="1" customFormat="1" ht="28.5" customHeight="1" spans="1:14">
      <c r="A963" s="8"/>
      <c r="B963" s="9"/>
      <c r="C963" s="9" t="s">
        <v>1289</v>
      </c>
      <c r="D963" s="9">
        <v>3000</v>
      </c>
      <c r="E963" s="9"/>
      <c r="F963" s="9"/>
      <c r="G963" s="10" t="s">
        <v>1859</v>
      </c>
      <c r="H963" s="10" t="s">
        <v>563</v>
      </c>
      <c r="I963" s="10"/>
      <c r="J963" s="9">
        <v>70381</v>
      </c>
      <c r="K963" s="10" t="s">
        <v>1860</v>
      </c>
      <c r="L963" s="10" t="s">
        <v>228</v>
      </c>
      <c r="M963" s="10" t="s">
        <v>1834</v>
      </c>
      <c r="N963" s="7"/>
    </row>
    <row r="964" s="1" customFormat="1" ht="28.5" customHeight="1" spans="1:14">
      <c r="A964" s="8"/>
      <c r="B964" s="9"/>
      <c r="C964" s="9" t="s">
        <v>1289</v>
      </c>
      <c r="D964" s="9">
        <v>2500</v>
      </c>
      <c r="E964" s="9"/>
      <c r="F964" s="9"/>
      <c r="G964" s="10" t="s">
        <v>1859</v>
      </c>
      <c r="H964" s="10" t="s">
        <v>563</v>
      </c>
      <c r="I964" s="10"/>
      <c r="J964" s="9">
        <v>70382</v>
      </c>
      <c r="K964" s="10" t="s">
        <v>1860</v>
      </c>
      <c r="L964" s="10" t="s">
        <v>228</v>
      </c>
      <c r="M964" s="10" t="s">
        <v>1834</v>
      </c>
      <c r="N964" s="7"/>
    </row>
    <row r="965" s="1" customFormat="1" ht="28.5" customHeight="1" spans="1:14">
      <c r="A965" s="8"/>
      <c r="B965" s="9"/>
      <c r="C965" s="9" t="s">
        <v>1289</v>
      </c>
      <c r="D965" s="9">
        <v>2000</v>
      </c>
      <c r="E965" s="9"/>
      <c r="F965" s="9"/>
      <c r="G965" s="10" t="s">
        <v>1859</v>
      </c>
      <c r="H965" s="10" t="s">
        <v>563</v>
      </c>
      <c r="I965" s="10"/>
      <c r="J965" s="9">
        <v>70383</v>
      </c>
      <c r="K965" s="10" t="s">
        <v>1860</v>
      </c>
      <c r="L965" s="10" t="s">
        <v>228</v>
      </c>
      <c r="M965" s="10" t="s">
        <v>1834</v>
      </c>
      <c r="N965" s="7"/>
    </row>
    <row r="966" s="1" customFormat="1" ht="28.5" customHeight="1" spans="1:14">
      <c r="A966" s="8"/>
      <c r="B966" s="9"/>
      <c r="C966" s="9" t="s">
        <v>1289</v>
      </c>
      <c r="D966" s="9">
        <v>1500</v>
      </c>
      <c r="E966" s="9"/>
      <c r="F966" s="9"/>
      <c r="G966" s="10" t="s">
        <v>1859</v>
      </c>
      <c r="H966" s="10" t="s">
        <v>563</v>
      </c>
      <c r="I966" s="10"/>
      <c r="J966" s="9">
        <v>70384</v>
      </c>
      <c r="K966" s="10" t="s">
        <v>1860</v>
      </c>
      <c r="L966" s="10" t="s">
        <v>228</v>
      </c>
      <c r="M966" s="10" t="s">
        <v>1834</v>
      </c>
      <c r="N966" s="7"/>
    </row>
    <row r="967" s="1" customFormat="1" ht="28.5" customHeight="1" spans="1:14">
      <c r="A967" s="8"/>
      <c r="B967" s="9"/>
      <c r="C967" s="9" t="s">
        <v>1289</v>
      </c>
      <c r="D967" s="9">
        <v>1000</v>
      </c>
      <c r="E967" s="9"/>
      <c r="F967" s="9"/>
      <c r="G967" s="10" t="s">
        <v>1859</v>
      </c>
      <c r="H967" s="10" t="s">
        <v>563</v>
      </c>
      <c r="I967" s="10"/>
      <c r="J967" s="9">
        <v>70385</v>
      </c>
      <c r="K967" s="10" t="s">
        <v>1860</v>
      </c>
      <c r="L967" s="10" t="s">
        <v>228</v>
      </c>
      <c r="M967" s="10" t="s">
        <v>1834</v>
      </c>
      <c r="N967" s="7"/>
    </row>
    <row r="968" s="1" customFormat="1" ht="28.5" customHeight="1" spans="1:14">
      <c r="A968" s="8"/>
      <c r="B968" s="9"/>
      <c r="C968" s="9" t="s">
        <v>1289</v>
      </c>
      <c r="D968" s="9">
        <v>3000</v>
      </c>
      <c r="E968" s="9"/>
      <c r="F968" s="9"/>
      <c r="G968" s="10" t="s">
        <v>1861</v>
      </c>
      <c r="H968" s="10" t="s">
        <v>563</v>
      </c>
      <c r="I968" s="10"/>
      <c r="J968" s="9">
        <v>80386</v>
      </c>
      <c r="K968" s="10" t="s">
        <v>1862</v>
      </c>
      <c r="L968" s="10" t="s">
        <v>231</v>
      </c>
      <c r="M968" s="10" t="s">
        <v>1834</v>
      </c>
      <c r="N968" s="7"/>
    </row>
    <row r="969" s="1" customFormat="1" ht="28.5" customHeight="1" spans="1:14">
      <c r="A969" s="8"/>
      <c r="B969" s="9"/>
      <c r="C969" s="9" t="s">
        <v>1289</v>
      </c>
      <c r="D969" s="9">
        <v>2500</v>
      </c>
      <c r="E969" s="9"/>
      <c r="F969" s="9"/>
      <c r="G969" s="10" t="s">
        <v>1861</v>
      </c>
      <c r="H969" s="10" t="s">
        <v>563</v>
      </c>
      <c r="I969" s="10"/>
      <c r="J969" s="9">
        <v>80387</v>
      </c>
      <c r="K969" s="10" t="s">
        <v>1862</v>
      </c>
      <c r="L969" s="10" t="s">
        <v>231</v>
      </c>
      <c r="M969" s="10" t="s">
        <v>1834</v>
      </c>
      <c r="N969" s="7"/>
    </row>
    <row r="970" s="1" customFormat="1" ht="28.5" customHeight="1" spans="1:14">
      <c r="A970" s="8"/>
      <c r="B970" s="9"/>
      <c r="C970" s="9" t="s">
        <v>1289</v>
      </c>
      <c r="D970" s="9">
        <v>2000</v>
      </c>
      <c r="E970" s="9"/>
      <c r="F970" s="9"/>
      <c r="G970" s="10" t="s">
        <v>1861</v>
      </c>
      <c r="H970" s="10" t="s">
        <v>563</v>
      </c>
      <c r="I970" s="10"/>
      <c r="J970" s="9">
        <v>80388</v>
      </c>
      <c r="K970" s="10" t="s">
        <v>1862</v>
      </c>
      <c r="L970" s="10" t="s">
        <v>231</v>
      </c>
      <c r="M970" s="10" t="s">
        <v>1834</v>
      </c>
      <c r="N970" s="7"/>
    </row>
    <row r="971" s="1" customFormat="1" ht="28.5" customHeight="1" spans="1:14">
      <c r="A971" s="8"/>
      <c r="B971" s="9"/>
      <c r="C971" s="9" t="s">
        <v>1289</v>
      </c>
      <c r="D971" s="9">
        <v>1500</v>
      </c>
      <c r="E971" s="9"/>
      <c r="F971" s="9"/>
      <c r="G971" s="10" t="s">
        <v>1861</v>
      </c>
      <c r="H971" s="10" t="s">
        <v>563</v>
      </c>
      <c r="I971" s="10"/>
      <c r="J971" s="9">
        <v>80389</v>
      </c>
      <c r="K971" s="10" t="s">
        <v>1862</v>
      </c>
      <c r="L971" s="10" t="s">
        <v>231</v>
      </c>
      <c r="M971" s="10" t="s">
        <v>1834</v>
      </c>
      <c r="N971" s="7"/>
    </row>
    <row r="972" s="1" customFormat="1" ht="28.5" customHeight="1" spans="1:14">
      <c r="A972" s="8"/>
      <c r="B972" s="9"/>
      <c r="C972" s="9" t="s">
        <v>1289</v>
      </c>
      <c r="D972" s="9">
        <v>1000</v>
      </c>
      <c r="E972" s="9"/>
      <c r="F972" s="9"/>
      <c r="G972" s="10" t="s">
        <v>1861</v>
      </c>
      <c r="H972" s="10" t="s">
        <v>563</v>
      </c>
      <c r="I972" s="10"/>
      <c r="J972" s="9">
        <v>80390</v>
      </c>
      <c r="K972" s="10" t="s">
        <v>1862</v>
      </c>
      <c r="L972" s="10" t="s">
        <v>231</v>
      </c>
      <c r="M972" s="10" t="s">
        <v>1834</v>
      </c>
      <c r="N972" s="7"/>
    </row>
    <row r="973" s="1" customFormat="1" ht="28.5" customHeight="1" spans="1:14">
      <c r="A973" s="8"/>
      <c r="B973" s="9"/>
      <c r="C973" s="9" t="s">
        <v>1289</v>
      </c>
      <c r="D973" s="9">
        <v>3000</v>
      </c>
      <c r="E973" s="9"/>
      <c r="F973" s="9"/>
      <c r="G973" s="10" t="s">
        <v>2141</v>
      </c>
      <c r="H973" s="10" t="s">
        <v>563</v>
      </c>
      <c r="I973" s="10"/>
      <c r="J973" s="9">
        <v>100391</v>
      </c>
      <c r="K973" s="10" t="s">
        <v>284</v>
      </c>
      <c r="L973" s="10" t="s">
        <v>248</v>
      </c>
      <c r="M973" s="10" t="s">
        <v>1834</v>
      </c>
      <c r="N973" s="7"/>
    </row>
    <row r="974" s="1" customFormat="1" ht="28.5" customHeight="1" spans="1:14">
      <c r="A974" s="8"/>
      <c r="B974" s="9"/>
      <c r="C974" s="9" t="s">
        <v>1289</v>
      </c>
      <c r="D974" s="9">
        <v>2500</v>
      </c>
      <c r="E974" s="9"/>
      <c r="F974" s="9"/>
      <c r="G974" s="10" t="s">
        <v>2141</v>
      </c>
      <c r="H974" s="10" t="s">
        <v>563</v>
      </c>
      <c r="I974" s="10"/>
      <c r="J974" s="9">
        <v>100392</v>
      </c>
      <c r="K974" s="10" t="s">
        <v>284</v>
      </c>
      <c r="L974" s="10" t="s">
        <v>248</v>
      </c>
      <c r="M974" s="10" t="s">
        <v>1834</v>
      </c>
      <c r="N974" s="7"/>
    </row>
    <row r="975" s="1" customFormat="1" ht="28.5" customHeight="1" spans="1:14">
      <c r="A975" s="8"/>
      <c r="B975" s="9"/>
      <c r="C975" s="9" t="s">
        <v>1289</v>
      </c>
      <c r="D975" s="9">
        <v>2000</v>
      </c>
      <c r="E975" s="9"/>
      <c r="F975" s="9"/>
      <c r="G975" s="10" t="s">
        <v>2141</v>
      </c>
      <c r="H975" s="10" t="s">
        <v>563</v>
      </c>
      <c r="I975" s="10"/>
      <c r="J975" s="9">
        <v>100393</v>
      </c>
      <c r="K975" s="10" t="s">
        <v>284</v>
      </c>
      <c r="L975" s="10" t="s">
        <v>248</v>
      </c>
      <c r="M975" s="10" t="s">
        <v>1834</v>
      </c>
      <c r="N975" s="7"/>
    </row>
    <row r="976" s="1" customFormat="1" ht="28.5" customHeight="1" spans="1:14">
      <c r="A976" s="8"/>
      <c r="B976" s="9"/>
      <c r="C976" s="9" t="s">
        <v>1289</v>
      </c>
      <c r="D976" s="9">
        <v>1500</v>
      </c>
      <c r="E976" s="9"/>
      <c r="F976" s="9"/>
      <c r="G976" s="10" t="s">
        <v>2141</v>
      </c>
      <c r="H976" s="10" t="s">
        <v>563</v>
      </c>
      <c r="I976" s="10"/>
      <c r="J976" s="9">
        <v>100394</v>
      </c>
      <c r="K976" s="10" t="s">
        <v>284</v>
      </c>
      <c r="L976" s="10" t="s">
        <v>248</v>
      </c>
      <c r="M976" s="10" t="s">
        <v>1834</v>
      </c>
      <c r="N976" s="7"/>
    </row>
    <row r="977" s="1" customFormat="1" ht="28.5" customHeight="1" spans="1:14">
      <c r="A977" s="8"/>
      <c r="B977" s="9"/>
      <c r="C977" s="9" t="s">
        <v>1289</v>
      </c>
      <c r="D977" s="9">
        <v>1000</v>
      </c>
      <c r="E977" s="9"/>
      <c r="F977" s="9"/>
      <c r="G977" s="10" t="s">
        <v>2141</v>
      </c>
      <c r="H977" s="10" t="s">
        <v>563</v>
      </c>
      <c r="I977" s="10"/>
      <c r="J977" s="9">
        <v>100395</v>
      </c>
      <c r="K977" s="10" t="s">
        <v>284</v>
      </c>
      <c r="L977" s="10" t="s">
        <v>248</v>
      </c>
      <c r="M977" s="10" t="s">
        <v>1834</v>
      </c>
      <c r="N977" s="7"/>
    </row>
    <row r="978" s="1" customFormat="1" ht="28.5" customHeight="1" spans="1:14">
      <c r="A978" s="8"/>
      <c r="B978" s="9"/>
      <c r="C978" s="9" t="s">
        <v>1289</v>
      </c>
      <c r="D978" s="9">
        <v>3000</v>
      </c>
      <c r="E978" s="9"/>
      <c r="F978" s="9"/>
      <c r="G978" s="10" t="s">
        <v>2194</v>
      </c>
      <c r="H978" s="10" t="s">
        <v>563</v>
      </c>
      <c r="I978" s="10"/>
      <c r="J978" s="9">
        <v>10396</v>
      </c>
      <c r="K978" s="10" t="s">
        <v>2195</v>
      </c>
      <c r="L978" s="10" t="s">
        <v>298</v>
      </c>
      <c r="M978" s="10" t="s">
        <v>1834</v>
      </c>
      <c r="N978" s="7"/>
    </row>
    <row r="979" s="1" customFormat="1" ht="28.5" customHeight="1" spans="1:14">
      <c r="A979" s="8"/>
      <c r="B979" s="9"/>
      <c r="C979" s="9" t="s">
        <v>1289</v>
      </c>
      <c r="D979" s="9">
        <v>2500</v>
      </c>
      <c r="E979" s="9"/>
      <c r="F979" s="9"/>
      <c r="G979" s="10" t="s">
        <v>2196</v>
      </c>
      <c r="H979" s="10" t="s">
        <v>563</v>
      </c>
      <c r="I979" s="10"/>
      <c r="J979" s="9">
        <v>10397</v>
      </c>
      <c r="K979" s="10" t="s">
        <v>2197</v>
      </c>
      <c r="L979" s="10" t="s">
        <v>298</v>
      </c>
      <c r="M979" s="10" t="s">
        <v>1834</v>
      </c>
      <c r="N979" s="7"/>
    </row>
    <row r="980" s="1" customFormat="1" ht="28.5" customHeight="1" spans="1:14">
      <c r="A980" s="8"/>
      <c r="B980" s="9"/>
      <c r="C980" s="9" t="s">
        <v>1289</v>
      </c>
      <c r="D980" s="9">
        <v>2000</v>
      </c>
      <c r="E980" s="9"/>
      <c r="F980" s="9"/>
      <c r="G980" s="10" t="s">
        <v>2198</v>
      </c>
      <c r="H980" s="10" t="s">
        <v>563</v>
      </c>
      <c r="I980" s="10"/>
      <c r="J980" s="9">
        <v>10398</v>
      </c>
      <c r="K980" s="10" t="s">
        <v>2199</v>
      </c>
      <c r="L980" s="10" t="s">
        <v>298</v>
      </c>
      <c r="M980" s="10" t="s">
        <v>1834</v>
      </c>
      <c r="N980" s="7"/>
    </row>
    <row r="981" s="1" customFormat="1" ht="28.5" customHeight="1" spans="1:14">
      <c r="A981" s="8"/>
      <c r="B981" s="9"/>
      <c r="C981" s="9" t="s">
        <v>1289</v>
      </c>
      <c r="D981" s="9">
        <v>1500</v>
      </c>
      <c r="E981" s="9"/>
      <c r="F981" s="9"/>
      <c r="G981" s="10" t="s">
        <v>2200</v>
      </c>
      <c r="H981" s="10" t="s">
        <v>563</v>
      </c>
      <c r="I981" s="10"/>
      <c r="J981" s="9">
        <v>10399</v>
      </c>
      <c r="K981" s="10" t="s">
        <v>2201</v>
      </c>
      <c r="L981" s="10" t="s">
        <v>298</v>
      </c>
      <c r="M981" s="10" t="s">
        <v>1834</v>
      </c>
      <c r="N981" s="7"/>
    </row>
    <row r="982" s="1" customFormat="1" ht="28.5" customHeight="1" spans="1:14">
      <c r="A982" s="8"/>
      <c r="B982" s="9"/>
      <c r="C982" s="9" t="s">
        <v>1289</v>
      </c>
      <c r="D982" s="9">
        <v>1000</v>
      </c>
      <c r="E982" s="9"/>
      <c r="F982" s="9"/>
      <c r="G982" s="10" t="s">
        <v>2202</v>
      </c>
      <c r="H982" s="10" t="s">
        <v>563</v>
      </c>
      <c r="I982" s="10"/>
      <c r="J982" s="9">
        <v>10400</v>
      </c>
      <c r="K982" s="10" t="s">
        <v>2203</v>
      </c>
      <c r="L982" s="10" t="s">
        <v>298</v>
      </c>
      <c r="M982" s="10" t="s">
        <v>1834</v>
      </c>
      <c r="N982" s="7"/>
    </row>
    <row r="983" s="1" customFormat="1" ht="28.5" customHeight="1" spans="1:14">
      <c r="A983" s="8">
        <v>20501</v>
      </c>
      <c r="B983" s="9">
        <v>20511</v>
      </c>
      <c r="C983" s="9" t="s">
        <v>33</v>
      </c>
      <c r="D983" s="9">
        <v>0</v>
      </c>
      <c r="E983" s="9"/>
      <c r="F983" s="9">
        <v>20502</v>
      </c>
      <c r="G983" s="10" t="s">
        <v>1479</v>
      </c>
      <c r="H983" s="10" t="s">
        <v>563</v>
      </c>
      <c r="I983" s="10"/>
      <c r="J983" s="9">
        <v>60401</v>
      </c>
      <c r="K983" s="10" t="s">
        <v>2204</v>
      </c>
      <c r="L983" s="10" t="s">
        <v>299</v>
      </c>
      <c r="M983" s="10" t="s">
        <v>1842</v>
      </c>
      <c r="N983" s="7"/>
    </row>
    <row r="984" s="1" customFormat="1" ht="28.5" customHeight="1" spans="1:14">
      <c r="A984" s="8">
        <v>20501</v>
      </c>
      <c r="B984" s="9">
        <v>20512</v>
      </c>
      <c r="C984" s="9" t="s">
        <v>33</v>
      </c>
      <c r="D984" s="9">
        <v>0</v>
      </c>
      <c r="E984" s="9"/>
      <c r="F984" s="9">
        <v>20502</v>
      </c>
      <c r="G984" s="10" t="s">
        <v>1481</v>
      </c>
      <c r="H984" s="10" t="s">
        <v>563</v>
      </c>
      <c r="I984" s="10"/>
      <c r="J984" s="9">
        <v>60402</v>
      </c>
      <c r="K984" s="10" t="s">
        <v>2205</v>
      </c>
      <c r="L984" s="10" t="s">
        <v>299</v>
      </c>
      <c r="M984" s="10" t="s">
        <v>1842</v>
      </c>
      <c r="N984" s="7"/>
    </row>
    <row r="985" s="1" customFormat="1" ht="28.5" customHeight="1" spans="1:14">
      <c r="A985" s="8">
        <v>20501</v>
      </c>
      <c r="B985" s="9">
        <v>20513</v>
      </c>
      <c r="C985" s="9" t="s">
        <v>33</v>
      </c>
      <c r="D985" s="9">
        <v>0</v>
      </c>
      <c r="E985" s="9"/>
      <c r="F985" s="9">
        <v>20502</v>
      </c>
      <c r="G985" s="10" t="s">
        <v>1483</v>
      </c>
      <c r="H985" s="10" t="s">
        <v>563</v>
      </c>
      <c r="I985" s="10"/>
      <c r="J985" s="9">
        <v>60403</v>
      </c>
      <c r="K985" s="10" t="s">
        <v>2206</v>
      </c>
      <c r="L985" s="10" t="s">
        <v>299</v>
      </c>
      <c r="M985" s="10" t="s">
        <v>1842</v>
      </c>
      <c r="N985" s="7"/>
    </row>
    <row r="986" s="1" customFormat="1" ht="28.5" customHeight="1" spans="1:14">
      <c r="A986" s="8">
        <v>20501</v>
      </c>
      <c r="B986" s="9">
        <v>20514</v>
      </c>
      <c r="C986" s="9" t="s">
        <v>33</v>
      </c>
      <c r="D986" s="9">
        <v>0</v>
      </c>
      <c r="E986" s="9"/>
      <c r="F986" s="9">
        <v>20502</v>
      </c>
      <c r="G986" s="10" t="s">
        <v>1485</v>
      </c>
      <c r="H986" s="10" t="s">
        <v>563</v>
      </c>
      <c r="I986" s="10"/>
      <c r="J986" s="9">
        <v>60404</v>
      </c>
      <c r="K986" s="10" t="s">
        <v>2207</v>
      </c>
      <c r="L986" s="10" t="s">
        <v>299</v>
      </c>
      <c r="M986" s="10" t="s">
        <v>1842</v>
      </c>
      <c r="N986" s="7"/>
    </row>
    <row r="987" s="1" customFormat="1" ht="28.5" customHeight="1" spans="1:14">
      <c r="A987" s="8">
        <v>20501</v>
      </c>
      <c r="B987" s="9">
        <v>20515</v>
      </c>
      <c r="C987" s="9" t="s">
        <v>33</v>
      </c>
      <c r="D987" s="9">
        <v>0</v>
      </c>
      <c r="E987" s="9"/>
      <c r="F987" s="9">
        <v>20502</v>
      </c>
      <c r="G987" s="10" t="s">
        <v>1487</v>
      </c>
      <c r="H987" s="10" t="s">
        <v>563</v>
      </c>
      <c r="I987" s="10"/>
      <c r="J987" s="9">
        <v>60405</v>
      </c>
      <c r="K987" s="10" t="s">
        <v>2208</v>
      </c>
      <c r="L987" s="10" t="s">
        <v>299</v>
      </c>
      <c r="M987" s="10" t="s">
        <v>1842</v>
      </c>
      <c r="N987" s="7"/>
    </row>
    <row r="988" s="1" customFormat="1" ht="28.5" customHeight="1" spans="1:14">
      <c r="A988" s="8">
        <v>20501</v>
      </c>
      <c r="B988" s="9">
        <v>20516</v>
      </c>
      <c r="C988" s="9" t="s">
        <v>33</v>
      </c>
      <c r="D988" s="9">
        <v>3000</v>
      </c>
      <c r="E988" s="9"/>
      <c r="F988" s="9">
        <v>20503</v>
      </c>
      <c r="G988" s="10" t="s">
        <v>1477</v>
      </c>
      <c r="H988" s="10" t="s">
        <v>563</v>
      </c>
      <c r="I988" s="10"/>
      <c r="J988" s="9">
        <v>50406</v>
      </c>
      <c r="K988" s="10" t="s">
        <v>2163</v>
      </c>
      <c r="L988" s="10" t="s">
        <v>300</v>
      </c>
      <c r="M988" s="10" t="s">
        <v>1842</v>
      </c>
      <c r="N988" s="7"/>
    </row>
    <row r="989" s="1" customFormat="1" ht="28.5" customHeight="1" spans="1:14">
      <c r="A989" s="8">
        <v>20501</v>
      </c>
      <c r="B989" s="9">
        <v>20517</v>
      </c>
      <c r="C989" s="9" t="s">
        <v>33</v>
      </c>
      <c r="D989" s="9">
        <v>2500</v>
      </c>
      <c r="E989" s="9"/>
      <c r="F989" s="9">
        <v>20503</v>
      </c>
      <c r="G989" s="10" t="s">
        <v>1489</v>
      </c>
      <c r="H989" s="10" t="s">
        <v>563</v>
      </c>
      <c r="I989" s="10"/>
      <c r="J989" s="9">
        <v>50407</v>
      </c>
      <c r="K989" s="10" t="s">
        <v>2209</v>
      </c>
      <c r="L989" s="10" t="s">
        <v>300</v>
      </c>
      <c r="M989" s="10" t="s">
        <v>1842</v>
      </c>
      <c r="N989" s="7"/>
    </row>
    <row r="990" s="1" customFormat="1" ht="28.5" customHeight="1" spans="1:14">
      <c r="A990" s="8">
        <v>20501</v>
      </c>
      <c r="B990" s="9">
        <v>20518</v>
      </c>
      <c r="C990" s="9" t="s">
        <v>33</v>
      </c>
      <c r="D990" s="9">
        <v>2000</v>
      </c>
      <c r="E990" s="9"/>
      <c r="F990" s="9">
        <v>20503</v>
      </c>
      <c r="G990" s="10" t="s">
        <v>2210</v>
      </c>
      <c r="H990" s="10" t="s">
        <v>563</v>
      </c>
      <c r="I990" s="10"/>
      <c r="J990" s="9">
        <v>50408</v>
      </c>
      <c r="K990" s="10" t="s">
        <v>2211</v>
      </c>
      <c r="L990" s="10" t="s">
        <v>300</v>
      </c>
      <c r="M990" s="10" t="s">
        <v>1842</v>
      </c>
      <c r="N990" s="7"/>
    </row>
    <row r="991" s="1" customFormat="1" ht="28.5" customHeight="1" spans="1:14">
      <c r="A991" s="8">
        <v>20501</v>
      </c>
      <c r="B991" s="9">
        <v>20519</v>
      </c>
      <c r="C991" s="9" t="s">
        <v>33</v>
      </c>
      <c r="D991" s="9">
        <v>1500</v>
      </c>
      <c r="E991" s="9"/>
      <c r="F991" s="9">
        <v>20503</v>
      </c>
      <c r="G991" s="10" t="s">
        <v>2212</v>
      </c>
      <c r="H991" s="10" t="s">
        <v>563</v>
      </c>
      <c r="I991" s="10"/>
      <c r="J991" s="9">
        <v>50409</v>
      </c>
      <c r="K991" s="10" t="s">
        <v>2213</v>
      </c>
      <c r="L991" s="10" t="s">
        <v>300</v>
      </c>
      <c r="M991" s="10" t="s">
        <v>1842</v>
      </c>
      <c r="N991" s="7"/>
    </row>
    <row r="992" s="1" customFormat="1" ht="28.5" customHeight="1" spans="1:14">
      <c r="A992" s="8">
        <v>20501</v>
      </c>
      <c r="B992" s="9">
        <v>20520</v>
      </c>
      <c r="C992" s="9" t="s">
        <v>33</v>
      </c>
      <c r="D992" s="9">
        <v>1000</v>
      </c>
      <c r="E992" s="9"/>
      <c r="F992" s="9">
        <v>20503</v>
      </c>
      <c r="G992" s="10" t="s">
        <v>1497</v>
      </c>
      <c r="H992" s="10" t="s">
        <v>563</v>
      </c>
      <c r="I992" s="10"/>
      <c r="J992" s="9">
        <v>50410</v>
      </c>
      <c r="K992" s="10" t="s">
        <v>2214</v>
      </c>
      <c r="L992" s="10" t="s">
        <v>300</v>
      </c>
      <c r="M992" s="10" t="s">
        <v>1842</v>
      </c>
      <c r="N992" s="7"/>
    </row>
    <row r="993" s="1" customFormat="1" ht="28.5" customHeight="1" spans="1:14">
      <c r="A993" s="8"/>
      <c r="B993" s="9"/>
      <c r="C993" s="9" t="s">
        <v>1289</v>
      </c>
      <c r="D993" s="9">
        <v>3000</v>
      </c>
      <c r="E993" s="9"/>
      <c r="F993" s="9"/>
      <c r="G993" s="10" t="s">
        <v>2215</v>
      </c>
      <c r="H993" s="10" t="s">
        <v>563</v>
      </c>
      <c r="I993" s="10"/>
      <c r="J993" s="9">
        <v>30411</v>
      </c>
      <c r="K993" s="10" t="s">
        <v>2216</v>
      </c>
      <c r="L993" s="10" t="s">
        <v>301</v>
      </c>
      <c r="M993" s="10" t="s">
        <v>1834</v>
      </c>
      <c r="N993" s="7"/>
    </row>
    <row r="994" s="1" customFormat="1" ht="28.5" customHeight="1" spans="1:14">
      <c r="A994" s="8"/>
      <c r="B994" s="9"/>
      <c r="C994" s="9" t="s">
        <v>1289</v>
      </c>
      <c r="D994" s="9">
        <v>2500</v>
      </c>
      <c r="E994" s="9"/>
      <c r="F994" s="9"/>
      <c r="G994" s="10" t="s">
        <v>2217</v>
      </c>
      <c r="H994" s="10" t="s">
        <v>563</v>
      </c>
      <c r="I994" s="10"/>
      <c r="J994" s="9">
        <v>30412</v>
      </c>
      <c r="K994" s="10" t="s">
        <v>2218</v>
      </c>
      <c r="L994" s="10" t="s">
        <v>301</v>
      </c>
      <c r="M994" s="10" t="s">
        <v>1834</v>
      </c>
      <c r="N994" s="7"/>
    </row>
    <row r="995" s="1" customFormat="1" ht="28.5" customHeight="1" spans="1:14">
      <c r="A995" s="8"/>
      <c r="B995" s="9"/>
      <c r="C995" s="9" t="s">
        <v>1289</v>
      </c>
      <c r="D995" s="9">
        <v>2000</v>
      </c>
      <c r="E995" s="9"/>
      <c r="F995" s="9"/>
      <c r="G995" s="10" t="s">
        <v>2219</v>
      </c>
      <c r="H995" s="10" t="s">
        <v>563</v>
      </c>
      <c r="I995" s="10"/>
      <c r="J995" s="9">
        <v>30413</v>
      </c>
      <c r="K995" s="10" t="s">
        <v>2220</v>
      </c>
      <c r="L995" s="10" t="s">
        <v>301</v>
      </c>
      <c r="M995" s="10" t="s">
        <v>1834</v>
      </c>
      <c r="N995" s="7"/>
    </row>
    <row r="996" s="1" customFormat="1" ht="28.5" customHeight="1" spans="1:14">
      <c r="A996" s="8"/>
      <c r="B996" s="9"/>
      <c r="C996" s="9" t="s">
        <v>1289</v>
      </c>
      <c r="D996" s="9">
        <v>1500</v>
      </c>
      <c r="E996" s="9"/>
      <c r="F996" s="9"/>
      <c r="G996" s="10" t="s">
        <v>2221</v>
      </c>
      <c r="H996" s="10" t="s">
        <v>563</v>
      </c>
      <c r="I996" s="10"/>
      <c r="J996" s="9">
        <v>30414</v>
      </c>
      <c r="K996" s="10" t="s">
        <v>2222</v>
      </c>
      <c r="L996" s="10" t="s">
        <v>301</v>
      </c>
      <c r="M996" s="10" t="s">
        <v>1834</v>
      </c>
      <c r="N996" s="7"/>
    </row>
    <row r="997" s="1" customFormat="1" ht="28.5" customHeight="1" spans="1:14">
      <c r="A997" s="8"/>
      <c r="B997" s="9"/>
      <c r="C997" s="9" t="s">
        <v>1289</v>
      </c>
      <c r="D997" s="9">
        <v>1000</v>
      </c>
      <c r="E997" s="9"/>
      <c r="F997" s="9"/>
      <c r="G997" s="10" t="s">
        <v>2223</v>
      </c>
      <c r="H997" s="10" t="s">
        <v>563</v>
      </c>
      <c r="I997" s="10"/>
      <c r="J997" s="9">
        <v>30415</v>
      </c>
      <c r="K997" s="10" t="s">
        <v>2224</v>
      </c>
      <c r="L997" s="10" t="s">
        <v>301</v>
      </c>
      <c r="M997" s="10" t="s">
        <v>1834</v>
      </c>
      <c r="N997" s="7"/>
    </row>
    <row r="998" s="1" customFormat="1" ht="28.5" customHeight="1" spans="1:14">
      <c r="A998" s="8">
        <v>20501</v>
      </c>
      <c r="B998" s="9">
        <v>20521</v>
      </c>
      <c r="C998" s="9" t="s">
        <v>33</v>
      </c>
      <c r="D998" s="9">
        <v>3000</v>
      </c>
      <c r="E998" s="9"/>
      <c r="F998" s="9">
        <v>20504</v>
      </c>
      <c r="G998" s="10" t="s">
        <v>2182</v>
      </c>
      <c r="H998" s="10" t="s">
        <v>563</v>
      </c>
      <c r="I998" s="10"/>
      <c r="J998" s="9">
        <v>40416</v>
      </c>
      <c r="K998" s="10" t="s">
        <v>2183</v>
      </c>
      <c r="L998" s="10" t="s">
        <v>302</v>
      </c>
      <c r="M998" s="10" t="s">
        <v>1842</v>
      </c>
      <c r="N998" s="7"/>
    </row>
    <row r="999" s="1" customFormat="1" ht="28.5" customHeight="1" spans="1:14">
      <c r="A999" s="8">
        <v>20501</v>
      </c>
      <c r="B999" s="9">
        <v>20522</v>
      </c>
      <c r="C999" s="9" t="s">
        <v>33</v>
      </c>
      <c r="D999" s="9">
        <v>2500</v>
      </c>
      <c r="E999" s="9"/>
      <c r="F999" s="9">
        <v>20504</v>
      </c>
      <c r="G999" s="10" t="s">
        <v>2225</v>
      </c>
      <c r="H999" s="10" t="s">
        <v>563</v>
      </c>
      <c r="I999" s="10"/>
      <c r="J999" s="9">
        <v>40417</v>
      </c>
      <c r="K999" s="10" t="s">
        <v>2226</v>
      </c>
      <c r="L999" s="10" t="s">
        <v>302</v>
      </c>
      <c r="M999" s="10" t="s">
        <v>1842</v>
      </c>
      <c r="N999" s="7"/>
    </row>
    <row r="1000" s="1" customFormat="1" ht="28.5" customHeight="1" spans="1:14">
      <c r="A1000" s="8">
        <v>20501</v>
      </c>
      <c r="B1000" s="9">
        <v>20523</v>
      </c>
      <c r="C1000" s="9" t="s">
        <v>33</v>
      </c>
      <c r="D1000" s="9">
        <v>2000</v>
      </c>
      <c r="E1000" s="9"/>
      <c r="F1000" s="9">
        <v>20504</v>
      </c>
      <c r="G1000" s="10" t="s">
        <v>2227</v>
      </c>
      <c r="H1000" s="10" t="s">
        <v>563</v>
      </c>
      <c r="I1000" s="10"/>
      <c r="J1000" s="9">
        <v>40418</v>
      </c>
      <c r="K1000" s="10" t="s">
        <v>2228</v>
      </c>
      <c r="L1000" s="10" t="s">
        <v>302</v>
      </c>
      <c r="M1000" s="10" t="s">
        <v>1842</v>
      </c>
      <c r="N1000" s="7"/>
    </row>
    <row r="1001" s="1" customFormat="1" ht="28.5" customHeight="1" spans="1:14">
      <c r="A1001" s="8">
        <v>20501</v>
      </c>
      <c r="B1001" s="9">
        <v>20524</v>
      </c>
      <c r="C1001" s="9" t="s">
        <v>33</v>
      </c>
      <c r="D1001" s="9">
        <v>1500</v>
      </c>
      <c r="E1001" s="9"/>
      <c r="F1001" s="9">
        <v>20504</v>
      </c>
      <c r="G1001" s="10" t="s">
        <v>2229</v>
      </c>
      <c r="H1001" s="10" t="s">
        <v>563</v>
      </c>
      <c r="I1001" s="10"/>
      <c r="J1001" s="9">
        <v>40419</v>
      </c>
      <c r="K1001" s="10" t="s">
        <v>2230</v>
      </c>
      <c r="L1001" s="10" t="s">
        <v>302</v>
      </c>
      <c r="M1001" s="10" t="s">
        <v>1842</v>
      </c>
      <c r="N1001" s="7"/>
    </row>
    <row r="1002" s="1" customFormat="1" ht="28.5" customHeight="1" spans="1:14">
      <c r="A1002" s="8">
        <v>20501</v>
      </c>
      <c r="B1002" s="9">
        <v>20525</v>
      </c>
      <c r="C1002" s="9" t="s">
        <v>33</v>
      </c>
      <c r="D1002" s="9">
        <v>1000</v>
      </c>
      <c r="E1002" s="9"/>
      <c r="F1002" s="9">
        <v>20504</v>
      </c>
      <c r="G1002" s="10" t="s">
        <v>2231</v>
      </c>
      <c r="H1002" s="10" t="s">
        <v>563</v>
      </c>
      <c r="I1002" s="10"/>
      <c r="J1002" s="9">
        <v>40420</v>
      </c>
      <c r="K1002" s="10" t="s">
        <v>2232</v>
      </c>
      <c r="L1002" s="10" t="s">
        <v>302</v>
      </c>
      <c r="M1002" s="10" t="s">
        <v>1842</v>
      </c>
      <c r="N1002" s="7"/>
    </row>
    <row r="1003" s="1" customFormat="1" ht="28.5" customHeight="1" spans="1:14">
      <c r="A1003" s="8"/>
      <c r="B1003" s="9"/>
      <c r="C1003" s="9" t="s">
        <v>1289</v>
      </c>
      <c r="D1003" s="9">
        <v>3000</v>
      </c>
      <c r="E1003" s="9"/>
      <c r="F1003" s="9"/>
      <c r="G1003" s="10" t="s">
        <v>2233</v>
      </c>
      <c r="H1003" s="10" t="s">
        <v>563</v>
      </c>
      <c r="I1003" s="10"/>
      <c r="J1003" s="9">
        <v>10421</v>
      </c>
      <c r="K1003" s="10" t="s">
        <v>2234</v>
      </c>
      <c r="L1003" s="10" t="s">
        <v>260</v>
      </c>
      <c r="M1003" s="10" t="s">
        <v>1834</v>
      </c>
      <c r="N1003" s="7"/>
    </row>
    <row r="1004" s="1" customFormat="1" ht="28.5" customHeight="1" spans="1:14">
      <c r="A1004" s="8"/>
      <c r="B1004" s="9"/>
      <c r="C1004" s="9" t="s">
        <v>1289</v>
      </c>
      <c r="D1004" s="9">
        <v>2500</v>
      </c>
      <c r="E1004" s="9"/>
      <c r="F1004" s="9"/>
      <c r="G1004" s="10" t="s">
        <v>2235</v>
      </c>
      <c r="H1004" s="10" t="s">
        <v>563</v>
      </c>
      <c r="I1004" s="10"/>
      <c r="J1004" s="9">
        <v>10422</v>
      </c>
      <c r="K1004" s="10" t="s">
        <v>2236</v>
      </c>
      <c r="L1004" s="10" t="s">
        <v>260</v>
      </c>
      <c r="M1004" s="10" t="s">
        <v>1834</v>
      </c>
      <c r="N1004" s="7"/>
    </row>
    <row r="1005" s="1" customFormat="1" ht="28.5" customHeight="1" spans="1:14">
      <c r="A1005" s="8"/>
      <c r="B1005" s="9"/>
      <c r="C1005" s="9" t="s">
        <v>1289</v>
      </c>
      <c r="D1005" s="9">
        <v>2000</v>
      </c>
      <c r="E1005" s="9"/>
      <c r="F1005" s="9"/>
      <c r="G1005" s="10" t="s">
        <v>2237</v>
      </c>
      <c r="H1005" s="10" t="s">
        <v>563</v>
      </c>
      <c r="I1005" s="10"/>
      <c r="J1005" s="9">
        <v>10423</v>
      </c>
      <c r="K1005" s="10" t="s">
        <v>2238</v>
      </c>
      <c r="L1005" s="10" t="s">
        <v>260</v>
      </c>
      <c r="M1005" s="10" t="s">
        <v>1834</v>
      </c>
      <c r="N1005" s="7"/>
    </row>
    <row r="1006" s="1" customFormat="1" ht="28.5" customHeight="1" spans="1:14">
      <c r="A1006" s="8"/>
      <c r="B1006" s="9"/>
      <c r="C1006" s="9" t="s">
        <v>1289</v>
      </c>
      <c r="D1006" s="9">
        <v>1500</v>
      </c>
      <c r="E1006" s="9"/>
      <c r="F1006" s="9"/>
      <c r="G1006" s="10" t="s">
        <v>2239</v>
      </c>
      <c r="H1006" s="10" t="s">
        <v>563</v>
      </c>
      <c r="I1006" s="10"/>
      <c r="J1006" s="9">
        <v>10424</v>
      </c>
      <c r="K1006" s="10" t="s">
        <v>2240</v>
      </c>
      <c r="L1006" s="10" t="s">
        <v>260</v>
      </c>
      <c r="M1006" s="10" t="s">
        <v>1834</v>
      </c>
      <c r="N1006" s="7"/>
    </row>
    <row r="1007" s="1" customFormat="1" ht="28.5" customHeight="1" spans="1:14">
      <c r="A1007" s="8"/>
      <c r="B1007" s="9"/>
      <c r="C1007" s="9" t="s">
        <v>1289</v>
      </c>
      <c r="D1007" s="9">
        <v>1000</v>
      </c>
      <c r="E1007" s="9"/>
      <c r="F1007" s="9"/>
      <c r="G1007" s="10" t="s">
        <v>2241</v>
      </c>
      <c r="H1007" s="10" t="s">
        <v>563</v>
      </c>
      <c r="I1007" s="10"/>
      <c r="J1007" s="9">
        <v>10425</v>
      </c>
      <c r="K1007" s="10" t="s">
        <v>2242</v>
      </c>
      <c r="L1007" s="10" t="s">
        <v>260</v>
      </c>
      <c r="M1007" s="10" t="s">
        <v>1834</v>
      </c>
      <c r="N1007" s="7"/>
    </row>
    <row r="1008" s="1" customFormat="1" ht="28.5" customHeight="1" spans="1:14">
      <c r="A1008" s="8">
        <v>20601</v>
      </c>
      <c r="B1008" s="9">
        <v>20601</v>
      </c>
      <c r="C1008" s="9" t="s">
        <v>34</v>
      </c>
      <c r="D1008" s="9">
        <v>0</v>
      </c>
      <c r="E1008" s="9"/>
      <c r="F1008" s="9">
        <v>20600</v>
      </c>
      <c r="G1008" s="10" t="s">
        <v>1351</v>
      </c>
      <c r="H1008" s="10" t="s">
        <v>563</v>
      </c>
      <c r="I1008" s="10"/>
      <c r="J1008" s="9">
        <v>60426</v>
      </c>
      <c r="K1008" s="10" t="s">
        <v>1976</v>
      </c>
      <c r="L1008" s="10" t="s">
        <v>259</v>
      </c>
      <c r="M1008" s="10" t="s">
        <v>1842</v>
      </c>
      <c r="N1008" s="7"/>
    </row>
    <row r="1009" s="1" customFormat="1" ht="28.5" customHeight="1" spans="1:14">
      <c r="A1009" s="8">
        <v>20601</v>
      </c>
      <c r="B1009" s="9">
        <v>20602</v>
      </c>
      <c r="C1009" s="9" t="s">
        <v>34</v>
      </c>
      <c r="D1009" s="9">
        <v>0</v>
      </c>
      <c r="E1009" s="9"/>
      <c r="F1009" s="9">
        <v>20600</v>
      </c>
      <c r="G1009" s="10" t="s">
        <v>1353</v>
      </c>
      <c r="H1009" s="10" t="s">
        <v>563</v>
      </c>
      <c r="I1009" s="10"/>
      <c r="J1009" s="9">
        <v>60427</v>
      </c>
      <c r="K1009" s="10" t="s">
        <v>1977</v>
      </c>
      <c r="L1009" s="10" t="s">
        <v>259</v>
      </c>
      <c r="M1009" s="10" t="s">
        <v>1842</v>
      </c>
      <c r="N1009" s="7"/>
    </row>
    <row r="1010" s="1" customFormat="1" ht="28.5" customHeight="1" spans="1:14">
      <c r="A1010" s="8">
        <v>20601</v>
      </c>
      <c r="B1010" s="9">
        <v>20603</v>
      </c>
      <c r="C1010" s="9" t="s">
        <v>34</v>
      </c>
      <c r="D1010" s="9">
        <v>0</v>
      </c>
      <c r="E1010" s="9"/>
      <c r="F1010" s="9">
        <v>20600</v>
      </c>
      <c r="G1010" s="10" t="s">
        <v>1355</v>
      </c>
      <c r="H1010" s="10" t="s">
        <v>563</v>
      </c>
      <c r="I1010" s="10"/>
      <c r="J1010" s="9">
        <v>60428</v>
      </c>
      <c r="K1010" s="10" t="s">
        <v>1978</v>
      </c>
      <c r="L1010" s="10" t="s">
        <v>259</v>
      </c>
      <c r="M1010" s="10" t="s">
        <v>1842</v>
      </c>
      <c r="N1010" s="7"/>
    </row>
    <row r="1011" s="1" customFormat="1" ht="28.5" customHeight="1" spans="1:14">
      <c r="A1011" s="8">
        <v>20601</v>
      </c>
      <c r="B1011" s="9">
        <v>20604</v>
      </c>
      <c r="C1011" s="9" t="s">
        <v>34</v>
      </c>
      <c r="D1011" s="9">
        <v>0</v>
      </c>
      <c r="E1011" s="9"/>
      <c r="F1011" s="9">
        <v>20600</v>
      </c>
      <c r="G1011" s="10" t="s">
        <v>1357</v>
      </c>
      <c r="H1011" s="10" t="s">
        <v>563</v>
      </c>
      <c r="I1011" s="10"/>
      <c r="J1011" s="9">
        <v>60429</v>
      </c>
      <c r="K1011" s="10" t="s">
        <v>1979</v>
      </c>
      <c r="L1011" s="10" t="s">
        <v>259</v>
      </c>
      <c r="M1011" s="10" t="s">
        <v>1842</v>
      </c>
      <c r="N1011" s="7"/>
    </row>
    <row r="1012" s="1" customFormat="1" ht="28.5" customHeight="1" spans="1:14">
      <c r="A1012" s="8">
        <v>20601</v>
      </c>
      <c r="B1012" s="9">
        <v>20605</v>
      </c>
      <c r="C1012" s="9" t="s">
        <v>34</v>
      </c>
      <c r="D1012" s="9">
        <v>0</v>
      </c>
      <c r="E1012" s="9"/>
      <c r="F1012" s="9">
        <v>20600</v>
      </c>
      <c r="G1012" s="10" t="s">
        <v>1359</v>
      </c>
      <c r="H1012" s="10" t="s">
        <v>563</v>
      </c>
      <c r="I1012" s="10"/>
      <c r="J1012" s="9">
        <v>60430</v>
      </c>
      <c r="K1012" s="10" t="s">
        <v>1980</v>
      </c>
      <c r="L1012" s="10" t="s">
        <v>259</v>
      </c>
      <c r="M1012" s="10" t="s">
        <v>1842</v>
      </c>
      <c r="N1012" s="7"/>
    </row>
    <row r="1013" s="1" customFormat="1" ht="28.5" customHeight="1" spans="1:14">
      <c r="A1013" s="8">
        <v>20601</v>
      </c>
      <c r="B1013" s="9">
        <v>20606</v>
      </c>
      <c r="C1013" s="9" t="s">
        <v>34</v>
      </c>
      <c r="D1013" s="9">
        <v>3000</v>
      </c>
      <c r="E1013" s="9"/>
      <c r="F1013" s="9">
        <v>20601</v>
      </c>
      <c r="G1013" s="10" t="s">
        <v>1981</v>
      </c>
      <c r="H1013" s="10" t="s">
        <v>563</v>
      </c>
      <c r="I1013" s="10"/>
      <c r="J1013" s="9">
        <v>20431</v>
      </c>
      <c r="K1013" s="10" t="s">
        <v>1982</v>
      </c>
      <c r="L1013" s="10" t="s">
        <v>260</v>
      </c>
      <c r="M1013" s="10" t="s">
        <v>1842</v>
      </c>
      <c r="N1013" s="7"/>
    </row>
    <row r="1014" s="1" customFormat="1" ht="28.5" customHeight="1" spans="1:14">
      <c r="A1014" s="8">
        <v>20601</v>
      </c>
      <c r="B1014" s="9">
        <v>20607</v>
      </c>
      <c r="C1014" s="9" t="s">
        <v>34</v>
      </c>
      <c r="D1014" s="9">
        <v>2500</v>
      </c>
      <c r="E1014" s="9"/>
      <c r="F1014" s="9">
        <v>20601</v>
      </c>
      <c r="G1014" s="10" t="s">
        <v>1983</v>
      </c>
      <c r="H1014" s="10" t="s">
        <v>563</v>
      </c>
      <c r="I1014" s="10"/>
      <c r="J1014" s="9">
        <v>20432</v>
      </c>
      <c r="K1014" s="10" t="s">
        <v>1984</v>
      </c>
      <c r="L1014" s="10" t="s">
        <v>260</v>
      </c>
      <c r="M1014" s="10" t="s">
        <v>1842</v>
      </c>
      <c r="N1014" s="7"/>
    </row>
    <row r="1015" s="1" customFormat="1" ht="28.5" customHeight="1" spans="1:14">
      <c r="A1015" s="8">
        <v>20601</v>
      </c>
      <c r="B1015" s="9">
        <v>20608</v>
      </c>
      <c r="C1015" s="9" t="s">
        <v>34</v>
      </c>
      <c r="D1015" s="9">
        <v>2000</v>
      </c>
      <c r="E1015" s="9"/>
      <c r="F1015" s="9">
        <v>20601</v>
      </c>
      <c r="G1015" s="10" t="s">
        <v>1927</v>
      </c>
      <c r="H1015" s="10" t="s">
        <v>563</v>
      </c>
      <c r="I1015" s="10"/>
      <c r="J1015" s="9">
        <v>20433</v>
      </c>
      <c r="K1015" s="10" t="s">
        <v>1928</v>
      </c>
      <c r="L1015" s="10" t="s">
        <v>260</v>
      </c>
      <c r="M1015" s="10" t="s">
        <v>1842</v>
      </c>
      <c r="N1015" s="7"/>
    </row>
    <row r="1016" s="1" customFormat="1" ht="28.5" customHeight="1" spans="1:14">
      <c r="A1016" s="8">
        <v>20601</v>
      </c>
      <c r="B1016" s="9">
        <v>20609</v>
      </c>
      <c r="C1016" s="9" t="s">
        <v>34</v>
      </c>
      <c r="D1016" s="9">
        <v>1500</v>
      </c>
      <c r="E1016" s="9"/>
      <c r="F1016" s="9">
        <v>20601</v>
      </c>
      <c r="G1016" s="10" t="s">
        <v>1985</v>
      </c>
      <c r="H1016" s="10" t="s">
        <v>563</v>
      </c>
      <c r="I1016" s="10"/>
      <c r="J1016" s="9">
        <v>20434</v>
      </c>
      <c r="K1016" s="10" t="s">
        <v>1986</v>
      </c>
      <c r="L1016" s="10" t="s">
        <v>260</v>
      </c>
      <c r="M1016" s="10" t="s">
        <v>1842</v>
      </c>
      <c r="N1016" s="7"/>
    </row>
    <row r="1017" s="1" customFormat="1" ht="28.5" customHeight="1" spans="1:14">
      <c r="A1017" s="8">
        <v>20601</v>
      </c>
      <c r="B1017" s="9">
        <v>20610</v>
      </c>
      <c r="C1017" s="9" t="s">
        <v>34</v>
      </c>
      <c r="D1017" s="9">
        <v>1000</v>
      </c>
      <c r="E1017" s="9"/>
      <c r="F1017" s="9">
        <v>20601</v>
      </c>
      <c r="G1017" s="10" t="s">
        <v>1929</v>
      </c>
      <c r="H1017" s="10" t="s">
        <v>563</v>
      </c>
      <c r="I1017" s="10"/>
      <c r="J1017" s="9">
        <v>20435</v>
      </c>
      <c r="K1017" s="10" t="s">
        <v>1930</v>
      </c>
      <c r="L1017" s="10" t="s">
        <v>260</v>
      </c>
      <c r="M1017" s="10" t="s">
        <v>1842</v>
      </c>
      <c r="N1017" s="7"/>
    </row>
    <row r="1018" s="1" customFormat="1" ht="28.5" customHeight="1" spans="1:14">
      <c r="A1018" s="8"/>
      <c r="B1018" s="9"/>
      <c r="C1018" s="9" t="s">
        <v>1289</v>
      </c>
      <c r="D1018" s="9">
        <v>3000</v>
      </c>
      <c r="E1018" s="9"/>
      <c r="F1018" s="9"/>
      <c r="G1018" s="10" t="s">
        <v>1857</v>
      </c>
      <c r="H1018" s="10" t="s">
        <v>563</v>
      </c>
      <c r="I1018" s="10"/>
      <c r="J1018" s="9">
        <v>90436</v>
      </c>
      <c r="K1018" s="10" t="s">
        <v>1858</v>
      </c>
      <c r="L1018" s="10" t="s">
        <v>224</v>
      </c>
      <c r="M1018" s="10" t="s">
        <v>1834</v>
      </c>
      <c r="N1018" s="7"/>
    </row>
    <row r="1019" s="1" customFormat="1" ht="28.5" customHeight="1" spans="1:14">
      <c r="A1019" s="8"/>
      <c r="B1019" s="9"/>
      <c r="C1019" s="9" t="s">
        <v>1289</v>
      </c>
      <c r="D1019" s="9">
        <v>2500</v>
      </c>
      <c r="E1019" s="9"/>
      <c r="F1019" s="9"/>
      <c r="G1019" s="10" t="s">
        <v>1857</v>
      </c>
      <c r="H1019" s="10" t="s">
        <v>563</v>
      </c>
      <c r="I1019" s="10"/>
      <c r="J1019" s="9">
        <v>90437</v>
      </c>
      <c r="K1019" s="10" t="s">
        <v>1858</v>
      </c>
      <c r="L1019" s="10" t="s">
        <v>224</v>
      </c>
      <c r="M1019" s="10" t="s">
        <v>1834</v>
      </c>
      <c r="N1019" s="7"/>
    </row>
    <row r="1020" s="1" customFormat="1" ht="28.5" customHeight="1" spans="1:14">
      <c r="A1020" s="8"/>
      <c r="B1020" s="9"/>
      <c r="C1020" s="9" t="s">
        <v>1289</v>
      </c>
      <c r="D1020" s="9">
        <v>2000</v>
      </c>
      <c r="E1020" s="9"/>
      <c r="F1020" s="9"/>
      <c r="G1020" s="10" t="s">
        <v>1857</v>
      </c>
      <c r="H1020" s="10" t="s">
        <v>563</v>
      </c>
      <c r="I1020" s="10"/>
      <c r="J1020" s="9">
        <v>90438</v>
      </c>
      <c r="K1020" s="10" t="s">
        <v>1858</v>
      </c>
      <c r="L1020" s="10" t="s">
        <v>224</v>
      </c>
      <c r="M1020" s="10" t="s">
        <v>1834</v>
      </c>
      <c r="N1020" s="7"/>
    </row>
    <row r="1021" s="1" customFormat="1" ht="28.5" customHeight="1" spans="1:14">
      <c r="A1021" s="8"/>
      <c r="B1021" s="9"/>
      <c r="C1021" s="9" t="s">
        <v>1289</v>
      </c>
      <c r="D1021" s="9">
        <v>1500</v>
      </c>
      <c r="E1021" s="9"/>
      <c r="F1021" s="9"/>
      <c r="G1021" s="10" t="s">
        <v>1857</v>
      </c>
      <c r="H1021" s="10" t="s">
        <v>563</v>
      </c>
      <c r="I1021" s="10"/>
      <c r="J1021" s="9">
        <v>90439</v>
      </c>
      <c r="K1021" s="10" t="s">
        <v>1858</v>
      </c>
      <c r="L1021" s="10" t="s">
        <v>224</v>
      </c>
      <c r="M1021" s="10" t="s">
        <v>1834</v>
      </c>
      <c r="N1021" s="7"/>
    </row>
    <row r="1022" s="1" customFormat="1" ht="28.5" customHeight="1" spans="1:14">
      <c r="A1022" s="8"/>
      <c r="B1022" s="9"/>
      <c r="C1022" s="9" t="s">
        <v>1289</v>
      </c>
      <c r="D1022" s="9">
        <v>1000</v>
      </c>
      <c r="E1022" s="9"/>
      <c r="F1022" s="9"/>
      <c r="G1022" s="10" t="s">
        <v>1857</v>
      </c>
      <c r="H1022" s="10" t="s">
        <v>563</v>
      </c>
      <c r="I1022" s="10"/>
      <c r="J1022" s="9">
        <v>90440</v>
      </c>
      <c r="K1022" s="10" t="s">
        <v>1858</v>
      </c>
      <c r="L1022" s="10" t="s">
        <v>224</v>
      </c>
      <c r="M1022" s="10" t="s">
        <v>1834</v>
      </c>
      <c r="N1022" s="7"/>
    </row>
    <row r="1023" s="1" customFormat="1" ht="28.5" customHeight="1" spans="1:14">
      <c r="A1023" s="8"/>
      <c r="B1023" s="9"/>
      <c r="C1023" s="9" t="s">
        <v>1289</v>
      </c>
      <c r="D1023" s="9">
        <v>3000</v>
      </c>
      <c r="E1023" s="9"/>
      <c r="F1023" s="9"/>
      <c r="G1023" s="10" t="s">
        <v>1859</v>
      </c>
      <c r="H1023" s="10" t="s">
        <v>563</v>
      </c>
      <c r="I1023" s="10"/>
      <c r="J1023" s="9">
        <v>70441</v>
      </c>
      <c r="K1023" s="10" t="s">
        <v>1860</v>
      </c>
      <c r="L1023" s="10" t="s">
        <v>228</v>
      </c>
      <c r="M1023" s="10" t="s">
        <v>1834</v>
      </c>
      <c r="N1023" s="7"/>
    </row>
    <row r="1024" s="1" customFormat="1" ht="28.5" customHeight="1" spans="1:14">
      <c r="A1024" s="8"/>
      <c r="B1024" s="9"/>
      <c r="C1024" s="9" t="s">
        <v>1289</v>
      </c>
      <c r="D1024" s="9">
        <v>2500</v>
      </c>
      <c r="E1024" s="9"/>
      <c r="F1024" s="9"/>
      <c r="G1024" s="10" t="s">
        <v>1859</v>
      </c>
      <c r="H1024" s="10" t="s">
        <v>563</v>
      </c>
      <c r="I1024" s="10"/>
      <c r="J1024" s="9">
        <v>70442</v>
      </c>
      <c r="K1024" s="10" t="s">
        <v>1860</v>
      </c>
      <c r="L1024" s="10" t="s">
        <v>228</v>
      </c>
      <c r="M1024" s="10" t="s">
        <v>1834</v>
      </c>
      <c r="N1024" s="7"/>
    </row>
    <row r="1025" s="1" customFormat="1" ht="28.5" customHeight="1" spans="1:14">
      <c r="A1025" s="8"/>
      <c r="B1025" s="9"/>
      <c r="C1025" s="9" t="s">
        <v>1289</v>
      </c>
      <c r="D1025" s="9">
        <v>2000</v>
      </c>
      <c r="E1025" s="9"/>
      <c r="F1025" s="9"/>
      <c r="G1025" s="10" t="s">
        <v>1859</v>
      </c>
      <c r="H1025" s="10" t="s">
        <v>563</v>
      </c>
      <c r="I1025" s="10"/>
      <c r="J1025" s="9">
        <v>70443</v>
      </c>
      <c r="K1025" s="10" t="s">
        <v>1860</v>
      </c>
      <c r="L1025" s="10" t="s">
        <v>228</v>
      </c>
      <c r="M1025" s="10" t="s">
        <v>1834</v>
      </c>
      <c r="N1025" s="7"/>
    </row>
    <row r="1026" s="1" customFormat="1" ht="28.5" customHeight="1" spans="1:14">
      <c r="A1026" s="8"/>
      <c r="B1026" s="9"/>
      <c r="C1026" s="9" t="s">
        <v>1289</v>
      </c>
      <c r="D1026" s="9">
        <v>1500</v>
      </c>
      <c r="E1026" s="9"/>
      <c r="F1026" s="9"/>
      <c r="G1026" s="10" t="s">
        <v>1859</v>
      </c>
      <c r="H1026" s="10" t="s">
        <v>563</v>
      </c>
      <c r="I1026" s="10"/>
      <c r="J1026" s="9">
        <v>70444</v>
      </c>
      <c r="K1026" s="10" t="s">
        <v>1860</v>
      </c>
      <c r="L1026" s="10" t="s">
        <v>228</v>
      </c>
      <c r="M1026" s="10" t="s">
        <v>1834</v>
      </c>
      <c r="N1026" s="7"/>
    </row>
    <row r="1027" s="1" customFormat="1" ht="28.5" customHeight="1" spans="1:14">
      <c r="A1027" s="8"/>
      <c r="B1027" s="9"/>
      <c r="C1027" s="9" t="s">
        <v>1289</v>
      </c>
      <c r="D1027" s="9">
        <v>1000</v>
      </c>
      <c r="E1027" s="9"/>
      <c r="F1027" s="9"/>
      <c r="G1027" s="10" t="s">
        <v>1859</v>
      </c>
      <c r="H1027" s="10" t="s">
        <v>563</v>
      </c>
      <c r="I1027" s="10"/>
      <c r="J1027" s="9">
        <v>70445</v>
      </c>
      <c r="K1027" s="10" t="s">
        <v>1860</v>
      </c>
      <c r="L1027" s="10" t="s">
        <v>228</v>
      </c>
      <c r="M1027" s="10" t="s">
        <v>1834</v>
      </c>
      <c r="N1027" s="7"/>
    </row>
    <row r="1028" s="1" customFormat="1" ht="28.5" customHeight="1" spans="1:14">
      <c r="A1028" s="8"/>
      <c r="B1028" s="9"/>
      <c r="C1028" s="9" t="s">
        <v>1289</v>
      </c>
      <c r="D1028" s="9">
        <v>3000</v>
      </c>
      <c r="E1028" s="9"/>
      <c r="F1028" s="9"/>
      <c r="G1028" s="10" t="s">
        <v>1861</v>
      </c>
      <c r="H1028" s="10" t="s">
        <v>563</v>
      </c>
      <c r="I1028" s="10"/>
      <c r="J1028" s="9">
        <v>80446</v>
      </c>
      <c r="K1028" s="10" t="s">
        <v>1862</v>
      </c>
      <c r="L1028" s="10" t="s">
        <v>231</v>
      </c>
      <c r="M1028" s="10" t="s">
        <v>1834</v>
      </c>
      <c r="N1028" s="7"/>
    </row>
    <row r="1029" s="1" customFormat="1" ht="28.5" customHeight="1" spans="1:14">
      <c r="A1029" s="8"/>
      <c r="B1029" s="9"/>
      <c r="C1029" s="9" t="s">
        <v>1289</v>
      </c>
      <c r="D1029" s="9">
        <v>2500</v>
      </c>
      <c r="E1029" s="9"/>
      <c r="F1029" s="9"/>
      <c r="G1029" s="10" t="s">
        <v>1861</v>
      </c>
      <c r="H1029" s="10" t="s">
        <v>563</v>
      </c>
      <c r="I1029" s="10"/>
      <c r="J1029" s="9">
        <v>80447</v>
      </c>
      <c r="K1029" s="10" t="s">
        <v>1862</v>
      </c>
      <c r="L1029" s="10" t="s">
        <v>231</v>
      </c>
      <c r="M1029" s="10" t="s">
        <v>1834</v>
      </c>
      <c r="N1029" s="7"/>
    </row>
    <row r="1030" s="1" customFormat="1" ht="28.5" customHeight="1" spans="1:14">
      <c r="A1030" s="8"/>
      <c r="B1030" s="9"/>
      <c r="C1030" s="9" t="s">
        <v>1289</v>
      </c>
      <c r="D1030" s="9">
        <v>2000</v>
      </c>
      <c r="E1030" s="9"/>
      <c r="F1030" s="9"/>
      <c r="G1030" s="10" t="s">
        <v>1861</v>
      </c>
      <c r="H1030" s="10" t="s">
        <v>563</v>
      </c>
      <c r="I1030" s="10"/>
      <c r="J1030" s="9">
        <v>80448</v>
      </c>
      <c r="K1030" s="10" t="s">
        <v>1862</v>
      </c>
      <c r="L1030" s="10" t="s">
        <v>231</v>
      </c>
      <c r="M1030" s="10" t="s">
        <v>1834</v>
      </c>
      <c r="N1030" s="7"/>
    </row>
    <row r="1031" s="1" customFormat="1" ht="28.5" customHeight="1" spans="1:14">
      <c r="A1031" s="8"/>
      <c r="B1031" s="9"/>
      <c r="C1031" s="9" t="s">
        <v>1289</v>
      </c>
      <c r="D1031" s="9">
        <v>1500</v>
      </c>
      <c r="E1031" s="9"/>
      <c r="F1031" s="9"/>
      <c r="G1031" s="10" t="s">
        <v>1861</v>
      </c>
      <c r="H1031" s="10" t="s">
        <v>563</v>
      </c>
      <c r="I1031" s="10"/>
      <c r="J1031" s="9">
        <v>80449</v>
      </c>
      <c r="K1031" s="10" t="s">
        <v>1862</v>
      </c>
      <c r="L1031" s="10" t="s">
        <v>231</v>
      </c>
      <c r="M1031" s="10" t="s">
        <v>1834</v>
      </c>
      <c r="N1031" s="7"/>
    </row>
    <row r="1032" s="1" customFormat="1" ht="28.5" customHeight="1" spans="1:14">
      <c r="A1032" s="8"/>
      <c r="B1032" s="9"/>
      <c r="C1032" s="9" t="s">
        <v>1289</v>
      </c>
      <c r="D1032" s="9">
        <v>1000</v>
      </c>
      <c r="E1032" s="9"/>
      <c r="F1032" s="9"/>
      <c r="G1032" s="10" t="s">
        <v>1861</v>
      </c>
      <c r="H1032" s="10" t="s">
        <v>563</v>
      </c>
      <c r="I1032" s="10"/>
      <c r="J1032" s="9">
        <v>80450</v>
      </c>
      <c r="K1032" s="10" t="s">
        <v>1862</v>
      </c>
      <c r="L1032" s="10" t="s">
        <v>231</v>
      </c>
      <c r="M1032" s="10" t="s">
        <v>1834</v>
      </c>
      <c r="N1032" s="7"/>
    </row>
    <row r="1033" s="1" customFormat="1" ht="28.5" customHeight="1" spans="1:14">
      <c r="A1033" s="8"/>
      <c r="B1033" s="9"/>
      <c r="C1033" s="9" t="s">
        <v>1289</v>
      </c>
      <c r="D1033" s="9">
        <v>3000</v>
      </c>
      <c r="E1033" s="9"/>
      <c r="F1033" s="9"/>
      <c r="G1033" s="10" t="s">
        <v>2141</v>
      </c>
      <c r="H1033" s="10" t="s">
        <v>563</v>
      </c>
      <c r="I1033" s="10"/>
      <c r="J1033" s="9">
        <v>100451</v>
      </c>
      <c r="K1033" s="10" t="s">
        <v>284</v>
      </c>
      <c r="L1033" s="10" t="s">
        <v>248</v>
      </c>
      <c r="M1033" s="10" t="s">
        <v>1834</v>
      </c>
      <c r="N1033" s="7"/>
    </row>
    <row r="1034" s="1" customFormat="1" ht="28.5" customHeight="1" spans="1:14">
      <c r="A1034" s="8"/>
      <c r="B1034" s="9"/>
      <c r="C1034" s="9" t="s">
        <v>1289</v>
      </c>
      <c r="D1034" s="9">
        <v>2500</v>
      </c>
      <c r="E1034" s="9"/>
      <c r="F1034" s="9"/>
      <c r="G1034" s="10" t="s">
        <v>2141</v>
      </c>
      <c r="H1034" s="10" t="s">
        <v>563</v>
      </c>
      <c r="I1034" s="10"/>
      <c r="J1034" s="9">
        <v>100452</v>
      </c>
      <c r="K1034" s="10" t="s">
        <v>284</v>
      </c>
      <c r="L1034" s="10" t="s">
        <v>248</v>
      </c>
      <c r="M1034" s="10" t="s">
        <v>1834</v>
      </c>
      <c r="N1034" s="7"/>
    </row>
    <row r="1035" s="1" customFormat="1" ht="28.5" customHeight="1" spans="1:14">
      <c r="A1035" s="8"/>
      <c r="B1035" s="9"/>
      <c r="C1035" s="9" t="s">
        <v>1289</v>
      </c>
      <c r="D1035" s="9">
        <v>2000</v>
      </c>
      <c r="E1035" s="9"/>
      <c r="F1035" s="9"/>
      <c r="G1035" s="10" t="s">
        <v>2141</v>
      </c>
      <c r="H1035" s="10" t="s">
        <v>563</v>
      </c>
      <c r="I1035" s="10"/>
      <c r="J1035" s="9">
        <v>100453</v>
      </c>
      <c r="K1035" s="10" t="s">
        <v>284</v>
      </c>
      <c r="L1035" s="10" t="s">
        <v>248</v>
      </c>
      <c r="M1035" s="10" t="s">
        <v>1834</v>
      </c>
      <c r="N1035" s="7"/>
    </row>
    <row r="1036" s="1" customFormat="1" ht="28.5" customHeight="1" spans="1:14">
      <c r="A1036" s="8"/>
      <c r="B1036" s="9"/>
      <c r="C1036" s="9" t="s">
        <v>1289</v>
      </c>
      <c r="D1036" s="9">
        <v>1500</v>
      </c>
      <c r="E1036" s="9"/>
      <c r="F1036" s="9"/>
      <c r="G1036" s="10" t="s">
        <v>2141</v>
      </c>
      <c r="H1036" s="10" t="s">
        <v>563</v>
      </c>
      <c r="I1036" s="10"/>
      <c r="J1036" s="9">
        <v>100454</v>
      </c>
      <c r="K1036" s="10" t="s">
        <v>284</v>
      </c>
      <c r="L1036" s="10" t="s">
        <v>248</v>
      </c>
      <c r="M1036" s="10" t="s">
        <v>1834</v>
      </c>
      <c r="N1036" s="7"/>
    </row>
    <row r="1037" s="1" customFormat="1" ht="28.5" customHeight="1" spans="1:14">
      <c r="A1037" s="8"/>
      <c r="B1037" s="9"/>
      <c r="C1037" s="9" t="s">
        <v>1289</v>
      </c>
      <c r="D1037" s="9">
        <v>1000</v>
      </c>
      <c r="E1037" s="9"/>
      <c r="F1037" s="9"/>
      <c r="G1037" s="10" t="s">
        <v>2141</v>
      </c>
      <c r="H1037" s="10" t="s">
        <v>563</v>
      </c>
      <c r="I1037" s="10"/>
      <c r="J1037" s="9">
        <v>100455</v>
      </c>
      <c r="K1037" s="10" t="s">
        <v>284</v>
      </c>
      <c r="L1037" s="10" t="s">
        <v>248</v>
      </c>
      <c r="M1037" s="10" t="s">
        <v>1834</v>
      </c>
      <c r="N1037" s="7"/>
    </row>
    <row r="1038" s="1" customFormat="1" ht="28.5" customHeight="1" spans="1:14">
      <c r="A1038" s="8">
        <v>20602</v>
      </c>
      <c r="B1038" s="9">
        <v>20611</v>
      </c>
      <c r="C1038" s="9" t="s">
        <v>34</v>
      </c>
      <c r="D1038" s="9">
        <v>3000</v>
      </c>
      <c r="E1038" s="9"/>
      <c r="F1038" s="9">
        <v>20602</v>
      </c>
      <c r="G1038" s="10" t="s">
        <v>2243</v>
      </c>
      <c r="H1038" s="10" t="s">
        <v>563</v>
      </c>
      <c r="I1038" s="10"/>
      <c r="J1038" s="9">
        <v>10456</v>
      </c>
      <c r="K1038" s="10" t="s">
        <v>2244</v>
      </c>
      <c r="L1038" s="10" t="s">
        <v>303</v>
      </c>
      <c r="M1038" s="10" t="s">
        <v>1842</v>
      </c>
      <c r="N1038" s="7"/>
    </row>
    <row r="1039" s="1" customFormat="1" ht="28.5" customHeight="1" spans="1:14">
      <c r="A1039" s="8">
        <v>20602</v>
      </c>
      <c r="B1039" s="9">
        <v>20612</v>
      </c>
      <c r="C1039" s="9" t="s">
        <v>34</v>
      </c>
      <c r="D1039" s="9">
        <v>2500</v>
      </c>
      <c r="E1039" s="9"/>
      <c r="F1039" s="9">
        <v>20602</v>
      </c>
      <c r="G1039" s="10" t="s">
        <v>2245</v>
      </c>
      <c r="H1039" s="10" t="s">
        <v>563</v>
      </c>
      <c r="I1039" s="10"/>
      <c r="J1039" s="9">
        <v>10457</v>
      </c>
      <c r="K1039" s="10" t="s">
        <v>2246</v>
      </c>
      <c r="L1039" s="10" t="s">
        <v>303</v>
      </c>
      <c r="M1039" s="10" t="s">
        <v>1842</v>
      </c>
      <c r="N1039" s="7"/>
    </row>
    <row r="1040" s="1" customFormat="1" ht="28.5" customHeight="1" spans="1:14">
      <c r="A1040" s="8">
        <v>20602</v>
      </c>
      <c r="B1040" s="9">
        <v>20613</v>
      </c>
      <c r="C1040" s="9" t="s">
        <v>34</v>
      </c>
      <c r="D1040" s="9">
        <v>2000</v>
      </c>
      <c r="E1040" s="9"/>
      <c r="F1040" s="9">
        <v>20602</v>
      </c>
      <c r="G1040" s="10" t="s">
        <v>2247</v>
      </c>
      <c r="H1040" s="10" t="s">
        <v>563</v>
      </c>
      <c r="I1040" s="10"/>
      <c r="J1040" s="9">
        <v>10458</v>
      </c>
      <c r="K1040" s="10" t="s">
        <v>2248</v>
      </c>
      <c r="L1040" s="10" t="s">
        <v>303</v>
      </c>
      <c r="M1040" s="10" t="s">
        <v>1842</v>
      </c>
      <c r="N1040" s="7"/>
    </row>
    <row r="1041" s="1" customFormat="1" ht="28.5" customHeight="1" spans="1:14">
      <c r="A1041" s="8">
        <v>20602</v>
      </c>
      <c r="B1041" s="9">
        <v>20614</v>
      </c>
      <c r="C1041" s="9" t="s">
        <v>34</v>
      </c>
      <c r="D1041" s="9">
        <v>1500</v>
      </c>
      <c r="E1041" s="9"/>
      <c r="F1041" s="9">
        <v>20602</v>
      </c>
      <c r="G1041" s="10" t="s">
        <v>2249</v>
      </c>
      <c r="H1041" s="10" t="s">
        <v>563</v>
      </c>
      <c r="I1041" s="10"/>
      <c r="J1041" s="9">
        <v>10459</v>
      </c>
      <c r="K1041" s="10" t="s">
        <v>2250</v>
      </c>
      <c r="L1041" s="10" t="s">
        <v>303</v>
      </c>
      <c r="M1041" s="10" t="s">
        <v>1842</v>
      </c>
      <c r="N1041" s="7"/>
    </row>
    <row r="1042" s="1" customFormat="1" ht="28.5" customHeight="1" spans="1:14">
      <c r="A1042" s="8">
        <v>20602</v>
      </c>
      <c r="B1042" s="9">
        <v>20615</v>
      </c>
      <c r="C1042" s="9" t="s">
        <v>34</v>
      </c>
      <c r="D1042" s="9">
        <v>1000</v>
      </c>
      <c r="E1042" s="9"/>
      <c r="F1042" s="9">
        <v>20602</v>
      </c>
      <c r="G1042" s="10" t="s">
        <v>2251</v>
      </c>
      <c r="H1042" s="10" t="s">
        <v>563</v>
      </c>
      <c r="I1042" s="10"/>
      <c r="J1042" s="9">
        <v>10460</v>
      </c>
      <c r="K1042" s="10" t="s">
        <v>2252</v>
      </c>
      <c r="L1042" s="10" t="s">
        <v>303</v>
      </c>
      <c r="M1042" s="10" t="s">
        <v>1842</v>
      </c>
      <c r="N1042" s="7"/>
    </row>
    <row r="1043" s="1" customFormat="1" ht="28.5" customHeight="1" spans="1:14">
      <c r="A1043" s="8">
        <v>20601</v>
      </c>
      <c r="B1043" s="9">
        <v>20616</v>
      </c>
      <c r="C1043" s="9" t="s">
        <v>34</v>
      </c>
      <c r="D1043" s="9">
        <v>0</v>
      </c>
      <c r="E1043" s="9"/>
      <c r="F1043" s="9">
        <v>20603</v>
      </c>
      <c r="G1043" s="10" t="s">
        <v>1499</v>
      </c>
      <c r="H1043" s="10" t="s">
        <v>563</v>
      </c>
      <c r="I1043" s="10"/>
      <c r="J1043" s="9">
        <v>60461</v>
      </c>
      <c r="K1043" s="10" t="s">
        <v>2253</v>
      </c>
      <c r="L1043" s="10" t="s">
        <v>304</v>
      </c>
      <c r="M1043" s="10" t="s">
        <v>1842</v>
      </c>
      <c r="N1043" s="7"/>
    </row>
    <row r="1044" s="1" customFormat="1" ht="28.5" customHeight="1" spans="1:14">
      <c r="A1044" s="8">
        <v>20601</v>
      </c>
      <c r="B1044" s="9">
        <v>20617</v>
      </c>
      <c r="C1044" s="9" t="s">
        <v>34</v>
      </c>
      <c r="D1044" s="9">
        <v>0</v>
      </c>
      <c r="E1044" s="9"/>
      <c r="F1044" s="9">
        <v>20603</v>
      </c>
      <c r="G1044" s="10" t="s">
        <v>1501</v>
      </c>
      <c r="H1044" s="10" t="s">
        <v>563</v>
      </c>
      <c r="I1044" s="10"/>
      <c r="J1044" s="9">
        <v>60462</v>
      </c>
      <c r="K1044" s="10" t="s">
        <v>2254</v>
      </c>
      <c r="L1044" s="10" t="s">
        <v>304</v>
      </c>
      <c r="M1044" s="10" t="s">
        <v>1842</v>
      </c>
      <c r="N1044" s="7"/>
    </row>
    <row r="1045" s="1" customFormat="1" ht="28.5" customHeight="1" spans="1:14">
      <c r="A1045" s="8">
        <v>20601</v>
      </c>
      <c r="B1045" s="9">
        <v>20618</v>
      </c>
      <c r="C1045" s="9" t="s">
        <v>34</v>
      </c>
      <c r="D1045" s="9">
        <v>0</v>
      </c>
      <c r="E1045" s="9"/>
      <c r="F1045" s="9">
        <v>20603</v>
      </c>
      <c r="G1045" s="10" t="s">
        <v>1503</v>
      </c>
      <c r="H1045" s="10" t="s">
        <v>563</v>
      </c>
      <c r="I1045" s="10"/>
      <c r="J1045" s="9">
        <v>60463</v>
      </c>
      <c r="K1045" s="10" t="s">
        <v>2255</v>
      </c>
      <c r="L1045" s="10" t="s">
        <v>304</v>
      </c>
      <c r="M1045" s="10" t="s">
        <v>1842</v>
      </c>
      <c r="N1045" s="7"/>
    </row>
    <row r="1046" s="1" customFormat="1" ht="28.5" customHeight="1" spans="1:14">
      <c r="A1046" s="8">
        <v>20601</v>
      </c>
      <c r="B1046" s="9">
        <v>20619</v>
      </c>
      <c r="C1046" s="9" t="s">
        <v>34</v>
      </c>
      <c r="D1046" s="9">
        <v>0</v>
      </c>
      <c r="E1046" s="9"/>
      <c r="F1046" s="9">
        <v>20603</v>
      </c>
      <c r="G1046" s="10" t="s">
        <v>1505</v>
      </c>
      <c r="H1046" s="10" t="s">
        <v>563</v>
      </c>
      <c r="I1046" s="10"/>
      <c r="J1046" s="9">
        <v>60464</v>
      </c>
      <c r="K1046" s="10" t="s">
        <v>2256</v>
      </c>
      <c r="L1046" s="10" t="s">
        <v>304</v>
      </c>
      <c r="M1046" s="10" t="s">
        <v>1842</v>
      </c>
      <c r="N1046" s="7"/>
    </row>
    <row r="1047" s="1" customFormat="1" ht="28.5" customHeight="1" spans="1:14">
      <c r="A1047" s="8">
        <v>20601</v>
      </c>
      <c r="B1047" s="9">
        <v>20620</v>
      </c>
      <c r="C1047" s="9" t="s">
        <v>34</v>
      </c>
      <c r="D1047" s="9">
        <v>0</v>
      </c>
      <c r="E1047" s="9"/>
      <c r="F1047" s="9">
        <v>20603</v>
      </c>
      <c r="G1047" s="10" t="s">
        <v>1507</v>
      </c>
      <c r="H1047" s="10" t="s">
        <v>563</v>
      </c>
      <c r="I1047" s="10"/>
      <c r="J1047" s="9">
        <v>60465</v>
      </c>
      <c r="K1047" s="10" t="s">
        <v>2257</v>
      </c>
      <c r="L1047" s="10" t="s">
        <v>304</v>
      </c>
      <c r="M1047" s="10" t="s">
        <v>1842</v>
      </c>
      <c r="N1047" s="7"/>
    </row>
    <row r="1048" s="1" customFormat="1" ht="28.5" customHeight="1" spans="1:14">
      <c r="A1048" s="8">
        <v>20601</v>
      </c>
      <c r="B1048" s="9">
        <v>20621</v>
      </c>
      <c r="C1048" s="9" t="s">
        <v>34</v>
      </c>
      <c r="D1048" s="9">
        <v>3000</v>
      </c>
      <c r="E1048" s="9"/>
      <c r="F1048" s="9">
        <v>20604</v>
      </c>
      <c r="G1048" s="10" t="s">
        <v>1497</v>
      </c>
      <c r="H1048" s="10" t="s">
        <v>563</v>
      </c>
      <c r="I1048" s="10"/>
      <c r="J1048" s="9">
        <v>50466</v>
      </c>
      <c r="K1048" s="10" t="s">
        <v>2214</v>
      </c>
      <c r="L1048" s="10" t="s">
        <v>305</v>
      </c>
      <c r="M1048" s="10" t="s">
        <v>1842</v>
      </c>
      <c r="N1048" s="7"/>
    </row>
    <row r="1049" s="1" customFormat="1" ht="28.5" customHeight="1" spans="1:14">
      <c r="A1049" s="8">
        <v>20601</v>
      </c>
      <c r="B1049" s="9">
        <v>20622</v>
      </c>
      <c r="C1049" s="9" t="s">
        <v>34</v>
      </c>
      <c r="D1049" s="9">
        <v>2500</v>
      </c>
      <c r="E1049" s="9"/>
      <c r="F1049" s="9">
        <v>20604</v>
      </c>
      <c r="G1049" s="10" t="s">
        <v>1509</v>
      </c>
      <c r="H1049" s="10" t="s">
        <v>563</v>
      </c>
      <c r="I1049" s="10"/>
      <c r="J1049" s="9">
        <v>50467</v>
      </c>
      <c r="K1049" s="10" t="s">
        <v>2258</v>
      </c>
      <c r="L1049" s="10" t="s">
        <v>305</v>
      </c>
      <c r="M1049" s="10" t="s">
        <v>1842</v>
      </c>
      <c r="N1049" s="7"/>
    </row>
    <row r="1050" s="1" customFormat="1" ht="28.5" customHeight="1" spans="1:14">
      <c r="A1050" s="8">
        <v>20601</v>
      </c>
      <c r="B1050" s="9">
        <v>20623</v>
      </c>
      <c r="C1050" s="9" t="s">
        <v>34</v>
      </c>
      <c r="D1050" s="9">
        <v>2000</v>
      </c>
      <c r="E1050" s="9"/>
      <c r="F1050" s="9">
        <v>20604</v>
      </c>
      <c r="G1050" s="10" t="s">
        <v>2259</v>
      </c>
      <c r="H1050" s="10" t="s">
        <v>563</v>
      </c>
      <c r="I1050" s="10"/>
      <c r="J1050" s="9">
        <v>50468</v>
      </c>
      <c r="K1050" s="10" t="s">
        <v>2260</v>
      </c>
      <c r="L1050" s="10" t="s">
        <v>305</v>
      </c>
      <c r="M1050" s="10" t="s">
        <v>1842</v>
      </c>
      <c r="N1050" s="7"/>
    </row>
    <row r="1051" s="1" customFormat="1" ht="28.5" customHeight="1" spans="1:14">
      <c r="A1051" s="8">
        <v>20601</v>
      </c>
      <c r="B1051" s="9">
        <v>20624</v>
      </c>
      <c r="C1051" s="9" t="s">
        <v>34</v>
      </c>
      <c r="D1051" s="9">
        <v>1500</v>
      </c>
      <c r="E1051" s="9"/>
      <c r="F1051" s="9">
        <v>20604</v>
      </c>
      <c r="G1051" s="10" t="s">
        <v>2261</v>
      </c>
      <c r="H1051" s="10" t="s">
        <v>563</v>
      </c>
      <c r="I1051" s="10"/>
      <c r="J1051" s="9">
        <v>50469</v>
      </c>
      <c r="K1051" s="10" t="s">
        <v>2262</v>
      </c>
      <c r="L1051" s="10" t="s">
        <v>305</v>
      </c>
      <c r="M1051" s="10" t="s">
        <v>1842</v>
      </c>
      <c r="N1051" s="7"/>
    </row>
    <row r="1052" s="1" customFormat="1" ht="28.5" customHeight="1" spans="1:14">
      <c r="A1052" s="8">
        <v>20601</v>
      </c>
      <c r="B1052" s="9">
        <v>20625</v>
      </c>
      <c r="C1052" s="9" t="s">
        <v>34</v>
      </c>
      <c r="D1052" s="9">
        <v>1000</v>
      </c>
      <c r="E1052" s="9"/>
      <c r="F1052" s="9">
        <v>20604</v>
      </c>
      <c r="G1052" s="10" t="s">
        <v>1517</v>
      </c>
      <c r="H1052" s="10" t="s">
        <v>563</v>
      </c>
      <c r="I1052" s="10"/>
      <c r="J1052" s="9">
        <v>50470</v>
      </c>
      <c r="K1052" s="10" t="s">
        <v>2263</v>
      </c>
      <c r="L1052" s="10" t="s">
        <v>305</v>
      </c>
      <c r="M1052" s="10" t="s">
        <v>1842</v>
      </c>
      <c r="N1052" s="7"/>
    </row>
    <row r="1053" s="1" customFormat="1" ht="28.5" customHeight="1" spans="1:14">
      <c r="A1053" s="8">
        <v>20601</v>
      </c>
      <c r="B1053" s="9">
        <v>20626</v>
      </c>
      <c r="C1053" s="9" t="s">
        <v>34</v>
      </c>
      <c r="D1053" s="9">
        <v>3000</v>
      </c>
      <c r="E1053" s="9"/>
      <c r="F1053" s="9">
        <v>20605</v>
      </c>
      <c r="G1053" s="10" t="s">
        <v>2264</v>
      </c>
      <c r="H1053" s="10" t="s">
        <v>563</v>
      </c>
      <c r="I1053" s="10"/>
      <c r="J1053" s="9">
        <v>30471</v>
      </c>
      <c r="K1053" s="10" t="s">
        <v>2265</v>
      </c>
      <c r="L1053" s="10" t="s">
        <v>306</v>
      </c>
      <c r="M1053" s="10" t="s">
        <v>1842</v>
      </c>
      <c r="N1053" s="7"/>
    </row>
    <row r="1054" s="1" customFormat="1" ht="28.5" customHeight="1" spans="1:14">
      <c r="A1054" s="8">
        <v>20601</v>
      </c>
      <c r="B1054" s="9">
        <v>20627</v>
      </c>
      <c r="C1054" s="9" t="s">
        <v>34</v>
      </c>
      <c r="D1054" s="9">
        <v>2500</v>
      </c>
      <c r="E1054" s="9"/>
      <c r="F1054" s="9">
        <v>20605</v>
      </c>
      <c r="G1054" s="10" t="s">
        <v>2266</v>
      </c>
      <c r="H1054" s="10" t="s">
        <v>563</v>
      </c>
      <c r="I1054" s="10"/>
      <c r="J1054" s="9">
        <v>30472</v>
      </c>
      <c r="K1054" s="10" t="s">
        <v>2267</v>
      </c>
      <c r="L1054" s="10" t="s">
        <v>306</v>
      </c>
      <c r="M1054" s="10" t="s">
        <v>1842</v>
      </c>
      <c r="N1054" s="7"/>
    </row>
    <row r="1055" s="1" customFormat="1" ht="28.5" customHeight="1" spans="1:14">
      <c r="A1055" s="8">
        <v>20601</v>
      </c>
      <c r="B1055" s="9">
        <v>20628</v>
      </c>
      <c r="C1055" s="9" t="s">
        <v>34</v>
      </c>
      <c r="D1055" s="9">
        <v>2000</v>
      </c>
      <c r="E1055" s="9"/>
      <c r="F1055" s="9">
        <v>20605</v>
      </c>
      <c r="G1055" s="10" t="s">
        <v>2268</v>
      </c>
      <c r="H1055" s="10" t="s">
        <v>563</v>
      </c>
      <c r="I1055" s="10"/>
      <c r="J1055" s="9">
        <v>30473</v>
      </c>
      <c r="K1055" s="10" t="s">
        <v>2269</v>
      </c>
      <c r="L1055" s="10" t="s">
        <v>306</v>
      </c>
      <c r="M1055" s="10" t="s">
        <v>1842</v>
      </c>
      <c r="N1055" s="7"/>
    </row>
    <row r="1056" s="1" customFormat="1" ht="28.5" customHeight="1" spans="1:14">
      <c r="A1056" s="8">
        <v>20601</v>
      </c>
      <c r="B1056" s="9">
        <v>20629</v>
      </c>
      <c r="C1056" s="9" t="s">
        <v>34</v>
      </c>
      <c r="D1056" s="9">
        <v>1500</v>
      </c>
      <c r="E1056" s="9"/>
      <c r="F1056" s="9">
        <v>20605</v>
      </c>
      <c r="G1056" s="10" t="s">
        <v>2270</v>
      </c>
      <c r="H1056" s="10" t="s">
        <v>563</v>
      </c>
      <c r="I1056" s="10"/>
      <c r="J1056" s="9">
        <v>30474</v>
      </c>
      <c r="K1056" s="10" t="s">
        <v>2271</v>
      </c>
      <c r="L1056" s="10" t="s">
        <v>306</v>
      </c>
      <c r="M1056" s="10" t="s">
        <v>1842</v>
      </c>
      <c r="N1056" s="7"/>
    </row>
    <row r="1057" s="1" customFormat="1" ht="28.5" customHeight="1" spans="1:14">
      <c r="A1057" s="8">
        <v>20601</v>
      </c>
      <c r="B1057" s="9">
        <v>20630</v>
      </c>
      <c r="C1057" s="9" t="s">
        <v>34</v>
      </c>
      <c r="D1057" s="9">
        <v>1000</v>
      </c>
      <c r="E1057" s="9"/>
      <c r="F1057" s="9">
        <v>20605</v>
      </c>
      <c r="G1057" s="10" t="s">
        <v>2272</v>
      </c>
      <c r="H1057" s="10" t="s">
        <v>563</v>
      </c>
      <c r="I1057" s="10"/>
      <c r="J1057" s="9">
        <v>30475</v>
      </c>
      <c r="K1057" s="10" t="s">
        <v>2273</v>
      </c>
      <c r="L1057" s="10" t="s">
        <v>306</v>
      </c>
      <c r="M1057" s="10" t="s">
        <v>1842</v>
      </c>
      <c r="N1057" s="7"/>
    </row>
    <row r="1058" s="1" customFormat="1" ht="28.5" customHeight="1" spans="1:14">
      <c r="A1058" s="8">
        <v>20601</v>
      </c>
      <c r="B1058" s="9">
        <v>20631</v>
      </c>
      <c r="C1058" s="9" t="s">
        <v>34</v>
      </c>
      <c r="D1058" s="9">
        <v>3000</v>
      </c>
      <c r="E1058" s="9"/>
      <c r="F1058" s="9">
        <v>20606</v>
      </c>
      <c r="G1058" s="10" t="s">
        <v>2231</v>
      </c>
      <c r="H1058" s="10" t="s">
        <v>563</v>
      </c>
      <c r="I1058" s="10"/>
      <c r="J1058" s="9">
        <v>40476</v>
      </c>
      <c r="K1058" s="10" t="s">
        <v>2232</v>
      </c>
      <c r="L1058" s="10" t="s">
        <v>307</v>
      </c>
      <c r="M1058" s="10" t="s">
        <v>1842</v>
      </c>
      <c r="N1058" s="7"/>
    </row>
    <row r="1059" s="1" customFormat="1" ht="28.5" customHeight="1" spans="1:14">
      <c r="A1059" s="8">
        <v>20601</v>
      </c>
      <c r="B1059" s="9">
        <v>20632</v>
      </c>
      <c r="C1059" s="9" t="s">
        <v>34</v>
      </c>
      <c r="D1059" s="9">
        <v>2500</v>
      </c>
      <c r="E1059" s="9"/>
      <c r="F1059" s="9">
        <v>20606</v>
      </c>
      <c r="G1059" s="10" t="s">
        <v>2274</v>
      </c>
      <c r="H1059" s="10" t="s">
        <v>563</v>
      </c>
      <c r="I1059" s="10"/>
      <c r="J1059" s="9">
        <v>40477</v>
      </c>
      <c r="K1059" s="10" t="s">
        <v>2275</v>
      </c>
      <c r="L1059" s="10" t="s">
        <v>307</v>
      </c>
      <c r="M1059" s="10" t="s">
        <v>1842</v>
      </c>
      <c r="N1059" s="7"/>
    </row>
    <row r="1060" s="1" customFormat="1" ht="28.5" customHeight="1" spans="1:14">
      <c r="A1060" s="8">
        <v>20601</v>
      </c>
      <c r="B1060" s="9">
        <v>20633</v>
      </c>
      <c r="C1060" s="9" t="s">
        <v>34</v>
      </c>
      <c r="D1060" s="9">
        <v>2000</v>
      </c>
      <c r="E1060" s="9"/>
      <c r="F1060" s="9">
        <v>20606</v>
      </c>
      <c r="G1060" s="10" t="s">
        <v>2276</v>
      </c>
      <c r="H1060" s="10" t="s">
        <v>563</v>
      </c>
      <c r="I1060" s="10"/>
      <c r="J1060" s="9">
        <v>40478</v>
      </c>
      <c r="K1060" s="10" t="s">
        <v>2277</v>
      </c>
      <c r="L1060" s="10" t="s">
        <v>307</v>
      </c>
      <c r="M1060" s="10" t="s">
        <v>1842</v>
      </c>
      <c r="N1060" s="7"/>
    </row>
    <row r="1061" s="1" customFormat="1" ht="28.5" customHeight="1" spans="1:14">
      <c r="A1061" s="8">
        <v>20601</v>
      </c>
      <c r="B1061" s="9">
        <v>20634</v>
      </c>
      <c r="C1061" s="9" t="s">
        <v>34</v>
      </c>
      <c r="D1061" s="9">
        <v>1500</v>
      </c>
      <c r="E1061" s="9"/>
      <c r="F1061" s="9">
        <v>20606</v>
      </c>
      <c r="G1061" s="10" t="s">
        <v>2278</v>
      </c>
      <c r="H1061" s="10" t="s">
        <v>563</v>
      </c>
      <c r="I1061" s="10"/>
      <c r="J1061" s="9">
        <v>40479</v>
      </c>
      <c r="K1061" s="10" t="s">
        <v>2279</v>
      </c>
      <c r="L1061" s="10" t="s">
        <v>307</v>
      </c>
      <c r="M1061" s="10" t="s">
        <v>1842</v>
      </c>
      <c r="N1061" s="7"/>
    </row>
    <row r="1062" s="1" customFormat="1" ht="28.5" customHeight="1" spans="1:14">
      <c r="A1062" s="8">
        <v>20601</v>
      </c>
      <c r="B1062" s="9">
        <v>20635</v>
      </c>
      <c r="C1062" s="9" t="s">
        <v>34</v>
      </c>
      <c r="D1062" s="9">
        <v>1000</v>
      </c>
      <c r="E1062" s="9"/>
      <c r="F1062" s="9">
        <v>20606</v>
      </c>
      <c r="G1062" s="10" t="s">
        <v>2280</v>
      </c>
      <c r="H1062" s="10" t="s">
        <v>563</v>
      </c>
      <c r="I1062" s="10"/>
      <c r="J1062" s="9">
        <v>40480</v>
      </c>
      <c r="K1062" s="10" t="s">
        <v>2281</v>
      </c>
      <c r="L1062" s="10" t="s">
        <v>307</v>
      </c>
      <c r="M1062" s="10" t="s">
        <v>1842</v>
      </c>
      <c r="N1062" s="7"/>
    </row>
    <row r="1063" s="1" customFormat="1" ht="28.5" customHeight="1" spans="1:14">
      <c r="A1063" s="8"/>
      <c r="B1063" s="9"/>
      <c r="C1063" s="9" t="s">
        <v>1289</v>
      </c>
      <c r="D1063" s="9">
        <v>3000</v>
      </c>
      <c r="E1063" s="9"/>
      <c r="F1063" s="9"/>
      <c r="G1063" s="10" t="s">
        <v>2282</v>
      </c>
      <c r="H1063" s="10" t="s">
        <v>563</v>
      </c>
      <c r="I1063" s="10"/>
      <c r="J1063" s="9">
        <v>10481</v>
      </c>
      <c r="K1063" s="10" t="s">
        <v>2283</v>
      </c>
      <c r="L1063" s="10" t="s">
        <v>268</v>
      </c>
      <c r="M1063" s="10" t="s">
        <v>1834</v>
      </c>
      <c r="N1063" s="7"/>
    </row>
    <row r="1064" s="1" customFormat="1" ht="28.5" customHeight="1" spans="1:14">
      <c r="A1064" s="8"/>
      <c r="B1064" s="9"/>
      <c r="C1064" s="9" t="s">
        <v>1289</v>
      </c>
      <c r="D1064" s="9">
        <v>2500</v>
      </c>
      <c r="E1064" s="9"/>
      <c r="F1064" s="9"/>
      <c r="G1064" s="10" t="s">
        <v>2284</v>
      </c>
      <c r="H1064" s="10" t="s">
        <v>563</v>
      </c>
      <c r="I1064" s="10"/>
      <c r="J1064" s="9">
        <v>10482</v>
      </c>
      <c r="K1064" s="10" t="s">
        <v>2285</v>
      </c>
      <c r="L1064" s="10" t="s">
        <v>268</v>
      </c>
      <c r="M1064" s="10" t="s">
        <v>1834</v>
      </c>
      <c r="N1064" s="7"/>
    </row>
    <row r="1065" s="1" customFormat="1" ht="28.5" customHeight="1" spans="1:14">
      <c r="A1065" s="8"/>
      <c r="B1065" s="9"/>
      <c r="C1065" s="9" t="s">
        <v>1289</v>
      </c>
      <c r="D1065" s="9">
        <v>2000</v>
      </c>
      <c r="E1065" s="9"/>
      <c r="F1065" s="9"/>
      <c r="G1065" s="10" t="s">
        <v>2286</v>
      </c>
      <c r="H1065" s="10" t="s">
        <v>563</v>
      </c>
      <c r="I1065" s="10"/>
      <c r="J1065" s="9">
        <v>10483</v>
      </c>
      <c r="K1065" s="10" t="s">
        <v>2287</v>
      </c>
      <c r="L1065" s="10" t="s">
        <v>268</v>
      </c>
      <c r="M1065" s="10" t="s">
        <v>1834</v>
      </c>
      <c r="N1065" s="7"/>
    </row>
    <row r="1066" s="1" customFormat="1" ht="28.5" customHeight="1" spans="1:14">
      <c r="A1066" s="8"/>
      <c r="B1066" s="9"/>
      <c r="C1066" s="9" t="s">
        <v>1289</v>
      </c>
      <c r="D1066" s="9">
        <v>1500</v>
      </c>
      <c r="E1066" s="9"/>
      <c r="F1066" s="9"/>
      <c r="G1066" s="10" t="s">
        <v>2288</v>
      </c>
      <c r="H1066" s="10" t="s">
        <v>563</v>
      </c>
      <c r="I1066" s="10"/>
      <c r="J1066" s="9">
        <v>10484</v>
      </c>
      <c r="K1066" s="10" t="s">
        <v>2289</v>
      </c>
      <c r="L1066" s="10" t="s">
        <v>268</v>
      </c>
      <c r="M1066" s="10" t="s">
        <v>1834</v>
      </c>
      <c r="N1066" s="7"/>
    </row>
    <row r="1067" s="1" customFormat="1" ht="28.5" customHeight="1" spans="1:14">
      <c r="A1067" s="8"/>
      <c r="B1067" s="9"/>
      <c r="C1067" s="9" t="s">
        <v>1289</v>
      </c>
      <c r="D1067" s="9">
        <v>1000</v>
      </c>
      <c r="E1067" s="9"/>
      <c r="F1067" s="9"/>
      <c r="G1067" s="10" t="s">
        <v>2290</v>
      </c>
      <c r="H1067" s="10" t="s">
        <v>563</v>
      </c>
      <c r="I1067" s="10"/>
      <c r="J1067" s="9">
        <v>10485</v>
      </c>
      <c r="K1067" s="10" t="s">
        <v>2291</v>
      </c>
      <c r="L1067" s="10" t="s">
        <v>268</v>
      </c>
      <c r="M1067" s="10" t="s">
        <v>1834</v>
      </c>
      <c r="N1067" s="7"/>
    </row>
    <row r="1068" s="1" customFormat="1" ht="28.5" customHeight="1" spans="1:14">
      <c r="A1068" s="8">
        <v>20701</v>
      </c>
      <c r="B1068" s="9">
        <v>20701</v>
      </c>
      <c r="C1068" s="9" t="s">
        <v>35</v>
      </c>
      <c r="D1068" s="9">
        <v>0</v>
      </c>
      <c r="E1068" s="9"/>
      <c r="F1068" s="9">
        <v>20700</v>
      </c>
      <c r="G1068" s="10" t="s">
        <v>1396</v>
      </c>
      <c r="H1068" s="10" t="s">
        <v>563</v>
      </c>
      <c r="I1068" s="10"/>
      <c r="J1068" s="9">
        <v>60486</v>
      </c>
      <c r="K1068" s="10" t="s">
        <v>2036</v>
      </c>
      <c r="L1068" s="10" t="s">
        <v>267</v>
      </c>
      <c r="M1068" s="10" t="s">
        <v>1842</v>
      </c>
      <c r="N1068" s="7"/>
    </row>
    <row r="1069" s="1" customFormat="1" ht="28.5" customHeight="1" spans="1:14">
      <c r="A1069" s="8">
        <v>20701</v>
      </c>
      <c r="B1069" s="9">
        <v>20702</v>
      </c>
      <c r="C1069" s="9" t="s">
        <v>35</v>
      </c>
      <c r="D1069" s="9">
        <v>0</v>
      </c>
      <c r="E1069" s="9"/>
      <c r="F1069" s="9">
        <v>20700</v>
      </c>
      <c r="G1069" s="10" t="s">
        <v>1398</v>
      </c>
      <c r="H1069" s="10" t="s">
        <v>563</v>
      </c>
      <c r="I1069" s="10"/>
      <c r="J1069" s="9">
        <v>60487</v>
      </c>
      <c r="K1069" s="10" t="s">
        <v>2037</v>
      </c>
      <c r="L1069" s="10" t="s">
        <v>267</v>
      </c>
      <c r="M1069" s="10" t="s">
        <v>1842</v>
      </c>
      <c r="N1069" s="7"/>
    </row>
    <row r="1070" s="1" customFormat="1" ht="28.5" customHeight="1" spans="1:14">
      <c r="A1070" s="8">
        <v>20701</v>
      </c>
      <c r="B1070" s="9">
        <v>20703</v>
      </c>
      <c r="C1070" s="9" t="s">
        <v>35</v>
      </c>
      <c r="D1070" s="9">
        <v>0</v>
      </c>
      <c r="E1070" s="9"/>
      <c r="F1070" s="9">
        <v>20700</v>
      </c>
      <c r="G1070" s="10" t="s">
        <v>1400</v>
      </c>
      <c r="H1070" s="10" t="s">
        <v>563</v>
      </c>
      <c r="I1070" s="10"/>
      <c r="J1070" s="9">
        <v>60488</v>
      </c>
      <c r="K1070" s="10" t="s">
        <v>2038</v>
      </c>
      <c r="L1070" s="10" t="s">
        <v>267</v>
      </c>
      <c r="M1070" s="10" t="s">
        <v>1842</v>
      </c>
      <c r="N1070" s="7"/>
    </row>
    <row r="1071" s="1" customFormat="1" ht="28.5" customHeight="1" spans="1:14">
      <c r="A1071" s="8">
        <v>20701</v>
      </c>
      <c r="B1071" s="9">
        <v>20704</v>
      </c>
      <c r="C1071" s="9" t="s">
        <v>35</v>
      </c>
      <c r="D1071" s="9">
        <v>0</v>
      </c>
      <c r="E1071" s="9"/>
      <c r="F1071" s="9">
        <v>20700</v>
      </c>
      <c r="G1071" s="10" t="s">
        <v>1402</v>
      </c>
      <c r="H1071" s="10" t="s">
        <v>563</v>
      </c>
      <c r="I1071" s="10"/>
      <c r="J1071" s="9">
        <v>60489</v>
      </c>
      <c r="K1071" s="10" t="s">
        <v>2039</v>
      </c>
      <c r="L1071" s="10" t="s">
        <v>267</v>
      </c>
      <c r="M1071" s="10" t="s">
        <v>1842</v>
      </c>
      <c r="N1071" s="7"/>
    </row>
    <row r="1072" s="1" customFormat="1" ht="28.5" customHeight="1" spans="1:14">
      <c r="A1072" s="8">
        <v>20701</v>
      </c>
      <c r="B1072" s="9">
        <v>20705</v>
      </c>
      <c r="C1072" s="9" t="s">
        <v>35</v>
      </c>
      <c r="D1072" s="9">
        <v>0</v>
      </c>
      <c r="E1072" s="9"/>
      <c r="F1072" s="9">
        <v>20700</v>
      </c>
      <c r="G1072" s="10" t="s">
        <v>1404</v>
      </c>
      <c r="H1072" s="10" t="s">
        <v>563</v>
      </c>
      <c r="I1072" s="10"/>
      <c r="J1072" s="9">
        <v>60490</v>
      </c>
      <c r="K1072" s="10" t="s">
        <v>2040</v>
      </c>
      <c r="L1072" s="10" t="s">
        <v>267</v>
      </c>
      <c r="M1072" s="10" t="s">
        <v>1842</v>
      </c>
      <c r="N1072" s="7"/>
    </row>
    <row r="1073" s="1" customFormat="1" ht="28.5" customHeight="1" spans="1:14">
      <c r="A1073" s="8">
        <v>20701</v>
      </c>
      <c r="B1073" s="9">
        <v>20706</v>
      </c>
      <c r="C1073" s="9" t="s">
        <v>35</v>
      </c>
      <c r="D1073" s="9">
        <v>3000</v>
      </c>
      <c r="E1073" s="9"/>
      <c r="F1073" s="9">
        <v>20701</v>
      </c>
      <c r="G1073" s="10" t="s">
        <v>1929</v>
      </c>
      <c r="H1073" s="10" t="s">
        <v>563</v>
      </c>
      <c r="I1073" s="10"/>
      <c r="J1073" s="9">
        <v>20491</v>
      </c>
      <c r="K1073" s="10" t="s">
        <v>1930</v>
      </c>
      <c r="L1073" s="10" t="s">
        <v>268</v>
      </c>
      <c r="M1073" s="10" t="s">
        <v>1842</v>
      </c>
      <c r="N1073" s="7"/>
    </row>
    <row r="1074" s="1" customFormat="1" ht="28.5" customHeight="1" spans="1:14">
      <c r="A1074" s="8">
        <v>20701</v>
      </c>
      <c r="B1074" s="9">
        <v>20707</v>
      </c>
      <c r="C1074" s="9" t="s">
        <v>35</v>
      </c>
      <c r="D1074" s="9">
        <v>2500</v>
      </c>
      <c r="E1074" s="9"/>
      <c r="F1074" s="9">
        <v>20701</v>
      </c>
      <c r="G1074" s="10" t="s">
        <v>2041</v>
      </c>
      <c r="H1074" s="10" t="s">
        <v>563</v>
      </c>
      <c r="I1074" s="10"/>
      <c r="J1074" s="9">
        <v>20492</v>
      </c>
      <c r="K1074" s="10" t="s">
        <v>2042</v>
      </c>
      <c r="L1074" s="10" t="s">
        <v>268</v>
      </c>
      <c r="M1074" s="10" t="s">
        <v>1842</v>
      </c>
      <c r="N1074" s="7"/>
    </row>
    <row r="1075" s="1" customFormat="1" ht="28.5" customHeight="1" spans="1:14">
      <c r="A1075" s="8">
        <v>20701</v>
      </c>
      <c r="B1075" s="9">
        <v>20708</v>
      </c>
      <c r="C1075" s="9" t="s">
        <v>35</v>
      </c>
      <c r="D1075" s="9">
        <v>2000</v>
      </c>
      <c r="E1075" s="9"/>
      <c r="F1075" s="9">
        <v>20701</v>
      </c>
      <c r="G1075" s="10" t="s">
        <v>2043</v>
      </c>
      <c r="H1075" s="10" t="s">
        <v>563</v>
      </c>
      <c r="I1075" s="10"/>
      <c r="J1075" s="9">
        <v>20493</v>
      </c>
      <c r="K1075" s="10" t="s">
        <v>2044</v>
      </c>
      <c r="L1075" s="10" t="s">
        <v>268</v>
      </c>
      <c r="M1075" s="10" t="s">
        <v>1842</v>
      </c>
      <c r="N1075" s="7"/>
    </row>
    <row r="1076" s="1" customFormat="1" ht="28.5" customHeight="1" spans="1:14">
      <c r="A1076" s="8">
        <v>20701</v>
      </c>
      <c r="B1076" s="9">
        <v>20709</v>
      </c>
      <c r="C1076" s="9" t="s">
        <v>35</v>
      </c>
      <c r="D1076" s="9">
        <v>1500</v>
      </c>
      <c r="E1076" s="9"/>
      <c r="F1076" s="9">
        <v>20701</v>
      </c>
      <c r="G1076" s="10" t="s">
        <v>2045</v>
      </c>
      <c r="H1076" s="10" t="s">
        <v>563</v>
      </c>
      <c r="I1076" s="10"/>
      <c r="J1076" s="9">
        <v>20494</v>
      </c>
      <c r="K1076" s="10" t="s">
        <v>2046</v>
      </c>
      <c r="L1076" s="10" t="s">
        <v>268</v>
      </c>
      <c r="M1076" s="10" t="s">
        <v>1842</v>
      </c>
      <c r="N1076" s="7"/>
    </row>
    <row r="1077" s="1" customFormat="1" ht="28.5" customHeight="1" spans="1:14">
      <c r="A1077" s="8">
        <v>20701</v>
      </c>
      <c r="B1077" s="9">
        <v>20710</v>
      </c>
      <c r="C1077" s="9" t="s">
        <v>35</v>
      </c>
      <c r="D1077" s="9">
        <v>1000</v>
      </c>
      <c r="E1077" s="9"/>
      <c r="F1077" s="9">
        <v>20701</v>
      </c>
      <c r="G1077" s="10" t="s">
        <v>2047</v>
      </c>
      <c r="H1077" s="10" t="s">
        <v>563</v>
      </c>
      <c r="I1077" s="10"/>
      <c r="J1077" s="9">
        <v>20495</v>
      </c>
      <c r="K1077" s="10" t="s">
        <v>2048</v>
      </c>
      <c r="L1077" s="10" t="s">
        <v>268</v>
      </c>
      <c r="M1077" s="10" t="s">
        <v>1842</v>
      </c>
      <c r="N1077" s="7"/>
    </row>
    <row r="1078" s="1" customFormat="1" ht="28.5" customHeight="1" spans="1:14">
      <c r="A1078" s="8"/>
      <c r="B1078" s="9"/>
      <c r="C1078" s="9" t="s">
        <v>1289</v>
      </c>
      <c r="D1078" s="9">
        <v>3000</v>
      </c>
      <c r="E1078" s="9"/>
      <c r="F1078" s="9"/>
      <c r="G1078" s="10" t="s">
        <v>1857</v>
      </c>
      <c r="H1078" s="10" t="s">
        <v>563</v>
      </c>
      <c r="I1078" s="10"/>
      <c r="J1078" s="9">
        <v>90496</v>
      </c>
      <c r="K1078" s="10" t="s">
        <v>1858</v>
      </c>
      <c r="L1078" s="10" t="s">
        <v>224</v>
      </c>
      <c r="M1078" s="10" t="s">
        <v>1834</v>
      </c>
      <c r="N1078" s="7"/>
    </row>
    <row r="1079" s="1" customFormat="1" ht="28.5" customHeight="1" spans="1:14">
      <c r="A1079" s="8"/>
      <c r="B1079" s="9"/>
      <c r="C1079" s="9" t="s">
        <v>1289</v>
      </c>
      <c r="D1079" s="9">
        <v>2500</v>
      </c>
      <c r="E1079" s="9"/>
      <c r="F1079" s="9"/>
      <c r="G1079" s="10" t="s">
        <v>1857</v>
      </c>
      <c r="H1079" s="10" t="s">
        <v>563</v>
      </c>
      <c r="I1079" s="10"/>
      <c r="J1079" s="9">
        <v>90497</v>
      </c>
      <c r="K1079" s="10" t="s">
        <v>1858</v>
      </c>
      <c r="L1079" s="10" t="s">
        <v>224</v>
      </c>
      <c r="M1079" s="10" t="s">
        <v>1834</v>
      </c>
      <c r="N1079" s="7"/>
    </row>
    <row r="1080" s="1" customFormat="1" ht="28.5" customHeight="1" spans="1:14">
      <c r="A1080" s="8"/>
      <c r="B1080" s="9"/>
      <c r="C1080" s="9" t="s">
        <v>1289</v>
      </c>
      <c r="D1080" s="9">
        <v>2000</v>
      </c>
      <c r="E1080" s="9"/>
      <c r="F1080" s="9"/>
      <c r="G1080" s="10" t="s">
        <v>1857</v>
      </c>
      <c r="H1080" s="10" t="s">
        <v>563</v>
      </c>
      <c r="I1080" s="10"/>
      <c r="J1080" s="9">
        <v>90498</v>
      </c>
      <c r="K1080" s="10" t="s">
        <v>1858</v>
      </c>
      <c r="L1080" s="10" t="s">
        <v>224</v>
      </c>
      <c r="M1080" s="10" t="s">
        <v>1834</v>
      </c>
      <c r="N1080" s="7"/>
    </row>
    <row r="1081" s="1" customFormat="1" ht="28.5" customHeight="1" spans="1:14">
      <c r="A1081" s="8"/>
      <c r="B1081" s="9"/>
      <c r="C1081" s="9" t="s">
        <v>1289</v>
      </c>
      <c r="D1081" s="9">
        <v>1500</v>
      </c>
      <c r="E1081" s="9"/>
      <c r="F1081" s="9"/>
      <c r="G1081" s="10" t="s">
        <v>1857</v>
      </c>
      <c r="H1081" s="10" t="s">
        <v>563</v>
      </c>
      <c r="I1081" s="10"/>
      <c r="J1081" s="9">
        <v>90499</v>
      </c>
      <c r="K1081" s="10" t="s">
        <v>1858</v>
      </c>
      <c r="L1081" s="10" t="s">
        <v>224</v>
      </c>
      <c r="M1081" s="10" t="s">
        <v>1834</v>
      </c>
      <c r="N1081" s="7"/>
    </row>
    <row r="1082" s="1" customFormat="1" ht="28.5" customHeight="1" spans="1:14">
      <c r="A1082" s="8"/>
      <c r="B1082" s="9"/>
      <c r="C1082" s="9" t="s">
        <v>1289</v>
      </c>
      <c r="D1082" s="9">
        <v>1000</v>
      </c>
      <c r="E1082" s="9"/>
      <c r="F1082" s="9"/>
      <c r="G1082" s="10" t="s">
        <v>1857</v>
      </c>
      <c r="H1082" s="10" t="s">
        <v>563</v>
      </c>
      <c r="I1082" s="10"/>
      <c r="J1082" s="9">
        <v>90500</v>
      </c>
      <c r="K1082" s="10" t="s">
        <v>1858</v>
      </c>
      <c r="L1082" s="10" t="s">
        <v>224</v>
      </c>
      <c r="M1082" s="10" t="s">
        <v>1834</v>
      </c>
      <c r="N1082" s="7"/>
    </row>
    <row r="1083" s="1" customFormat="1" ht="28.5" customHeight="1" spans="1:14">
      <c r="A1083" s="8">
        <v>20703</v>
      </c>
      <c r="B1083" s="9">
        <v>20711</v>
      </c>
      <c r="C1083" s="9" t="s">
        <v>35</v>
      </c>
      <c r="D1083" s="9">
        <v>3000</v>
      </c>
      <c r="E1083" s="9"/>
      <c r="F1083" s="9">
        <v>20702</v>
      </c>
      <c r="G1083" s="10" t="s">
        <v>1859</v>
      </c>
      <c r="H1083" s="10" t="s">
        <v>563</v>
      </c>
      <c r="I1083" s="10"/>
      <c r="J1083" s="9">
        <v>70501</v>
      </c>
      <c r="K1083" s="10" t="s">
        <v>1860</v>
      </c>
      <c r="L1083" s="10" t="s">
        <v>228</v>
      </c>
      <c r="M1083" s="10" t="s">
        <v>1842</v>
      </c>
      <c r="N1083" s="7"/>
    </row>
    <row r="1084" s="1" customFormat="1" ht="28.5" customHeight="1" spans="1:14">
      <c r="A1084" s="8">
        <v>20703</v>
      </c>
      <c r="B1084" s="9">
        <v>20712</v>
      </c>
      <c r="C1084" s="9" t="s">
        <v>35</v>
      </c>
      <c r="D1084" s="9">
        <v>2500</v>
      </c>
      <c r="E1084" s="9"/>
      <c r="F1084" s="9">
        <v>20702</v>
      </c>
      <c r="G1084" s="10" t="s">
        <v>1859</v>
      </c>
      <c r="H1084" s="10" t="s">
        <v>563</v>
      </c>
      <c r="I1084" s="10"/>
      <c r="J1084" s="9">
        <v>70502</v>
      </c>
      <c r="K1084" s="10" t="s">
        <v>1860</v>
      </c>
      <c r="L1084" s="10" t="s">
        <v>228</v>
      </c>
      <c r="M1084" s="10" t="s">
        <v>1842</v>
      </c>
      <c r="N1084" s="7"/>
    </row>
    <row r="1085" s="1" customFormat="1" ht="28.5" customHeight="1" spans="1:14">
      <c r="A1085" s="8">
        <v>20703</v>
      </c>
      <c r="B1085" s="9">
        <v>20713</v>
      </c>
      <c r="C1085" s="9" t="s">
        <v>35</v>
      </c>
      <c r="D1085" s="9">
        <v>2000</v>
      </c>
      <c r="E1085" s="9"/>
      <c r="F1085" s="9">
        <v>20702</v>
      </c>
      <c r="G1085" s="10" t="s">
        <v>1859</v>
      </c>
      <c r="H1085" s="10" t="s">
        <v>563</v>
      </c>
      <c r="I1085" s="10"/>
      <c r="J1085" s="9">
        <v>70503</v>
      </c>
      <c r="K1085" s="10" t="s">
        <v>1860</v>
      </c>
      <c r="L1085" s="10" t="s">
        <v>228</v>
      </c>
      <c r="M1085" s="10" t="s">
        <v>1842</v>
      </c>
      <c r="N1085" s="7"/>
    </row>
    <row r="1086" s="1" customFormat="1" ht="28.5" customHeight="1" spans="1:14">
      <c r="A1086" s="8">
        <v>20703</v>
      </c>
      <c r="B1086" s="9">
        <v>20714</v>
      </c>
      <c r="C1086" s="9" t="s">
        <v>35</v>
      </c>
      <c r="D1086" s="9">
        <v>1500</v>
      </c>
      <c r="E1086" s="9"/>
      <c r="F1086" s="9">
        <v>20702</v>
      </c>
      <c r="G1086" s="10" t="s">
        <v>1859</v>
      </c>
      <c r="H1086" s="10" t="s">
        <v>563</v>
      </c>
      <c r="I1086" s="10"/>
      <c r="J1086" s="9">
        <v>70504</v>
      </c>
      <c r="K1086" s="10" t="s">
        <v>1860</v>
      </c>
      <c r="L1086" s="10" t="s">
        <v>228</v>
      </c>
      <c r="M1086" s="10" t="s">
        <v>1842</v>
      </c>
      <c r="N1086" s="7"/>
    </row>
    <row r="1087" s="1" customFormat="1" ht="28.5" customHeight="1" spans="1:14">
      <c r="A1087" s="8">
        <v>20703</v>
      </c>
      <c r="B1087" s="9">
        <v>20715</v>
      </c>
      <c r="C1087" s="9" t="s">
        <v>35</v>
      </c>
      <c r="D1087" s="9">
        <v>1000</v>
      </c>
      <c r="E1087" s="9"/>
      <c r="F1087" s="9">
        <v>20702</v>
      </c>
      <c r="G1087" s="10" t="s">
        <v>1859</v>
      </c>
      <c r="H1087" s="10" t="s">
        <v>563</v>
      </c>
      <c r="I1087" s="10"/>
      <c r="J1087" s="9">
        <v>70505</v>
      </c>
      <c r="K1087" s="10" t="s">
        <v>1860</v>
      </c>
      <c r="L1087" s="10" t="s">
        <v>228</v>
      </c>
      <c r="M1087" s="10" t="s">
        <v>1842</v>
      </c>
      <c r="N1087" s="7"/>
    </row>
    <row r="1088" s="1" customFormat="1" ht="28.5" customHeight="1" spans="1:14">
      <c r="A1088" s="8"/>
      <c r="B1088" s="9"/>
      <c r="C1088" s="9" t="s">
        <v>1289</v>
      </c>
      <c r="D1088" s="9">
        <v>3000</v>
      </c>
      <c r="E1088" s="9"/>
      <c r="F1088" s="9"/>
      <c r="G1088" s="10" t="s">
        <v>1861</v>
      </c>
      <c r="H1088" s="10" t="s">
        <v>563</v>
      </c>
      <c r="I1088" s="10"/>
      <c r="J1088" s="9">
        <v>80506</v>
      </c>
      <c r="K1088" s="10" t="s">
        <v>1862</v>
      </c>
      <c r="L1088" s="10" t="s">
        <v>231</v>
      </c>
      <c r="M1088" s="10" t="s">
        <v>1834</v>
      </c>
      <c r="N1088" s="7"/>
    </row>
    <row r="1089" s="1" customFormat="1" ht="28.5" customHeight="1" spans="1:14">
      <c r="A1089" s="8"/>
      <c r="B1089" s="9"/>
      <c r="C1089" s="9" t="s">
        <v>1289</v>
      </c>
      <c r="D1089" s="9">
        <v>2500</v>
      </c>
      <c r="E1089" s="9"/>
      <c r="F1089" s="9"/>
      <c r="G1089" s="10" t="s">
        <v>1861</v>
      </c>
      <c r="H1089" s="10" t="s">
        <v>563</v>
      </c>
      <c r="I1089" s="10"/>
      <c r="J1089" s="9">
        <v>80507</v>
      </c>
      <c r="K1089" s="10" t="s">
        <v>1862</v>
      </c>
      <c r="L1089" s="10" t="s">
        <v>231</v>
      </c>
      <c r="M1089" s="10" t="s">
        <v>1834</v>
      </c>
      <c r="N1089" s="7"/>
    </row>
    <row r="1090" s="1" customFormat="1" ht="28.5" customHeight="1" spans="1:14">
      <c r="A1090" s="8"/>
      <c r="B1090" s="9"/>
      <c r="C1090" s="9" t="s">
        <v>1289</v>
      </c>
      <c r="D1090" s="9">
        <v>2000</v>
      </c>
      <c r="E1090" s="9"/>
      <c r="F1090" s="9"/>
      <c r="G1090" s="10" t="s">
        <v>1861</v>
      </c>
      <c r="H1090" s="10" t="s">
        <v>563</v>
      </c>
      <c r="I1090" s="10"/>
      <c r="J1090" s="9">
        <v>80508</v>
      </c>
      <c r="K1090" s="10" t="s">
        <v>1862</v>
      </c>
      <c r="L1090" s="10" t="s">
        <v>231</v>
      </c>
      <c r="M1090" s="10" t="s">
        <v>1834</v>
      </c>
      <c r="N1090" s="7"/>
    </row>
    <row r="1091" s="1" customFormat="1" ht="28.5" customHeight="1" spans="1:14">
      <c r="A1091" s="8"/>
      <c r="B1091" s="9"/>
      <c r="C1091" s="9" t="s">
        <v>1289</v>
      </c>
      <c r="D1091" s="9">
        <v>1500</v>
      </c>
      <c r="E1091" s="9"/>
      <c r="F1091" s="9"/>
      <c r="G1091" s="10" t="s">
        <v>1861</v>
      </c>
      <c r="H1091" s="10" t="s">
        <v>563</v>
      </c>
      <c r="I1091" s="10"/>
      <c r="J1091" s="9">
        <v>80509</v>
      </c>
      <c r="K1091" s="10" t="s">
        <v>1862</v>
      </c>
      <c r="L1091" s="10" t="s">
        <v>231</v>
      </c>
      <c r="M1091" s="10" t="s">
        <v>1834</v>
      </c>
      <c r="N1091" s="7"/>
    </row>
    <row r="1092" s="1" customFormat="1" ht="28.5" customHeight="1" spans="1:14">
      <c r="A1092" s="8"/>
      <c r="B1092" s="9"/>
      <c r="C1092" s="9" t="s">
        <v>1289</v>
      </c>
      <c r="D1092" s="9">
        <v>1000</v>
      </c>
      <c r="E1092" s="9"/>
      <c r="F1092" s="9"/>
      <c r="G1092" s="10" t="s">
        <v>1861</v>
      </c>
      <c r="H1092" s="10" t="s">
        <v>563</v>
      </c>
      <c r="I1092" s="10"/>
      <c r="J1092" s="9">
        <v>80510</v>
      </c>
      <c r="K1092" s="10" t="s">
        <v>1862</v>
      </c>
      <c r="L1092" s="10" t="s">
        <v>231</v>
      </c>
      <c r="M1092" s="10" t="s">
        <v>1834</v>
      </c>
      <c r="N1092" s="7"/>
    </row>
    <row r="1093" s="1" customFormat="1" ht="28.5" customHeight="1" spans="1:14">
      <c r="A1093" s="8">
        <v>20703</v>
      </c>
      <c r="B1093" s="9">
        <v>20716</v>
      </c>
      <c r="C1093" s="9" t="s">
        <v>35</v>
      </c>
      <c r="D1093" s="9">
        <v>3000</v>
      </c>
      <c r="E1093" s="9"/>
      <c r="F1093" s="9">
        <v>20703</v>
      </c>
      <c r="G1093" s="10" t="s">
        <v>2141</v>
      </c>
      <c r="H1093" s="10" t="s">
        <v>563</v>
      </c>
      <c r="I1093" s="10"/>
      <c r="J1093" s="9">
        <v>100511</v>
      </c>
      <c r="K1093" s="10" t="s">
        <v>284</v>
      </c>
      <c r="L1093" s="10" t="s">
        <v>248</v>
      </c>
      <c r="M1093" s="10" t="s">
        <v>1842</v>
      </c>
      <c r="N1093" s="7"/>
    </row>
    <row r="1094" s="1" customFormat="1" ht="28.5" customHeight="1" spans="1:14">
      <c r="A1094" s="8">
        <v>20703</v>
      </c>
      <c r="B1094" s="9">
        <v>20717</v>
      </c>
      <c r="C1094" s="9" t="s">
        <v>35</v>
      </c>
      <c r="D1094" s="9">
        <v>2500</v>
      </c>
      <c r="E1094" s="9"/>
      <c r="F1094" s="9">
        <v>20703</v>
      </c>
      <c r="G1094" s="10" t="s">
        <v>2141</v>
      </c>
      <c r="H1094" s="10" t="s">
        <v>563</v>
      </c>
      <c r="I1094" s="10"/>
      <c r="J1094" s="9">
        <v>100512</v>
      </c>
      <c r="K1094" s="10" t="s">
        <v>284</v>
      </c>
      <c r="L1094" s="10" t="s">
        <v>248</v>
      </c>
      <c r="M1094" s="10" t="s">
        <v>1842</v>
      </c>
      <c r="N1094" s="7"/>
    </row>
    <row r="1095" s="1" customFormat="1" ht="28.5" customHeight="1" spans="1:14">
      <c r="A1095" s="8">
        <v>20703</v>
      </c>
      <c r="B1095" s="9">
        <v>20718</v>
      </c>
      <c r="C1095" s="9" t="s">
        <v>35</v>
      </c>
      <c r="D1095" s="9">
        <v>2000</v>
      </c>
      <c r="E1095" s="9"/>
      <c r="F1095" s="9">
        <v>20703</v>
      </c>
      <c r="G1095" s="10" t="s">
        <v>2141</v>
      </c>
      <c r="H1095" s="10" t="s">
        <v>563</v>
      </c>
      <c r="I1095" s="10"/>
      <c r="J1095" s="9">
        <v>100513</v>
      </c>
      <c r="K1095" s="10" t="s">
        <v>284</v>
      </c>
      <c r="L1095" s="10" t="s">
        <v>248</v>
      </c>
      <c r="M1095" s="10" t="s">
        <v>1842</v>
      </c>
      <c r="N1095" s="7"/>
    </row>
    <row r="1096" s="1" customFormat="1" ht="28.5" customHeight="1" spans="1:14">
      <c r="A1096" s="8">
        <v>20703</v>
      </c>
      <c r="B1096" s="9">
        <v>20719</v>
      </c>
      <c r="C1096" s="9" t="s">
        <v>35</v>
      </c>
      <c r="D1096" s="9">
        <v>1500</v>
      </c>
      <c r="E1096" s="9"/>
      <c r="F1096" s="9">
        <v>20703</v>
      </c>
      <c r="G1096" s="10" t="s">
        <v>2141</v>
      </c>
      <c r="H1096" s="10" t="s">
        <v>563</v>
      </c>
      <c r="I1096" s="10"/>
      <c r="J1096" s="9">
        <v>100514</v>
      </c>
      <c r="K1096" s="10" t="s">
        <v>284</v>
      </c>
      <c r="L1096" s="10" t="s">
        <v>248</v>
      </c>
      <c r="M1096" s="10" t="s">
        <v>1842</v>
      </c>
      <c r="N1096" s="7"/>
    </row>
    <row r="1097" s="1" customFormat="1" ht="28.5" customHeight="1" spans="1:14">
      <c r="A1097" s="8">
        <v>20703</v>
      </c>
      <c r="B1097" s="9">
        <v>20720</v>
      </c>
      <c r="C1097" s="9" t="s">
        <v>35</v>
      </c>
      <c r="D1097" s="9">
        <v>1000</v>
      </c>
      <c r="E1097" s="9"/>
      <c r="F1097" s="9">
        <v>20703</v>
      </c>
      <c r="G1097" s="10" t="s">
        <v>2141</v>
      </c>
      <c r="H1097" s="10" t="s">
        <v>563</v>
      </c>
      <c r="I1097" s="10"/>
      <c r="J1097" s="9">
        <v>100515</v>
      </c>
      <c r="K1097" s="10" t="s">
        <v>284</v>
      </c>
      <c r="L1097" s="10" t="s">
        <v>248</v>
      </c>
      <c r="M1097" s="10" t="s">
        <v>1842</v>
      </c>
      <c r="N1097" s="7"/>
    </row>
    <row r="1098" s="1" customFormat="1" ht="28.5" customHeight="1" spans="1:14">
      <c r="A1098" s="8">
        <v>20702</v>
      </c>
      <c r="B1098" s="9">
        <v>20721</v>
      </c>
      <c r="C1098" s="9" t="s">
        <v>35</v>
      </c>
      <c r="D1098" s="9">
        <v>3000</v>
      </c>
      <c r="E1098" s="9"/>
      <c r="F1098" s="9">
        <v>20704</v>
      </c>
      <c r="G1098" s="10" t="s">
        <v>2292</v>
      </c>
      <c r="H1098" s="10" t="s">
        <v>563</v>
      </c>
      <c r="I1098" s="10"/>
      <c r="J1098" s="9">
        <v>10516</v>
      </c>
      <c r="K1098" s="10" t="s">
        <v>2293</v>
      </c>
      <c r="L1098" s="10" t="s">
        <v>308</v>
      </c>
      <c r="M1098" s="10" t="s">
        <v>1842</v>
      </c>
      <c r="N1098" s="7"/>
    </row>
    <row r="1099" s="1" customFormat="1" ht="28.5" customHeight="1" spans="1:14">
      <c r="A1099" s="8">
        <v>20702</v>
      </c>
      <c r="B1099" s="9">
        <v>20722</v>
      </c>
      <c r="C1099" s="9" t="s">
        <v>35</v>
      </c>
      <c r="D1099" s="9">
        <v>2500</v>
      </c>
      <c r="E1099" s="9"/>
      <c r="F1099" s="9">
        <v>20704</v>
      </c>
      <c r="G1099" s="10" t="s">
        <v>2249</v>
      </c>
      <c r="H1099" s="10" t="s">
        <v>563</v>
      </c>
      <c r="I1099" s="10"/>
      <c r="J1099" s="9">
        <v>10517</v>
      </c>
      <c r="K1099" s="10" t="s">
        <v>2250</v>
      </c>
      <c r="L1099" s="10" t="s">
        <v>308</v>
      </c>
      <c r="M1099" s="10" t="s">
        <v>1842</v>
      </c>
      <c r="N1099" s="7"/>
    </row>
    <row r="1100" s="1" customFormat="1" ht="28.5" customHeight="1" spans="1:14">
      <c r="A1100" s="8">
        <v>20702</v>
      </c>
      <c r="B1100" s="9">
        <v>20723</v>
      </c>
      <c r="C1100" s="9" t="s">
        <v>35</v>
      </c>
      <c r="D1100" s="9">
        <v>2000</v>
      </c>
      <c r="E1100" s="9"/>
      <c r="F1100" s="9">
        <v>20704</v>
      </c>
      <c r="G1100" s="10" t="s">
        <v>2294</v>
      </c>
      <c r="H1100" s="10" t="s">
        <v>563</v>
      </c>
      <c r="I1100" s="10"/>
      <c r="J1100" s="9">
        <v>10518</v>
      </c>
      <c r="K1100" s="10" t="s">
        <v>2295</v>
      </c>
      <c r="L1100" s="10" t="s">
        <v>308</v>
      </c>
      <c r="M1100" s="10" t="s">
        <v>1842</v>
      </c>
      <c r="N1100" s="7"/>
    </row>
    <row r="1101" s="1" customFormat="1" ht="28.5" customHeight="1" spans="1:14">
      <c r="A1101" s="8">
        <v>20702</v>
      </c>
      <c r="B1101" s="9">
        <v>20724</v>
      </c>
      <c r="C1101" s="9" t="s">
        <v>35</v>
      </c>
      <c r="D1101" s="9">
        <v>1500</v>
      </c>
      <c r="E1101" s="9"/>
      <c r="F1101" s="9">
        <v>20704</v>
      </c>
      <c r="G1101" s="10" t="s">
        <v>2296</v>
      </c>
      <c r="H1101" s="10" t="s">
        <v>563</v>
      </c>
      <c r="I1101" s="10"/>
      <c r="J1101" s="9">
        <v>10519</v>
      </c>
      <c r="K1101" s="10" t="s">
        <v>2297</v>
      </c>
      <c r="L1101" s="10" t="s">
        <v>308</v>
      </c>
      <c r="M1101" s="10" t="s">
        <v>1842</v>
      </c>
      <c r="N1101" s="7"/>
    </row>
    <row r="1102" s="1" customFormat="1" ht="28.5" customHeight="1" spans="1:14">
      <c r="A1102" s="8">
        <v>20702</v>
      </c>
      <c r="B1102" s="9">
        <v>20725</v>
      </c>
      <c r="C1102" s="9" t="s">
        <v>35</v>
      </c>
      <c r="D1102" s="9">
        <v>1000</v>
      </c>
      <c r="E1102" s="9"/>
      <c r="F1102" s="9">
        <v>20704</v>
      </c>
      <c r="G1102" s="10" t="s">
        <v>2298</v>
      </c>
      <c r="H1102" s="10" t="s">
        <v>563</v>
      </c>
      <c r="I1102" s="10"/>
      <c r="J1102" s="9">
        <v>10520</v>
      </c>
      <c r="K1102" s="10" t="s">
        <v>2299</v>
      </c>
      <c r="L1102" s="10" t="s">
        <v>308</v>
      </c>
      <c r="M1102" s="10" t="s">
        <v>1842</v>
      </c>
      <c r="N1102" s="7"/>
    </row>
    <row r="1103" s="1" customFormat="1" ht="28.5" customHeight="1" spans="1:14">
      <c r="A1103" s="8">
        <v>20701</v>
      </c>
      <c r="B1103" s="9">
        <v>20726</v>
      </c>
      <c r="C1103" s="9" t="s">
        <v>35</v>
      </c>
      <c r="D1103" s="9">
        <v>0</v>
      </c>
      <c r="E1103" s="9"/>
      <c r="F1103" s="9">
        <v>20705</v>
      </c>
      <c r="G1103" s="10" t="s">
        <v>1519</v>
      </c>
      <c r="H1103" s="10" t="s">
        <v>563</v>
      </c>
      <c r="I1103" s="10"/>
      <c r="J1103" s="9">
        <v>60521</v>
      </c>
      <c r="K1103" s="10" t="s">
        <v>2300</v>
      </c>
      <c r="L1103" s="10" t="s">
        <v>309</v>
      </c>
      <c r="M1103" s="10" t="s">
        <v>1842</v>
      </c>
      <c r="N1103" s="7"/>
    </row>
    <row r="1104" s="1" customFormat="1" ht="28.5" customHeight="1" spans="1:14">
      <c r="A1104" s="8">
        <v>20701</v>
      </c>
      <c r="B1104" s="9">
        <v>20727</v>
      </c>
      <c r="C1104" s="9" t="s">
        <v>35</v>
      </c>
      <c r="D1104" s="9">
        <v>0</v>
      </c>
      <c r="E1104" s="9"/>
      <c r="F1104" s="9">
        <v>20705</v>
      </c>
      <c r="G1104" s="10" t="s">
        <v>1521</v>
      </c>
      <c r="H1104" s="10" t="s">
        <v>563</v>
      </c>
      <c r="I1104" s="10"/>
      <c r="J1104" s="9">
        <v>60522</v>
      </c>
      <c r="K1104" s="10" t="s">
        <v>2301</v>
      </c>
      <c r="L1104" s="10" t="s">
        <v>309</v>
      </c>
      <c r="M1104" s="10" t="s">
        <v>1842</v>
      </c>
      <c r="N1104" s="7"/>
    </row>
    <row r="1105" s="1" customFormat="1" ht="28.5" customHeight="1" spans="1:14">
      <c r="A1105" s="8">
        <v>20701</v>
      </c>
      <c r="B1105" s="9">
        <v>20728</v>
      </c>
      <c r="C1105" s="9" t="s">
        <v>35</v>
      </c>
      <c r="D1105" s="9">
        <v>0</v>
      </c>
      <c r="E1105" s="9"/>
      <c r="F1105" s="9">
        <v>20705</v>
      </c>
      <c r="G1105" s="10" t="s">
        <v>1523</v>
      </c>
      <c r="H1105" s="10" t="s">
        <v>563</v>
      </c>
      <c r="I1105" s="10"/>
      <c r="J1105" s="9">
        <v>60523</v>
      </c>
      <c r="K1105" s="10" t="s">
        <v>2302</v>
      </c>
      <c r="L1105" s="10" t="s">
        <v>309</v>
      </c>
      <c r="M1105" s="10" t="s">
        <v>1842</v>
      </c>
      <c r="N1105" s="7"/>
    </row>
    <row r="1106" s="1" customFormat="1" ht="28.5" customHeight="1" spans="1:14">
      <c r="A1106" s="8">
        <v>20701</v>
      </c>
      <c r="B1106" s="9">
        <v>20729</v>
      </c>
      <c r="C1106" s="9" t="s">
        <v>35</v>
      </c>
      <c r="D1106" s="9">
        <v>0</v>
      </c>
      <c r="E1106" s="9"/>
      <c r="F1106" s="9">
        <v>20705</v>
      </c>
      <c r="G1106" s="10" t="s">
        <v>1525</v>
      </c>
      <c r="H1106" s="10" t="s">
        <v>563</v>
      </c>
      <c r="I1106" s="10"/>
      <c r="J1106" s="9">
        <v>60524</v>
      </c>
      <c r="K1106" s="10" t="s">
        <v>2303</v>
      </c>
      <c r="L1106" s="10" t="s">
        <v>309</v>
      </c>
      <c r="M1106" s="10" t="s">
        <v>1842</v>
      </c>
      <c r="N1106" s="7"/>
    </row>
    <row r="1107" s="1" customFormat="1" ht="28.5" customHeight="1" spans="1:14">
      <c r="A1107" s="8">
        <v>20701</v>
      </c>
      <c r="B1107" s="9">
        <v>20730</v>
      </c>
      <c r="C1107" s="9" t="s">
        <v>35</v>
      </c>
      <c r="D1107" s="9">
        <v>0</v>
      </c>
      <c r="E1107" s="9"/>
      <c r="F1107" s="9">
        <v>20705</v>
      </c>
      <c r="G1107" s="10" t="s">
        <v>1527</v>
      </c>
      <c r="H1107" s="10" t="s">
        <v>563</v>
      </c>
      <c r="I1107" s="10"/>
      <c r="J1107" s="9">
        <v>60525</v>
      </c>
      <c r="K1107" s="10" t="s">
        <v>2304</v>
      </c>
      <c r="L1107" s="10" t="s">
        <v>309</v>
      </c>
      <c r="M1107" s="10" t="s">
        <v>1842</v>
      </c>
      <c r="N1107" s="7"/>
    </row>
    <row r="1108" s="1" customFormat="1" ht="28.5" customHeight="1" spans="1:14">
      <c r="A1108" s="8">
        <v>20701</v>
      </c>
      <c r="B1108" s="9">
        <v>20731</v>
      </c>
      <c r="C1108" s="9" t="s">
        <v>35</v>
      </c>
      <c r="D1108" s="9">
        <v>3000</v>
      </c>
      <c r="E1108" s="9"/>
      <c r="F1108" s="9">
        <v>20706</v>
      </c>
      <c r="G1108" s="10" t="s">
        <v>1529</v>
      </c>
      <c r="H1108" s="10" t="s">
        <v>563</v>
      </c>
      <c r="I1108" s="10"/>
      <c r="J1108" s="9">
        <v>50526</v>
      </c>
      <c r="K1108" s="10" t="s">
        <v>2305</v>
      </c>
      <c r="L1108" s="10" t="s">
        <v>310</v>
      </c>
      <c r="M1108" s="10" t="s">
        <v>1842</v>
      </c>
      <c r="N1108" s="7"/>
    </row>
    <row r="1109" s="1" customFormat="1" ht="28.5" customHeight="1" spans="1:14">
      <c r="A1109" s="8">
        <v>20701</v>
      </c>
      <c r="B1109" s="9">
        <v>20732</v>
      </c>
      <c r="C1109" s="9" t="s">
        <v>35</v>
      </c>
      <c r="D1109" s="9">
        <v>2500</v>
      </c>
      <c r="E1109" s="9"/>
      <c r="F1109" s="9">
        <v>20706</v>
      </c>
      <c r="G1109" s="10" t="s">
        <v>2261</v>
      </c>
      <c r="H1109" s="10" t="s">
        <v>563</v>
      </c>
      <c r="I1109" s="10"/>
      <c r="J1109" s="9">
        <v>50527</v>
      </c>
      <c r="K1109" s="10" t="s">
        <v>2262</v>
      </c>
      <c r="L1109" s="10" t="s">
        <v>310</v>
      </c>
      <c r="M1109" s="10" t="s">
        <v>1842</v>
      </c>
      <c r="N1109" s="7"/>
    </row>
    <row r="1110" s="1" customFormat="1" ht="28.5" customHeight="1" spans="1:14">
      <c r="A1110" s="8">
        <v>20701</v>
      </c>
      <c r="B1110" s="9">
        <v>20733</v>
      </c>
      <c r="C1110" s="9" t="s">
        <v>35</v>
      </c>
      <c r="D1110" s="9">
        <v>2000</v>
      </c>
      <c r="E1110" s="9"/>
      <c r="F1110" s="9">
        <v>20706</v>
      </c>
      <c r="G1110" s="10" t="s">
        <v>2306</v>
      </c>
      <c r="H1110" s="10" t="s">
        <v>563</v>
      </c>
      <c r="I1110" s="10"/>
      <c r="J1110" s="9">
        <v>50528</v>
      </c>
      <c r="K1110" s="10" t="s">
        <v>2307</v>
      </c>
      <c r="L1110" s="10" t="s">
        <v>310</v>
      </c>
      <c r="M1110" s="10" t="s">
        <v>1842</v>
      </c>
      <c r="N1110" s="7"/>
    </row>
    <row r="1111" s="1" customFormat="1" ht="28.5" customHeight="1" spans="1:14">
      <c r="A1111" s="8">
        <v>20701</v>
      </c>
      <c r="B1111" s="9">
        <v>20734</v>
      </c>
      <c r="C1111" s="9" t="s">
        <v>35</v>
      </c>
      <c r="D1111" s="9">
        <v>1500</v>
      </c>
      <c r="E1111" s="9"/>
      <c r="F1111" s="9">
        <v>20706</v>
      </c>
      <c r="G1111" s="10" t="s">
        <v>1531</v>
      </c>
      <c r="H1111" s="10" t="s">
        <v>563</v>
      </c>
      <c r="I1111" s="10"/>
      <c r="J1111" s="9">
        <v>50529</v>
      </c>
      <c r="K1111" s="10" t="s">
        <v>2308</v>
      </c>
      <c r="L1111" s="10" t="s">
        <v>310</v>
      </c>
      <c r="M1111" s="10" t="s">
        <v>1842</v>
      </c>
      <c r="N1111" s="7"/>
    </row>
    <row r="1112" s="1" customFormat="1" ht="28.5" customHeight="1" spans="1:14">
      <c r="A1112" s="8">
        <v>20701</v>
      </c>
      <c r="B1112" s="9">
        <v>20735</v>
      </c>
      <c r="C1112" s="9" t="s">
        <v>35</v>
      </c>
      <c r="D1112" s="9">
        <v>1000</v>
      </c>
      <c r="E1112" s="9"/>
      <c r="F1112" s="9">
        <v>20706</v>
      </c>
      <c r="G1112" s="10" t="s">
        <v>1543</v>
      </c>
      <c r="H1112" s="10" t="s">
        <v>563</v>
      </c>
      <c r="I1112" s="10"/>
      <c r="J1112" s="9">
        <v>50530</v>
      </c>
      <c r="K1112" s="10" t="s">
        <v>2309</v>
      </c>
      <c r="L1112" s="10" t="s">
        <v>310</v>
      </c>
      <c r="M1112" s="10" t="s">
        <v>1842</v>
      </c>
      <c r="N1112" s="7"/>
    </row>
    <row r="1113" s="1" customFormat="1" ht="28.5" customHeight="1" spans="1:14">
      <c r="A1113" s="8">
        <v>20701</v>
      </c>
      <c r="B1113" s="9">
        <v>20736</v>
      </c>
      <c r="C1113" s="9" t="s">
        <v>35</v>
      </c>
      <c r="D1113" s="9">
        <v>3000</v>
      </c>
      <c r="E1113" s="9"/>
      <c r="F1113" s="9">
        <v>20707</v>
      </c>
      <c r="G1113" s="10" t="s">
        <v>2272</v>
      </c>
      <c r="H1113" s="10" t="s">
        <v>563</v>
      </c>
      <c r="I1113" s="10"/>
      <c r="J1113" s="9">
        <v>30531</v>
      </c>
      <c r="K1113" s="10" t="s">
        <v>2273</v>
      </c>
      <c r="L1113" s="10" t="s">
        <v>311</v>
      </c>
      <c r="M1113" s="10" t="s">
        <v>1842</v>
      </c>
      <c r="N1113" s="7"/>
    </row>
    <row r="1114" s="1" customFormat="1" ht="28.5" customHeight="1" spans="1:14">
      <c r="A1114" s="8">
        <v>20701</v>
      </c>
      <c r="B1114" s="9">
        <v>20737</v>
      </c>
      <c r="C1114" s="9" t="s">
        <v>35</v>
      </c>
      <c r="D1114" s="9">
        <v>2500</v>
      </c>
      <c r="E1114" s="9"/>
      <c r="F1114" s="9">
        <v>20707</v>
      </c>
      <c r="G1114" s="10" t="s">
        <v>2310</v>
      </c>
      <c r="H1114" s="10" t="s">
        <v>563</v>
      </c>
      <c r="I1114" s="10"/>
      <c r="J1114" s="9">
        <v>30532</v>
      </c>
      <c r="K1114" s="10" t="s">
        <v>2311</v>
      </c>
      <c r="L1114" s="10" t="s">
        <v>311</v>
      </c>
      <c r="M1114" s="10" t="s">
        <v>1842</v>
      </c>
      <c r="N1114" s="7"/>
    </row>
    <row r="1115" s="1" customFormat="1" ht="28.5" customHeight="1" spans="1:14">
      <c r="A1115" s="8">
        <v>20701</v>
      </c>
      <c r="B1115" s="9">
        <v>20738</v>
      </c>
      <c r="C1115" s="9" t="s">
        <v>35</v>
      </c>
      <c r="D1115" s="9">
        <v>2000</v>
      </c>
      <c r="E1115" s="9"/>
      <c r="F1115" s="9">
        <v>20707</v>
      </c>
      <c r="G1115" s="10" t="s">
        <v>2312</v>
      </c>
      <c r="H1115" s="10" t="s">
        <v>563</v>
      </c>
      <c r="I1115" s="10"/>
      <c r="J1115" s="9">
        <v>30533</v>
      </c>
      <c r="K1115" s="10" t="s">
        <v>2313</v>
      </c>
      <c r="L1115" s="10" t="s">
        <v>311</v>
      </c>
      <c r="M1115" s="10" t="s">
        <v>1842</v>
      </c>
      <c r="N1115" s="7"/>
    </row>
    <row r="1116" s="1" customFormat="1" ht="28.5" customHeight="1" spans="1:14">
      <c r="A1116" s="8">
        <v>20701</v>
      </c>
      <c r="B1116" s="9">
        <v>20739</v>
      </c>
      <c r="C1116" s="9" t="s">
        <v>35</v>
      </c>
      <c r="D1116" s="9">
        <v>1500</v>
      </c>
      <c r="E1116" s="9"/>
      <c r="F1116" s="9">
        <v>20707</v>
      </c>
      <c r="G1116" s="10" t="s">
        <v>2314</v>
      </c>
      <c r="H1116" s="10" t="s">
        <v>563</v>
      </c>
      <c r="I1116" s="10"/>
      <c r="J1116" s="9">
        <v>30534</v>
      </c>
      <c r="K1116" s="10" t="s">
        <v>2315</v>
      </c>
      <c r="L1116" s="10" t="s">
        <v>311</v>
      </c>
      <c r="M1116" s="10" t="s">
        <v>1842</v>
      </c>
      <c r="N1116" s="7"/>
    </row>
    <row r="1117" s="1" customFormat="1" ht="28.5" customHeight="1" spans="1:14">
      <c r="A1117" s="8">
        <v>20701</v>
      </c>
      <c r="B1117" s="9">
        <v>20740</v>
      </c>
      <c r="C1117" s="9" t="s">
        <v>35</v>
      </c>
      <c r="D1117" s="9">
        <v>1000</v>
      </c>
      <c r="E1117" s="9"/>
      <c r="F1117" s="9">
        <v>20707</v>
      </c>
      <c r="G1117" s="10" t="s">
        <v>2316</v>
      </c>
      <c r="H1117" s="10" t="s">
        <v>563</v>
      </c>
      <c r="I1117" s="10"/>
      <c r="J1117" s="9">
        <v>30535</v>
      </c>
      <c r="K1117" s="10" t="s">
        <v>2317</v>
      </c>
      <c r="L1117" s="10" t="s">
        <v>311</v>
      </c>
      <c r="M1117" s="10" t="s">
        <v>1842</v>
      </c>
      <c r="N1117" s="7"/>
    </row>
    <row r="1118" s="1" customFormat="1" ht="28.5" customHeight="1" spans="1:14">
      <c r="A1118" s="8">
        <v>20701</v>
      </c>
      <c r="B1118" s="9">
        <v>20741</v>
      </c>
      <c r="C1118" s="9" t="s">
        <v>35</v>
      </c>
      <c r="D1118" s="9">
        <v>3000</v>
      </c>
      <c r="E1118" s="9"/>
      <c r="F1118" s="9">
        <v>20708</v>
      </c>
      <c r="G1118" s="10" t="s">
        <v>2280</v>
      </c>
      <c r="H1118" s="10" t="s">
        <v>563</v>
      </c>
      <c r="I1118" s="10"/>
      <c r="J1118" s="9">
        <v>40536</v>
      </c>
      <c r="K1118" s="10" t="s">
        <v>2281</v>
      </c>
      <c r="L1118" s="10" t="s">
        <v>312</v>
      </c>
      <c r="M1118" s="10" t="s">
        <v>1842</v>
      </c>
      <c r="N1118" s="7"/>
    </row>
    <row r="1119" s="1" customFormat="1" ht="28.5" customHeight="1" spans="1:14">
      <c r="A1119" s="8">
        <v>20701</v>
      </c>
      <c r="B1119" s="9">
        <v>20742</v>
      </c>
      <c r="C1119" s="9" t="s">
        <v>35</v>
      </c>
      <c r="D1119" s="9">
        <v>2500</v>
      </c>
      <c r="E1119" s="9"/>
      <c r="F1119" s="9">
        <v>20708</v>
      </c>
      <c r="G1119" s="10" t="s">
        <v>2318</v>
      </c>
      <c r="H1119" s="10" t="s">
        <v>563</v>
      </c>
      <c r="I1119" s="10"/>
      <c r="J1119" s="9">
        <v>40537</v>
      </c>
      <c r="K1119" s="10" t="s">
        <v>2319</v>
      </c>
      <c r="L1119" s="10" t="s">
        <v>312</v>
      </c>
      <c r="M1119" s="10" t="s">
        <v>1842</v>
      </c>
      <c r="N1119" s="7"/>
    </row>
    <row r="1120" s="1" customFormat="1" ht="28.5" customHeight="1" spans="1:14">
      <c r="A1120" s="8">
        <v>20701</v>
      </c>
      <c r="B1120" s="9">
        <v>20743</v>
      </c>
      <c r="C1120" s="9" t="s">
        <v>35</v>
      </c>
      <c r="D1120" s="9">
        <v>2000</v>
      </c>
      <c r="E1120" s="9"/>
      <c r="F1120" s="9">
        <v>20708</v>
      </c>
      <c r="G1120" s="10" t="s">
        <v>2320</v>
      </c>
      <c r="H1120" s="10" t="s">
        <v>563</v>
      </c>
      <c r="I1120" s="10"/>
      <c r="J1120" s="9">
        <v>40538</v>
      </c>
      <c r="K1120" s="10" t="s">
        <v>2321</v>
      </c>
      <c r="L1120" s="10" t="s">
        <v>312</v>
      </c>
      <c r="M1120" s="10" t="s">
        <v>1842</v>
      </c>
      <c r="N1120" s="7"/>
    </row>
    <row r="1121" s="1" customFormat="1" ht="28.5" customHeight="1" spans="1:14">
      <c r="A1121" s="8">
        <v>20701</v>
      </c>
      <c r="B1121" s="9">
        <v>20744</v>
      </c>
      <c r="C1121" s="9" t="s">
        <v>35</v>
      </c>
      <c r="D1121" s="9">
        <v>1500</v>
      </c>
      <c r="E1121" s="9"/>
      <c r="F1121" s="9">
        <v>20708</v>
      </c>
      <c r="G1121" s="10" t="s">
        <v>2322</v>
      </c>
      <c r="H1121" s="10" t="s">
        <v>563</v>
      </c>
      <c r="I1121" s="10"/>
      <c r="J1121" s="9">
        <v>40539</v>
      </c>
      <c r="K1121" s="10" t="s">
        <v>2323</v>
      </c>
      <c r="L1121" s="10" t="s">
        <v>312</v>
      </c>
      <c r="M1121" s="10" t="s">
        <v>1842</v>
      </c>
      <c r="N1121" s="7"/>
    </row>
    <row r="1122" s="1" customFormat="1" ht="28.5" customHeight="1" spans="1:14">
      <c r="A1122" s="8">
        <v>20701</v>
      </c>
      <c r="B1122" s="9">
        <v>20745</v>
      </c>
      <c r="C1122" s="9" t="s">
        <v>35</v>
      </c>
      <c r="D1122" s="9">
        <v>1000</v>
      </c>
      <c r="E1122" s="9"/>
      <c r="F1122" s="9">
        <v>20708</v>
      </c>
      <c r="G1122" s="10" t="s">
        <v>2324</v>
      </c>
      <c r="H1122" s="10" t="s">
        <v>563</v>
      </c>
      <c r="I1122" s="10"/>
      <c r="J1122" s="9">
        <v>40540</v>
      </c>
      <c r="K1122" s="10" t="s">
        <v>2325</v>
      </c>
      <c r="L1122" s="10" t="s">
        <v>312</v>
      </c>
      <c r="M1122" s="10" t="s">
        <v>1842</v>
      </c>
      <c r="N1122" s="7"/>
    </row>
    <row r="1123" s="1" customFormat="1" ht="28.5" customHeight="1" spans="1:14">
      <c r="A1123" s="8"/>
      <c r="B1123" s="9"/>
      <c r="C1123" s="9" t="s">
        <v>1289</v>
      </c>
      <c r="D1123" s="9">
        <v>3000</v>
      </c>
      <c r="E1123" s="9"/>
      <c r="F1123" s="9"/>
      <c r="G1123" s="10" t="s">
        <v>2326</v>
      </c>
      <c r="H1123" s="10" t="s">
        <v>563</v>
      </c>
      <c r="I1123" s="10"/>
      <c r="J1123" s="9">
        <v>10541</v>
      </c>
      <c r="K1123" s="10" t="s">
        <v>2327</v>
      </c>
      <c r="L1123" s="10" t="s">
        <v>276</v>
      </c>
      <c r="M1123" s="10" t="s">
        <v>1834</v>
      </c>
      <c r="N1123" s="7"/>
    </row>
    <row r="1124" s="1" customFormat="1" ht="28.5" customHeight="1" spans="1:14">
      <c r="A1124" s="8"/>
      <c r="B1124" s="9"/>
      <c r="C1124" s="9" t="s">
        <v>1289</v>
      </c>
      <c r="D1124" s="9">
        <v>2500</v>
      </c>
      <c r="E1124" s="9"/>
      <c r="F1124" s="9"/>
      <c r="G1124" s="10" t="s">
        <v>2328</v>
      </c>
      <c r="H1124" s="10" t="s">
        <v>563</v>
      </c>
      <c r="I1124" s="10"/>
      <c r="J1124" s="9">
        <v>10542</v>
      </c>
      <c r="K1124" s="10" t="s">
        <v>2329</v>
      </c>
      <c r="L1124" s="10" t="s">
        <v>276</v>
      </c>
      <c r="M1124" s="10" t="s">
        <v>1834</v>
      </c>
      <c r="N1124" s="7"/>
    </row>
    <row r="1125" s="1" customFormat="1" ht="28.5" customHeight="1" spans="1:14">
      <c r="A1125" s="8"/>
      <c r="B1125" s="9"/>
      <c r="C1125" s="9" t="s">
        <v>1289</v>
      </c>
      <c r="D1125" s="9">
        <v>2000</v>
      </c>
      <c r="E1125" s="9"/>
      <c r="F1125" s="9"/>
      <c r="G1125" s="10" t="s">
        <v>2330</v>
      </c>
      <c r="H1125" s="10" t="s">
        <v>563</v>
      </c>
      <c r="I1125" s="10"/>
      <c r="J1125" s="9">
        <v>10543</v>
      </c>
      <c r="K1125" s="10" t="s">
        <v>2331</v>
      </c>
      <c r="L1125" s="10" t="s">
        <v>276</v>
      </c>
      <c r="M1125" s="10" t="s">
        <v>1834</v>
      </c>
      <c r="N1125" s="7"/>
    </row>
    <row r="1126" s="1" customFormat="1" ht="28.5" customHeight="1" spans="1:14">
      <c r="A1126" s="8"/>
      <c r="B1126" s="9"/>
      <c r="C1126" s="9" t="s">
        <v>1289</v>
      </c>
      <c r="D1126" s="9">
        <v>1500</v>
      </c>
      <c r="E1126" s="9"/>
      <c r="F1126" s="9"/>
      <c r="G1126" s="10" t="s">
        <v>2332</v>
      </c>
      <c r="H1126" s="10" t="s">
        <v>563</v>
      </c>
      <c r="I1126" s="10"/>
      <c r="J1126" s="9">
        <v>10544</v>
      </c>
      <c r="K1126" s="10" t="s">
        <v>2333</v>
      </c>
      <c r="L1126" s="10" t="s">
        <v>276</v>
      </c>
      <c r="M1126" s="10" t="s">
        <v>1834</v>
      </c>
      <c r="N1126" s="7"/>
    </row>
    <row r="1127" s="1" customFormat="1" ht="28.5" customHeight="1" spans="1:14">
      <c r="A1127" s="8"/>
      <c r="B1127" s="9"/>
      <c r="C1127" s="9" t="s">
        <v>1289</v>
      </c>
      <c r="D1127" s="9">
        <v>1000</v>
      </c>
      <c r="E1127" s="9"/>
      <c r="F1127" s="9"/>
      <c r="G1127" s="10" t="s">
        <v>2334</v>
      </c>
      <c r="H1127" s="10" t="s">
        <v>563</v>
      </c>
      <c r="I1127" s="10"/>
      <c r="J1127" s="9">
        <v>10545</v>
      </c>
      <c r="K1127" s="10" t="s">
        <v>2335</v>
      </c>
      <c r="L1127" s="10" t="s">
        <v>276</v>
      </c>
      <c r="M1127" s="10" t="s">
        <v>1834</v>
      </c>
      <c r="N1127" s="7"/>
    </row>
    <row r="1128" s="1" customFormat="1" ht="28.5" customHeight="1" spans="1:14">
      <c r="A1128" s="8">
        <v>20801</v>
      </c>
      <c r="B1128" s="9">
        <v>20801</v>
      </c>
      <c r="C1128" s="9" t="s">
        <v>36</v>
      </c>
      <c r="D1128" s="9">
        <v>0</v>
      </c>
      <c r="E1128" s="9"/>
      <c r="F1128" s="9">
        <v>20800</v>
      </c>
      <c r="G1128" s="10" t="s">
        <v>1432</v>
      </c>
      <c r="H1128" s="10" t="s">
        <v>563</v>
      </c>
      <c r="I1128" s="10"/>
      <c r="J1128" s="9">
        <v>60546</v>
      </c>
      <c r="K1128" s="10" t="s">
        <v>2093</v>
      </c>
      <c r="L1128" s="10" t="s">
        <v>275</v>
      </c>
      <c r="M1128" s="10" t="s">
        <v>1842</v>
      </c>
      <c r="N1128" s="7"/>
    </row>
    <row r="1129" s="1" customFormat="1" ht="28.5" customHeight="1" spans="1:14">
      <c r="A1129" s="8">
        <v>20801</v>
      </c>
      <c r="B1129" s="9">
        <v>20802</v>
      </c>
      <c r="C1129" s="9" t="s">
        <v>36</v>
      </c>
      <c r="D1129" s="9">
        <v>0</v>
      </c>
      <c r="E1129" s="9"/>
      <c r="F1129" s="9">
        <v>20800</v>
      </c>
      <c r="G1129" s="10" t="s">
        <v>1434</v>
      </c>
      <c r="H1129" s="10" t="s">
        <v>563</v>
      </c>
      <c r="I1129" s="10"/>
      <c r="J1129" s="9">
        <v>60547</v>
      </c>
      <c r="K1129" s="10" t="s">
        <v>2094</v>
      </c>
      <c r="L1129" s="10" t="s">
        <v>275</v>
      </c>
      <c r="M1129" s="10" t="s">
        <v>1842</v>
      </c>
      <c r="N1129" s="7"/>
    </row>
    <row r="1130" s="1" customFormat="1" ht="28.5" customHeight="1" spans="1:14">
      <c r="A1130" s="8">
        <v>20801</v>
      </c>
      <c r="B1130" s="9">
        <v>20803</v>
      </c>
      <c r="C1130" s="9" t="s">
        <v>36</v>
      </c>
      <c r="D1130" s="9">
        <v>0</v>
      </c>
      <c r="E1130" s="9"/>
      <c r="F1130" s="9">
        <v>20800</v>
      </c>
      <c r="G1130" s="10" t="s">
        <v>1436</v>
      </c>
      <c r="H1130" s="10" t="s">
        <v>563</v>
      </c>
      <c r="I1130" s="10"/>
      <c r="J1130" s="9">
        <v>60548</v>
      </c>
      <c r="K1130" s="10" t="s">
        <v>2095</v>
      </c>
      <c r="L1130" s="10" t="s">
        <v>275</v>
      </c>
      <c r="M1130" s="10" t="s">
        <v>1842</v>
      </c>
      <c r="N1130" s="7"/>
    </row>
    <row r="1131" s="1" customFormat="1" ht="28.5" customHeight="1" spans="1:14">
      <c r="A1131" s="8">
        <v>20801</v>
      </c>
      <c r="B1131" s="9">
        <v>20804</v>
      </c>
      <c r="C1131" s="9" t="s">
        <v>36</v>
      </c>
      <c r="D1131" s="9">
        <v>0</v>
      </c>
      <c r="E1131" s="9"/>
      <c r="F1131" s="9">
        <v>20800</v>
      </c>
      <c r="G1131" s="10" t="s">
        <v>1438</v>
      </c>
      <c r="H1131" s="10" t="s">
        <v>563</v>
      </c>
      <c r="I1131" s="10"/>
      <c r="J1131" s="9">
        <v>60549</v>
      </c>
      <c r="K1131" s="10" t="s">
        <v>2096</v>
      </c>
      <c r="L1131" s="10" t="s">
        <v>275</v>
      </c>
      <c r="M1131" s="10" t="s">
        <v>1842</v>
      </c>
      <c r="N1131" s="7"/>
    </row>
    <row r="1132" s="1" customFormat="1" ht="28.5" customHeight="1" spans="1:14">
      <c r="A1132" s="8">
        <v>20801</v>
      </c>
      <c r="B1132" s="9">
        <v>20805</v>
      </c>
      <c r="C1132" s="9" t="s">
        <v>36</v>
      </c>
      <c r="D1132" s="9">
        <v>0</v>
      </c>
      <c r="E1132" s="9"/>
      <c r="F1132" s="9">
        <v>20800</v>
      </c>
      <c r="G1132" s="10" t="s">
        <v>1440</v>
      </c>
      <c r="H1132" s="10" t="s">
        <v>563</v>
      </c>
      <c r="I1132" s="10"/>
      <c r="J1132" s="9">
        <v>60550</v>
      </c>
      <c r="K1132" s="10" t="s">
        <v>2097</v>
      </c>
      <c r="L1132" s="10" t="s">
        <v>275</v>
      </c>
      <c r="M1132" s="10" t="s">
        <v>1842</v>
      </c>
      <c r="N1132" s="7"/>
    </row>
    <row r="1133" s="1" customFormat="1" ht="28.5" customHeight="1" spans="1:14">
      <c r="A1133" s="8">
        <v>20801</v>
      </c>
      <c r="B1133" s="9">
        <v>20806</v>
      </c>
      <c r="C1133" s="9" t="s">
        <v>36</v>
      </c>
      <c r="D1133" s="9">
        <v>3000</v>
      </c>
      <c r="E1133" s="9"/>
      <c r="F1133" s="9">
        <v>20801</v>
      </c>
      <c r="G1133" s="10" t="s">
        <v>2047</v>
      </c>
      <c r="H1133" s="10" t="s">
        <v>563</v>
      </c>
      <c r="I1133" s="10"/>
      <c r="J1133" s="9">
        <v>20551</v>
      </c>
      <c r="K1133" s="10" t="s">
        <v>2048</v>
      </c>
      <c r="L1133" s="10" t="s">
        <v>276</v>
      </c>
      <c r="M1133" s="10" t="s">
        <v>1842</v>
      </c>
      <c r="N1133" s="7"/>
    </row>
    <row r="1134" s="1" customFormat="1" ht="28.5" customHeight="1" spans="1:14">
      <c r="A1134" s="8">
        <v>20801</v>
      </c>
      <c r="B1134" s="9">
        <v>20807</v>
      </c>
      <c r="C1134" s="9" t="s">
        <v>36</v>
      </c>
      <c r="D1134" s="9">
        <v>2500</v>
      </c>
      <c r="E1134" s="9"/>
      <c r="F1134" s="9">
        <v>20801</v>
      </c>
      <c r="G1134" s="10" t="s">
        <v>2098</v>
      </c>
      <c r="H1134" s="10" t="s">
        <v>563</v>
      </c>
      <c r="I1134" s="10"/>
      <c r="J1134" s="9">
        <v>20552</v>
      </c>
      <c r="K1134" s="10" t="s">
        <v>2099</v>
      </c>
      <c r="L1134" s="10" t="s">
        <v>276</v>
      </c>
      <c r="M1134" s="10" t="s">
        <v>1842</v>
      </c>
      <c r="N1134" s="7"/>
    </row>
    <row r="1135" s="1" customFormat="1" ht="28.5" customHeight="1" spans="1:14">
      <c r="A1135" s="8">
        <v>20801</v>
      </c>
      <c r="B1135" s="9">
        <v>20808</v>
      </c>
      <c r="C1135" s="9" t="s">
        <v>36</v>
      </c>
      <c r="D1135" s="9">
        <v>2000</v>
      </c>
      <c r="E1135" s="9"/>
      <c r="F1135" s="9">
        <v>20801</v>
      </c>
      <c r="G1135" s="10" t="s">
        <v>2100</v>
      </c>
      <c r="H1135" s="10" t="s">
        <v>563</v>
      </c>
      <c r="I1135" s="10"/>
      <c r="J1135" s="9">
        <v>20553</v>
      </c>
      <c r="K1135" s="10" t="s">
        <v>2101</v>
      </c>
      <c r="L1135" s="10" t="s">
        <v>276</v>
      </c>
      <c r="M1135" s="10" t="s">
        <v>1842</v>
      </c>
      <c r="N1135" s="7"/>
    </row>
    <row r="1136" s="1" customFormat="1" ht="28.5" customHeight="1" spans="1:14">
      <c r="A1136" s="8">
        <v>20801</v>
      </c>
      <c r="B1136" s="9">
        <v>20809</v>
      </c>
      <c r="C1136" s="9" t="s">
        <v>36</v>
      </c>
      <c r="D1136" s="9">
        <v>1500</v>
      </c>
      <c r="E1136" s="9"/>
      <c r="F1136" s="9">
        <v>20801</v>
      </c>
      <c r="G1136" s="10" t="s">
        <v>2102</v>
      </c>
      <c r="H1136" s="10" t="s">
        <v>563</v>
      </c>
      <c r="I1136" s="10"/>
      <c r="J1136" s="9">
        <v>20554</v>
      </c>
      <c r="K1136" s="10" t="s">
        <v>2103</v>
      </c>
      <c r="L1136" s="10" t="s">
        <v>276</v>
      </c>
      <c r="M1136" s="10" t="s">
        <v>1842</v>
      </c>
      <c r="N1136" s="7"/>
    </row>
    <row r="1137" s="1" customFormat="1" ht="28.5" customHeight="1" spans="1:14">
      <c r="A1137" s="8">
        <v>20801</v>
      </c>
      <c r="B1137" s="9">
        <v>20810</v>
      </c>
      <c r="C1137" s="9" t="s">
        <v>36</v>
      </c>
      <c r="D1137" s="9">
        <v>1000</v>
      </c>
      <c r="E1137" s="9"/>
      <c r="F1137" s="9">
        <v>20801</v>
      </c>
      <c r="G1137" s="10" t="s">
        <v>2104</v>
      </c>
      <c r="H1137" s="10" t="s">
        <v>563</v>
      </c>
      <c r="I1137" s="10"/>
      <c r="J1137" s="9">
        <v>20555</v>
      </c>
      <c r="K1137" s="10" t="s">
        <v>2105</v>
      </c>
      <c r="L1137" s="10" t="s">
        <v>276</v>
      </c>
      <c r="M1137" s="10" t="s">
        <v>1842</v>
      </c>
      <c r="N1137" s="7"/>
    </row>
    <row r="1138" s="1" customFormat="1" ht="28.5" customHeight="1" spans="1:14">
      <c r="A1138" s="8"/>
      <c r="B1138" s="9"/>
      <c r="C1138" s="9" t="s">
        <v>1289</v>
      </c>
      <c r="D1138" s="9">
        <v>3000</v>
      </c>
      <c r="E1138" s="9"/>
      <c r="F1138" s="9"/>
      <c r="G1138" s="10" t="s">
        <v>1857</v>
      </c>
      <c r="H1138" s="10" t="s">
        <v>563</v>
      </c>
      <c r="I1138" s="10"/>
      <c r="J1138" s="9">
        <v>90556</v>
      </c>
      <c r="K1138" s="10" t="s">
        <v>1858</v>
      </c>
      <c r="L1138" s="10" t="s">
        <v>224</v>
      </c>
      <c r="M1138" s="10" t="s">
        <v>1834</v>
      </c>
      <c r="N1138" s="7"/>
    </row>
    <row r="1139" s="1" customFormat="1" ht="28.5" customHeight="1" spans="1:14">
      <c r="A1139" s="8"/>
      <c r="B1139" s="9"/>
      <c r="C1139" s="9" t="s">
        <v>1289</v>
      </c>
      <c r="D1139" s="9">
        <v>2500</v>
      </c>
      <c r="E1139" s="9"/>
      <c r="F1139" s="9"/>
      <c r="G1139" s="10" t="s">
        <v>1857</v>
      </c>
      <c r="H1139" s="10" t="s">
        <v>563</v>
      </c>
      <c r="I1139" s="10"/>
      <c r="J1139" s="9">
        <v>90557</v>
      </c>
      <c r="K1139" s="10" t="s">
        <v>1858</v>
      </c>
      <c r="L1139" s="10" t="s">
        <v>224</v>
      </c>
      <c r="M1139" s="10" t="s">
        <v>1834</v>
      </c>
      <c r="N1139" s="7"/>
    </row>
    <row r="1140" s="1" customFormat="1" ht="28.5" customHeight="1" spans="1:14">
      <c r="A1140" s="8"/>
      <c r="B1140" s="9"/>
      <c r="C1140" s="9" t="s">
        <v>1289</v>
      </c>
      <c r="D1140" s="9">
        <v>2000</v>
      </c>
      <c r="E1140" s="9"/>
      <c r="F1140" s="9"/>
      <c r="G1140" s="10" t="s">
        <v>1857</v>
      </c>
      <c r="H1140" s="10" t="s">
        <v>563</v>
      </c>
      <c r="I1140" s="10"/>
      <c r="J1140" s="9">
        <v>90558</v>
      </c>
      <c r="K1140" s="10" t="s">
        <v>1858</v>
      </c>
      <c r="L1140" s="10" t="s">
        <v>224</v>
      </c>
      <c r="M1140" s="10" t="s">
        <v>1834</v>
      </c>
      <c r="N1140" s="7"/>
    </row>
    <row r="1141" s="1" customFormat="1" ht="28.5" customHeight="1" spans="1:14">
      <c r="A1141" s="8"/>
      <c r="B1141" s="9"/>
      <c r="C1141" s="9" t="s">
        <v>1289</v>
      </c>
      <c r="D1141" s="9">
        <v>1500</v>
      </c>
      <c r="E1141" s="9"/>
      <c r="F1141" s="9"/>
      <c r="G1141" s="10" t="s">
        <v>1857</v>
      </c>
      <c r="H1141" s="10" t="s">
        <v>563</v>
      </c>
      <c r="I1141" s="10"/>
      <c r="J1141" s="9">
        <v>90559</v>
      </c>
      <c r="K1141" s="10" t="s">
        <v>1858</v>
      </c>
      <c r="L1141" s="10" t="s">
        <v>224</v>
      </c>
      <c r="M1141" s="10" t="s">
        <v>1834</v>
      </c>
      <c r="N1141" s="7"/>
    </row>
    <row r="1142" s="1" customFormat="1" ht="28.5" customHeight="1" spans="1:14">
      <c r="A1142" s="8"/>
      <c r="B1142" s="9"/>
      <c r="C1142" s="9" t="s">
        <v>1289</v>
      </c>
      <c r="D1142" s="9">
        <v>1000</v>
      </c>
      <c r="E1142" s="9"/>
      <c r="F1142" s="9"/>
      <c r="G1142" s="10" t="s">
        <v>1857</v>
      </c>
      <c r="H1142" s="10" t="s">
        <v>563</v>
      </c>
      <c r="I1142" s="10"/>
      <c r="J1142" s="9">
        <v>90560</v>
      </c>
      <c r="K1142" s="10" t="s">
        <v>1858</v>
      </c>
      <c r="L1142" s="10" t="s">
        <v>224</v>
      </c>
      <c r="M1142" s="10" t="s">
        <v>1834</v>
      </c>
      <c r="N1142" s="7"/>
    </row>
    <row r="1143" s="1" customFormat="1" ht="28.5" customHeight="1" spans="1:14">
      <c r="A1143" s="8">
        <v>20803</v>
      </c>
      <c r="B1143" s="9">
        <v>20811</v>
      </c>
      <c r="C1143" s="9" t="s">
        <v>36</v>
      </c>
      <c r="D1143" s="9">
        <v>3000</v>
      </c>
      <c r="E1143" s="9"/>
      <c r="F1143" s="9">
        <v>20802</v>
      </c>
      <c r="G1143" s="10" t="s">
        <v>1859</v>
      </c>
      <c r="H1143" s="10" t="s">
        <v>563</v>
      </c>
      <c r="I1143" s="10"/>
      <c r="J1143" s="9">
        <v>70561</v>
      </c>
      <c r="K1143" s="10" t="s">
        <v>1860</v>
      </c>
      <c r="L1143" s="10" t="s">
        <v>228</v>
      </c>
      <c r="M1143" s="10" t="s">
        <v>1842</v>
      </c>
      <c r="N1143" s="7"/>
    </row>
    <row r="1144" s="1" customFormat="1" ht="28.5" customHeight="1" spans="1:14">
      <c r="A1144" s="8">
        <v>20803</v>
      </c>
      <c r="B1144" s="9">
        <v>20812</v>
      </c>
      <c r="C1144" s="9" t="s">
        <v>36</v>
      </c>
      <c r="D1144" s="9">
        <v>2500</v>
      </c>
      <c r="E1144" s="9"/>
      <c r="F1144" s="9">
        <v>20802</v>
      </c>
      <c r="G1144" s="10" t="s">
        <v>1859</v>
      </c>
      <c r="H1144" s="10" t="s">
        <v>563</v>
      </c>
      <c r="I1144" s="10"/>
      <c r="J1144" s="9">
        <v>70562</v>
      </c>
      <c r="K1144" s="10" t="s">
        <v>1860</v>
      </c>
      <c r="L1144" s="10" t="s">
        <v>228</v>
      </c>
      <c r="M1144" s="10" t="s">
        <v>1842</v>
      </c>
      <c r="N1144" s="7"/>
    </row>
    <row r="1145" s="1" customFormat="1" ht="28.5" customHeight="1" spans="1:14">
      <c r="A1145" s="8">
        <v>20803</v>
      </c>
      <c r="B1145" s="9">
        <v>20813</v>
      </c>
      <c r="C1145" s="9" t="s">
        <v>36</v>
      </c>
      <c r="D1145" s="9">
        <v>2000</v>
      </c>
      <c r="E1145" s="9"/>
      <c r="F1145" s="9">
        <v>20802</v>
      </c>
      <c r="G1145" s="10" t="s">
        <v>1859</v>
      </c>
      <c r="H1145" s="10" t="s">
        <v>563</v>
      </c>
      <c r="I1145" s="10"/>
      <c r="J1145" s="9">
        <v>70563</v>
      </c>
      <c r="K1145" s="10" t="s">
        <v>1860</v>
      </c>
      <c r="L1145" s="10" t="s">
        <v>228</v>
      </c>
      <c r="M1145" s="10" t="s">
        <v>1842</v>
      </c>
      <c r="N1145" s="7"/>
    </row>
    <row r="1146" s="1" customFormat="1" ht="28.5" customHeight="1" spans="1:14">
      <c r="A1146" s="8">
        <v>20803</v>
      </c>
      <c r="B1146" s="9">
        <v>20814</v>
      </c>
      <c r="C1146" s="9" t="s">
        <v>36</v>
      </c>
      <c r="D1146" s="9">
        <v>1500</v>
      </c>
      <c r="E1146" s="9"/>
      <c r="F1146" s="9">
        <v>20802</v>
      </c>
      <c r="G1146" s="10" t="s">
        <v>1859</v>
      </c>
      <c r="H1146" s="10" t="s">
        <v>563</v>
      </c>
      <c r="I1146" s="10"/>
      <c r="J1146" s="9">
        <v>70564</v>
      </c>
      <c r="K1146" s="10" t="s">
        <v>1860</v>
      </c>
      <c r="L1146" s="10" t="s">
        <v>228</v>
      </c>
      <c r="M1146" s="10" t="s">
        <v>1842</v>
      </c>
      <c r="N1146" s="7"/>
    </row>
    <row r="1147" s="1" customFormat="1" ht="28.5" customHeight="1" spans="1:14">
      <c r="A1147" s="8">
        <v>20803</v>
      </c>
      <c r="B1147" s="9">
        <v>20815</v>
      </c>
      <c r="C1147" s="9" t="s">
        <v>36</v>
      </c>
      <c r="D1147" s="9">
        <v>1000</v>
      </c>
      <c r="E1147" s="9"/>
      <c r="F1147" s="9">
        <v>20802</v>
      </c>
      <c r="G1147" s="10" t="s">
        <v>1859</v>
      </c>
      <c r="H1147" s="10" t="s">
        <v>563</v>
      </c>
      <c r="I1147" s="10"/>
      <c r="J1147" s="9">
        <v>70565</v>
      </c>
      <c r="K1147" s="10" t="s">
        <v>1860</v>
      </c>
      <c r="L1147" s="10" t="s">
        <v>228</v>
      </c>
      <c r="M1147" s="10" t="s">
        <v>1842</v>
      </c>
      <c r="N1147" s="7"/>
    </row>
    <row r="1148" s="1" customFormat="1" ht="28.5" customHeight="1" spans="1:14">
      <c r="A1148" s="8">
        <v>20803</v>
      </c>
      <c r="B1148" s="9">
        <v>20816</v>
      </c>
      <c r="C1148" s="9" t="s">
        <v>36</v>
      </c>
      <c r="D1148" s="9">
        <v>3000</v>
      </c>
      <c r="E1148" s="9"/>
      <c r="F1148" s="9">
        <v>20803</v>
      </c>
      <c r="G1148" s="10" t="s">
        <v>1861</v>
      </c>
      <c r="H1148" s="10" t="s">
        <v>563</v>
      </c>
      <c r="I1148" s="10"/>
      <c r="J1148" s="9">
        <v>80566</v>
      </c>
      <c r="K1148" s="10" t="s">
        <v>1862</v>
      </c>
      <c r="L1148" s="10" t="s">
        <v>231</v>
      </c>
      <c r="M1148" s="10" t="s">
        <v>1842</v>
      </c>
      <c r="N1148" s="7"/>
    </row>
    <row r="1149" s="1" customFormat="1" ht="28.5" customHeight="1" spans="1:14">
      <c r="A1149" s="8">
        <v>20803</v>
      </c>
      <c r="B1149" s="9">
        <v>20817</v>
      </c>
      <c r="C1149" s="9" t="s">
        <v>36</v>
      </c>
      <c r="D1149" s="9">
        <v>2500</v>
      </c>
      <c r="E1149" s="9"/>
      <c r="F1149" s="9">
        <v>20803</v>
      </c>
      <c r="G1149" s="10" t="s">
        <v>1861</v>
      </c>
      <c r="H1149" s="10" t="s">
        <v>563</v>
      </c>
      <c r="I1149" s="10"/>
      <c r="J1149" s="9">
        <v>80567</v>
      </c>
      <c r="K1149" s="10" t="s">
        <v>1862</v>
      </c>
      <c r="L1149" s="10" t="s">
        <v>231</v>
      </c>
      <c r="M1149" s="10" t="s">
        <v>1842</v>
      </c>
      <c r="N1149" s="7"/>
    </row>
    <row r="1150" s="1" customFormat="1" ht="28.5" customHeight="1" spans="1:14">
      <c r="A1150" s="8">
        <v>20803</v>
      </c>
      <c r="B1150" s="9">
        <v>20818</v>
      </c>
      <c r="C1150" s="9" t="s">
        <v>36</v>
      </c>
      <c r="D1150" s="9">
        <v>2000</v>
      </c>
      <c r="E1150" s="9"/>
      <c r="F1150" s="9">
        <v>20803</v>
      </c>
      <c r="G1150" s="10" t="s">
        <v>1861</v>
      </c>
      <c r="H1150" s="10" t="s">
        <v>563</v>
      </c>
      <c r="I1150" s="10"/>
      <c r="J1150" s="9">
        <v>80568</v>
      </c>
      <c r="K1150" s="10" t="s">
        <v>1862</v>
      </c>
      <c r="L1150" s="10" t="s">
        <v>231</v>
      </c>
      <c r="M1150" s="10" t="s">
        <v>1842</v>
      </c>
      <c r="N1150" s="7"/>
    </row>
    <row r="1151" s="1" customFormat="1" ht="28.5" customHeight="1" spans="1:14">
      <c r="A1151" s="8">
        <v>20803</v>
      </c>
      <c r="B1151" s="9">
        <v>20819</v>
      </c>
      <c r="C1151" s="9" t="s">
        <v>36</v>
      </c>
      <c r="D1151" s="9">
        <v>1500</v>
      </c>
      <c r="E1151" s="9"/>
      <c r="F1151" s="9">
        <v>20803</v>
      </c>
      <c r="G1151" s="10" t="s">
        <v>1861</v>
      </c>
      <c r="H1151" s="10" t="s">
        <v>563</v>
      </c>
      <c r="I1151" s="10"/>
      <c r="J1151" s="9">
        <v>80569</v>
      </c>
      <c r="K1151" s="10" t="s">
        <v>1862</v>
      </c>
      <c r="L1151" s="10" t="s">
        <v>231</v>
      </c>
      <c r="M1151" s="10" t="s">
        <v>1842</v>
      </c>
      <c r="N1151" s="7"/>
    </row>
    <row r="1152" s="1" customFormat="1" ht="28.5" customHeight="1" spans="1:14">
      <c r="A1152" s="8">
        <v>20803</v>
      </c>
      <c r="B1152" s="9">
        <v>20820</v>
      </c>
      <c r="C1152" s="9" t="s">
        <v>36</v>
      </c>
      <c r="D1152" s="9">
        <v>1000</v>
      </c>
      <c r="E1152" s="9"/>
      <c r="F1152" s="9">
        <v>20803</v>
      </c>
      <c r="G1152" s="10" t="s">
        <v>1861</v>
      </c>
      <c r="H1152" s="10" t="s">
        <v>563</v>
      </c>
      <c r="I1152" s="10"/>
      <c r="J1152" s="9">
        <v>80570</v>
      </c>
      <c r="K1152" s="10" t="s">
        <v>1862</v>
      </c>
      <c r="L1152" s="10" t="s">
        <v>231</v>
      </c>
      <c r="M1152" s="10" t="s">
        <v>1842</v>
      </c>
      <c r="N1152" s="7"/>
    </row>
    <row r="1153" s="1" customFormat="1" ht="28.5" customHeight="1" spans="1:14">
      <c r="A1153" s="8">
        <v>20803</v>
      </c>
      <c r="B1153" s="9">
        <v>20821</v>
      </c>
      <c r="C1153" s="9" t="s">
        <v>36</v>
      </c>
      <c r="D1153" s="9">
        <v>3000</v>
      </c>
      <c r="E1153" s="9"/>
      <c r="F1153" s="9">
        <v>20804</v>
      </c>
      <c r="G1153" s="10" t="s">
        <v>2141</v>
      </c>
      <c r="H1153" s="10" t="s">
        <v>563</v>
      </c>
      <c r="I1153" s="10"/>
      <c r="J1153" s="9">
        <v>100571</v>
      </c>
      <c r="K1153" s="10" t="s">
        <v>284</v>
      </c>
      <c r="L1153" s="10" t="s">
        <v>248</v>
      </c>
      <c r="M1153" s="10" t="s">
        <v>1842</v>
      </c>
      <c r="N1153" s="7"/>
    </row>
    <row r="1154" s="1" customFormat="1" ht="28.5" customHeight="1" spans="1:14">
      <c r="A1154" s="8">
        <v>20803</v>
      </c>
      <c r="B1154" s="9">
        <v>20822</v>
      </c>
      <c r="C1154" s="9" t="s">
        <v>36</v>
      </c>
      <c r="D1154" s="9">
        <v>2500</v>
      </c>
      <c r="E1154" s="9"/>
      <c r="F1154" s="9">
        <v>20804</v>
      </c>
      <c r="G1154" s="10" t="s">
        <v>2141</v>
      </c>
      <c r="H1154" s="10" t="s">
        <v>563</v>
      </c>
      <c r="I1154" s="10"/>
      <c r="J1154" s="9">
        <v>100572</v>
      </c>
      <c r="K1154" s="10" t="s">
        <v>284</v>
      </c>
      <c r="L1154" s="10" t="s">
        <v>248</v>
      </c>
      <c r="M1154" s="10" t="s">
        <v>1842</v>
      </c>
      <c r="N1154" s="7"/>
    </row>
    <row r="1155" s="1" customFormat="1" ht="28.5" customHeight="1" spans="1:14">
      <c r="A1155" s="8">
        <v>20803</v>
      </c>
      <c r="B1155" s="9">
        <v>20823</v>
      </c>
      <c r="C1155" s="9" t="s">
        <v>36</v>
      </c>
      <c r="D1155" s="9">
        <v>2000</v>
      </c>
      <c r="E1155" s="9"/>
      <c r="F1155" s="9">
        <v>20804</v>
      </c>
      <c r="G1155" s="10" t="s">
        <v>2141</v>
      </c>
      <c r="H1155" s="10" t="s">
        <v>563</v>
      </c>
      <c r="I1155" s="10"/>
      <c r="J1155" s="9">
        <v>100573</v>
      </c>
      <c r="K1155" s="10" t="s">
        <v>284</v>
      </c>
      <c r="L1155" s="10" t="s">
        <v>248</v>
      </c>
      <c r="M1155" s="10" t="s">
        <v>1842</v>
      </c>
      <c r="N1155" s="7"/>
    </row>
    <row r="1156" s="1" customFormat="1" ht="28.5" customHeight="1" spans="1:14">
      <c r="A1156" s="8">
        <v>20803</v>
      </c>
      <c r="B1156" s="9">
        <v>20824</v>
      </c>
      <c r="C1156" s="9" t="s">
        <v>36</v>
      </c>
      <c r="D1156" s="9">
        <v>1500</v>
      </c>
      <c r="E1156" s="9"/>
      <c r="F1156" s="9">
        <v>20804</v>
      </c>
      <c r="G1156" s="10" t="s">
        <v>2141</v>
      </c>
      <c r="H1156" s="10" t="s">
        <v>563</v>
      </c>
      <c r="I1156" s="10"/>
      <c r="J1156" s="9">
        <v>100574</v>
      </c>
      <c r="K1156" s="10" t="s">
        <v>284</v>
      </c>
      <c r="L1156" s="10" t="s">
        <v>248</v>
      </c>
      <c r="M1156" s="10" t="s">
        <v>1842</v>
      </c>
      <c r="N1156" s="7"/>
    </row>
    <row r="1157" s="1" customFormat="1" ht="28.5" customHeight="1" spans="1:14">
      <c r="A1157" s="8">
        <v>20803</v>
      </c>
      <c r="B1157" s="9">
        <v>20825</v>
      </c>
      <c r="C1157" s="9" t="s">
        <v>36</v>
      </c>
      <c r="D1157" s="9">
        <v>1000</v>
      </c>
      <c r="E1157" s="9"/>
      <c r="F1157" s="9">
        <v>20804</v>
      </c>
      <c r="G1157" s="10" t="s">
        <v>2141</v>
      </c>
      <c r="H1157" s="10" t="s">
        <v>563</v>
      </c>
      <c r="I1157" s="10"/>
      <c r="J1157" s="9">
        <v>100575</v>
      </c>
      <c r="K1157" s="10" t="s">
        <v>284</v>
      </c>
      <c r="L1157" s="10" t="s">
        <v>248</v>
      </c>
      <c r="M1157" s="10" t="s">
        <v>1842</v>
      </c>
      <c r="N1157" s="7"/>
    </row>
    <row r="1158" s="1" customFormat="1" ht="28.5" customHeight="1" spans="1:14">
      <c r="A1158" s="8">
        <v>20802</v>
      </c>
      <c r="B1158" s="9">
        <v>20826</v>
      </c>
      <c r="C1158" s="9" t="s">
        <v>36</v>
      </c>
      <c r="D1158" s="9">
        <v>3000</v>
      </c>
      <c r="E1158" s="9"/>
      <c r="F1158" s="9">
        <v>20805</v>
      </c>
      <c r="G1158" s="10" t="s">
        <v>2298</v>
      </c>
      <c r="H1158" s="10" t="s">
        <v>563</v>
      </c>
      <c r="I1158" s="10"/>
      <c r="J1158" s="9">
        <v>10576</v>
      </c>
      <c r="K1158" s="10" t="s">
        <v>2299</v>
      </c>
      <c r="L1158" s="10" t="s">
        <v>313</v>
      </c>
      <c r="M1158" s="10" t="s">
        <v>1842</v>
      </c>
      <c r="N1158" s="7"/>
    </row>
    <row r="1159" s="1" customFormat="1" ht="28.5" customHeight="1" spans="1:14">
      <c r="A1159" s="8">
        <v>20802</v>
      </c>
      <c r="B1159" s="9">
        <v>20827</v>
      </c>
      <c r="C1159" s="9" t="s">
        <v>36</v>
      </c>
      <c r="D1159" s="9">
        <v>2500</v>
      </c>
      <c r="E1159" s="9"/>
      <c r="F1159" s="9">
        <v>20805</v>
      </c>
      <c r="G1159" s="10" t="s">
        <v>2336</v>
      </c>
      <c r="H1159" s="10" t="s">
        <v>563</v>
      </c>
      <c r="I1159" s="10"/>
      <c r="J1159" s="9">
        <v>10577</v>
      </c>
      <c r="K1159" s="10" t="s">
        <v>2337</v>
      </c>
      <c r="L1159" s="10" t="s">
        <v>313</v>
      </c>
      <c r="M1159" s="10" t="s">
        <v>1842</v>
      </c>
      <c r="N1159" s="7"/>
    </row>
    <row r="1160" s="1" customFormat="1" ht="28.5" customHeight="1" spans="1:14">
      <c r="A1160" s="8">
        <v>20802</v>
      </c>
      <c r="B1160" s="9">
        <v>20828</v>
      </c>
      <c r="C1160" s="9" t="s">
        <v>36</v>
      </c>
      <c r="D1160" s="9">
        <v>2000</v>
      </c>
      <c r="E1160" s="9"/>
      <c r="F1160" s="9">
        <v>20805</v>
      </c>
      <c r="G1160" s="10" t="s">
        <v>2338</v>
      </c>
      <c r="H1160" s="10" t="s">
        <v>563</v>
      </c>
      <c r="I1160" s="10"/>
      <c r="J1160" s="9">
        <v>10578</v>
      </c>
      <c r="K1160" s="10" t="s">
        <v>2339</v>
      </c>
      <c r="L1160" s="10" t="s">
        <v>313</v>
      </c>
      <c r="M1160" s="10" t="s">
        <v>1842</v>
      </c>
      <c r="N1160" s="7"/>
    </row>
    <row r="1161" s="1" customFormat="1" ht="28.5" customHeight="1" spans="1:14">
      <c r="A1161" s="8">
        <v>20802</v>
      </c>
      <c r="B1161" s="9">
        <v>20829</v>
      </c>
      <c r="C1161" s="9" t="s">
        <v>36</v>
      </c>
      <c r="D1161" s="9">
        <v>1500</v>
      </c>
      <c r="E1161" s="9"/>
      <c r="F1161" s="9">
        <v>20805</v>
      </c>
      <c r="G1161" s="10" t="s">
        <v>2340</v>
      </c>
      <c r="H1161" s="10" t="s">
        <v>563</v>
      </c>
      <c r="I1161" s="10"/>
      <c r="J1161" s="9">
        <v>10579</v>
      </c>
      <c r="K1161" s="10" t="s">
        <v>2341</v>
      </c>
      <c r="L1161" s="10" t="s">
        <v>313</v>
      </c>
      <c r="M1161" s="10" t="s">
        <v>1842</v>
      </c>
      <c r="N1161" s="7"/>
    </row>
    <row r="1162" s="1" customFormat="1" ht="28.5" customHeight="1" spans="1:14">
      <c r="A1162" s="8">
        <v>20802</v>
      </c>
      <c r="B1162" s="9">
        <v>20830</v>
      </c>
      <c r="C1162" s="9" t="s">
        <v>36</v>
      </c>
      <c r="D1162" s="9">
        <v>1000</v>
      </c>
      <c r="E1162" s="9"/>
      <c r="F1162" s="9">
        <v>20805</v>
      </c>
      <c r="G1162" s="10" t="s">
        <v>2342</v>
      </c>
      <c r="H1162" s="10" t="s">
        <v>563</v>
      </c>
      <c r="I1162" s="10"/>
      <c r="J1162" s="9">
        <v>10580</v>
      </c>
      <c r="K1162" s="10" t="s">
        <v>2343</v>
      </c>
      <c r="L1162" s="10" t="s">
        <v>313</v>
      </c>
      <c r="M1162" s="10" t="s">
        <v>1842</v>
      </c>
      <c r="N1162" s="7"/>
    </row>
    <row r="1163" s="1" customFormat="1" ht="28.5" customHeight="1" spans="1:14">
      <c r="A1163" s="8">
        <v>20801</v>
      </c>
      <c r="B1163" s="9">
        <v>20831</v>
      </c>
      <c r="C1163" s="9" t="s">
        <v>36</v>
      </c>
      <c r="D1163" s="9">
        <v>0</v>
      </c>
      <c r="E1163" s="9"/>
      <c r="F1163" s="9">
        <v>20806</v>
      </c>
      <c r="G1163" s="10" t="s">
        <v>1533</v>
      </c>
      <c r="H1163" s="10" t="s">
        <v>563</v>
      </c>
      <c r="I1163" s="10"/>
      <c r="J1163" s="9">
        <v>60581</v>
      </c>
      <c r="K1163" s="10" t="s">
        <v>2344</v>
      </c>
      <c r="L1163" s="10" t="s">
        <v>314</v>
      </c>
      <c r="M1163" s="10" t="s">
        <v>1842</v>
      </c>
      <c r="N1163" s="7"/>
    </row>
    <row r="1164" s="1" customFormat="1" ht="28.5" customHeight="1" spans="1:14">
      <c r="A1164" s="8">
        <v>20801</v>
      </c>
      <c r="B1164" s="9">
        <v>20832</v>
      </c>
      <c r="C1164" s="9" t="s">
        <v>36</v>
      </c>
      <c r="D1164" s="9">
        <v>0</v>
      </c>
      <c r="E1164" s="9"/>
      <c r="F1164" s="9">
        <v>20806</v>
      </c>
      <c r="G1164" s="10" t="s">
        <v>1535</v>
      </c>
      <c r="H1164" s="10" t="s">
        <v>563</v>
      </c>
      <c r="I1164" s="10"/>
      <c r="J1164" s="9">
        <v>60582</v>
      </c>
      <c r="K1164" s="10" t="s">
        <v>2345</v>
      </c>
      <c r="L1164" s="10" t="s">
        <v>314</v>
      </c>
      <c r="M1164" s="10" t="s">
        <v>1842</v>
      </c>
      <c r="N1164" s="7"/>
    </row>
    <row r="1165" s="1" customFormat="1" ht="28.5" customHeight="1" spans="1:14">
      <c r="A1165" s="8">
        <v>20801</v>
      </c>
      <c r="B1165" s="9">
        <v>20833</v>
      </c>
      <c r="C1165" s="9" t="s">
        <v>36</v>
      </c>
      <c r="D1165" s="9">
        <v>0</v>
      </c>
      <c r="E1165" s="9"/>
      <c r="F1165" s="9">
        <v>20806</v>
      </c>
      <c r="G1165" s="10" t="s">
        <v>1537</v>
      </c>
      <c r="H1165" s="10" t="s">
        <v>563</v>
      </c>
      <c r="I1165" s="10"/>
      <c r="J1165" s="9">
        <v>60583</v>
      </c>
      <c r="K1165" s="10" t="s">
        <v>2346</v>
      </c>
      <c r="L1165" s="10" t="s">
        <v>314</v>
      </c>
      <c r="M1165" s="10" t="s">
        <v>1842</v>
      </c>
      <c r="N1165" s="7"/>
    </row>
    <row r="1166" s="1" customFormat="1" ht="28.5" customHeight="1" spans="1:14">
      <c r="A1166" s="8">
        <v>20801</v>
      </c>
      <c r="B1166" s="9">
        <v>20834</v>
      </c>
      <c r="C1166" s="9" t="s">
        <v>36</v>
      </c>
      <c r="D1166" s="9">
        <v>0</v>
      </c>
      <c r="E1166" s="9"/>
      <c r="F1166" s="9">
        <v>20806</v>
      </c>
      <c r="G1166" s="10" t="s">
        <v>1539</v>
      </c>
      <c r="H1166" s="10" t="s">
        <v>563</v>
      </c>
      <c r="I1166" s="10"/>
      <c r="J1166" s="9">
        <v>60584</v>
      </c>
      <c r="K1166" s="10" t="s">
        <v>2347</v>
      </c>
      <c r="L1166" s="10" t="s">
        <v>314</v>
      </c>
      <c r="M1166" s="10" t="s">
        <v>1842</v>
      </c>
      <c r="N1166" s="7"/>
    </row>
    <row r="1167" s="1" customFormat="1" ht="28.5" customHeight="1" spans="1:14">
      <c r="A1167" s="8">
        <v>20801</v>
      </c>
      <c r="B1167" s="9">
        <v>20835</v>
      </c>
      <c r="C1167" s="9" t="s">
        <v>36</v>
      </c>
      <c r="D1167" s="9">
        <v>0</v>
      </c>
      <c r="E1167" s="9"/>
      <c r="F1167" s="9">
        <v>20806</v>
      </c>
      <c r="G1167" s="10" t="s">
        <v>1541</v>
      </c>
      <c r="H1167" s="10" t="s">
        <v>563</v>
      </c>
      <c r="I1167" s="10"/>
      <c r="J1167" s="9">
        <v>60585</v>
      </c>
      <c r="K1167" s="10" t="s">
        <v>2348</v>
      </c>
      <c r="L1167" s="10" t="s">
        <v>314</v>
      </c>
      <c r="M1167" s="10" t="s">
        <v>1842</v>
      </c>
      <c r="N1167" s="7"/>
    </row>
    <row r="1168" s="1" customFormat="1" ht="28.5" customHeight="1" spans="1:14">
      <c r="A1168" s="8">
        <v>20801</v>
      </c>
      <c r="B1168" s="9">
        <v>20836</v>
      </c>
      <c r="C1168" s="9" t="s">
        <v>36</v>
      </c>
      <c r="D1168" s="9">
        <v>3000</v>
      </c>
      <c r="E1168" s="9"/>
      <c r="F1168" s="9">
        <v>20807</v>
      </c>
      <c r="G1168" s="10" t="s">
        <v>1543</v>
      </c>
      <c r="H1168" s="10" t="s">
        <v>563</v>
      </c>
      <c r="I1168" s="10"/>
      <c r="J1168" s="9">
        <v>50586</v>
      </c>
      <c r="K1168" s="10" t="s">
        <v>2309</v>
      </c>
      <c r="L1168" s="10" t="s">
        <v>315</v>
      </c>
      <c r="M1168" s="10" t="s">
        <v>1842</v>
      </c>
      <c r="N1168" s="7"/>
    </row>
    <row r="1169" s="1" customFormat="1" ht="28.5" customHeight="1" spans="1:14">
      <c r="A1169" s="8">
        <v>20801</v>
      </c>
      <c r="B1169" s="9">
        <v>20837</v>
      </c>
      <c r="C1169" s="9" t="s">
        <v>36</v>
      </c>
      <c r="D1169" s="9">
        <v>2500</v>
      </c>
      <c r="E1169" s="9"/>
      <c r="F1169" s="9">
        <v>20807</v>
      </c>
      <c r="G1169" s="10" t="s">
        <v>2349</v>
      </c>
      <c r="H1169" s="10" t="s">
        <v>563</v>
      </c>
      <c r="I1169" s="10"/>
      <c r="J1169" s="9">
        <v>50587</v>
      </c>
      <c r="K1169" s="10" t="s">
        <v>2350</v>
      </c>
      <c r="L1169" s="10" t="s">
        <v>315</v>
      </c>
      <c r="M1169" s="10" t="s">
        <v>1842</v>
      </c>
      <c r="N1169" s="7"/>
    </row>
    <row r="1170" s="1" customFormat="1" ht="28.5" customHeight="1" spans="1:14">
      <c r="A1170" s="8">
        <v>20801</v>
      </c>
      <c r="B1170" s="9">
        <v>20838</v>
      </c>
      <c r="C1170" s="9" t="s">
        <v>36</v>
      </c>
      <c r="D1170" s="9">
        <v>2000</v>
      </c>
      <c r="E1170" s="9"/>
      <c r="F1170" s="9">
        <v>20807</v>
      </c>
      <c r="G1170" s="10" t="s">
        <v>2351</v>
      </c>
      <c r="H1170" s="10" t="s">
        <v>563</v>
      </c>
      <c r="I1170" s="10"/>
      <c r="J1170" s="9">
        <v>50588</v>
      </c>
      <c r="K1170" s="10" t="s">
        <v>2352</v>
      </c>
      <c r="L1170" s="10" t="s">
        <v>315</v>
      </c>
      <c r="M1170" s="10" t="s">
        <v>1842</v>
      </c>
      <c r="N1170" s="7"/>
    </row>
    <row r="1171" s="1" customFormat="1" ht="28.5" customHeight="1" spans="1:14">
      <c r="A1171" s="8">
        <v>20801</v>
      </c>
      <c r="B1171" s="9">
        <v>20839</v>
      </c>
      <c r="C1171" s="9" t="s">
        <v>36</v>
      </c>
      <c r="D1171" s="9">
        <v>1500</v>
      </c>
      <c r="E1171" s="9"/>
      <c r="F1171" s="9">
        <v>20807</v>
      </c>
      <c r="G1171" s="10" t="s">
        <v>1549</v>
      </c>
      <c r="H1171" s="10" t="s">
        <v>563</v>
      </c>
      <c r="I1171" s="10"/>
      <c r="J1171" s="9">
        <v>50589</v>
      </c>
      <c r="K1171" s="10" t="s">
        <v>2353</v>
      </c>
      <c r="L1171" s="10" t="s">
        <v>315</v>
      </c>
      <c r="M1171" s="10" t="s">
        <v>1842</v>
      </c>
      <c r="N1171" s="7"/>
    </row>
    <row r="1172" s="1" customFormat="1" ht="28.5" customHeight="1" spans="1:14">
      <c r="A1172" s="8">
        <v>20801</v>
      </c>
      <c r="B1172" s="9">
        <v>20840</v>
      </c>
      <c r="C1172" s="9" t="s">
        <v>36</v>
      </c>
      <c r="D1172" s="9">
        <v>1000</v>
      </c>
      <c r="E1172" s="9"/>
      <c r="F1172" s="9">
        <v>20807</v>
      </c>
      <c r="G1172" s="10" t="s">
        <v>1551</v>
      </c>
      <c r="H1172" s="10" t="s">
        <v>563</v>
      </c>
      <c r="I1172" s="10"/>
      <c r="J1172" s="9">
        <v>50590</v>
      </c>
      <c r="K1172" s="10" t="s">
        <v>2354</v>
      </c>
      <c r="L1172" s="10" t="s">
        <v>315</v>
      </c>
      <c r="M1172" s="10" t="s">
        <v>1842</v>
      </c>
      <c r="N1172" s="7"/>
    </row>
    <row r="1173" s="1" customFormat="1" ht="28.5" customHeight="1" spans="1:14">
      <c r="A1173" s="8">
        <v>20801</v>
      </c>
      <c r="B1173" s="9">
        <v>20841</v>
      </c>
      <c r="C1173" s="9" t="s">
        <v>36</v>
      </c>
      <c r="D1173" s="9">
        <v>3000</v>
      </c>
      <c r="E1173" s="9"/>
      <c r="F1173" s="9">
        <v>20808</v>
      </c>
      <c r="G1173" s="10" t="s">
        <v>2316</v>
      </c>
      <c r="H1173" s="10" t="s">
        <v>563</v>
      </c>
      <c r="I1173" s="10"/>
      <c r="J1173" s="9">
        <v>30591</v>
      </c>
      <c r="K1173" s="10" t="s">
        <v>2317</v>
      </c>
      <c r="L1173" s="10" t="s">
        <v>316</v>
      </c>
      <c r="M1173" s="10" t="s">
        <v>1842</v>
      </c>
      <c r="N1173" s="7"/>
    </row>
    <row r="1174" s="1" customFormat="1" ht="28.5" customHeight="1" spans="1:14">
      <c r="A1174" s="8">
        <v>20801</v>
      </c>
      <c r="B1174" s="9">
        <v>20842</v>
      </c>
      <c r="C1174" s="9" t="s">
        <v>36</v>
      </c>
      <c r="D1174" s="9">
        <v>2500</v>
      </c>
      <c r="E1174" s="9"/>
      <c r="F1174" s="9">
        <v>20808</v>
      </c>
      <c r="G1174" s="10" t="s">
        <v>2355</v>
      </c>
      <c r="H1174" s="10" t="s">
        <v>563</v>
      </c>
      <c r="I1174" s="10"/>
      <c r="J1174" s="9">
        <v>30592</v>
      </c>
      <c r="K1174" s="10" t="s">
        <v>2356</v>
      </c>
      <c r="L1174" s="10" t="s">
        <v>316</v>
      </c>
      <c r="M1174" s="10" t="s">
        <v>1842</v>
      </c>
      <c r="N1174" s="7"/>
    </row>
    <row r="1175" s="1" customFormat="1" ht="28.5" customHeight="1" spans="1:14">
      <c r="A1175" s="8">
        <v>20801</v>
      </c>
      <c r="B1175" s="9">
        <v>20843</v>
      </c>
      <c r="C1175" s="9" t="s">
        <v>36</v>
      </c>
      <c r="D1175" s="9">
        <v>2000</v>
      </c>
      <c r="E1175" s="9"/>
      <c r="F1175" s="9">
        <v>20808</v>
      </c>
      <c r="G1175" s="10" t="s">
        <v>2357</v>
      </c>
      <c r="H1175" s="10" t="s">
        <v>563</v>
      </c>
      <c r="I1175" s="10"/>
      <c r="J1175" s="9">
        <v>30593</v>
      </c>
      <c r="K1175" s="10" t="s">
        <v>2358</v>
      </c>
      <c r="L1175" s="10" t="s">
        <v>316</v>
      </c>
      <c r="M1175" s="10" t="s">
        <v>1842</v>
      </c>
      <c r="N1175" s="7"/>
    </row>
    <row r="1176" s="1" customFormat="1" ht="28.5" customHeight="1" spans="1:14">
      <c r="A1176" s="8">
        <v>20801</v>
      </c>
      <c r="B1176" s="9">
        <v>20844</v>
      </c>
      <c r="C1176" s="9" t="s">
        <v>36</v>
      </c>
      <c r="D1176" s="9">
        <v>1500</v>
      </c>
      <c r="E1176" s="9"/>
      <c r="F1176" s="9">
        <v>20808</v>
      </c>
      <c r="G1176" s="10" t="s">
        <v>2359</v>
      </c>
      <c r="H1176" s="10" t="s">
        <v>563</v>
      </c>
      <c r="I1176" s="10"/>
      <c r="J1176" s="9">
        <v>30594</v>
      </c>
      <c r="K1176" s="10" t="s">
        <v>2360</v>
      </c>
      <c r="L1176" s="10" t="s">
        <v>316</v>
      </c>
      <c r="M1176" s="10" t="s">
        <v>1842</v>
      </c>
      <c r="N1176" s="7"/>
    </row>
    <row r="1177" s="1" customFormat="1" ht="28.5" customHeight="1" spans="1:14">
      <c r="A1177" s="8">
        <v>20801</v>
      </c>
      <c r="B1177" s="9">
        <v>20845</v>
      </c>
      <c r="C1177" s="9" t="s">
        <v>36</v>
      </c>
      <c r="D1177" s="9">
        <v>1000</v>
      </c>
      <c r="E1177" s="9"/>
      <c r="F1177" s="9">
        <v>20808</v>
      </c>
      <c r="G1177" s="10" t="s">
        <v>2361</v>
      </c>
      <c r="H1177" s="10" t="s">
        <v>563</v>
      </c>
      <c r="I1177" s="10"/>
      <c r="J1177" s="9">
        <v>30595</v>
      </c>
      <c r="K1177" s="10" t="s">
        <v>2362</v>
      </c>
      <c r="L1177" s="10" t="s">
        <v>316</v>
      </c>
      <c r="M1177" s="10" t="s">
        <v>1842</v>
      </c>
      <c r="N1177" s="7"/>
    </row>
    <row r="1178" s="1" customFormat="1" ht="28.5" customHeight="1" spans="1:14">
      <c r="A1178" s="8">
        <v>20801</v>
      </c>
      <c r="B1178" s="9">
        <v>20846</v>
      </c>
      <c r="C1178" s="9" t="s">
        <v>36</v>
      </c>
      <c r="D1178" s="9">
        <v>3000</v>
      </c>
      <c r="E1178" s="9"/>
      <c r="F1178" s="9">
        <v>20809</v>
      </c>
      <c r="G1178" s="10" t="s">
        <v>2324</v>
      </c>
      <c r="H1178" s="10" t="s">
        <v>563</v>
      </c>
      <c r="I1178" s="10"/>
      <c r="J1178" s="9">
        <v>40596</v>
      </c>
      <c r="K1178" s="10" t="s">
        <v>2325</v>
      </c>
      <c r="L1178" s="10" t="s">
        <v>317</v>
      </c>
      <c r="M1178" s="10" t="s">
        <v>1842</v>
      </c>
      <c r="N1178" s="7"/>
    </row>
    <row r="1179" s="1" customFormat="1" ht="28.5" customHeight="1" spans="1:14">
      <c r="A1179" s="8">
        <v>20801</v>
      </c>
      <c r="B1179" s="9">
        <v>20847</v>
      </c>
      <c r="C1179" s="9" t="s">
        <v>36</v>
      </c>
      <c r="D1179" s="9">
        <v>2500</v>
      </c>
      <c r="E1179" s="9"/>
      <c r="F1179" s="9">
        <v>20809</v>
      </c>
      <c r="G1179" s="10" t="s">
        <v>2363</v>
      </c>
      <c r="H1179" s="10" t="s">
        <v>563</v>
      </c>
      <c r="I1179" s="10"/>
      <c r="J1179" s="9">
        <v>40597</v>
      </c>
      <c r="K1179" s="10" t="s">
        <v>2364</v>
      </c>
      <c r="L1179" s="10" t="s">
        <v>317</v>
      </c>
      <c r="M1179" s="10" t="s">
        <v>1842</v>
      </c>
      <c r="N1179" s="7"/>
    </row>
    <row r="1180" s="1" customFormat="1" ht="28.5" customHeight="1" spans="1:14">
      <c r="A1180" s="8">
        <v>20801</v>
      </c>
      <c r="B1180" s="9">
        <v>20848</v>
      </c>
      <c r="C1180" s="9" t="s">
        <v>36</v>
      </c>
      <c r="D1180" s="9">
        <v>2000</v>
      </c>
      <c r="E1180" s="9"/>
      <c r="F1180" s="9">
        <v>20809</v>
      </c>
      <c r="G1180" s="10" t="s">
        <v>2365</v>
      </c>
      <c r="H1180" s="10" t="s">
        <v>563</v>
      </c>
      <c r="I1180" s="10"/>
      <c r="J1180" s="9">
        <v>40598</v>
      </c>
      <c r="K1180" s="10" t="s">
        <v>2366</v>
      </c>
      <c r="L1180" s="10" t="s">
        <v>317</v>
      </c>
      <c r="M1180" s="10" t="s">
        <v>1842</v>
      </c>
      <c r="N1180" s="7"/>
    </row>
    <row r="1181" s="1" customFormat="1" ht="28.5" customHeight="1" spans="1:14">
      <c r="A1181" s="8">
        <v>20801</v>
      </c>
      <c r="B1181" s="9">
        <v>20849</v>
      </c>
      <c r="C1181" s="9" t="s">
        <v>36</v>
      </c>
      <c r="D1181" s="9">
        <v>1500</v>
      </c>
      <c r="E1181" s="9"/>
      <c r="F1181" s="9">
        <v>20809</v>
      </c>
      <c r="G1181" s="10" t="s">
        <v>2367</v>
      </c>
      <c r="H1181" s="10" t="s">
        <v>563</v>
      </c>
      <c r="I1181" s="10"/>
      <c r="J1181" s="9">
        <v>40599</v>
      </c>
      <c r="K1181" s="10" t="s">
        <v>2368</v>
      </c>
      <c r="L1181" s="10" t="s">
        <v>317</v>
      </c>
      <c r="M1181" s="10" t="s">
        <v>1842</v>
      </c>
      <c r="N1181" s="7"/>
    </row>
    <row r="1182" s="1" customFormat="1" ht="28.5" customHeight="1" spans="1:14">
      <c r="A1182" s="8">
        <v>20801</v>
      </c>
      <c r="B1182" s="9">
        <v>20850</v>
      </c>
      <c r="C1182" s="9" t="s">
        <v>36</v>
      </c>
      <c r="D1182" s="9">
        <v>1000</v>
      </c>
      <c r="E1182" s="9"/>
      <c r="F1182" s="9">
        <v>20809</v>
      </c>
      <c r="G1182" s="10" t="s">
        <v>2369</v>
      </c>
      <c r="H1182" s="10" t="s">
        <v>563</v>
      </c>
      <c r="I1182" s="10"/>
      <c r="J1182" s="9">
        <v>40600</v>
      </c>
      <c r="K1182" s="10" t="s">
        <v>2370</v>
      </c>
      <c r="L1182" s="10" t="s">
        <v>317</v>
      </c>
      <c r="M1182" s="10" t="s">
        <v>1842</v>
      </c>
      <c r="N1182" s="7"/>
    </row>
    <row r="1183" s="1" customFormat="1" ht="28.5" customHeight="1" spans="1:14">
      <c r="A1183" s="8"/>
      <c r="B1183" s="9"/>
      <c r="C1183" s="9" t="s">
        <v>1289</v>
      </c>
      <c r="D1183" s="9">
        <v>3000</v>
      </c>
      <c r="E1183" s="9"/>
      <c r="F1183" s="9"/>
      <c r="G1183" s="10" t="s">
        <v>2371</v>
      </c>
      <c r="H1183" s="10" t="s">
        <v>563</v>
      </c>
      <c r="I1183" s="10"/>
      <c r="J1183" s="9">
        <v>10601</v>
      </c>
      <c r="K1183" s="10" t="s">
        <v>2372</v>
      </c>
      <c r="L1183" s="10" t="s">
        <v>221</v>
      </c>
      <c r="M1183" s="10" t="s">
        <v>1834</v>
      </c>
      <c r="N1183" s="7"/>
    </row>
    <row r="1184" s="1" customFormat="1" ht="28.5" customHeight="1" spans="1:14">
      <c r="A1184" s="8"/>
      <c r="B1184" s="9"/>
      <c r="C1184" s="9" t="s">
        <v>1289</v>
      </c>
      <c r="D1184" s="9">
        <v>2500</v>
      </c>
      <c r="E1184" s="9"/>
      <c r="F1184" s="9"/>
      <c r="G1184" s="10" t="s">
        <v>2373</v>
      </c>
      <c r="H1184" s="10" t="s">
        <v>563</v>
      </c>
      <c r="I1184" s="10"/>
      <c r="J1184" s="9">
        <v>10602</v>
      </c>
      <c r="K1184" s="10" t="s">
        <v>2374</v>
      </c>
      <c r="L1184" s="10" t="s">
        <v>221</v>
      </c>
      <c r="M1184" s="10" t="s">
        <v>1834</v>
      </c>
      <c r="N1184" s="7"/>
    </row>
    <row r="1185" s="1" customFormat="1" ht="28.5" customHeight="1" spans="1:14">
      <c r="A1185" s="8"/>
      <c r="B1185" s="9"/>
      <c r="C1185" s="9" t="s">
        <v>1289</v>
      </c>
      <c r="D1185" s="9">
        <v>2000</v>
      </c>
      <c r="E1185" s="9"/>
      <c r="F1185" s="9"/>
      <c r="G1185" s="10" t="s">
        <v>2375</v>
      </c>
      <c r="H1185" s="10" t="s">
        <v>563</v>
      </c>
      <c r="I1185" s="10"/>
      <c r="J1185" s="9">
        <v>10603</v>
      </c>
      <c r="K1185" s="10" t="s">
        <v>2376</v>
      </c>
      <c r="L1185" s="10" t="s">
        <v>221</v>
      </c>
      <c r="M1185" s="10" t="s">
        <v>1834</v>
      </c>
      <c r="N1185" s="7"/>
    </row>
    <row r="1186" s="1" customFormat="1" ht="28.5" customHeight="1" spans="1:14">
      <c r="A1186" s="8"/>
      <c r="B1186" s="9"/>
      <c r="C1186" s="9" t="s">
        <v>1289</v>
      </c>
      <c r="D1186" s="9">
        <v>1500</v>
      </c>
      <c r="E1186" s="9"/>
      <c r="F1186" s="9"/>
      <c r="G1186" s="10" t="s">
        <v>2377</v>
      </c>
      <c r="H1186" s="10" t="s">
        <v>563</v>
      </c>
      <c r="I1186" s="10"/>
      <c r="J1186" s="9">
        <v>10604</v>
      </c>
      <c r="K1186" s="10" t="s">
        <v>2378</v>
      </c>
      <c r="L1186" s="10" t="s">
        <v>221</v>
      </c>
      <c r="M1186" s="10" t="s">
        <v>1834</v>
      </c>
      <c r="N1186" s="7"/>
    </row>
    <row r="1187" s="1" customFormat="1" ht="28.5" customHeight="1" spans="1:14">
      <c r="A1187" s="8"/>
      <c r="B1187" s="9"/>
      <c r="C1187" s="9" t="s">
        <v>1289</v>
      </c>
      <c r="D1187" s="9">
        <v>1000</v>
      </c>
      <c r="E1187" s="9"/>
      <c r="F1187" s="9"/>
      <c r="G1187" s="10" t="s">
        <v>2379</v>
      </c>
      <c r="H1187" s="10" t="s">
        <v>563</v>
      </c>
      <c r="I1187" s="10"/>
      <c r="J1187" s="9">
        <v>10605</v>
      </c>
      <c r="K1187" s="10" t="s">
        <v>2380</v>
      </c>
      <c r="L1187" s="10" t="s">
        <v>221</v>
      </c>
      <c r="M1187" s="10" t="s">
        <v>1834</v>
      </c>
      <c r="N1187" s="7"/>
    </row>
    <row r="1188" s="1" customFormat="1" ht="28.5" customHeight="1" spans="1:14">
      <c r="A1188" s="8">
        <v>30401</v>
      </c>
      <c r="B1188" s="9">
        <v>30401</v>
      </c>
      <c r="C1188" s="9" t="s">
        <v>32</v>
      </c>
      <c r="D1188" s="9">
        <v>0</v>
      </c>
      <c r="E1188" s="9"/>
      <c r="F1188" s="9">
        <v>30400</v>
      </c>
      <c r="G1188" s="10" t="s">
        <v>1261</v>
      </c>
      <c r="H1188" s="10" t="s">
        <v>563</v>
      </c>
      <c r="I1188" s="10"/>
      <c r="J1188" s="9">
        <v>60606</v>
      </c>
      <c r="K1188" s="10" t="s">
        <v>1841</v>
      </c>
      <c r="L1188" s="10" t="s">
        <v>218</v>
      </c>
      <c r="M1188" s="10" t="s">
        <v>1842</v>
      </c>
      <c r="N1188" s="7"/>
    </row>
    <row r="1189" s="1" customFormat="1" ht="28.5" customHeight="1" spans="1:14">
      <c r="A1189" s="8">
        <v>30401</v>
      </c>
      <c r="B1189" s="9">
        <v>30402</v>
      </c>
      <c r="C1189" s="9" t="s">
        <v>32</v>
      </c>
      <c r="D1189" s="9">
        <v>0</v>
      </c>
      <c r="E1189" s="9"/>
      <c r="F1189" s="9">
        <v>30400</v>
      </c>
      <c r="G1189" s="10" t="s">
        <v>1263</v>
      </c>
      <c r="H1189" s="10" t="s">
        <v>563</v>
      </c>
      <c r="I1189" s="10"/>
      <c r="J1189" s="9">
        <v>60607</v>
      </c>
      <c r="K1189" s="10" t="s">
        <v>1843</v>
      </c>
      <c r="L1189" s="10" t="s">
        <v>218</v>
      </c>
      <c r="M1189" s="10" t="s">
        <v>1842</v>
      </c>
      <c r="N1189" s="7"/>
    </row>
    <row r="1190" s="1" customFormat="1" ht="28.5" customHeight="1" spans="1:14">
      <c r="A1190" s="8">
        <v>30401</v>
      </c>
      <c r="B1190" s="9">
        <v>30403</v>
      </c>
      <c r="C1190" s="9" t="s">
        <v>32</v>
      </c>
      <c r="D1190" s="9">
        <v>0</v>
      </c>
      <c r="E1190" s="9"/>
      <c r="F1190" s="9">
        <v>30400</v>
      </c>
      <c r="G1190" s="10" t="s">
        <v>1265</v>
      </c>
      <c r="H1190" s="10" t="s">
        <v>563</v>
      </c>
      <c r="I1190" s="10"/>
      <c r="J1190" s="9">
        <v>60608</v>
      </c>
      <c r="K1190" s="10" t="s">
        <v>1844</v>
      </c>
      <c r="L1190" s="10" t="s">
        <v>218</v>
      </c>
      <c r="M1190" s="10" t="s">
        <v>1842</v>
      </c>
      <c r="N1190" s="7"/>
    </row>
    <row r="1191" s="1" customFormat="1" ht="28.5" customHeight="1" spans="1:14">
      <c r="A1191" s="8">
        <v>30401</v>
      </c>
      <c r="B1191" s="9">
        <v>30404</v>
      </c>
      <c r="C1191" s="9" t="s">
        <v>32</v>
      </c>
      <c r="D1191" s="9">
        <v>0</v>
      </c>
      <c r="E1191" s="9"/>
      <c r="F1191" s="9">
        <v>30400</v>
      </c>
      <c r="G1191" s="10" t="s">
        <v>1267</v>
      </c>
      <c r="H1191" s="10" t="s">
        <v>563</v>
      </c>
      <c r="I1191" s="10"/>
      <c r="J1191" s="9">
        <v>60609</v>
      </c>
      <c r="K1191" s="10" t="s">
        <v>1845</v>
      </c>
      <c r="L1191" s="10" t="s">
        <v>218</v>
      </c>
      <c r="M1191" s="10" t="s">
        <v>1842</v>
      </c>
      <c r="N1191" s="7"/>
    </row>
    <row r="1192" s="1" customFormat="1" ht="28.5" customHeight="1" spans="1:14">
      <c r="A1192" s="8">
        <v>30401</v>
      </c>
      <c r="B1192" s="9">
        <v>30405</v>
      </c>
      <c r="C1192" s="9" t="s">
        <v>32</v>
      </c>
      <c r="D1192" s="9">
        <v>0</v>
      </c>
      <c r="E1192" s="9"/>
      <c r="F1192" s="9">
        <v>30400</v>
      </c>
      <c r="G1192" s="10" t="s">
        <v>1269</v>
      </c>
      <c r="H1192" s="10" t="s">
        <v>563</v>
      </c>
      <c r="I1192" s="10"/>
      <c r="J1192" s="9">
        <v>60610</v>
      </c>
      <c r="K1192" s="10" t="s">
        <v>1846</v>
      </c>
      <c r="L1192" s="10" t="s">
        <v>218</v>
      </c>
      <c r="M1192" s="10" t="s">
        <v>1842</v>
      </c>
      <c r="N1192" s="7"/>
    </row>
    <row r="1193" s="1" customFormat="1" ht="28.5" customHeight="1" spans="1:14">
      <c r="A1193" s="8">
        <v>30401</v>
      </c>
      <c r="B1193" s="9">
        <v>30406</v>
      </c>
      <c r="C1193" s="9" t="s">
        <v>32</v>
      </c>
      <c r="D1193" s="9">
        <v>3000</v>
      </c>
      <c r="E1193" s="9"/>
      <c r="F1193" s="9">
        <v>30401</v>
      </c>
      <c r="G1193" s="10" t="s">
        <v>1847</v>
      </c>
      <c r="H1193" s="10" t="s">
        <v>563</v>
      </c>
      <c r="I1193" s="10"/>
      <c r="J1193" s="9">
        <v>20611</v>
      </c>
      <c r="K1193" s="10" t="s">
        <v>1848</v>
      </c>
      <c r="L1193" s="10" t="s">
        <v>221</v>
      </c>
      <c r="M1193" s="10" t="s">
        <v>1842</v>
      </c>
      <c r="N1193" s="7"/>
    </row>
    <row r="1194" s="1" customFormat="1" ht="28.5" customHeight="1" spans="1:14">
      <c r="A1194" s="8">
        <v>30401</v>
      </c>
      <c r="B1194" s="9">
        <v>30407</v>
      </c>
      <c r="C1194" s="9" t="s">
        <v>32</v>
      </c>
      <c r="D1194" s="9">
        <v>2500</v>
      </c>
      <c r="E1194" s="9"/>
      <c r="F1194" s="9">
        <v>30401</v>
      </c>
      <c r="G1194" s="10" t="s">
        <v>1849</v>
      </c>
      <c r="H1194" s="10" t="s">
        <v>563</v>
      </c>
      <c r="I1194" s="10"/>
      <c r="J1194" s="9">
        <v>20612</v>
      </c>
      <c r="K1194" s="10" t="s">
        <v>1850</v>
      </c>
      <c r="L1194" s="10" t="s">
        <v>221</v>
      </c>
      <c r="M1194" s="10" t="s">
        <v>1842</v>
      </c>
      <c r="N1194" s="7"/>
    </row>
    <row r="1195" s="1" customFormat="1" ht="28.5" customHeight="1" spans="1:14">
      <c r="A1195" s="8">
        <v>30401</v>
      </c>
      <c r="B1195" s="9">
        <v>30408</v>
      </c>
      <c r="C1195" s="9" t="s">
        <v>32</v>
      </c>
      <c r="D1195" s="9">
        <v>2000</v>
      </c>
      <c r="E1195" s="9"/>
      <c r="F1195" s="9">
        <v>30401</v>
      </c>
      <c r="G1195" s="10" t="s">
        <v>1851</v>
      </c>
      <c r="H1195" s="10" t="s">
        <v>563</v>
      </c>
      <c r="I1195" s="10"/>
      <c r="J1195" s="9">
        <v>20613</v>
      </c>
      <c r="K1195" s="10" t="s">
        <v>1852</v>
      </c>
      <c r="L1195" s="10" t="s">
        <v>221</v>
      </c>
      <c r="M1195" s="10" t="s">
        <v>1842</v>
      </c>
      <c r="N1195" s="7"/>
    </row>
    <row r="1196" s="1" customFormat="1" ht="28.5" customHeight="1" spans="1:14">
      <c r="A1196" s="8">
        <v>30401</v>
      </c>
      <c r="B1196" s="9">
        <v>30409</v>
      </c>
      <c r="C1196" s="9" t="s">
        <v>32</v>
      </c>
      <c r="D1196" s="9">
        <v>1500</v>
      </c>
      <c r="E1196" s="9"/>
      <c r="F1196" s="9">
        <v>30401</v>
      </c>
      <c r="G1196" s="10" t="s">
        <v>1853</v>
      </c>
      <c r="H1196" s="10" t="s">
        <v>563</v>
      </c>
      <c r="I1196" s="10"/>
      <c r="J1196" s="9">
        <v>20614</v>
      </c>
      <c r="K1196" s="10" t="s">
        <v>1854</v>
      </c>
      <c r="L1196" s="10" t="s">
        <v>221</v>
      </c>
      <c r="M1196" s="10" t="s">
        <v>1842</v>
      </c>
      <c r="N1196" s="7"/>
    </row>
    <row r="1197" s="1" customFormat="1" ht="28.5" customHeight="1" spans="1:14">
      <c r="A1197" s="8">
        <v>30401</v>
      </c>
      <c r="B1197" s="9">
        <v>30410</v>
      </c>
      <c r="C1197" s="9" t="s">
        <v>32</v>
      </c>
      <c r="D1197" s="9">
        <v>1000</v>
      </c>
      <c r="E1197" s="9"/>
      <c r="F1197" s="9">
        <v>30401</v>
      </c>
      <c r="G1197" s="10" t="s">
        <v>1855</v>
      </c>
      <c r="H1197" s="10" t="s">
        <v>563</v>
      </c>
      <c r="I1197" s="10"/>
      <c r="J1197" s="9">
        <v>20615</v>
      </c>
      <c r="K1197" s="10" t="s">
        <v>1856</v>
      </c>
      <c r="L1197" s="10" t="s">
        <v>221</v>
      </c>
      <c r="M1197" s="10" t="s">
        <v>1842</v>
      </c>
      <c r="N1197" s="7"/>
    </row>
    <row r="1198" s="1" customFormat="1" ht="28.5" customHeight="1" spans="1:14">
      <c r="A1198" s="8"/>
      <c r="B1198" s="9"/>
      <c r="C1198" s="9" t="s">
        <v>1289</v>
      </c>
      <c r="D1198" s="9">
        <v>3000</v>
      </c>
      <c r="E1198" s="9"/>
      <c r="F1198" s="9"/>
      <c r="G1198" s="10" t="s">
        <v>1857</v>
      </c>
      <c r="H1198" s="10" t="s">
        <v>563</v>
      </c>
      <c r="I1198" s="10"/>
      <c r="J1198" s="9">
        <v>90616</v>
      </c>
      <c r="K1198" s="10" t="s">
        <v>1858</v>
      </c>
      <c r="L1198" s="10" t="s">
        <v>224</v>
      </c>
      <c r="M1198" s="10" t="s">
        <v>1834</v>
      </c>
      <c r="N1198" s="7"/>
    </row>
    <row r="1199" s="1" customFormat="1" ht="28.5" customHeight="1" spans="1:14">
      <c r="A1199" s="8"/>
      <c r="B1199" s="9"/>
      <c r="C1199" s="9" t="s">
        <v>1289</v>
      </c>
      <c r="D1199" s="9">
        <v>2500</v>
      </c>
      <c r="E1199" s="9"/>
      <c r="F1199" s="9"/>
      <c r="G1199" s="10" t="s">
        <v>1857</v>
      </c>
      <c r="H1199" s="10" t="s">
        <v>563</v>
      </c>
      <c r="I1199" s="10"/>
      <c r="J1199" s="9">
        <v>90617</v>
      </c>
      <c r="K1199" s="10" t="s">
        <v>1858</v>
      </c>
      <c r="L1199" s="10" t="s">
        <v>224</v>
      </c>
      <c r="M1199" s="10" t="s">
        <v>1834</v>
      </c>
      <c r="N1199" s="7"/>
    </row>
    <row r="1200" s="1" customFormat="1" ht="28.5" customHeight="1" spans="1:14">
      <c r="A1200" s="8"/>
      <c r="B1200" s="9"/>
      <c r="C1200" s="9" t="s">
        <v>1289</v>
      </c>
      <c r="D1200" s="9">
        <v>2000</v>
      </c>
      <c r="E1200" s="9"/>
      <c r="F1200" s="9"/>
      <c r="G1200" s="10" t="s">
        <v>1857</v>
      </c>
      <c r="H1200" s="10" t="s">
        <v>563</v>
      </c>
      <c r="I1200" s="10"/>
      <c r="J1200" s="9">
        <v>90618</v>
      </c>
      <c r="K1200" s="10" t="s">
        <v>1858</v>
      </c>
      <c r="L1200" s="10" t="s">
        <v>224</v>
      </c>
      <c r="M1200" s="10" t="s">
        <v>1834</v>
      </c>
      <c r="N1200" s="7"/>
    </row>
    <row r="1201" s="1" customFormat="1" ht="28.5" customHeight="1" spans="1:14">
      <c r="A1201" s="8"/>
      <c r="B1201" s="9"/>
      <c r="C1201" s="9" t="s">
        <v>1289</v>
      </c>
      <c r="D1201" s="9">
        <v>1500</v>
      </c>
      <c r="E1201" s="9"/>
      <c r="F1201" s="9"/>
      <c r="G1201" s="10" t="s">
        <v>1857</v>
      </c>
      <c r="H1201" s="10" t="s">
        <v>563</v>
      </c>
      <c r="I1201" s="10"/>
      <c r="J1201" s="9">
        <v>90619</v>
      </c>
      <c r="K1201" s="10" t="s">
        <v>1858</v>
      </c>
      <c r="L1201" s="10" t="s">
        <v>224</v>
      </c>
      <c r="M1201" s="10" t="s">
        <v>1834</v>
      </c>
      <c r="N1201" s="7"/>
    </row>
    <row r="1202" s="1" customFormat="1" ht="28.5" customHeight="1" spans="1:14">
      <c r="A1202" s="8"/>
      <c r="B1202" s="9"/>
      <c r="C1202" s="9" t="s">
        <v>1289</v>
      </c>
      <c r="D1202" s="9">
        <v>1000</v>
      </c>
      <c r="E1202" s="9"/>
      <c r="F1202" s="9"/>
      <c r="G1202" s="10" t="s">
        <v>1857</v>
      </c>
      <c r="H1202" s="10" t="s">
        <v>563</v>
      </c>
      <c r="I1202" s="10"/>
      <c r="J1202" s="9">
        <v>90620</v>
      </c>
      <c r="K1202" s="10" t="s">
        <v>1858</v>
      </c>
      <c r="L1202" s="10" t="s">
        <v>224</v>
      </c>
      <c r="M1202" s="10" t="s">
        <v>1834</v>
      </c>
      <c r="N1202" s="7"/>
    </row>
    <row r="1203" s="1" customFormat="1" ht="28.5" customHeight="1" spans="1:14">
      <c r="A1203" s="8"/>
      <c r="B1203" s="9"/>
      <c r="C1203" s="9" t="s">
        <v>1289</v>
      </c>
      <c r="D1203" s="9">
        <v>3000</v>
      </c>
      <c r="E1203" s="9"/>
      <c r="F1203" s="9"/>
      <c r="G1203" s="10" t="s">
        <v>1859</v>
      </c>
      <c r="H1203" s="10" t="s">
        <v>563</v>
      </c>
      <c r="I1203" s="10"/>
      <c r="J1203" s="9">
        <v>70621</v>
      </c>
      <c r="K1203" s="10" t="s">
        <v>1860</v>
      </c>
      <c r="L1203" s="10" t="s">
        <v>228</v>
      </c>
      <c r="M1203" s="10" t="s">
        <v>1834</v>
      </c>
      <c r="N1203" s="7"/>
    </row>
    <row r="1204" s="1" customFormat="1" ht="28.5" customHeight="1" spans="1:14">
      <c r="A1204" s="8"/>
      <c r="B1204" s="9"/>
      <c r="C1204" s="9" t="s">
        <v>1289</v>
      </c>
      <c r="D1204" s="9">
        <v>2500</v>
      </c>
      <c r="E1204" s="9"/>
      <c r="F1204" s="9"/>
      <c r="G1204" s="10" t="s">
        <v>1859</v>
      </c>
      <c r="H1204" s="10" t="s">
        <v>563</v>
      </c>
      <c r="I1204" s="10"/>
      <c r="J1204" s="9">
        <v>70622</v>
      </c>
      <c r="K1204" s="10" t="s">
        <v>1860</v>
      </c>
      <c r="L1204" s="10" t="s">
        <v>228</v>
      </c>
      <c r="M1204" s="10" t="s">
        <v>1834</v>
      </c>
      <c r="N1204" s="7"/>
    </row>
    <row r="1205" s="1" customFormat="1" ht="28.5" customHeight="1" spans="1:14">
      <c r="A1205" s="8"/>
      <c r="B1205" s="9"/>
      <c r="C1205" s="9" t="s">
        <v>1289</v>
      </c>
      <c r="D1205" s="9">
        <v>2000</v>
      </c>
      <c r="E1205" s="9"/>
      <c r="F1205" s="9"/>
      <c r="G1205" s="10" t="s">
        <v>1859</v>
      </c>
      <c r="H1205" s="10" t="s">
        <v>563</v>
      </c>
      <c r="I1205" s="10"/>
      <c r="J1205" s="9">
        <v>70623</v>
      </c>
      <c r="K1205" s="10" t="s">
        <v>1860</v>
      </c>
      <c r="L1205" s="10" t="s">
        <v>228</v>
      </c>
      <c r="M1205" s="10" t="s">
        <v>1834</v>
      </c>
      <c r="N1205" s="7"/>
    </row>
    <row r="1206" s="1" customFormat="1" ht="28.5" customHeight="1" spans="1:14">
      <c r="A1206" s="8"/>
      <c r="B1206" s="9"/>
      <c r="C1206" s="9" t="s">
        <v>1289</v>
      </c>
      <c r="D1206" s="9">
        <v>1500</v>
      </c>
      <c r="E1206" s="9"/>
      <c r="F1206" s="9"/>
      <c r="G1206" s="10" t="s">
        <v>1859</v>
      </c>
      <c r="H1206" s="10" t="s">
        <v>563</v>
      </c>
      <c r="I1206" s="10"/>
      <c r="J1206" s="9">
        <v>70624</v>
      </c>
      <c r="K1206" s="10" t="s">
        <v>1860</v>
      </c>
      <c r="L1206" s="10" t="s">
        <v>228</v>
      </c>
      <c r="M1206" s="10" t="s">
        <v>1834</v>
      </c>
      <c r="N1206" s="7"/>
    </row>
    <row r="1207" s="1" customFormat="1" ht="28.5" customHeight="1" spans="1:14">
      <c r="A1207" s="8"/>
      <c r="B1207" s="9"/>
      <c r="C1207" s="9" t="s">
        <v>1289</v>
      </c>
      <c r="D1207" s="9">
        <v>1000</v>
      </c>
      <c r="E1207" s="9"/>
      <c r="F1207" s="9"/>
      <c r="G1207" s="10" t="s">
        <v>1859</v>
      </c>
      <c r="H1207" s="10" t="s">
        <v>563</v>
      </c>
      <c r="I1207" s="10"/>
      <c r="J1207" s="9">
        <v>70625</v>
      </c>
      <c r="K1207" s="10" t="s">
        <v>1860</v>
      </c>
      <c r="L1207" s="10" t="s">
        <v>228</v>
      </c>
      <c r="M1207" s="10" t="s">
        <v>1834</v>
      </c>
      <c r="N1207" s="7"/>
    </row>
    <row r="1208" s="1" customFormat="1" ht="28.5" customHeight="1" spans="1:14">
      <c r="A1208" s="8"/>
      <c r="B1208" s="9"/>
      <c r="C1208" s="9" t="s">
        <v>1289</v>
      </c>
      <c r="D1208" s="9">
        <v>3000</v>
      </c>
      <c r="E1208" s="9"/>
      <c r="F1208" s="9"/>
      <c r="G1208" s="10" t="s">
        <v>1861</v>
      </c>
      <c r="H1208" s="10" t="s">
        <v>563</v>
      </c>
      <c r="I1208" s="10"/>
      <c r="J1208" s="9">
        <v>80626</v>
      </c>
      <c r="K1208" s="10" t="s">
        <v>1862</v>
      </c>
      <c r="L1208" s="10" t="s">
        <v>231</v>
      </c>
      <c r="M1208" s="10" t="s">
        <v>1834</v>
      </c>
      <c r="N1208" s="7"/>
    </row>
    <row r="1209" s="1" customFormat="1" ht="28.5" customHeight="1" spans="1:14">
      <c r="A1209" s="8"/>
      <c r="B1209" s="9"/>
      <c r="C1209" s="9" t="s">
        <v>1289</v>
      </c>
      <c r="D1209" s="9">
        <v>2500</v>
      </c>
      <c r="E1209" s="9"/>
      <c r="F1209" s="9"/>
      <c r="G1209" s="10" t="s">
        <v>1861</v>
      </c>
      <c r="H1209" s="10" t="s">
        <v>563</v>
      </c>
      <c r="I1209" s="10"/>
      <c r="J1209" s="9">
        <v>80627</v>
      </c>
      <c r="K1209" s="10" t="s">
        <v>1862</v>
      </c>
      <c r="L1209" s="10" t="s">
        <v>231</v>
      </c>
      <c r="M1209" s="10" t="s">
        <v>1834</v>
      </c>
      <c r="N1209" s="7"/>
    </row>
    <row r="1210" s="1" customFormat="1" ht="28.5" customHeight="1" spans="1:14">
      <c r="A1210" s="8"/>
      <c r="B1210" s="9"/>
      <c r="C1210" s="9" t="s">
        <v>1289</v>
      </c>
      <c r="D1210" s="9">
        <v>2000</v>
      </c>
      <c r="E1210" s="9"/>
      <c r="F1210" s="9"/>
      <c r="G1210" s="10" t="s">
        <v>1861</v>
      </c>
      <c r="H1210" s="10" t="s">
        <v>563</v>
      </c>
      <c r="I1210" s="10"/>
      <c r="J1210" s="9">
        <v>80628</v>
      </c>
      <c r="K1210" s="10" t="s">
        <v>1862</v>
      </c>
      <c r="L1210" s="10" t="s">
        <v>231</v>
      </c>
      <c r="M1210" s="10" t="s">
        <v>1834</v>
      </c>
      <c r="N1210" s="7"/>
    </row>
    <row r="1211" s="1" customFormat="1" ht="28.5" customHeight="1" spans="1:14">
      <c r="A1211" s="8"/>
      <c r="B1211" s="9"/>
      <c r="C1211" s="9" t="s">
        <v>1289</v>
      </c>
      <c r="D1211" s="9">
        <v>1500</v>
      </c>
      <c r="E1211" s="9"/>
      <c r="F1211" s="9"/>
      <c r="G1211" s="10" t="s">
        <v>1861</v>
      </c>
      <c r="H1211" s="10" t="s">
        <v>563</v>
      </c>
      <c r="I1211" s="10"/>
      <c r="J1211" s="9">
        <v>80629</v>
      </c>
      <c r="K1211" s="10" t="s">
        <v>1862</v>
      </c>
      <c r="L1211" s="10" t="s">
        <v>231</v>
      </c>
      <c r="M1211" s="10" t="s">
        <v>1834</v>
      </c>
      <c r="N1211" s="7"/>
    </row>
    <row r="1212" s="1" customFormat="1" ht="28.5" customHeight="1" spans="1:14">
      <c r="A1212" s="8"/>
      <c r="B1212" s="9"/>
      <c r="C1212" s="9" t="s">
        <v>1289</v>
      </c>
      <c r="D1212" s="9">
        <v>1000</v>
      </c>
      <c r="E1212" s="9"/>
      <c r="F1212" s="9"/>
      <c r="G1212" s="10" t="s">
        <v>1861</v>
      </c>
      <c r="H1212" s="10" t="s">
        <v>563</v>
      </c>
      <c r="I1212" s="10"/>
      <c r="J1212" s="9">
        <v>80630</v>
      </c>
      <c r="K1212" s="10" t="s">
        <v>1862</v>
      </c>
      <c r="L1212" s="10" t="s">
        <v>231</v>
      </c>
      <c r="M1212" s="10" t="s">
        <v>1834</v>
      </c>
      <c r="N1212" s="7"/>
    </row>
    <row r="1213" s="1" customFormat="1" ht="28.5" customHeight="1" spans="1:14">
      <c r="A1213" s="8"/>
      <c r="B1213" s="9"/>
      <c r="C1213" s="9" t="s">
        <v>1289</v>
      </c>
      <c r="D1213" s="9">
        <v>3000</v>
      </c>
      <c r="E1213" s="9"/>
      <c r="F1213" s="9"/>
      <c r="G1213" s="10" t="s">
        <v>2381</v>
      </c>
      <c r="H1213" s="10" t="s">
        <v>563</v>
      </c>
      <c r="I1213" s="10"/>
      <c r="J1213" s="9">
        <v>10631</v>
      </c>
      <c r="K1213" s="10" t="s">
        <v>2382</v>
      </c>
      <c r="L1213" s="10" t="s">
        <v>234</v>
      </c>
      <c r="M1213" s="10" t="s">
        <v>1834</v>
      </c>
      <c r="N1213" s="7"/>
    </row>
    <row r="1214" s="1" customFormat="1" ht="28.5" customHeight="1" spans="1:14">
      <c r="A1214" s="8"/>
      <c r="B1214" s="9"/>
      <c r="C1214" s="9" t="s">
        <v>1289</v>
      </c>
      <c r="D1214" s="9">
        <v>2500</v>
      </c>
      <c r="E1214" s="9"/>
      <c r="F1214" s="9"/>
      <c r="G1214" s="10" t="s">
        <v>2383</v>
      </c>
      <c r="H1214" s="10" t="s">
        <v>563</v>
      </c>
      <c r="I1214" s="10"/>
      <c r="J1214" s="9">
        <v>10632</v>
      </c>
      <c r="K1214" s="10" t="s">
        <v>2384</v>
      </c>
      <c r="L1214" s="10" t="s">
        <v>234</v>
      </c>
      <c r="M1214" s="10" t="s">
        <v>1834</v>
      </c>
      <c r="N1214" s="7"/>
    </row>
    <row r="1215" s="1" customFormat="1" ht="28.5" customHeight="1" spans="1:14">
      <c r="A1215" s="8"/>
      <c r="B1215" s="9"/>
      <c r="C1215" s="9" t="s">
        <v>1289</v>
      </c>
      <c r="D1215" s="9">
        <v>2000</v>
      </c>
      <c r="E1215" s="9"/>
      <c r="F1215" s="9"/>
      <c r="G1215" s="10" t="s">
        <v>2385</v>
      </c>
      <c r="H1215" s="10" t="s">
        <v>563</v>
      </c>
      <c r="I1215" s="10"/>
      <c r="J1215" s="9">
        <v>10633</v>
      </c>
      <c r="K1215" s="10" t="s">
        <v>2386</v>
      </c>
      <c r="L1215" s="10" t="s">
        <v>234</v>
      </c>
      <c r="M1215" s="10" t="s">
        <v>1834</v>
      </c>
      <c r="N1215" s="7"/>
    </row>
    <row r="1216" s="1" customFormat="1" ht="28.5" customHeight="1" spans="1:14">
      <c r="A1216" s="8"/>
      <c r="B1216" s="9"/>
      <c r="C1216" s="9" t="s">
        <v>1289</v>
      </c>
      <c r="D1216" s="9">
        <v>1500</v>
      </c>
      <c r="E1216" s="9"/>
      <c r="F1216" s="9"/>
      <c r="G1216" s="10" t="s">
        <v>2387</v>
      </c>
      <c r="H1216" s="10" t="s">
        <v>563</v>
      </c>
      <c r="I1216" s="10"/>
      <c r="J1216" s="9">
        <v>10634</v>
      </c>
      <c r="K1216" s="10" t="s">
        <v>2388</v>
      </c>
      <c r="L1216" s="10" t="s">
        <v>234</v>
      </c>
      <c r="M1216" s="10" t="s">
        <v>1834</v>
      </c>
      <c r="N1216" s="7"/>
    </row>
    <row r="1217" s="1" customFormat="1" ht="28.5" customHeight="1" spans="1:14">
      <c r="A1217" s="8"/>
      <c r="B1217" s="9"/>
      <c r="C1217" s="9" t="s">
        <v>1289</v>
      </c>
      <c r="D1217" s="9">
        <v>1000</v>
      </c>
      <c r="E1217" s="9"/>
      <c r="F1217" s="9"/>
      <c r="G1217" s="10" t="s">
        <v>2389</v>
      </c>
      <c r="H1217" s="10" t="s">
        <v>563</v>
      </c>
      <c r="I1217" s="10"/>
      <c r="J1217" s="9">
        <v>10635</v>
      </c>
      <c r="K1217" s="10" t="s">
        <v>2390</v>
      </c>
      <c r="L1217" s="10" t="s">
        <v>234</v>
      </c>
      <c r="M1217" s="10" t="s">
        <v>1834</v>
      </c>
      <c r="N1217" s="7"/>
    </row>
    <row r="1218" s="1" customFormat="1" ht="28.5" customHeight="1" spans="1:14">
      <c r="A1218" s="8"/>
      <c r="B1218" s="9"/>
      <c r="C1218" s="9" t="s">
        <v>1289</v>
      </c>
      <c r="D1218" s="9">
        <v>3000</v>
      </c>
      <c r="E1218" s="9"/>
      <c r="F1218" s="9"/>
      <c r="G1218" s="10" t="s">
        <v>2391</v>
      </c>
      <c r="H1218" s="10" t="s">
        <v>563</v>
      </c>
      <c r="I1218" s="10"/>
      <c r="J1218" s="9">
        <v>100636</v>
      </c>
      <c r="K1218" s="10" t="s">
        <v>320</v>
      </c>
      <c r="L1218" s="10" t="s">
        <v>248</v>
      </c>
      <c r="M1218" s="10" t="s">
        <v>1834</v>
      </c>
      <c r="N1218" s="7"/>
    </row>
    <row r="1219" s="1" customFormat="1" ht="28.5" customHeight="1" spans="1:14">
      <c r="A1219" s="8"/>
      <c r="B1219" s="9"/>
      <c r="C1219" s="9" t="s">
        <v>1289</v>
      </c>
      <c r="D1219" s="9">
        <v>2500</v>
      </c>
      <c r="E1219" s="9"/>
      <c r="F1219" s="9"/>
      <c r="G1219" s="10" t="s">
        <v>2391</v>
      </c>
      <c r="H1219" s="10" t="s">
        <v>563</v>
      </c>
      <c r="I1219" s="10"/>
      <c r="J1219" s="9">
        <v>100637</v>
      </c>
      <c r="K1219" s="10" t="s">
        <v>320</v>
      </c>
      <c r="L1219" s="10" t="s">
        <v>248</v>
      </c>
      <c r="M1219" s="10" t="s">
        <v>1834</v>
      </c>
      <c r="N1219" s="7"/>
    </row>
    <row r="1220" s="1" customFormat="1" ht="28.5" customHeight="1" spans="1:14">
      <c r="A1220" s="8"/>
      <c r="B1220" s="9"/>
      <c r="C1220" s="9" t="s">
        <v>1289</v>
      </c>
      <c r="D1220" s="9">
        <v>2000</v>
      </c>
      <c r="E1220" s="9"/>
      <c r="F1220" s="9"/>
      <c r="G1220" s="10" t="s">
        <v>2391</v>
      </c>
      <c r="H1220" s="10" t="s">
        <v>563</v>
      </c>
      <c r="I1220" s="10"/>
      <c r="J1220" s="9">
        <v>100638</v>
      </c>
      <c r="K1220" s="10" t="s">
        <v>320</v>
      </c>
      <c r="L1220" s="10" t="s">
        <v>248</v>
      </c>
      <c r="M1220" s="10" t="s">
        <v>1834</v>
      </c>
      <c r="N1220" s="7"/>
    </row>
    <row r="1221" s="1" customFormat="1" ht="28.5" customHeight="1" spans="1:14">
      <c r="A1221" s="8"/>
      <c r="B1221" s="9"/>
      <c r="C1221" s="9" t="s">
        <v>1289</v>
      </c>
      <c r="D1221" s="9">
        <v>1500</v>
      </c>
      <c r="E1221" s="9"/>
      <c r="F1221" s="9"/>
      <c r="G1221" s="10" t="s">
        <v>2391</v>
      </c>
      <c r="H1221" s="10" t="s">
        <v>563</v>
      </c>
      <c r="I1221" s="10"/>
      <c r="J1221" s="9">
        <v>100639</v>
      </c>
      <c r="K1221" s="10" t="s">
        <v>320</v>
      </c>
      <c r="L1221" s="10" t="s">
        <v>248</v>
      </c>
      <c r="M1221" s="10" t="s">
        <v>1834</v>
      </c>
      <c r="N1221" s="7"/>
    </row>
    <row r="1222" s="1" customFormat="1" ht="28.5" customHeight="1" spans="1:14">
      <c r="A1222" s="8"/>
      <c r="B1222" s="9"/>
      <c r="C1222" s="9" t="s">
        <v>1289</v>
      </c>
      <c r="D1222" s="9">
        <v>1000</v>
      </c>
      <c r="E1222" s="9"/>
      <c r="F1222" s="9"/>
      <c r="G1222" s="10" t="s">
        <v>2391</v>
      </c>
      <c r="H1222" s="10" t="s">
        <v>563</v>
      </c>
      <c r="I1222" s="10"/>
      <c r="J1222" s="9">
        <v>100640</v>
      </c>
      <c r="K1222" s="10" t="s">
        <v>320</v>
      </c>
      <c r="L1222" s="10" t="s">
        <v>248</v>
      </c>
      <c r="M1222" s="10" t="s">
        <v>1834</v>
      </c>
      <c r="N1222" s="7"/>
    </row>
    <row r="1223" s="1" customFormat="1" ht="28.5" customHeight="1" spans="1:14">
      <c r="A1223" s="8">
        <v>30401</v>
      </c>
      <c r="B1223" s="9">
        <v>30411</v>
      </c>
      <c r="C1223" s="9" t="s">
        <v>32</v>
      </c>
      <c r="D1223" s="9">
        <v>0</v>
      </c>
      <c r="E1223" s="9"/>
      <c r="F1223" s="9">
        <v>30402</v>
      </c>
      <c r="G1223" s="10" t="s">
        <v>1553</v>
      </c>
      <c r="H1223" s="10" t="s">
        <v>563</v>
      </c>
      <c r="I1223" s="10"/>
      <c r="J1223" s="9">
        <v>60641</v>
      </c>
      <c r="K1223" s="10" t="s">
        <v>2392</v>
      </c>
      <c r="L1223" s="10" t="s">
        <v>321</v>
      </c>
      <c r="M1223" s="10" t="s">
        <v>1842</v>
      </c>
      <c r="N1223" s="7"/>
    </row>
    <row r="1224" s="1" customFormat="1" ht="28.5" customHeight="1" spans="1:14">
      <c r="A1224" s="8">
        <v>30401</v>
      </c>
      <c r="B1224" s="9">
        <v>30412</v>
      </c>
      <c r="C1224" s="9" t="s">
        <v>32</v>
      </c>
      <c r="D1224" s="9">
        <v>0</v>
      </c>
      <c r="E1224" s="9"/>
      <c r="F1224" s="9">
        <v>30402</v>
      </c>
      <c r="G1224" s="10" t="s">
        <v>1555</v>
      </c>
      <c r="H1224" s="10" t="s">
        <v>563</v>
      </c>
      <c r="I1224" s="10"/>
      <c r="J1224" s="9">
        <v>60642</v>
      </c>
      <c r="K1224" s="10" t="s">
        <v>2393</v>
      </c>
      <c r="L1224" s="10" t="s">
        <v>321</v>
      </c>
      <c r="M1224" s="10" t="s">
        <v>1842</v>
      </c>
      <c r="N1224" s="7"/>
    </row>
    <row r="1225" s="1" customFormat="1" ht="28.5" customHeight="1" spans="1:14">
      <c r="A1225" s="8">
        <v>30401</v>
      </c>
      <c r="B1225" s="9">
        <v>30413</v>
      </c>
      <c r="C1225" s="9" t="s">
        <v>32</v>
      </c>
      <c r="D1225" s="9">
        <v>0</v>
      </c>
      <c r="E1225" s="9"/>
      <c r="F1225" s="9">
        <v>30402</v>
      </c>
      <c r="G1225" s="10" t="s">
        <v>1557</v>
      </c>
      <c r="H1225" s="10" t="s">
        <v>563</v>
      </c>
      <c r="I1225" s="10"/>
      <c r="J1225" s="9">
        <v>60643</v>
      </c>
      <c r="K1225" s="10" t="s">
        <v>2394</v>
      </c>
      <c r="L1225" s="10" t="s">
        <v>321</v>
      </c>
      <c r="M1225" s="10" t="s">
        <v>1842</v>
      </c>
      <c r="N1225" s="7"/>
    </row>
    <row r="1226" s="1" customFormat="1" ht="28.5" customHeight="1" spans="1:14">
      <c r="A1226" s="8">
        <v>30401</v>
      </c>
      <c r="B1226" s="9">
        <v>30414</v>
      </c>
      <c r="C1226" s="9" t="s">
        <v>32</v>
      </c>
      <c r="D1226" s="9">
        <v>0</v>
      </c>
      <c r="E1226" s="9"/>
      <c r="F1226" s="9">
        <v>30402</v>
      </c>
      <c r="G1226" s="10" t="s">
        <v>1559</v>
      </c>
      <c r="H1226" s="10" t="s">
        <v>563</v>
      </c>
      <c r="I1226" s="10"/>
      <c r="J1226" s="9">
        <v>60644</v>
      </c>
      <c r="K1226" s="10" t="s">
        <v>2395</v>
      </c>
      <c r="L1226" s="10" t="s">
        <v>321</v>
      </c>
      <c r="M1226" s="10" t="s">
        <v>1842</v>
      </c>
      <c r="N1226" s="7"/>
    </row>
    <row r="1227" s="1" customFormat="1" ht="28.5" customHeight="1" spans="1:14">
      <c r="A1227" s="8">
        <v>30401</v>
      </c>
      <c r="B1227" s="9">
        <v>30415</v>
      </c>
      <c r="C1227" s="9" t="s">
        <v>32</v>
      </c>
      <c r="D1227" s="9">
        <v>0</v>
      </c>
      <c r="E1227" s="9"/>
      <c r="F1227" s="9">
        <v>30402</v>
      </c>
      <c r="G1227" s="10" t="s">
        <v>1561</v>
      </c>
      <c r="H1227" s="10" t="s">
        <v>563</v>
      </c>
      <c r="I1227" s="10"/>
      <c r="J1227" s="9">
        <v>60645</v>
      </c>
      <c r="K1227" s="10" t="s">
        <v>2396</v>
      </c>
      <c r="L1227" s="10" t="s">
        <v>321</v>
      </c>
      <c r="M1227" s="10" t="s">
        <v>1842</v>
      </c>
      <c r="N1227" s="7"/>
    </row>
    <row r="1228" s="1" customFormat="1" ht="28.5" customHeight="1" spans="1:14">
      <c r="A1228" s="8">
        <v>30401</v>
      </c>
      <c r="B1228" s="9">
        <v>30416</v>
      </c>
      <c r="C1228" s="9" t="s">
        <v>32</v>
      </c>
      <c r="D1228" s="9">
        <v>3000</v>
      </c>
      <c r="E1228" s="9"/>
      <c r="F1228" s="9">
        <v>30403</v>
      </c>
      <c r="G1228" s="10" t="s">
        <v>1563</v>
      </c>
      <c r="H1228" s="10" t="s">
        <v>563</v>
      </c>
      <c r="I1228" s="10"/>
      <c r="J1228" s="9">
        <v>50646</v>
      </c>
      <c r="K1228" s="10" t="s">
        <v>2397</v>
      </c>
      <c r="L1228" s="10" t="s">
        <v>324</v>
      </c>
      <c r="M1228" s="10" t="s">
        <v>1842</v>
      </c>
      <c r="N1228" s="7"/>
    </row>
    <row r="1229" s="1" customFormat="1" ht="28.5" customHeight="1" spans="1:14">
      <c r="A1229" s="8">
        <v>30401</v>
      </c>
      <c r="B1229" s="9">
        <v>30417</v>
      </c>
      <c r="C1229" s="9" t="s">
        <v>32</v>
      </c>
      <c r="D1229" s="9">
        <v>2500</v>
      </c>
      <c r="E1229" s="9"/>
      <c r="F1229" s="9">
        <v>30403</v>
      </c>
      <c r="G1229" s="10" t="s">
        <v>1565</v>
      </c>
      <c r="H1229" s="10" t="s">
        <v>563</v>
      </c>
      <c r="I1229" s="10"/>
      <c r="J1229" s="9">
        <v>50647</v>
      </c>
      <c r="K1229" s="10" t="s">
        <v>2398</v>
      </c>
      <c r="L1229" s="10" t="s">
        <v>324</v>
      </c>
      <c r="M1229" s="10" t="s">
        <v>1842</v>
      </c>
      <c r="N1229" s="7"/>
    </row>
    <row r="1230" s="1" customFormat="1" ht="28.5" customHeight="1" spans="1:14">
      <c r="A1230" s="8">
        <v>30401</v>
      </c>
      <c r="B1230" s="9">
        <v>30418</v>
      </c>
      <c r="C1230" s="9" t="s">
        <v>32</v>
      </c>
      <c r="D1230" s="9">
        <v>2000</v>
      </c>
      <c r="E1230" s="9"/>
      <c r="F1230" s="9">
        <v>30403</v>
      </c>
      <c r="G1230" s="10" t="s">
        <v>2399</v>
      </c>
      <c r="H1230" s="10" t="s">
        <v>563</v>
      </c>
      <c r="I1230" s="10"/>
      <c r="J1230" s="9">
        <v>50648</v>
      </c>
      <c r="K1230" s="10" t="s">
        <v>2400</v>
      </c>
      <c r="L1230" s="10" t="s">
        <v>324</v>
      </c>
      <c r="M1230" s="10" t="s">
        <v>1842</v>
      </c>
      <c r="N1230" s="7"/>
    </row>
    <row r="1231" s="1" customFormat="1" ht="28.5" customHeight="1" spans="1:14">
      <c r="A1231" s="8">
        <v>30401</v>
      </c>
      <c r="B1231" s="9">
        <v>30419</v>
      </c>
      <c r="C1231" s="9" t="s">
        <v>32</v>
      </c>
      <c r="D1231" s="9">
        <v>1500</v>
      </c>
      <c r="E1231" s="9"/>
      <c r="F1231" s="9">
        <v>30403</v>
      </c>
      <c r="G1231" s="10" t="s">
        <v>2401</v>
      </c>
      <c r="H1231" s="10" t="s">
        <v>563</v>
      </c>
      <c r="I1231" s="10"/>
      <c r="J1231" s="9">
        <v>50649</v>
      </c>
      <c r="K1231" s="10" t="s">
        <v>2402</v>
      </c>
      <c r="L1231" s="10" t="s">
        <v>324</v>
      </c>
      <c r="M1231" s="10" t="s">
        <v>1842</v>
      </c>
      <c r="N1231" s="7"/>
    </row>
    <row r="1232" s="1" customFormat="1" ht="28.5" customHeight="1" spans="1:14">
      <c r="A1232" s="8">
        <v>30401</v>
      </c>
      <c r="B1232" s="9">
        <v>30420</v>
      </c>
      <c r="C1232" s="9" t="s">
        <v>32</v>
      </c>
      <c r="D1232" s="9">
        <v>1000</v>
      </c>
      <c r="E1232" s="9"/>
      <c r="F1232" s="9">
        <v>30403</v>
      </c>
      <c r="G1232" s="10" t="s">
        <v>1573</v>
      </c>
      <c r="H1232" s="10" t="s">
        <v>563</v>
      </c>
      <c r="I1232" s="10"/>
      <c r="J1232" s="9">
        <v>50650</v>
      </c>
      <c r="K1232" s="10" t="s">
        <v>2403</v>
      </c>
      <c r="L1232" s="10" t="s">
        <v>324</v>
      </c>
      <c r="M1232" s="10" t="s">
        <v>1842</v>
      </c>
      <c r="N1232" s="7"/>
    </row>
    <row r="1233" s="1" customFormat="1" ht="28.5" customHeight="1" spans="1:14">
      <c r="A1233" s="8"/>
      <c r="B1233" s="9"/>
      <c r="C1233" s="9" t="s">
        <v>1289</v>
      </c>
      <c r="D1233" s="9">
        <v>3000</v>
      </c>
      <c r="E1233" s="9"/>
      <c r="F1233" s="9"/>
      <c r="G1233" s="10" t="s">
        <v>2404</v>
      </c>
      <c r="H1233" s="10" t="s">
        <v>563</v>
      </c>
      <c r="I1233" s="10"/>
      <c r="J1233" s="9">
        <v>30651</v>
      </c>
      <c r="K1233" s="10" t="s">
        <v>2405</v>
      </c>
      <c r="L1233" s="10" t="s">
        <v>326</v>
      </c>
      <c r="M1233" s="10" t="s">
        <v>1834</v>
      </c>
      <c r="N1233" s="7"/>
    </row>
    <row r="1234" s="1" customFormat="1" ht="28.5" customHeight="1" spans="1:14">
      <c r="A1234" s="8"/>
      <c r="B1234" s="9"/>
      <c r="C1234" s="9" t="s">
        <v>1289</v>
      </c>
      <c r="D1234" s="9">
        <v>2500</v>
      </c>
      <c r="E1234" s="9"/>
      <c r="F1234" s="9"/>
      <c r="G1234" s="10" t="s">
        <v>2406</v>
      </c>
      <c r="H1234" s="10" t="s">
        <v>563</v>
      </c>
      <c r="I1234" s="10"/>
      <c r="J1234" s="9">
        <v>30652</v>
      </c>
      <c r="K1234" s="10" t="s">
        <v>2407</v>
      </c>
      <c r="L1234" s="10" t="s">
        <v>326</v>
      </c>
      <c r="M1234" s="10" t="s">
        <v>1834</v>
      </c>
      <c r="N1234" s="7"/>
    </row>
    <row r="1235" s="1" customFormat="1" ht="28.5" customHeight="1" spans="1:14">
      <c r="A1235" s="8"/>
      <c r="B1235" s="9"/>
      <c r="C1235" s="9" t="s">
        <v>1289</v>
      </c>
      <c r="D1235" s="9">
        <v>2000</v>
      </c>
      <c r="E1235" s="9"/>
      <c r="F1235" s="9"/>
      <c r="G1235" s="10" t="s">
        <v>2408</v>
      </c>
      <c r="H1235" s="10" t="s">
        <v>563</v>
      </c>
      <c r="I1235" s="10"/>
      <c r="J1235" s="9">
        <v>30653</v>
      </c>
      <c r="K1235" s="10" t="s">
        <v>2409</v>
      </c>
      <c r="L1235" s="10" t="s">
        <v>326</v>
      </c>
      <c r="M1235" s="10" t="s">
        <v>1834</v>
      </c>
      <c r="N1235" s="7"/>
    </row>
    <row r="1236" s="1" customFormat="1" ht="28.5" customHeight="1" spans="1:14">
      <c r="A1236" s="8"/>
      <c r="B1236" s="9"/>
      <c r="C1236" s="9" t="s">
        <v>1289</v>
      </c>
      <c r="D1236" s="9">
        <v>1500</v>
      </c>
      <c r="E1236" s="9"/>
      <c r="F1236" s="9"/>
      <c r="G1236" s="10" t="s">
        <v>2410</v>
      </c>
      <c r="H1236" s="10" t="s">
        <v>563</v>
      </c>
      <c r="I1236" s="10"/>
      <c r="J1236" s="9">
        <v>30654</v>
      </c>
      <c r="K1236" s="10" t="s">
        <v>2411</v>
      </c>
      <c r="L1236" s="10" t="s">
        <v>326</v>
      </c>
      <c r="M1236" s="10" t="s">
        <v>1834</v>
      </c>
      <c r="N1236" s="7"/>
    </row>
    <row r="1237" s="1" customFormat="1" ht="28.5" customHeight="1" spans="1:14">
      <c r="A1237" s="8"/>
      <c r="B1237" s="9"/>
      <c r="C1237" s="9" t="s">
        <v>1289</v>
      </c>
      <c r="D1237" s="9">
        <v>1000</v>
      </c>
      <c r="E1237" s="9"/>
      <c r="F1237" s="9"/>
      <c r="G1237" s="10" t="s">
        <v>2412</v>
      </c>
      <c r="H1237" s="10" t="s">
        <v>563</v>
      </c>
      <c r="I1237" s="10"/>
      <c r="J1237" s="9">
        <v>30655</v>
      </c>
      <c r="K1237" s="10" t="s">
        <v>2413</v>
      </c>
      <c r="L1237" s="10" t="s">
        <v>326</v>
      </c>
      <c r="M1237" s="10" t="s">
        <v>1834</v>
      </c>
      <c r="N1237" s="7"/>
    </row>
    <row r="1238" s="1" customFormat="1" ht="28.5" customHeight="1" spans="1:14">
      <c r="A1238" s="8">
        <v>30401</v>
      </c>
      <c r="B1238" s="9">
        <v>30421</v>
      </c>
      <c r="C1238" s="9" t="s">
        <v>32</v>
      </c>
      <c r="D1238" s="9">
        <v>3000</v>
      </c>
      <c r="E1238" s="9"/>
      <c r="F1238" s="9">
        <v>30404</v>
      </c>
      <c r="G1238" s="10" t="s">
        <v>2414</v>
      </c>
      <c r="H1238" s="10" t="s">
        <v>563</v>
      </c>
      <c r="I1238" s="10"/>
      <c r="J1238" s="9">
        <v>40656</v>
      </c>
      <c r="K1238" s="10" t="s">
        <v>2415</v>
      </c>
      <c r="L1238" s="10" t="s">
        <v>329</v>
      </c>
      <c r="M1238" s="10" t="s">
        <v>1842</v>
      </c>
      <c r="N1238" s="7"/>
    </row>
    <row r="1239" s="1" customFormat="1" ht="28.5" customHeight="1" spans="1:14">
      <c r="A1239" s="8">
        <v>30401</v>
      </c>
      <c r="B1239" s="9">
        <v>30422</v>
      </c>
      <c r="C1239" s="9" t="s">
        <v>32</v>
      </c>
      <c r="D1239" s="9">
        <v>2500</v>
      </c>
      <c r="E1239" s="9"/>
      <c r="F1239" s="9">
        <v>30404</v>
      </c>
      <c r="G1239" s="10" t="s">
        <v>2416</v>
      </c>
      <c r="H1239" s="10" t="s">
        <v>563</v>
      </c>
      <c r="I1239" s="10"/>
      <c r="J1239" s="9">
        <v>40657</v>
      </c>
      <c r="K1239" s="10" t="s">
        <v>2417</v>
      </c>
      <c r="L1239" s="10" t="s">
        <v>329</v>
      </c>
      <c r="M1239" s="10" t="s">
        <v>1842</v>
      </c>
      <c r="N1239" s="7"/>
    </row>
    <row r="1240" s="1" customFormat="1" ht="28.5" customHeight="1" spans="1:14">
      <c r="A1240" s="8">
        <v>30401</v>
      </c>
      <c r="B1240" s="9">
        <v>30423</v>
      </c>
      <c r="C1240" s="9" t="s">
        <v>32</v>
      </c>
      <c r="D1240" s="9">
        <v>2000</v>
      </c>
      <c r="E1240" s="9"/>
      <c r="F1240" s="9">
        <v>30404</v>
      </c>
      <c r="G1240" s="10" t="s">
        <v>2418</v>
      </c>
      <c r="H1240" s="10" t="s">
        <v>563</v>
      </c>
      <c r="I1240" s="10"/>
      <c r="J1240" s="9">
        <v>40658</v>
      </c>
      <c r="K1240" s="10" t="s">
        <v>2419</v>
      </c>
      <c r="L1240" s="10" t="s">
        <v>329</v>
      </c>
      <c r="M1240" s="10" t="s">
        <v>1842</v>
      </c>
      <c r="N1240" s="7"/>
    </row>
    <row r="1241" s="1" customFormat="1" ht="28.5" customHeight="1" spans="1:14">
      <c r="A1241" s="8">
        <v>30401</v>
      </c>
      <c r="B1241" s="9">
        <v>30424</v>
      </c>
      <c r="C1241" s="9" t="s">
        <v>32</v>
      </c>
      <c r="D1241" s="9">
        <v>1500</v>
      </c>
      <c r="E1241" s="9"/>
      <c r="F1241" s="9">
        <v>30404</v>
      </c>
      <c r="G1241" s="10" t="s">
        <v>2420</v>
      </c>
      <c r="H1241" s="10" t="s">
        <v>563</v>
      </c>
      <c r="I1241" s="10"/>
      <c r="J1241" s="9">
        <v>40659</v>
      </c>
      <c r="K1241" s="10" t="s">
        <v>2421</v>
      </c>
      <c r="L1241" s="10" t="s">
        <v>329</v>
      </c>
      <c r="M1241" s="10" t="s">
        <v>1842</v>
      </c>
      <c r="N1241" s="7"/>
    </row>
    <row r="1242" s="1" customFormat="1" ht="28.5" customHeight="1" spans="1:14">
      <c r="A1242" s="8">
        <v>30401</v>
      </c>
      <c r="B1242" s="9">
        <v>30425</v>
      </c>
      <c r="C1242" s="9" t="s">
        <v>32</v>
      </c>
      <c r="D1242" s="9">
        <v>1000</v>
      </c>
      <c r="E1242" s="9"/>
      <c r="F1242" s="9">
        <v>30404</v>
      </c>
      <c r="G1242" s="10" t="s">
        <v>2422</v>
      </c>
      <c r="H1242" s="10" t="s">
        <v>563</v>
      </c>
      <c r="I1242" s="10"/>
      <c r="J1242" s="9">
        <v>40660</v>
      </c>
      <c r="K1242" s="10" t="s">
        <v>2423</v>
      </c>
      <c r="L1242" s="10" t="s">
        <v>329</v>
      </c>
      <c r="M1242" s="10" t="s">
        <v>1842</v>
      </c>
      <c r="N1242" s="7"/>
    </row>
    <row r="1243" s="1" customFormat="1" ht="28.5" customHeight="1" spans="1:14">
      <c r="A1243" s="8"/>
      <c r="B1243" s="9"/>
      <c r="C1243" s="9" t="s">
        <v>1289</v>
      </c>
      <c r="D1243" s="9">
        <v>3000</v>
      </c>
      <c r="E1243" s="9"/>
      <c r="F1243" s="9"/>
      <c r="G1243" s="10" t="s">
        <v>2424</v>
      </c>
      <c r="H1243" s="10" t="s">
        <v>563</v>
      </c>
      <c r="I1243" s="10"/>
      <c r="J1243" s="9">
        <v>10661</v>
      </c>
      <c r="K1243" s="10" t="s">
        <v>2425</v>
      </c>
      <c r="L1243" s="10" t="s">
        <v>252</v>
      </c>
      <c r="M1243" s="10" t="s">
        <v>1834</v>
      </c>
      <c r="N1243" s="7"/>
    </row>
    <row r="1244" s="1" customFormat="1" ht="28.5" customHeight="1" spans="1:14">
      <c r="A1244" s="8"/>
      <c r="B1244" s="9"/>
      <c r="C1244" s="9" t="s">
        <v>1289</v>
      </c>
      <c r="D1244" s="9">
        <v>2500</v>
      </c>
      <c r="E1244" s="9"/>
      <c r="F1244" s="9"/>
      <c r="G1244" s="10" t="s">
        <v>2426</v>
      </c>
      <c r="H1244" s="10" t="s">
        <v>563</v>
      </c>
      <c r="I1244" s="10"/>
      <c r="J1244" s="9">
        <v>10662</v>
      </c>
      <c r="K1244" s="10" t="s">
        <v>2427</v>
      </c>
      <c r="L1244" s="10" t="s">
        <v>252</v>
      </c>
      <c r="M1244" s="10" t="s">
        <v>1834</v>
      </c>
      <c r="N1244" s="7"/>
    </row>
    <row r="1245" s="1" customFormat="1" ht="28.5" customHeight="1" spans="1:14">
      <c r="A1245" s="8"/>
      <c r="B1245" s="9"/>
      <c r="C1245" s="9" t="s">
        <v>1289</v>
      </c>
      <c r="D1245" s="9">
        <v>2000</v>
      </c>
      <c r="E1245" s="9"/>
      <c r="F1245" s="9"/>
      <c r="G1245" s="10" t="s">
        <v>2428</v>
      </c>
      <c r="H1245" s="10" t="s">
        <v>563</v>
      </c>
      <c r="I1245" s="10"/>
      <c r="J1245" s="9">
        <v>10663</v>
      </c>
      <c r="K1245" s="10" t="s">
        <v>2429</v>
      </c>
      <c r="L1245" s="10" t="s">
        <v>252</v>
      </c>
      <c r="M1245" s="10" t="s">
        <v>1834</v>
      </c>
      <c r="N1245" s="7"/>
    </row>
    <row r="1246" s="1" customFormat="1" ht="28.5" customHeight="1" spans="1:14">
      <c r="A1246" s="8"/>
      <c r="B1246" s="9"/>
      <c r="C1246" s="9" t="s">
        <v>1289</v>
      </c>
      <c r="D1246" s="9">
        <v>1500</v>
      </c>
      <c r="E1246" s="9"/>
      <c r="F1246" s="9"/>
      <c r="G1246" s="10" t="s">
        <v>2430</v>
      </c>
      <c r="H1246" s="10" t="s">
        <v>563</v>
      </c>
      <c r="I1246" s="10"/>
      <c r="J1246" s="9">
        <v>10664</v>
      </c>
      <c r="K1246" s="10" t="s">
        <v>2431</v>
      </c>
      <c r="L1246" s="10" t="s">
        <v>252</v>
      </c>
      <c r="M1246" s="10" t="s">
        <v>1834</v>
      </c>
      <c r="N1246" s="7"/>
    </row>
    <row r="1247" s="1" customFormat="1" ht="28.5" customHeight="1" spans="1:14">
      <c r="A1247" s="8"/>
      <c r="B1247" s="9"/>
      <c r="C1247" s="9" t="s">
        <v>1289</v>
      </c>
      <c r="D1247" s="9">
        <v>1000</v>
      </c>
      <c r="E1247" s="9"/>
      <c r="F1247" s="9"/>
      <c r="G1247" s="10" t="s">
        <v>2432</v>
      </c>
      <c r="H1247" s="10" t="s">
        <v>563</v>
      </c>
      <c r="I1247" s="10"/>
      <c r="J1247" s="9">
        <v>10665</v>
      </c>
      <c r="K1247" s="10" t="s">
        <v>2433</v>
      </c>
      <c r="L1247" s="10" t="s">
        <v>252</v>
      </c>
      <c r="M1247" s="10" t="s">
        <v>1834</v>
      </c>
      <c r="N1247" s="7"/>
    </row>
    <row r="1248" s="1" customFormat="1" ht="28.5" customHeight="1" spans="1:14">
      <c r="A1248" s="8">
        <v>30501</v>
      </c>
      <c r="B1248" s="9">
        <v>30501</v>
      </c>
      <c r="C1248" s="9" t="s">
        <v>33</v>
      </c>
      <c r="D1248" s="9">
        <v>0</v>
      </c>
      <c r="E1248" s="9"/>
      <c r="F1248" s="9">
        <v>30500</v>
      </c>
      <c r="G1248" s="10" t="s">
        <v>1313</v>
      </c>
      <c r="H1248" s="10" t="s">
        <v>563</v>
      </c>
      <c r="I1248" s="10"/>
      <c r="J1248" s="9">
        <v>60666</v>
      </c>
      <c r="K1248" s="10" t="s">
        <v>1916</v>
      </c>
      <c r="L1248" s="10" t="s">
        <v>251</v>
      </c>
      <c r="M1248" s="10" t="s">
        <v>1842</v>
      </c>
      <c r="N1248" s="7"/>
    </row>
    <row r="1249" s="1" customFormat="1" ht="28.5" customHeight="1" spans="1:14">
      <c r="A1249" s="8">
        <v>30501</v>
      </c>
      <c r="B1249" s="9">
        <v>30502</v>
      </c>
      <c r="C1249" s="9" t="s">
        <v>33</v>
      </c>
      <c r="D1249" s="9">
        <v>0</v>
      </c>
      <c r="E1249" s="9"/>
      <c r="F1249" s="9">
        <v>30500</v>
      </c>
      <c r="G1249" s="10" t="s">
        <v>1315</v>
      </c>
      <c r="H1249" s="10" t="s">
        <v>563</v>
      </c>
      <c r="I1249" s="10"/>
      <c r="J1249" s="9">
        <v>60667</v>
      </c>
      <c r="K1249" s="10" t="s">
        <v>1917</v>
      </c>
      <c r="L1249" s="10" t="s">
        <v>251</v>
      </c>
      <c r="M1249" s="10" t="s">
        <v>1842</v>
      </c>
      <c r="N1249" s="7"/>
    </row>
    <row r="1250" s="1" customFormat="1" ht="28.5" customHeight="1" spans="1:14">
      <c r="A1250" s="8">
        <v>30501</v>
      </c>
      <c r="B1250" s="9">
        <v>30503</v>
      </c>
      <c r="C1250" s="9" t="s">
        <v>33</v>
      </c>
      <c r="D1250" s="9">
        <v>0</v>
      </c>
      <c r="E1250" s="9"/>
      <c r="F1250" s="9">
        <v>30500</v>
      </c>
      <c r="G1250" s="10" t="s">
        <v>1317</v>
      </c>
      <c r="H1250" s="10" t="s">
        <v>563</v>
      </c>
      <c r="I1250" s="10"/>
      <c r="J1250" s="9">
        <v>60668</v>
      </c>
      <c r="K1250" s="10" t="s">
        <v>1918</v>
      </c>
      <c r="L1250" s="10" t="s">
        <v>251</v>
      </c>
      <c r="M1250" s="10" t="s">
        <v>1842</v>
      </c>
      <c r="N1250" s="7"/>
    </row>
    <row r="1251" s="1" customFormat="1" ht="28.5" customHeight="1" spans="1:14">
      <c r="A1251" s="8">
        <v>30501</v>
      </c>
      <c r="B1251" s="9">
        <v>30504</v>
      </c>
      <c r="C1251" s="9" t="s">
        <v>33</v>
      </c>
      <c r="D1251" s="9">
        <v>0</v>
      </c>
      <c r="E1251" s="9"/>
      <c r="F1251" s="9">
        <v>30500</v>
      </c>
      <c r="G1251" s="10" t="s">
        <v>1319</v>
      </c>
      <c r="H1251" s="10" t="s">
        <v>563</v>
      </c>
      <c r="I1251" s="10"/>
      <c r="J1251" s="9">
        <v>60669</v>
      </c>
      <c r="K1251" s="10" t="s">
        <v>1919</v>
      </c>
      <c r="L1251" s="10" t="s">
        <v>251</v>
      </c>
      <c r="M1251" s="10" t="s">
        <v>1842</v>
      </c>
      <c r="N1251" s="7"/>
    </row>
    <row r="1252" s="1" customFormat="1" ht="28.5" customHeight="1" spans="1:14">
      <c r="A1252" s="8">
        <v>30501</v>
      </c>
      <c r="B1252" s="9">
        <v>30505</v>
      </c>
      <c r="C1252" s="9" t="s">
        <v>33</v>
      </c>
      <c r="D1252" s="9">
        <v>0</v>
      </c>
      <c r="E1252" s="9"/>
      <c r="F1252" s="9">
        <v>30500</v>
      </c>
      <c r="G1252" s="10" t="s">
        <v>1321</v>
      </c>
      <c r="H1252" s="10" t="s">
        <v>563</v>
      </c>
      <c r="I1252" s="10"/>
      <c r="J1252" s="9">
        <v>60670</v>
      </c>
      <c r="K1252" s="10" t="s">
        <v>1920</v>
      </c>
      <c r="L1252" s="10" t="s">
        <v>251</v>
      </c>
      <c r="M1252" s="10" t="s">
        <v>1842</v>
      </c>
      <c r="N1252" s="7"/>
    </row>
    <row r="1253" s="1" customFormat="1" ht="28.5" customHeight="1" spans="1:14">
      <c r="A1253" s="8">
        <v>30501</v>
      </c>
      <c r="B1253" s="9">
        <v>30506</v>
      </c>
      <c r="C1253" s="9" t="s">
        <v>33</v>
      </c>
      <c r="D1253" s="9">
        <v>3000</v>
      </c>
      <c r="E1253" s="9"/>
      <c r="F1253" s="9">
        <v>30501</v>
      </c>
      <c r="G1253" s="10" t="s">
        <v>1921</v>
      </c>
      <c r="H1253" s="10" t="s">
        <v>563</v>
      </c>
      <c r="I1253" s="10"/>
      <c r="J1253" s="9">
        <v>20671</v>
      </c>
      <c r="K1253" s="10" t="s">
        <v>1922</v>
      </c>
      <c r="L1253" s="10" t="s">
        <v>252</v>
      </c>
      <c r="M1253" s="10" t="s">
        <v>1842</v>
      </c>
      <c r="N1253" s="7"/>
    </row>
    <row r="1254" s="1" customFormat="1" ht="28.5" customHeight="1" spans="1:14">
      <c r="A1254" s="8">
        <v>30501</v>
      </c>
      <c r="B1254" s="9">
        <v>30507</v>
      </c>
      <c r="C1254" s="9" t="s">
        <v>33</v>
      </c>
      <c r="D1254" s="9">
        <v>2500</v>
      </c>
      <c r="E1254" s="9"/>
      <c r="F1254" s="9">
        <v>30501</v>
      </c>
      <c r="G1254" s="10" t="s">
        <v>1923</v>
      </c>
      <c r="H1254" s="10" t="s">
        <v>563</v>
      </c>
      <c r="I1254" s="10"/>
      <c r="J1254" s="9">
        <v>20672</v>
      </c>
      <c r="K1254" s="10" t="s">
        <v>1924</v>
      </c>
      <c r="L1254" s="10" t="s">
        <v>252</v>
      </c>
      <c r="M1254" s="10" t="s">
        <v>1842</v>
      </c>
      <c r="N1254" s="7"/>
    </row>
    <row r="1255" s="1" customFormat="1" ht="28.5" customHeight="1" spans="1:14">
      <c r="A1255" s="8">
        <v>30501</v>
      </c>
      <c r="B1255" s="9">
        <v>30508</v>
      </c>
      <c r="C1255" s="9" t="s">
        <v>33</v>
      </c>
      <c r="D1255" s="9">
        <v>2000</v>
      </c>
      <c r="E1255" s="9"/>
      <c r="F1255" s="9">
        <v>30501</v>
      </c>
      <c r="G1255" s="10" t="s">
        <v>1925</v>
      </c>
      <c r="H1255" s="10" t="s">
        <v>563</v>
      </c>
      <c r="I1255" s="10"/>
      <c r="J1255" s="9">
        <v>20673</v>
      </c>
      <c r="K1255" s="10" t="s">
        <v>1926</v>
      </c>
      <c r="L1255" s="10" t="s">
        <v>252</v>
      </c>
      <c r="M1255" s="10" t="s">
        <v>1842</v>
      </c>
      <c r="N1255" s="7"/>
    </row>
    <row r="1256" s="1" customFormat="1" ht="28.5" customHeight="1" spans="1:14">
      <c r="A1256" s="8">
        <v>30501</v>
      </c>
      <c r="B1256" s="9">
        <v>30509</v>
      </c>
      <c r="C1256" s="9" t="s">
        <v>33</v>
      </c>
      <c r="D1256" s="9">
        <v>1500</v>
      </c>
      <c r="E1256" s="9"/>
      <c r="F1256" s="9">
        <v>30501</v>
      </c>
      <c r="G1256" s="10" t="s">
        <v>1927</v>
      </c>
      <c r="H1256" s="10" t="s">
        <v>563</v>
      </c>
      <c r="I1256" s="10"/>
      <c r="J1256" s="9">
        <v>20674</v>
      </c>
      <c r="K1256" s="10" t="s">
        <v>1928</v>
      </c>
      <c r="L1256" s="10" t="s">
        <v>252</v>
      </c>
      <c r="M1256" s="10" t="s">
        <v>1842</v>
      </c>
      <c r="N1256" s="7"/>
    </row>
    <row r="1257" s="1" customFormat="1" ht="28.5" customHeight="1" spans="1:14">
      <c r="A1257" s="8">
        <v>30501</v>
      </c>
      <c r="B1257" s="9">
        <v>30510</v>
      </c>
      <c r="C1257" s="9" t="s">
        <v>33</v>
      </c>
      <c r="D1257" s="9">
        <v>1000</v>
      </c>
      <c r="E1257" s="9"/>
      <c r="F1257" s="9">
        <v>30501</v>
      </c>
      <c r="G1257" s="10" t="s">
        <v>1929</v>
      </c>
      <c r="H1257" s="10" t="s">
        <v>563</v>
      </c>
      <c r="I1257" s="10"/>
      <c r="J1257" s="9">
        <v>20675</v>
      </c>
      <c r="K1257" s="10" t="s">
        <v>1930</v>
      </c>
      <c r="L1257" s="10" t="s">
        <v>252</v>
      </c>
      <c r="M1257" s="10" t="s">
        <v>1842</v>
      </c>
      <c r="N1257" s="7"/>
    </row>
    <row r="1258" s="1" customFormat="1" ht="28.5" customHeight="1" spans="1:14">
      <c r="A1258" s="8"/>
      <c r="B1258" s="9"/>
      <c r="C1258" s="9" t="s">
        <v>1289</v>
      </c>
      <c r="D1258" s="9">
        <v>3000</v>
      </c>
      <c r="E1258" s="9"/>
      <c r="F1258" s="9"/>
      <c r="G1258" s="10" t="s">
        <v>1857</v>
      </c>
      <c r="H1258" s="10" t="s">
        <v>563</v>
      </c>
      <c r="I1258" s="10"/>
      <c r="J1258" s="9">
        <v>90676</v>
      </c>
      <c r="K1258" s="10" t="s">
        <v>1858</v>
      </c>
      <c r="L1258" s="10" t="s">
        <v>224</v>
      </c>
      <c r="M1258" s="10" t="s">
        <v>1834</v>
      </c>
      <c r="N1258" s="7"/>
    </row>
    <row r="1259" s="1" customFormat="1" ht="28.5" customHeight="1" spans="1:14">
      <c r="A1259" s="8"/>
      <c r="B1259" s="9"/>
      <c r="C1259" s="9" t="s">
        <v>1289</v>
      </c>
      <c r="D1259" s="9">
        <v>2500</v>
      </c>
      <c r="E1259" s="9"/>
      <c r="F1259" s="9"/>
      <c r="G1259" s="10" t="s">
        <v>1857</v>
      </c>
      <c r="H1259" s="10" t="s">
        <v>563</v>
      </c>
      <c r="I1259" s="10"/>
      <c r="J1259" s="9">
        <v>90677</v>
      </c>
      <c r="K1259" s="10" t="s">
        <v>1858</v>
      </c>
      <c r="L1259" s="10" t="s">
        <v>224</v>
      </c>
      <c r="M1259" s="10" t="s">
        <v>1834</v>
      </c>
      <c r="N1259" s="7"/>
    </row>
    <row r="1260" s="1" customFormat="1" ht="28.5" customHeight="1" spans="1:14">
      <c r="A1260" s="8"/>
      <c r="B1260" s="9"/>
      <c r="C1260" s="9" t="s">
        <v>1289</v>
      </c>
      <c r="D1260" s="9">
        <v>2000</v>
      </c>
      <c r="E1260" s="9"/>
      <c r="F1260" s="9"/>
      <c r="G1260" s="10" t="s">
        <v>1857</v>
      </c>
      <c r="H1260" s="10" t="s">
        <v>563</v>
      </c>
      <c r="I1260" s="10"/>
      <c r="J1260" s="9">
        <v>90678</v>
      </c>
      <c r="K1260" s="10" t="s">
        <v>1858</v>
      </c>
      <c r="L1260" s="10" t="s">
        <v>224</v>
      </c>
      <c r="M1260" s="10" t="s">
        <v>1834</v>
      </c>
      <c r="N1260" s="7"/>
    </row>
    <row r="1261" s="1" customFormat="1" ht="28.5" customHeight="1" spans="1:14">
      <c r="A1261" s="8"/>
      <c r="B1261" s="9"/>
      <c r="C1261" s="9" t="s">
        <v>1289</v>
      </c>
      <c r="D1261" s="9">
        <v>1500</v>
      </c>
      <c r="E1261" s="9"/>
      <c r="F1261" s="9"/>
      <c r="G1261" s="10" t="s">
        <v>1857</v>
      </c>
      <c r="H1261" s="10" t="s">
        <v>563</v>
      </c>
      <c r="I1261" s="10"/>
      <c r="J1261" s="9">
        <v>90679</v>
      </c>
      <c r="K1261" s="10" t="s">
        <v>1858</v>
      </c>
      <c r="L1261" s="10" t="s">
        <v>224</v>
      </c>
      <c r="M1261" s="10" t="s">
        <v>1834</v>
      </c>
      <c r="N1261" s="7"/>
    </row>
    <row r="1262" s="1" customFormat="1" ht="28.5" customHeight="1" spans="1:14">
      <c r="A1262" s="8"/>
      <c r="B1262" s="9"/>
      <c r="C1262" s="9" t="s">
        <v>1289</v>
      </c>
      <c r="D1262" s="9">
        <v>1000</v>
      </c>
      <c r="E1262" s="9"/>
      <c r="F1262" s="9"/>
      <c r="G1262" s="10" t="s">
        <v>1857</v>
      </c>
      <c r="H1262" s="10" t="s">
        <v>563</v>
      </c>
      <c r="I1262" s="10"/>
      <c r="J1262" s="9">
        <v>90680</v>
      </c>
      <c r="K1262" s="10" t="s">
        <v>1858</v>
      </c>
      <c r="L1262" s="10" t="s">
        <v>224</v>
      </c>
      <c r="M1262" s="10" t="s">
        <v>1834</v>
      </c>
      <c r="N1262" s="7"/>
    </row>
    <row r="1263" s="1" customFormat="1" ht="28.5" customHeight="1" spans="1:14">
      <c r="A1263" s="8"/>
      <c r="B1263" s="9"/>
      <c r="C1263" s="9" t="s">
        <v>1289</v>
      </c>
      <c r="D1263" s="9">
        <v>3000</v>
      </c>
      <c r="E1263" s="9"/>
      <c r="F1263" s="9"/>
      <c r="G1263" s="10" t="s">
        <v>1859</v>
      </c>
      <c r="H1263" s="10" t="s">
        <v>563</v>
      </c>
      <c r="I1263" s="10"/>
      <c r="J1263" s="9">
        <v>70681</v>
      </c>
      <c r="K1263" s="10" t="s">
        <v>1860</v>
      </c>
      <c r="L1263" s="10" t="s">
        <v>228</v>
      </c>
      <c r="M1263" s="10" t="s">
        <v>1834</v>
      </c>
      <c r="N1263" s="7"/>
    </row>
    <row r="1264" s="1" customFormat="1" ht="28.5" customHeight="1" spans="1:14">
      <c r="A1264" s="8"/>
      <c r="B1264" s="9"/>
      <c r="C1264" s="9" t="s">
        <v>1289</v>
      </c>
      <c r="D1264" s="9">
        <v>2500</v>
      </c>
      <c r="E1264" s="9"/>
      <c r="F1264" s="9"/>
      <c r="G1264" s="10" t="s">
        <v>1859</v>
      </c>
      <c r="H1264" s="10" t="s">
        <v>563</v>
      </c>
      <c r="I1264" s="10"/>
      <c r="J1264" s="9">
        <v>70682</v>
      </c>
      <c r="K1264" s="10" t="s">
        <v>1860</v>
      </c>
      <c r="L1264" s="10" t="s">
        <v>228</v>
      </c>
      <c r="M1264" s="10" t="s">
        <v>1834</v>
      </c>
      <c r="N1264" s="7"/>
    </row>
    <row r="1265" s="1" customFormat="1" ht="28.5" customHeight="1" spans="1:14">
      <c r="A1265" s="8"/>
      <c r="B1265" s="9"/>
      <c r="C1265" s="9" t="s">
        <v>1289</v>
      </c>
      <c r="D1265" s="9">
        <v>2000</v>
      </c>
      <c r="E1265" s="9"/>
      <c r="F1265" s="9"/>
      <c r="G1265" s="10" t="s">
        <v>1859</v>
      </c>
      <c r="H1265" s="10" t="s">
        <v>563</v>
      </c>
      <c r="I1265" s="10"/>
      <c r="J1265" s="9">
        <v>70683</v>
      </c>
      <c r="K1265" s="10" t="s">
        <v>1860</v>
      </c>
      <c r="L1265" s="10" t="s">
        <v>228</v>
      </c>
      <c r="M1265" s="10" t="s">
        <v>1834</v>
      </c>
      <c r="N1265" s="7"/>
    </row>
    <row r="1266" s="1" customFormat="1" ht="28.5" customHeight="1" spans="1:14">
      <c r="A1266" s="8"/>
      <c r="B1266" s="9"/>
      <c r="C1266" s="9" t="s">
        <v>1289</v>
      </c>
      <c r="D1266" s="9">
        <v>1500</v>
      </c>
      <c r="E1266" s="9"/>
      <c r="F1266" s="9"/>
      <c r="G1266" s="10" t="s">
        <v>1859</v>
      </c>
      <c r="H1266" s="10" t="s">
        <v>563</v>
      </c>
      <c r="I1266" s="10"/>
      <c r="J1266" s="9">
        <v>70684</v>
      </c>
      <c r="K1266" s="10" t="s">
        <v>1860</v>
      </c>
      <c r="L1266" s="10" t="s">
        <v>228</v>
      </c>
      <c r="M1266" s="10" t="s">
        <v>1834</v>
      </c>
      <c r="N1266" s="7"/>
    </row>
    <row r="1267" s="1" customFormat="1" ht="28.5" customHeight="1" spans="1:14">
      <c r="A1267" s="8"/>
      <c r="B1267" s="9"/>
      <c r="C1267" s="9" t="s">
        <v>1289</v>
      </c>
      <c r="D1267" s="9">
        <v>1000</v>
      </c>
      <c r="E1267" s="9"/>
      <c r="F1267" s="9"/>
      <c r="G1267" s="10" t="s">
        <v>1859</v>
      </c>
      <c r="H1267" s="10" t="s">
        <v>563</v>
      </c>
      <c r="I1267" s="10"/>
      <c r="J1267" s="9">
        <v>70685</v>
      </c>
      <c r="K1267" s="10" t="s">
        <v>1860</v>
      </c>
      <c r="L1267" s="10" t="s">
        <v>228</v>
      </c>
      <c r="M1267" s="10" t="s">
        <v>1834</v>
      </c>
      <c r="N1267" s="7"/>
    </row>
    <row r="1268" s="1" customFormat="1" ht="28.5" customHeight="1" spans="1:14">
      <c r="A1268" s="8"/>
      <c r="B1268" s="9"/>
      <c r="C1268" s="9" t="s">
        <v>1289</v>
      </c>
      <c r="D1268" s="9">
        <v>3000</v>
      </c>
      <c r="E1268" s="9"/>
      <c r="F1268" s="9"/>
      <c r="G1268" s="10" t="s">
        <v>1861</v>
      </c>
      <c r="H1268" s="10" t="s">
        <v>563</v>
      </c>
      <c r="I1268" s="10"/>
      <c r="J1268" s="9">
        <v>80686</v>
      </c>
      <c r="K1268" s="10" t="s">
        <v>1862</v>
      </c>
      <c r="L1268" s="10" t="s">
        <v>231</v>
      </c>
      <c r="M1268" s="10" t="s">
        <v>1834</v>
      </c>
      <c r="N1268" s="7"/>
    </row>
    <row r="1269" s="1" customFormat="1" ht="28.5" customHeight="1" spans="1:14">
      <c r="A1269" s="8"/>
      <c r="B1269" s="9"/>
      <c r="C1269" s="9" t="s">
        <v>1289</v>
      </c>
      <c r="D1269" s="9">
        <v>2500</v>
      </c>
      <c r="E1269" s="9"/>
      <c r="F1269" s="9"/>
      <c r="G1269" s="10" t="s">
        <v>1861</v>
      </c>
      <c r="H1269" s="10" t="s">
        <v>563</v>
      </c>
      <c r="I1269" s="10"/>
      <c r="J1269" s="9">
        <v>80687</v>
      </c>
      <c r="K1269" s="10" t="s">
        <v>1862</v>
      </c>
      <c r="L1269" s="10" t="s">
        <v>231</v>
      </c>
      <c r="M1269" s="10" t="s">
        <v>1834</v>
      </c>
      <c r="N1269" s="7"/>
    </row>
    <row r="1270" s="1" customFormat="1" ht="28.5" customHeight="1" spans="1:14">
      <c r="A1270" s="8"/>
      <c r="B1270" s="9"/>
      <c r="C1270" s="9" t="s">
        <v>1289</v>
      </c>
      <c r="D1270" s="9">
        <v>2000</v>
      </c>
      <c r="E1270" s="9"/>
      <c r="F1270" s="9"/>
      <c r="G1270" s="10" t="s">
        <v>1861</v>
      </c>
      <c r="H1270" s="10" t="s">
        <v>563</v>
      </c>
      <c r="I1270" s="10"/>
      <c r="J1270" s="9">
        <v>80688</v>
      </c>
      <c r="K1270" s="10" t="s">
        <v>1862</v>
      </c>
      <c r="L1270" s="10" t="s">
        <v>231</v>
      </c>
      <c r="M1270" s="10" t="s">
        <v>1834</v>
      </c>
      <c r="N1270" s="7"/>
    </row>
    <row r="1271" s="1" customFormat="1" ht="28.5" customHeight="1" spans="1:14">
      <c r="A1271" s="8"/>
      <c r="B1271" s="9"/>
      <c r="C1271" s="9" t="s">
        <v>1289</v>
      </c>
      <c r="D1271" s="9">
        <v>1500</v>
      </c>
      <c r="E1271" s="9"/>
      <c r="F1271" s="9"/>
      <c r="G1271" s="10" t="s">
        <v>1861</v>
      </c>
      <c r="H1271" s="10" t="s">
        <v>563</v>
      </c>
      <c r="I1271" s="10"/>
      <c r="J1271" s="9">
        <v>80689</v>
      </c>
      <c r="K1271" s="10" t="s">
        <v>1862</v>
      </c>
      <c r="L1271" s="10" t="s">
        <v>231</v>
      </c>
      <c r="M1271" s="10" t="s">
        <v>1834</v>
      </c>
      <c r="N1271" s="7"/>
    </row>
    <row r="1272" s="1" customFormat="1" ht="28.5" customHeight="1" spans="1:14">
      <c r="A1272" s="8"/>
      <c r="B1272" s="9"/>
      <c r="C1272" s="9" t="s">
        <v>1289</v>
      </c>
      <c r="D1272" s="9">
        <v>1000</v>
      </c>
      <c r="E1272" s="9"/>
      <c r="F1272" s="9"/>
      <c r="G1272" s="10" t="s">
        <v>1861</v>
      </c>
      <c r="H1272" s="10" t="s">
        <v>563</v>
      </c>
      <c r="I1272" s="10"/>
      <c r="J1272" s="9">
        <v>80690</v>
      </c>
      <c r="K1272" s="10" t="s">
        <v>1862</v>
      </c>
      <c r="L1272" s="10" t="s">
        <v>231</v>
      </c>
      <c r="M1272" s="10" t="s">
        <v>1834</v>
      </c>
      <c r="N1272" s="7"/>
    </row>
    <row r="1273" s="1" customFormat="1" ht="28.5" customHeight="1" spans="1:14">
      <c r="A1273" s="8"/>
      <c r="B1273" s="9"/>
      <c r="C1273" s="9" t="s">
        <v>1289</v>
      </c>
      <c r="D1273" s="9">
        <v>3000</v>
      </c>
      <c r="E1273" s="9"/>
      <c r="F1273" s="9"/>
      <c r="G1273" s="10" t="s">
        <v>2434</v>
      </c>
      <c r="H1273" s="10" t="s">
        <v>563</v>
      </c>
      <c r="I1273" s="10"/>
      <c r="J1273" s="9">
        <v>10691</v>
      </c>
      <c r="K1273" s="10" t="s">
        <v>2435</v>
      </c>
      <c r="L1273" s="10" t="s">
        <v>253</v>
      </c>
      <c r="M1273" s="10" t="s">
        <v>1834</v>
      </c>
      <c r="N1273" s="7"/>
    </row>
    <row r="1274" s="1" customFormat="1" ht="28.5" customHeight="1" spans="1:14">
      <c r="A1274" s="8"/>
      <c r="B1274" s="9"/>
      <c r="C1274" s="9" t="s">
        <v>1289</v>
      </c>
      <c r="D1274" s="9">
        <v>2500</v>
      </c>
      <c r="E1274" s="9"/>
      <c r="F1274" s="9"/>
      <c r="G1274" s="10" t="s">
        <v>2436</v>
      </c>
      <c r="H1274" s="10" t="s">
        <v>563</v>
      </c>
      <c r="I1274" s="10"/>
      <c r="J1274" s="9">
        <v>10692</v>
      </c>
      <c r="K1274" s="10" t="s">
        <v>2437</v>
      </c>
      <c r="L1274" s="10" t="s">
        <v>253</v>
      </c>
      <c r="M1274" s="10" t="s">
        <v>1834</v>
      </c>
      <c r="N1274" s="7"/>
    </row>
    <row r="1275" s="1" customFormat="1" ht="28.5" customHeight="1" spans="1:14">
      <c r="A1275" s="8"/>
      <c r="B1275" s="9"/>
      <c r="C1275" s="9" t="s">
        <v>1289</v>
      </c>
      <c r="D1275" s="9">
        <v>2000</v>
      </c>
      <c r="E1275" s="9"/>
      <c r="F1275" s="9"/>
      <c r="G1275" s="10" t="s">
        <v>2438</v>
      </c>
      <c r="H1275" s="10" t="s">
        <v>563</v>
      </c>
      <c r="I1275" s="10"/>
      <c r="J1275" s="9">
        <v>10693</v>
      </c>
      <c r="K1275" s="10" t="s">
        <v>2439</v>
      </c>
      <c r="L1275" s="10" t="s">
        <v>253</v>
      </c>
      <c r="M1275" s="10" t="s">
        <v>1834</v>
      </c>
      <c r="N1275" s="7"/>
    </row>
    <row r="1276" s="1" customFormat="1" ht="28.5" customHeight="1" spans="1:14">
      <c r="A1276" s="8"/>
      <c r="B1276" s="9"/>
      <c r="C1276" s="9" t="s">
        <v>1289</v>
      </c>
      <c r="D1276" s="9">
        <v>1500</v>
      </c>
      <c r="E1276" s="9"/>
      <c r="F1276" s="9"/>
      <c r="G1276" s="10" t="s">
        <v>2440</v>
      </c>
      <c r="H1276" s="10" t="s">
        <v>563</v>
      </c>
      <c r="I1276" s="10"/>
      <c r="J1276" s="9">
        <v>10694</v>
      </c>
      <c r="K1276" s="10" t="s">
        <v>2441</v>
      </c>
      <c r="L1276" s="10" t="s">
        <v>253</v>
      </c>
      <c r="M1276" s="10" t="s">
        <v>1834</v>
      </c>
      <c r="N1276" s="7"/>
    </row>
    <row r="1277" s="1" customFormat="1" ht="28.5" customHeight="1" spans="1:14">
      <c r="A1277" s="8"/>
      <c r="B1277" s="9"/>
      <c r="C1277" s="9" t="s">
        <v>1289</v>
      </c>
      <c r="D1277" s="9">
        <v>1000</v>
      </c>
      <c r="E1277" s="9"/>
      <c r="F1277" s="9"/>
      <c r="G1277" s="10" t="s">
        <v>2442</v>
      </c>
      <c r="H1277" s="10" t="s">
        <v>563</v>
      </c>
      <c r="I1277" s="10"/>
      <c r="J1277" s="9">
        <v>10695</v>
      </c>
      <c r="K1277" s="10" t="s">
        <v>2443</v>
      </c>
      <c r="L1277" s="10" t="s">
        <v>253</v>
      </c>
      <c r="M1277" s="10" t="s">
        <v>1834</v>
      </c>
      <c r="N1277" s="7"/>
    </row>
    <row r="1278" s="1" customFormat="1" ht="28.5" customHeight="1" spans="1:14">
      <c r="A1278" s="8"/>
      <c r="B1278" s="9"/>
      <c r="C1278" s="9" t="s">
        <v>1289</v>
      </c>
      <c r="D1278" s="9">
        <v>3000</v>
      </c>
      <c r="E1278" s="9"/>
      <c r="F1278" s="9"/>
      <c r="G1278" s="10" t="s">
        <v>2391</v>
      </c>
      <c r="H1278" s="10" t="s">
        <v>563</v>
      </c>
      <c r="I1278" s="10"/>
      <c r="J1278" s="9">
        <v>100696</v>
      </c>
      <c r="K1278" s="10" t="s">
        <v>320</v>
      </c>
      <c r="L1278" s="10" t="s">
        <v>248</v>
      </c>
      <c r="M1278" s="10" t="s">
        <v>1834</v>
      </c>
      <c r="N1278" s="7"/>
    </row>
    <row r="1279" s="1" customFormat="1" ht="28.5" customHeight="1" spans="1:14">
      <c r="A1279" s="8"/>
      <c r="B1279" s="9"/>
      <c r="C1279" s="9" t="s">
        <v>1289</v>
      </c>
      <c r="D1279" s="9">
        <v>2500</v>
      </c>
      <c r="E1279" s="9"/>
      <c r="F1279" s="9"/>
      <c r="G1279" s="10" t="s">
        <v>2391</v>
      </c>
      <c r="H1279" s="10" t="s">
        <v>563</v>
      </c>
      <c r="I1279" s="10"/>
      <c r="J1279" s="9">
        <v>100697</v>
      </c>
      <c r="K1279" s="10" t="s">
        <v>320</v>
      </c>
      <c r="L1279" s="10" t="s">
        <v>248</v>
      </c>
      <c r="M1279" s="10" t="s">
        <v>1834</v>
      </c>
      <c r="N1279" s="7"/>
    </row>
    <row r="1280" s="1" customFormat="1" ht="28.5" customHeight="1" spans="1:14">
      <c r="A1280" s="8"/>
      <c r="B1280" s="9"/>
      <c r="C1280" s="9" t="s">
        <v>1289</v>
      </c>
      <c r="D1280" s="9">
        <v>2000</v>
      </c>
      <c r="E1280" s="9"/>
      <c r="F1280" s="9"/>
      <c r="G1280" s="10" t="s">
        <v>2391</v>
      </c>
      <c r="H1280" s="10" t="s">
        <v>563</v>
      </c>
      <c r="I1280" s="10"/>
      <c r="J1280" s="9">
        <v>100698</v>
      </c>
      <c r="K1280" s="10" t="s">
        <v>320</v>
      </c>
      <c r="L1280" s="10" t="s">
        <v>248</v>
      </c>
      <c r="M1280" s="10" t="s">
        <v>1834</v>
      </c>
      <c r="N1280" s="7"/>
    </row>
    <row r="1281" s="1" customFormat="1" ht="28.5" customHeight="1" spans="1:14">
      <c r="A1281" s="8"/>
      <c r="B1281" s="9"/>
      <c r="C1281" s="9" t="s">
        <v>1289</v>
      </c>
      <c r="D1281" s="9">
        <v>1500</v>
      </c>
      <c r="E1281" s="9"/>
      <c r="F1281" s="9"/>
      <c r="G1281" s="10" t="s">
        <v>2391</v>
      </c>
      <c r="H1281" s="10" t="s">
        <v>563</v>
      </c>
      <c r="I1281" s="10"/>
      <c r="J1281" s="9">
        <v>100699</v>
      </c>
      <c r="K1281" s="10" t="s">
        <v>320</v>
      </c>
      <c r="L1281" s="10" t="s">
        <v>248</v>
      </c>
      <c r="M1281" s="10" t="s">
        <v>1834</v>
      </c>
      <c r="N1281" s="7"/>
    </row>
    <row r="1282" s="1" customFormat="1" ht="28.5" customHeight="1" spans="1:14">
      <c r="A1282" s="8"/>
      <c r="B1282" s="9"/>
      <c r="C1282" s="9" t="s">
        <v>1289</v>
      </c>
      <c r="D1282" s="9">
        <v>1000</v>
      </c>
      <c r="E1282" s="9"/>
      <c r="F1282" s="9"/>
      <c r="G1282" s="10" t="s">
        <v>2391</v>
      </c>
      <c r="H1282" s="10" t="s">
        <v>563</v>
      </c>
      <c r="I1282" s="10"/>
      <c r="J1282" s="9">
        <v>100700</v>
      </c>
      <c r="K1282" s="10" t="s">
        <v>320</v>
      </c>
      <c r="L1282" s="10" t="s">
        <v>248</v>
      </c>
      <c r="M1282" s="10" t="s">
        <v>1834</v>
      </c>
      <c r="N1282" s="7"/>
    </row>
    <row r="1283" s="1" customFormat="1" ht="28.5" customHeight="1" spans="1:14">
      <c r="A1283" s="8">
        <v>30501</v>
      </c>
      <c r="B1283" s="9">
        <v>30511</v>
      </c>
      <c r="C1283" s="9" t="s">
        <v>33</v>
      </c>
      <c r="D1283" s="9">
        <v>0</v>
      </c>
      <c r="E1283" s="9"/>
      <c r="F1283" s="9">
        <v>30502</v>
      </c>
      <c r="G1283" s="10" t="s">
        <v>1575</v>
      </c>
      <c r="H1283" s="10" t="s">
        <v>563</v>
      </c>
      <c r="I1283" s="10"/>
      <c r="J1283" s="9">
        <v>60701</v>
      </c>
      <c r="K1283" s="10" t="s">
        <v>2444</v>
      </c>
      <c r="L1283" s="10" t="s">
        <v>331</v>
      </c>
      <c r="M1283" s="10" t="s">
        <v>1842</v>
      </c>
      <c r="N1283" s="7"/>
    </row>
    <row r="1284" s="1" customFormat="1" ht="28.5" customHeight="1" spans="1:14">
      <c r="A1284" s="8">
        <v>30501</v>
      </c>
      <c r="B1284" s="9">
        <v>30512</v>
      </c>
      <c r="C1284" s="9" t="s">
        <v>33</v>
      </c>
      <c r="D1284" s="9">
        <v>0</v>
      </c>
      <c r="E1284" s="9"/>
      <c r="F1284" s="9">
        <v>30502</v>
      </c>
      <c r="G1284" s="10" t="s">
        <v>1577</v>
      </c>
      <c r="H1284" s="10" t="s">
        <v>563</v>
      </c>
      <c r="I1284" s="10"/>
      <c r="J1284" s="9">
        <v>60702</v>
      </c>
      <c r="K1284" s="10" t="s">
        <v>2445</v>
      </c>
      <c r="L1284" s="10" t="s">
        <v>331</v>
      </c>
      <c r="M1284" s="10" t="s">
        <v>1842</v>
      </c>
      <c r="N1284" s="7"/>
    </row>
    <row r="1285" s="1" customFormat="1" ht="28.5" customHeight="1" spans="1:14">
      <c r="A1285" s="8">
        <v>30501</v>
      </c>
      <c r="B1285" s="9">
        <v>30513</v>
      </c>
      <c r="C1285" s="9" t="s">
        <v>33</v>
      </c>
      <c r="D1285" s="9">
        <v>0</v>
      </c>
      <c r="E1285" s="9"/>
      <c r="F1285" s="9">
        <v>30502</v>
      </c>
      <c r="G1285" s="10" t="s">
        <v>1579</v>
      </c>
      <c r="H1285" s="10" t="s">
        <v>563</v>
      </c>
      <c r="I1285" s="10"/>
      <c r="J1285" s="9">
        <v>60703</v>
      </c>
      <c r="K1285" s="10" t="s">
        <v>2446</v>
      </c>
      <c r="L1285" s="10" t="s">
        <v>331</v>
      </c>
      <c r="M1285" s="10" t="s">
        <v>1842</v>
      </c>
      <c r="N1285" s="7"/>
    </row>
    <row r="1286" s="1" customFormat="1" ht="28.5" customHeight="1" spans="1:14">
      <c r="A1286" s="8">
        <v>30501</v>
      </c>
      <c r="B1286" s="9">
        <v>30514</v>
      </c>
      <c r="C1286" s="9" t="s">
        <v>33</v>
      </c>
      <c r="D1286" s="9">
        <v>0</v>
      </c>
      <c r="E1286" s="9"/>
      <c r="F1286" s="9">
        <v>30502</v>
      </c>
      <c r="G1286" s="10" t="s">
        <v>1581</v>
      </c>
      <c r="H1286" s="10" t="s">
        <v>563</v>
      </c>
      <c r="I1286" s="10"/>
      <c r="J1286" s="9">
        <v>60704</v>
      </c>
      <c r="K1286" s="10" t="s">
        <v>2447</v>
      </c>
      <c r="L1286" s="10" t="s">
        <v>331</v>
      </c>
      <c r="M1286" s="10" t="s">
        <v>1842</v>
      </c>
      <c r="N1286" s="7"/>
    </row>
    <row r="1287" s="1" customFormat="1" ht="28.5" customHeight="1" spans="1:14">
      <c r="A1287" s="8">
        <v>30501</v>
      </c>
      <c r="B1287" s="9">
        <v>30515</v>
      </c>
      <c r="C1287" s="9" t="s">
        <v>33</v>
      </c>
      <c r="D1287" s="9">
        <v>0</v>
      </c>
      <c r="E1287" s="9"/>
      <c r="F1287" s="9">
        <v>30502</v>
      </c>
      <c r="G1287" s="10" t="s">
        <v>1583</v>
      </c>
      <c r="H1287" s="10" t="s">
        <v>563</v>
      </c>
      <c r="I1287" s="10"/>
      <c r="J1287" s="9">
        <v>60705</v>
      </c>
      <c r="K1287" s="10" t="s">
        <v>2448</v>
      </c>
      <c r="L1287" s="10" t="s">
        <v>331</v>
      </c>
      <c r="M1287" s="10" t="s">
        <v>1842</v>
      </c>
      <c r="N1287" s="7"/>
    </row>
    <row r="1288" s="1" customFormat="1" ht="28.5" customHeight="1" spans="1:14">
      <c r="A1288" s="8">
        <v>30501</v>
      </c>
      <c r="B1288" s="9">
        <v>30516</v>
      </c>
      <c r="C1288" s="9" t="s">
        <v>33</v>
      </c>
      <c r="D1288" s="9">
        <v>3000</v>
      </c>
      <c r="E1288" s="9"/>
      <c r="F1288" s="9">
        <v>30503</v>
      </c>
      <c r="G1288" s="10" t="s">
        <v>1573</v>
      </c>
      <c r="H1288" s="10" t="s">
        <v>563</v>
      </c>
      <c r="I1288" s="10"/>
      <c r="J1288" s="9">
        <v>50706</v>
      </c>
      <c r="K1288" s="10" t="s">
        <v>2403</v>
      </c>
      <c r="L1288" s="10" t="s">
        <v>332</v>
      </c>
      <c r="M1288" s="10" t="s">
        <v>1842</v>
      </c>
      <c r="N1288" s="7"/>
    </row>
    <row r="1289" s="1" customFormat="1" ht="28.5" customHeight="1" spans="1:14">
      <c r="A1289" s="8">
        <v>30501</v>
      </c>
      <c r="B1289" s="9">
        <v>30517</v>
      </c>
      <c r="C1289" s="9" t="s">
        <v>33</v>
      </c>
      <c r="D1289" s="9">
        <v>2500</v>
      </c>
      <c r="E1289" s="9"/>
      <c r="F1289" s="9">
        <v>30503</v>
      </c>
      <c r="G1289" s="10" t="s">
        <v>1585</v>
      </c>
      <c r="H1289" s="10" t="s">
        <v>563</v>
      </c>
      <c r="I1289" s="10"/>
      <c r="J1289" s="9">
        <v>50707</v>
      </c>
      <c r="K1289" s="10" t="s">
        <v>2449</v>
      </c>
      <c r="L1289" s="10" t="s">
        <v>332</v>
      </c>
      <c r="M1289" s="10" t="s">
        <v>1842</v>
      </c>
      <c r="N1289" s="7"/>
    </row>
    <row r="1290" s="1" customFormat="1" ht="28.5" customHeight="1" spans="1:14">
      <c r="A1290" s="8">
        <v>30501</v>
      </c>
      <c r="B1290" s="9">
        <v>30518</v>
      </c>
      <c r="C1290" s="9" t="s">
        <v>33</v>
      </c>
      <c r="D1290" s="9">
        <v>2000</v>
      </c>
      <c r="E1290" s="9"/>
      <c r="F1290" s="9">
        <v>30503</v>
      </c>
      <c r="G1290" s="10" t="s">
        <v>2450</v>
      </c>
      <c r="H1290" s="10" t="s">
        <v>563</v>
      </c>
      <c r="I1290" s="10"/>
      <c r="J1290" s="9">
        <v>50708</v>
      </c>
      <c r="K1290" s="10" t="s">
        <v>2451</v>
      </c>
      <c r="L1290" s="10" t="s">
        <v>332</v>
      </c>
      <c r="M1290" s="10" t="s">
        <v>1842</v>
      </c>
      <c r="N1290" s="7"/>
    </row>
    <row r="1291" s="1" customFormat="1" ht="28.5" customHeight="1" spans="1:14">
      <c r="A1291" s="8">
        <v>30501</v>
      </c>
      <c r="B1291" s="9">
        <v>30519</v>
      </c>
      <c r="C1291" s="9" t="s">
        <v>33</v>
      </c>
      <c r="D1291" s="9">
        <v>1500</v>
      </c>
      <c r="E1291" s="9"/>
      <c r="F1291" s="9">
        <v>30503</v>
      </c>
      <c r="G1291" s="10" t="s">
        <v>2452</v>
      </c>
      <c r="H1291" s="10" t="s">
        <v>563</v>
      </c>
      <c r="I1291" s="10"/>
      <c r="J1291" s="9">
        <v>50709</v>
      </c>
      <c r="K1291" s="10" t="s">
        <v>2453</v>
      </c>
      <c r="L1291" s="10" t="s">
        <v>332</v>
      </c>
      <c r="M1291" s="10" t="s">
        <v>1842</v>
      </c>
      <c r="N1291" s="7"/>
    </row>
    <row r="1292" s="1" customFormat="1" ht="28.5" customHeight="1" spans="1:14">
      <c r="A1292" s="8">
        <v>30501</v>
      </c>
      <c r="B1292" s="9">
        <v>30520</v>
      </c>
      <c r="C1292" s="9" t="s">
        <v>33</v>
      </c>
      <c r="D1292" s="9">
        <v>1000</v>
      </c>
      <c r="E1292" s="9"/>
      <c r="F1292" s="9">
        <v>30503</v>
      </c>
      <c r="G1292" s="10" t="s">
        <v>1593</v>
      </c>
      <c r="H1292" s="10" t="s">
        <v>563</v>
      </c>
      <c r="I1292" s="10"/>
      <c r="J1292" s="9">
        <v>50710</v>
      </c>
      <c r="K1292" s="10" t="s">
        <v>2454</v>
      </c>
      <c r="L1292" s="10" t="s">
        <v>332</v>
      </c>
      <c r="M1292" s="10" t="s">
        <v>1842</v>
      </c>
      <c r="N1292" s="7"/>
    </row>
    <row r="1293" s="1" customFormat="1" ht="28.5" customHeight="1" spans="1:14">
      <c r="A1293" s="8"/>
      <c r="B1293" s="9"/>
      <c r="C1293" s="9" t="s">
        <v>1289</v>
      </c>
      <c r="D1293" s="9">
        <v>3000</v>
      </c>
      <c r="E1293" s="9"/>
      <c r="F1293" s="9"/>
      <c r="G1293" s="10" t="s">
        <v>2455</v>
      </c>
      <c r="H1293" s="10" t="s">
        <v>563</v>
      </c>
      <c r="I1293" s="10"/>
      <c r="J1293" s="9">
        <v>30711</v>
      </c>
      <c r="K1293" s="10" t="s">
        <v>2456</v>
      </c>
      <c r="L1293" s="10" t="s">
        <v>333</v>
      </c>
      <c r="M1293" s="10" t="s">
        <v>1834</v>
      </c>
      <c r="N1293" s="7"/>
    </row>
    <row r="1294" s="1" customFormat="1" ht="28.5" customHeight="1" spans="1:14">
      <c r="A1294" s="8"/>
      <c r="B1294" s="9"/>
      <c r="C1294" s="9" t="s">
        <v>1289</v>
      </c>
      <c r="D1294" s="9">
        <v>2500</v>
      </c>
      <c r="E1294" s="9"/>
      <c r="F1294" s="9"/>
      <c r="G1294" s="10" t="s">
        <v>2457</v>
      </c>
      <c r="H1294" s="10" t="s">
        <v>563</v>
      </c>
      <c r="I1294" s="10"/>
      <c r="J1294" s="9">
        <v>30712</v>
      </c>
      <c r="K1294" s="10" t="s">
        <v>2458</v>
      </c>
      <c r="L1294" s="10" t="s">
        <v>333</v>
      </c>
      <c r="M1294" s="10" t="s">
        <v>1834</v>
      </c>
      <c r="N1294" s="7"/>
    </row>
    <row r="1295" s="1" customFormat="1" ht="28.5" customHeight="1" spans="1:14">
      <c r="A1295" s="8"/>
      <c r="B1295" s="9"/>
      <c r="C1295" s="9" t="s">
        <v>1289</v>
      </c>
      <c r="D1295" s="9">
        <v>2000</v>
      </c>
      <c r="E1295" s="9"/>
      <c r="F1295" s="9"/>
      <c r="G1295" s="10" t="s">
        <v>2459</v>
      </c>
      <c r="H1295" s="10" t="s">
        <v>563</v>
      </c>
      <c r="I1295" s="10"/>
      <c r="J1295" s="9">
        <v>30713</v>
      </c>
      <c r="K1295" s="10" t="s">
        <v>2460</v>
      </c>
      <c r="L1295" s="10" t="s">
        <v>333</v>
      </c>
      <c r="M1295" s="10" t="s">
        <v>1834</v>
      </c>
      <c r="N1295" s="7"/>
    </row>
    <row r="1296" s="1" customFormat="1" ht="28.5" customHeight="1" spans="1:14">
      <c r="A1296" s="8"/>
      <c r="B1296" s="9"/>
      <c r="C1296" s="9" t="s">
        <v>1289</v>
      </c>
      <c r="D1296" s="9">
        <v>1500</v>
      </c>
      <c r="E1296" s="9"/>
      <c r="F1296" s="9"/>
      <c r="G1296" s="10" t="s">
        <v>2461</v>
      </c>
      <c r="H1296" s="10" t="s">
        <v>563</v>
      </c>
      <c r="I1296" s="10"/>
      <c r="J1296" s="9">
        <v>30714</v>
      </c>
      <c r="K1296" s="10" t="s">
        <v>2462</v>
      </c>
      <c r="L1296" s="10" t="s">
        <v>333</v>
      </c>
      <c r="M1296" s="10" t="s">
        <v>1834</v>
      </c>
      <c r="N1296" s="7"/>
    </row>
    <row r="1297" s="1" customFormat="1" ht="28.5" customHeight="1" spans="1:14">
      <c r="A1297" s="8"/>
      <c r="B1297" s="9"/>
      <c r="C1297" s="9" t="s">
        <v>1289</v>
      </c>
      <c r="D1297" s="9">
        <v>1000</v>
      </c>
      <c r="E1297" s="9"/>
      <c r="F1297" s="9"/>
      <c r="G1297" s="10" t="s">
        <v>2463</v>
      </c>
      <c r="H1297" s="10" t="s">
        <v>563</v>
      </c>
      <c r="I1297" s="10"/>
      <c r="J1297" s="9">
        <v>30715</v>
      </c>
      <c r="K1297" s="10" t="s">
        <v>2464</v>
      </c>
      <c r="L1297" s="10" t="s">
        <v>333</v>
      </c>
      <c r="M1297" s="10" t="s">
        <v>1834</v>
      </c>
      <c r="N1297" s="7"/>
    </row>
    <row r="1298" s="1" customFormat="1" ht="28.5" customHeight="1" spans="1:14">
      <c r="A1298" s="8">
        <v>30501</v>
      </c>
      <c r="B1298" s="9">
        <v>30521</v>
      </c>
      <c r="C1298" s="9" t="s">
        <v>33</v>
      </c>
      <c r="D1298" s="9">
        <v>3000</v>
      </c>
      <c r="E1298" s="9"/>
      <c r="F1298" s="9">
        <v>30504</v>
      </c>
      <c r="G1298" s="10" t="s">
        <v>2422</v>
      </c>
      <c r="H1298" s="10" t="s">
        <v>563</v>
      </c>
      <c r="I1298" s="10"/>
      <c r="J1298" s="9">
        <v>40716</v>
      </c>
      <c r="K1298" s="10" t="s">
        <v>2423</v>
      </c>
      <c r="L1298" s="10" t="s">
        <v>334</v>
      </c>
      <c r="M1298" s="10" t="s">
        <v>1842</v>
      </c>
      <c r="N1298" s="7"/>
    </row>
    <row r="1299" s="1" customFormat="1" ht="28.5" customHeight="1" spans="1:14">
      <c r="A1299" s="8">
        <v>30501</v>
      </c>
      <c r="B1299" s="9">
        <v>30522</v>
      </c>
      <c r="C1299" s="9" t="s">
        <v>33</v>
      </c>
      <c r="D1299" s="9">
        <v>2500</v>
      </c>
      <c r="E1299" s="9"/>
      <c r="F1299" s="9">
        <v>30504</v>
      </c>
      <c r="G1299" s="10" t="s">
        <v>2465</v>
      </c>
      <c r="H1299" s="10" t="s">
        <v>563</v>
      </c>
      <c r="I1299" s="10"/>
      <c r="J1299" s="9">
        <v>40717</v>
      </c>
      <c r="K1299" s="10" t="s">
        <v>2466</v>
      </c>
      <c r="L1299" s="10" t="s">
        <v>334</v>
      </c>
      <c r="M1299" s="10" t="s">
        <v>1842</v>
      </c>
      <c r="N1299" s="7"/>
    </row>
    <row r="1300" s="1" customFormat="1" ht="28.5" customHeight="1" spans="1:14">
      <c r="A1300" s="8">
        <v>30501</v>
      </c>
      <c r="B1300" s="9">
        <v>30523</v>
      </c>
      <c r="C1300" s="9" t="s">
        <v>33</v>
      </c>
      <c r="D1300" s="9">
        <v>2000</v>
      </c>
      <c r="E1300" s="9"/>
      <c r="F1300" s="9">
        <v>30504</v>
      </c>
      <c r="G1300" s="10" t="s">
        <v>2467</v>
      </c>
      <c r="H1300" s="10" t="s">
        <v>563</v>
      </c>
      <c r="I1300" s="10"/>
      <c r="J1300" s="9">
        <v>40718</v>
      </c>
      <c r="K1300" s="10" t="s">
        <v>2468</v>
      </c>
      <c r="L1300" s="10" t="s">
        <v>334</v>
      </c>
      <c r="M1300" s="10" t="s">
        <v>1842</v>
      </c>
      <c r="N1300" s="7"/>
    </row>
    <row r="1301" s="1" customFormat="1" ht="28.5" customHeight="1" spans="1:14">
      <c r="A1301" s="8">
        <v>30501</v>
      </c>
      <c r="B1301" s="9">
        <v>30524</v>
      </c>
      <c r="C1301" s="9" t="s">
        <v>33</v>
      </c>
      <c r="D1301" s="9">
        <v>1500</v>
      </c>
      <c r="E1301" s="9"/>
      <c r="F1301" s="9">
        <v>30504</v>
      </c>
      <c r="G1301" s="10" t="s">
        <v>2469</v>
      </c>
      <c r="H1301" s="10" t="s">
        <v>563</v>
      </c>
      <c r="I1301" s="10"/>
      <c r="J1301" s="9">
        <v>40719</v>
      </c>
      <c r="K1301" s="10" t="s">
        <v>2470</v>
      </c>
      <c r="L1301" s="10" t="s">
        <v>334</v>
      </c>
      <c r="M1301" s="10" t="s">
        <v>1842</v>
      </c>
      <c r="N1301" s="7"/>
    </row>
    <row r="1302" s="1" customFormat="1" ht="28.5" customHeight="1" spans="1:14">
      <c r="A1302" s="8">
        <v>30501</v>
      </c>
      <c r="B1302" s="9">
        <v>30525</v>
      </c>
      <c r="C1302" s="9" t="s">
        <v>33</v>
      </c>
      <c r="D1302" s="9">
        <v>1000</v>
      </c>
      <c r="E1302" s="9"/>
      <c r="F1302" s="9">
        <v>30504</v>
      </c>
      <c r="G1302" s="10" t="s">
        <v>2471</v>
      </c>
      <c r="H1302" s="10" t="s">
        <v>563</v>
      </c>
      <c r="I1302" s="10"/>
      <c r="J1302" s="9">
        <v>40720</v>
      </c>
      <c r="K1302" s="10" t="s">
        <v>2472</v>
      </c>
      <c r="L1302" s="10" t="s">
        <v>334</v>
      </c>
      <c r="M1302" s="10" t="s">
        <v>1842</v>
      </c>
      <c r="N1302" s="7"/>
    </row>
    <row r="1303" s="1" customFormat="1" ht="28.5" customHeight="1" spans="1:14">
      <c r="A1303" s="8"/>
      <c r="B1303" s="9"/>
      <c r="C1303" s="9" t="s">
        <v>1289</v>
      </c>
      <c r="D1303" s="9">
        <v>3000</v>
      </c>
      <c r="E1303" s="9"/>
      <c r="F1303" s="9"/>
      <c r="G1303" s="10" t="s">
        <v>2473</v>
      </c>
      <c r="H1303" s="10" t="s">
        <v>563</v>
      </c>
      <c r="I1303" s="10"/>
      <c r="J1303" s="9">
        <v>10721</v>
      </c>
      <c r="K1303" s="10" t="s">
        <v>2474</v>
      </c>
      <c r="L1303" s="10" t="s">
        <v>260</v>
      </c>
      <c r="M1303" s="10" t="s">
        <v>1834</v>
      </c>
      <c r="N1303" s="7"/>
    </row>
    <row r="1304" s="1" customFormat="1" ht="28.5" customHeight="1" spans="1:14">
      <c r="A1304" s="8"/>
      <c r="B1304" s="9"/>
      <c r="C1304" s="9" t="s">
        <v>1289</v>
      </c>
      <c r="D1304" s="9">
        <v>2500</v>
      </c>
      <c r="E1304" s="9"/>
      <c r="F1304" s="9"/>
      <c r="G1304" s="10" t="s">
        <v>2475</v>
      </c>
      <c r="H1304" s="10" t="s">
        <v>563</v>
      </c>
      <c r="I1304" s="10"/>
      <c r="J1304" s="9">
        <v>10722</v>
      </c>
      <c r="K1304" s="10" t="s">
        <v>2476</v>
      </c>
      <c r="L1304" s="10" t="s">
        <v>260</v>
      </c>
      <c r="M1304" s="10" t="s">
        <v>1834</v>
      </c>
      <c r="N1304" s="7"/>
    </row>
    <row r="1305" s="1" customFormat="1" ht="28.5" customHeight="1" spans="1:14">
      <c r="A1305" s="8"/>
      <c r="B1305" s="9"/>
      <c r="C1305" s="9" t="s">
        <v>1289</v>
      </c>
      <c r="D1305" s="9">
        <v>2000</v>
      </c>
      <c r="E1305" s="9"/>
      <c r="F1305" s="9"/>
      <c r="G1305" s="10" t="s">
        <v>2477</v>
      </c>
      <c r="H1305" s="10" t="s">
        <v>563</v>
      </c>
      <c r="I1305" s="10"/>
      <c r="J1305" s="9">
        <v>10723</v>
      </c>
      <c r="K1305" s="10" t="s">
        <v>2478</v>
      </c>
      <c r="L1305" s="10" t="s">
        <v>260</v>
      </c>
      <c r="M1305" s="10" t="s">
        <v>1834</v>
      </c>
      <c r="N1305" s="7"/>
    </row>
    <row r="1306" s="1" customFormat="1" ht="28.5" customHeight="1" spans="1:14">
      <c r="A1306" s="8"/>
      <c r="B1306" s="9"/>
      <c r="C1306" s="9" t="s">
        <v>1289</v>
      </c>
      <c r="D1306" s="9">
        <v>1500</v>
      </c>
      <c r="E1306" s="9"/>
      <c r="F1306" s="9"/>
      <c r="G1306" s="10" t="s">
        <v>2479</v>
      </c>
      <c r="H1306" s="10" t="s">
        <v>563</v>
      </c>
      <c r="I1306" s="10"/>
      <c r="J1306" s="9">
        <v>10724</v>
      </c>
      <c r="K1306" s="10" t="s">
        <v>2480</v>
      </c>
      <c r="L1306" s="10" t="s">
        <v>260</v>
      </c>
      <c r="M1306" s="10" t="s">
        <v>1834</v>
      </c>
      <c r="N1306" s="7"/>
    </row>
    <row r="1307" s="1" customFormat="1" ht="28.5" customHeight="1" spans="1:14">
      <c r="A1307" s="8"/>
      <c r="B1307" s="9"/>
      <c r="C1307" s="9" t="s">
        <v>1289</v>
      </c>
      <c r="D1307" s="9">
        <v>1000</v>
      </c>
      <c r="E1307" s="9"/>
      <c r="F1307" s="9"/>
      <c r="G1307" s="10" t="s">
        <v>2481</v>
      </c>
      <c r="H1307" s="10" t="s">
        <v>563</v>
      </c>
      <c r="I1307" s="10"/>
      <c r="J1307" s="9">
        <v>10725</v>
      </c>
      <c r="K1307" s="10" t="s">
        <v>2482</v>
      </c>
      <c r="L1307" s="10" t="s">
        <v>260</v>
      </c>
      <c r="M1307" s="10" t="s">
        <v>1834</v>
      </c>
      <c r="N1307" s="7"/>
    </row>
    <row r="1308" s="1" customFormat="1" ht="28.5" customHeight="1" spans="1:14">
      <c r="A1308" s="8">
        <v>30601</v>
      </c>
      <c r="B1308" s="9">
        <v>30601</v>
      </c>
      <c r="C1308" s="9" t="s">
        <v>34</v>
      </c>
      <c r="D1308" s="9">
        <v>0</v>
      </c>
      <c r="E1308" s="9"/>
      <c r="F1308" s="9">
        <v>30600</v>
      </c>
      <c r="G1308" s="10" t="s">
        <v>1351</v>
      </c>
      <c r="H1308" s="10" t="s">
        <v>563</v>
      </c>
      <c r="I1308" s="10"/>
      <c r="J1308" s="9">
        <v>60726</v>
      </c>
      <c r="K1308" s="10" t="s">
        <v>1976</v>
      </c>
      <c r="L1308" s="10" t="s">
        <v>259</v>
      </c>
      <c r="M1308" s="10" t="s">
        <v>1842</v>
      </c>
      <c r="N1308" s="7"/>
    </row>
    <row r="1309" s="1" customFormat="1" ht="28.5" customHeight="1" spans="1:14">
      <c r="A1309" s="8">
        <v>30601</v>
      </c>
      <c r="B1309" s="9">
        <v>30602</v>
      </c>
      <c r="C1309" s="9" t="s">
        <v>34</v>
      </c>
      <c r="D1309" s="9">
        <v>0</v>
      </c>
      <c r="E1309" s="9"/>
      <c r="F1309" s="9">
        <v>30600</v>
      </c>
      <c r="G1309" s="10" t="s">
        <v>1353</v>
      </c>
      <c r="H1309" s="10" t="s">
        <v>563</v>
      </c>
      <c r="I1309" s="10"/>
      <c r="J1309" s="9">
        <v>60727</v>
      </c>
      <c r="K1309" s="10" t="s">
        <v>1977</v>
      </c>
      <c r="L1309" s="10" t="s">
        <v>259</v>
      </c>
      <c r="M1309" s="10" t="s">
        <v>1842</v>
      </c>
      <c r="N1309" s="7"/>
    </row>
    <row r="1310" s="1" customFormat="1" ht="28.5" customHeight="1" spans="1:14">
      <c r="A1310" s="8">
        <v>30601</v>
      </c>
      <c r="B1310" s="9">
        <v>30603</v>
      </c>
      <c r="C1310" s="9" t="s">
        <v>34</v>
      </c>
      <c r="D1310" s="9">
        <v>0</v>
      </c>
      <c r="E1310" s="9"/>
      <c r="F1310" s="9">
        <v>30600</v>
      </c>
      <c r="G1310" s="10" t="s">
        <v>1355</v>
      </c>
      <c r="H1310" s="10" t="s">
        <v>563</v>
      </c>
      <c r="I1310" s="10"/>
      <c r="J1310" s="9">
        <v>60728</v>
      </c>
      <c r="K1310" s="10" t="s">
        <v>1978</v>
      </c>
      <c r="L1310" s="10" t="s">
        <v>259</v>
      </c>
      <c r="M1310" s="10" t="s">
        <v>1842</v>
      </c>
      <c r="N1310" s="7"/>
    </row>
    <row r="1311" s="1" customFormat="1" ht="28.5" customHeight="1" spans="1:14">
      <c r="A1311" s="8">
        <v>30601</v>
      </c>
      <c r="B1311" s="9">
        <v>30604</v>
      </c>
      <c r="C1311" s="9" t="s">
        <v>34</v>
      </c>
      <c r="D1311" s="9">
        <v>0</v>
      </c>
      <c r="E1311" s="9"/>
      <c r="F1311" s="9">
        <v>30600</v>
      </c>
      <c r="G1311" s="10" t="s">
        <v>1357</v>
      </c>
      <c r="H1311" s="10" t="s">
        <v>563</v>
      </c>
      <c r="I1311" s="10"/>
      <c r="J1311" s="9">
        <v>60729</v>
      </c>
      <c r="K1311" s="10" t="s">
        <v>1979</v>
      </c>
      <c r="L1311" s="10" t="s">
        <v>259</v>
      </c>
      <c r="M1311" s="10" t="s">
        <v>1842</v>
      </c>
      <c r="N1311" s="7"/>
    </row>
    <row r="1312" s="1" customFormat="1" ht="28.5" customHeight="1" spans="1:14">
      <c r="A1312" s="8">
        <v>30601</v>
      </c>
      <c r="B1312" s="9">
        <v>30605</v>
      </c>
      <c r="C1312" s="9" t="s">
        <v>34</v>
      </c>
      <c r="D1312" s="9">
        <v>0</v>
      </c>
      <c r="E1312" s="9"/>
      <c r="F1312" s="9">
        <v>30600</v>
      </c>
      <c r="G1312" s="10" t="s">
        <v>1359</v>
      </c>
      <c r="H1312" s="10" t="s">
        <v>563</v>
      </c>
      <c r="I1312" s="10"/>
      <c r="J1312" s="9">
        <v>60730</v>
      </c>
      <c r="K1312" s="10" t="s">
        <v>1980</v>
      </c>
      <c r="L1312" s="10" t="s">
        <v>259</v>
      </c>
      <c r="M1312" s="10" t="s">
        <v>1842</v>
      </c>
      <c r="N1312" s="7"/>
    </row>
    <row r="1313" s="1" customFormat="1" ht="28.5" customHeight="1" spans="1:14">
      <c r="A1313" s="8">
        <v>30601</v>
      </c>
      <c r="B1313" s="9">
        <v>30606</v>
      </c>
      <c r="C1313" s="9" t="s">
        <v>34</v>
      </c>
      <c r="D1313" s="9">
        <v>3000</v>
      </c>
      <c r="E1313" s="9"/>
      <c r="F1313" s="9">
        <v>30601</v>
      </c>
      <c r="G1313" s="10" t="s">
        <v>1981</v>
      </c>
      <c r="H1313" s="10" t="s">
        <v>563</v>
      </c>
      <c r="I1313" s="10"/>
      <c r="J1313" s="9">
        <v>20731</v>
      </c>
      <c r="K1313" s="10" t="s">
        <v>1982</v>
      </c>
      <c r="L1313" s="10" t="s">
        <v>260</v>
      </c>
      <c r="M1313" s="10" t="s">
        <v>1842</v>
      </c>
      <c r="N1313" s="7"/>
    </row>
    <row r="1314" s="1" customFormat="1" ht="28.5" customHeight="1" spans="1:14">
      <c r="A1314" s="8">
        <v>30601</v>
      </c>
      <c r="B1314" s="9">
        <v>30607</v>
      </c>
      <c r="C1314" s="9" t="s">
        <v>34</v>
      </c>
      <c r="D1314" s="9">
        <v>2500</v>
      </c>
      <c r="E1314" s="9"/>
      <c r="F1314" s="9">
        <v>30601</v>
      </c>
      <c r="G1314" s="10" t="s">
        <v>1983</v>
      </c>
      <c r="H1314" s="10" t="s">
        <v>563</v>
      </c>
      <c r="I1314" s="10"/>
      <c r="J1314" s="9">
        <v>20732</v>
      </c>
      <c r="K1314" s="10" t="s">
        <v>1984</v>
      </c>
      <c r="L1314" s="10" t="s">
        <v>260</v>
      </c>
      <c r="M1314" s="10" t="s">
        <v>1842</v>
      </c>
      <c r="N1314" s="7"/>
    </row>
    <row r="1315" s="1" customFormat="1" ht="28.5" customHeight="1" spans="1:14">
      <c r="A1315" s="8">
        <v>30601</v>
      </c>
      <c r="B1315" s="9">
        <v>30608</v>
      </c>
      <c r="C1315" s="9" t="s">
        <v>34</v>
      </c>
      <c r="D1315" s="9">
        <v>2000</v>
      </c>
      <c r="E1315" s="9"/>
      <c r="F1315" s="9">
        <v>30601</v>
      </c>
      <c r="G1315" s="10" t="s">
        <v>1927</v>
      </c>
      <c r="H1315" s="10" t="s">
        <v>563</v>
      </c>
      <c r="I1315" s="10"/>
      <c r="J1315" s="9">
        <v>20733</v>
      </c>
      <c r="K1315" s="10" t="s">
        <v>1928</v>
      </c>
      <c r="L1315" s="10" t="s">
        <v>260</v>
      </c>
      <c r="M1315" s="10" t="s">
        <v>1842</v>
      </c>
      <c r="N1315" s="7"/>
    </row>
    <row r="1316" s="1" customFormat="1" ht="28.5" customHeight="1" spans="1:14">
      <c r="A1316" s="8">
        <v>30601</v>
      </c>
      <c r="B1316" s="9">
        <v>30609</v>
      </c>
      <c r="C1316" s="9" t="s">
        <v>34</v>
      </c>
      <c r="D1316" s="9">
        <v>1500</v>
      </c>
      <c r="E1316" s="9"/>
      <c r="F1316" s="9">
        <v>30601</v>
      </c>
      <c r="G1316" s="10" t="s">
        <v>1985</v>
      </c>
      <c r="H1316" s="10" t="s">
        <v>563</v>
      </c>
      <c r="I1316" s="10"/>
      <c r="J1316" s="9">
        <v>20734</v>
      </c>
      <c r="K1316" s="10" t="s">
        <v>1986</v>
      </c>
      <c r="L1316" s="10" t="s">
        <v>260</v>
      </c>
      <c r="M1316" s="10" t="s">
        <v>1842</v>
      </c>
      <c r="N1316" s="7"/>
    </row>
    <row r="1317" s="1" customFormat="1" ht="28.5" customHeight="1" spans="1:14">
      <c r="A1317" s="8">
        <v>30601</v>
      </c>
      <c r="B1317" s="9">
        <v>30610</v>
      </c>
      <c r="C1317" s="9" t="s">
        <v>34</v>
      </c>
      <c r="D1317" s="9">
        <v>1000</v>
      </c>
      <c r="E1317" s="9"/>
      <c r="F1317" s="9">
        <v>30601</v>
      </c>
      <c r="G1317" s="10" t="s">
        <v>1929</v>
      </c>
      <c r="H1317" s="10" t="s">
        <v>563</v>
      </c>
      <c r="I1317" s="10"/>
      <c r="J1317" s="9">
        <v>20735</v>
      </c>
      <c r="K1317" s="10" t="s">
        <v>1930</v>
      </c>
      <c r="L1317" s="10" t="s">
        <v>260</v>
      </c>
      <c r="M1317" s="10" t="s">
        <v>1842</v>
      </c>
      <c r="N1317" s="7"/>
    </row>
    <row r="1318" s="1" customFormat="1" ht="28.5" customHeight="1" spans="1:14">
      <c r="A1318" s="8"/>
      <c r="B1318" s="9"/>
      <c r="C1318" s="9" t="s">
        <v>1289</v>
      </c>
      <c r="D1318" s="9">
        <v>3000</v>
      </c>
      <c r="E1318" s="9"/>
      <c r="F1318" s="9"/>
      <c r="G1318" s="10" t="s">
        <v>1857</v>
      </c>
      <c r="H1318" s="10" t="s">
        <v>563</v>
      </c>
      <c r="I1318" s="10"/>
      <c r="J1318" s="9">
        <v>90736</v>
      </c>
      <c r="K1318" s="10" t="s">
        <v>1858</v>
      </c>
      <c r="L1318" s="10" t="s">
        <v>224</v>
      </c>
      <c r="M1318" s="10" t="s">
        <v>1834</v>
      </c>
      <c r="N1318" s="7"/>
    </row>
    <row r="1319" s="1" customFormat="1" ht="28.5" customHeight="1" spans="1:14">
      <c r="A1319" s="8"/>
      <c r="B1319" s="9"/>
      <c r="C1319" s="9" t="s">
        <v>1289</v>
      </c>
      <c r="D1319" s="9">
        <v>2500</v>
      </c>
      <c r="E1319" s="9"/>
      <c r="F1319" s="9"/>
      <c r="G1319" s="10" t="s">
        <v>1857</v>
      </c>
      <c r="H1319" s="10" t="s">
        <v>563</v>
      </c>
      <c r="I1319" s="10"/>
      <c r="J1319" s="9">
        <v>90737</v>
      </c>
      <c r="K1319" s="10" t="s">
        <v>1858</v>
      </c>
      <c r="L1319" s="10" t="s">
        <v>224</v>
      </c>
      <c r="M1319" s="10" t="s">
        <v>1834</v>
      </c>
      <c r="N1319" s="7"/>
    </row>
    <row r="1320" s="1" customFormat="1" ht="28.5" customHeight="1" spans="1:14">
      <c r="A1320" s="8"/>
      <c r="B1320" s="9"/>
      <c r="C1320" s="9" t="s">
        <v>1289</v>
      </c>
      <c r="D1320" s="9">
        <v>2000</v>
      </c>
      <c r="E1320" s="9"/>
      <c r="F1320" s="9"/>
      <c r="G1320" s="10" t="s">
        <v>1857</v>
      </c>
      <c r="H1320" s="10" t="s">
        <v>563</v>
      </c>
      <c r="I1320" s="10"/>
      <c r="J1320" s="9">
        <v>90738</v>
      </c>
      <c r="K1320" s="10" t="s">
        <v>1858</v>
      </c>
      <c r="L1320" s="10" t="s">
        <v>224</v>
      </c>
      <c r="M1320" s="10" t="s">
        <v>1834</v>
      </c>
      <c r="N1320" s="7"/>
    </row>
    <row r="1321" s="1" customFormat="1" ht="28.5" customHeight="1" spans="1:14">
      <c r="A1321" s="8"/>
      <c r="B1321" s="9"/>
      <c r="C1321" s="9" t="s">
        <v>1289</v>
      </c>
      <c r="D1321" s="9">
        <v>1500</v>
      </c>
      <c r="E1321" s="9"/>
      <c r="F1321" s="9"/>
      <c r="G1321" s="10" t="s">
        <v>1857</v>
      </c>
      <c r="H1321" s="10" t="s">
        <v>563</v>
      </c>
      <c r="I1321" s="10"/>
      <c r="J1321" s="9">
        <v>90739</v>
      </c>
      <c r="K1321" s="10" t="s">
        <v>1858</v>
      </c>
      <c r="L1321" s="10" t="s">
        <v>224</v>
      </c>
      <c r="M1321" s="10" t="s">
        <v>1834</v>
      </c>
      <c r="N1321" s="7"/>
    </row>
    <row r="1322" s="1" customFormat="1" ht="28.5" customHeight="1" spans="1:14">
      <c r="A1322" s="8"/>
      <c r="B1322" s="9"/>
      <c r="C1322" s="9" t="s">
        <v>1289</v>
      </c>
      <c r="D1322" s="9">
        <v>1000</v>
      </c>
      <c r="E1322" s="9"/>
      <c r="F1322" s="9"/>
      <c r="G1322" s="10" t="s">
        <v>1857</v>
      </c>
      <c r="H1322" s="10" t="s">
        <v>563</v>
      </c>
      <c r="I1322" s="10"/>
      <c r="J1322" s="9">
        <v>90740</v>
      </c>
      <c r="K1322" s="10" t="s">
        <v>1858</v>
      </c>
      <c r="L1322" s="10" t="s">
        <v>224</v>
      </c>
      <c r="M1322" s="10" t="s">
        <v>1834</v>
      </c>
      <c r="N1322" s="7"/>
    </row>
    <row r="1323" s="1" customFormat="1" ht="28.5" customHeight="1" spans="1:14">
      <c r="A1323" s="8"/>
      <c r="B1323" s="9"/>
      <c r="C1323" s="9" t="s">
        <v>1289</v>
      </c>
      <c r="D1323" s="9">
        <v>3000</v>
      </c>
      <c r="E1323" s="9"/>
      <c r="F1323" s="9"/>
      <c r="G1323" s="10" t="s">
        <v>1859</v>
      </c>
      <c r="H1323" s="10" t="s">
        <v>563</v>
      </c>
      <c r="I1323" s="10"/>
      <c r="J1323" s="9">
        <v>70741</v>
      </c>
      <c r="K1323" s="10" t="s">
        <v>1860</v>
      </c>
      <c r="L1323" s="10" t="s">
        <v>228</v>
      </c>
      <c r="M1323" s="10" t="s">
        <v>1834</v>
      </c>
      <c r="N1323" s="7"/>
    </row>
    <row r="1324" s="1" customFormat="1" ht="28.5" customHeight="1" spans="1:14">
      <c r="A1324" s="8"/>
      <c r="B1324" s="9"/>
      <c r="C1324" s="9" t="s">
        <v>1289</v>
      </c>
      <c r="D1324" s="9">
        <v>2500</v>
      </c>
      <c r="E1324" s="9"/>
      <c r="F1324" s="9"/>
      <c r="G1324" s="10" t="s">
        <v>1859</v>
      </c>
      <c r="H1324" s="10" t="s">
        <v>563</v>
      </c>
      <c r="I1324" s="10"/>
      <c r="J1324" s="9">
        <v>70742</v>
      </c>
      <c r="K1324" s="10" t="s">
        <v>1860</v>
      </c>
      <c r="L1324" s="10" t="s">
        <v>228</v>
      </c>
      <c r="M1324" s="10" t="s">
        <v>1834</v>
      </c>
      <c r="N1324" s="7"/>
    </row>
    <row r="1325" s="1" customFormat="1" ht="28.5" customHeight="1" spans="1:14">
      <c r="A1325" s="8"/>
      <c r="B1325" s="9"/>
      <c r="C1325" s="9" t="s">
        <v>1289</v>
      </c>
      <c r="D1325" s="9">
        <v>2000</v>
      </c>
      <c r="E1325" s="9"/>
      <c r="F1325" s="9"/>
      <c r="G1325" s="10" t="s">
        <v>1859</v>
      </c>
      <c r="H1325" s="10" t="s">
        <v>563</v>
      </c>
      <c r="I1325" s="10"/>
      <c r="J1325" s="9">
        <v>70743</v>
      </c>
      <c r="K1325" s="10" t="s">
        <v>1860</v>
      </c>
      <c r="L1325" s="10" t="s">
        <v>228</v>
      </c>
      <c r="M1325" s="10" t="s">
        <v>1834</v>
      </c>
      <c r="N1325" s="7"/>
    </row>
    <row r="1326" s="1" customFormat="1" ht="28.5" customHeight="1" spans="1:14">
      <c r="A1326" s="8"/>
      <c r="B1326" s="9"/>
      <c r="C1326" s="9" t="s">
        <v>1289</v>
      </c>
      <c r="D1326" s="9">
        <v>1500</v>
      </c>
      <c r="E1326" s="9"/>
      <c r="F1326" s="9"/>
      <c r="G1326" s="10" t="s">
        <v>1859</v>
      </c>
      <c r="H1326" s="10" t="s">
        <v>563</v>
      </c>
      <c r="I1326" s="10"/>
      <c r="J1326" s="9">
        <v>70744</v>
      </c>
      <c r="K1326" s="10" t="s">
        <v>1860</v>
      </c>
      <c r="L1326" s="10" t="s">
        <v>228</v>
      </c>
      <c r="M1326" s="10" t="s">
        <v>1834</v>
      </c>
      <c r="N1326" s="7"/>
    </row>
    <row r="1327" s="1" customFormat="1" ht="28.5" customHeight="1" spans="1:14">
      <c r="A1327" s="8"/>
      <c r="B1327" s="9"/>
      <c r="C1327" s="9" t="s">
        <v>1289</v>
      </c>
      <c r="D1327" s="9">
        <v>1000</v>
      </c>
      <c r="E1327" s="9"/>
      <c r="F1327" s="9"/>
      <c r="G1327" s="10" t="s">
        <v>1859</v>
      </c>
      <c r="H1327" s="10" t="s">
        <v>563</v>
      </c>
      <c r="I1327" s="10"/>
      <c r="J1327" s="9">
        <v>70745</v>
      </c>
      <c r="K1327" s="10" t="s">
        <v>1860</v>
      </c>
      <c r="L1327" s="10" t="s">
        <v>228</v>
      </c>
      <c r="M1327" s="10" t="s">
        <v>1834</v>
      </c>
      <c r="N1327" s="7"/>
    </row>
    <row r="1328" s="1" customFormat="1" ht="28.5" customHeight="1" spans="1:14">
      <c r="A1328" s="8"/>
      <c r="B1328" s="9"/>
      <c r="C1328" s="9" t="s">
        <v>1289</v>
      </c>
      <c r="D1328" s="9">
        <v>3000</v>
      </c>
      <c r="E1328" s="9"/>
      <c r="F1328" s="9"/>
      <c r="G1328" s="10" t="s">
        <v>1861</v>
      </c>
      <c r="H1328" s="10" t="s">
        <v>563</v>
      </c>
      <c r="I1328" s="10"/>
      <c r="J1328" s="9">
        <v>80746</v>
      </c>
      <c r="K1328" s="10" t="s">
        <v>1862</v>
      </c>
      <c r="L1328" s="10" t="s">
        <v>231</v>
      </c>
      <c r="M1328" s="10" t="s">
        <v>1834</v>
      </c>
      <c r="N1328" s="7"/>
    </row>
    <row r="1329" s="1" customFormat="1" ht="28.5" customHeight="1" spans="1:14">
      <c r="A1329" s="8"/>
      <c r="B1329" s="9"/>
      <c r="C1329" s="9" t="s">
        <v>1289</v>
      </c>
      <c r="D1329" s="9">
        <v>2500</v>
      </c>
      <c r="E1329" s="9"/>
      <c r="F1329" s="9"/>
      <c r="G1329" s="10" t="s">
        <v>1861</v>
      </c>
      <c r="H1329" s="10" t="s">
        <v>563</v>
      </c>
      <c r="I1329" s="10"/>
      <c r="J1329" s="9">
        <v>80747</v>
      </c>
      <c r="K1329" s="10" t="s">
        <v>1862</v>
      </c>
      <c r="L1329" s="10" t="s">
        <v>231</v>
      </c>
      <c r="M1329" s="10" t="s">
        <v>1834</v>
      </c>
      <c r="N1329" s="7"/>
    </row>
    <row r="1330" s="1" customFormat="1" ht="28.5" customHeight="1" spans="1:14">
      <c r="A1330" s="8"/>
      <c r="B1330" s="9"/>
      <c r="C1330" s="9" t="s">
        <v>1289</v>
      </c>
      <c r="D1330" s="9">
        <v>2000</v>
      </c>
      <c r="E1330" s="9"/>
      <c r="F1330" s="9"/>
      <c r="G1330" s="10" t="s">
        <v>1861</v>
      </c>
      <c r="H1330" s="10" t="s">
        <v>563</v>
      </c>
      <c r="I1330" s="10"/>
      <c r="J1330" s="9">
        <v>80748</v>
      </c>
      <c r="K1330" s="10" t="s">
        <v>1862</v>
      </c>
      <c r="L1330" s="10" t="s">
        <v>231</v>
      </c>
      <c r="M1330" s="10" t="s">
        <v>1834</v>
      </c>
      <c r="N1330" s="7"/>
    </row>
    <row r="1331" s="1" customFormat="1" ht="28.5" customHeight="1" spans="1:14">
      <c r="A1331" s="8"/>
      <c r="B1331" s="9"/>
      <c r="C1331" s="9" t="s">
        <v>1289</v>
      </c>
      <c r="D1331" s="9">
        <v>1500</v>
      </c>
      <c r="E1331" s="9"/>
      <c r="F1331" s="9"/>
      <c r="G1331" s="10" t="s">
        <v>1861</v>
      </c>
      <c r="H1331" s="10" t="s">
        <v>563</v>
      </c>
      <c r="I1331" s="10"/>
      <c r="J1331" s="9">
        <v>80749</v>
      </c>
      <c r="K1331" s="10" t="s">
        <v>1862</v>
      </c>
      <c r="L1331" s="10" t="s">
        <v>231</v>
      </c>
      <c r="M1331" s="10" t="s">
        <v>1834</v>
      </c>
      <c r="N1331" s="7"/>
    </row>
    <row r="1332" s="1" customFormat="1" ht="28.5" customHeight="1" spans="1:14">
      <c r="A1332" s="8"/>
      <c r="B1332" s="9"/>
      <c r="C1332" s="9" t="s">
        <v>1289</v>
      </c>
      <c r="D1332" s="9">
        <v>1000</v>
      </c>
      <c r="E1332" s="9"/>
      <c r="F1332" s="9"/>
      <c r="G1332" s="10" t="s">
        <v>1861</v>
      </c>
      <c r="H1332" s="10" t="s">
        <v>563</v>
      </c>
      <c r="I1332" s="10"/>
      <c r="J1332" s="9">
        <v>80750</v>
      </c>
      <c r="K1332" s="10" t="s">
        <v>1862</v>
      </c>
      <c r="L1332" s="10" t="s">
        <v>231</v>
      </c>
      <c r="M1332" s="10" t="s">
        <v>1834</v>
      </c>
      <c r="N1332" s="7"/>
    </row>
    <row r="1333" s="1" customFormat="1" ht="28.5" customHeight="1" spans="1:14">
      <c r="A1333" s="8">
        <v>30602</v>
      </c>
      <c r="B1333" s="9">
        <v>30611</v>
      </c>
      <c r="C1333" s="9" t="s">
        <v>34</v>
      </c>
      <c r="D1333" s="9">
        <v>3000</v>
      </c>
      <c r="E1333" s="9"/>
      <c r="F1333" s="9">
        <v>30602</v>
      </c>
      <c r="G1333" s="10" t="s">
        <v>1987</v>
      </c>
      <c r="H1333" s="10" t="s">
        <v>563</v>
      </c>
      <c r="I1333" s="10"/>
      <c r="J1333" s="9">
        <v>10751</v>
      </c>
      <c r="K1333" s="10" t="s">
        <v>1988</v>
      </c>
      <c r="L1333" s="10" t="s">
        <v>261</v>
      </c>
      <c r="M1333" s="10" t="s">
        <v>1842</v>
      </c>
      <c r="N1333" s="7"/>
    </row>
    <row r="1334" s="1" customFormat="1" ht="28.5" customHeight="1" spans="1:14">
      <c r="A1334" s="8">
        <v>30602</v>
      </c>
      <c r="B1334" s="9">
        <v>30612</v>
      </c>
      <c r="C1334" s="9" t="s">
        <v>34</v>
      </c>
      <c r="D1334" s="9">
        <v>2500</v>
      </c>
      <c r="E1334" s="9"/>
      <c r="F1334" s="9">
        <v>30602</v>
      </c>
      <c r="G1334" s="10" t="s">
        <v>1989</v>
      </c>
      <c r="H1334" s="10" t="s">
        <v>563</v>
      </c>
      <c r="I1334" s="10"/>
      <c r="J1334" s="9">
        <v>10752</v>
      </c>
      <c r="K1334" s="10" t="s">
        <v>1990</v>
      </c>
      <c r="L1334" s="10" t="s">
        <v>261</v>
      </c>
      <c r="M1334" s="10" t="s">
        <v>1842</v>
      </c>
      <c r="N1334" s="7"/>
    </row>
    <row r="1335" s="1" customFormat="1" ht="28.5" customHeight="1" spans="1:14">
      <c r="A1335" s="8">
        <v>30602</v>
      </c>
      <c r="B1335" s="9">
        <v>30613</v>
      </c>
      <c r="C1335" s="9" t="s">
        <v>34</v>
      </c>
      <c r="D1335" s="9">
        <v>2000</v>
      </c>
      <c r="E1335" s="9"/>
      <c r="F1335" s="9">
        <v>30602</v>
      </c>
      <c r="G1335" s="10" t="s">
        <v>1991</v>
      </c>
      <c r="H1335" s="10" t="s">
        <v>563</v>
      </c>
      <c r="I1335" s="10"/>
      <c r="J1335" s="9">
        <v>10753</v>
      </c>
      <c r="K1335" s="10" t="s">
        <v>1992</v>
      </c>
      <c r="L1335" s="10" t="s">
        <v>261</v>
      </c>
      <c r="M1335" s="10" t="s">
        <v>1842</v>
      </c>
      <c r="N1335" s="7"/>
    </row>
    <row r="1336" s="1" customFormat="1" ht="28.5" customHeight="1" spans="1:14">
      <c r="A1336" s="8">
        <v>30602</v>
      </c>
      <c r="B1336" s="9">
        <v>30614</v>
      </c>
      <c r="C1336" s="9" t="s">
        <v>34</v>
      </c>
      <c r="D1336" s="9">
        <v>1500</v>
      </c>
      <c r="E1336" s="9"/>
      <c r="F1336" s="9">
        <v>30602</v>
      </c>
      <c r="G1336" s="10" t="s">
        <v>1993</v>
      </c>
      <c r="H1336" s="10" t="s">
        <v>563</v>
      </c>
      <c r="I1336" s="10"/>
      <c r="J1336" s="9">
        <v>10754</v>
      </c>
      <c r="K1336" s="10" t="s">
        <v>1994</v>
      </c>
      <c r="L1336" s="10" t="s">
        <v>261</v>
      </c>
      <c r="M1336" s="10" t="s">
        <v>1842</v>
      </c>
      <c r="N1336" s="7"/>
    </row>
    <row r="1337" s="1" customFormat="1" ht="28.5" customHeight="1" spans="1:14">
      <c r="A1337" s="8">
        <v>30602</v>
      </c>
      <c r="B1337" s="9">
        <v>30615</v>
      </c>
      <c r="C1337" s="9" t="s">
        <v>34</v>
      </c>
      <c r="D1337" s="9">
        <v>1000</v>
      </c>
      <c r="E1337" s="9"/>
      <c r="F1337" s="9">
        <v>30602</v>
      </c>
      <c r="G1337" s="10" t="s">
        <v>1995</v>
      </c>
      <c r="H1337" s="10" t="s">
        <v>563</v>
      </c>
      <c r="I1337" s="10"/>
      <c r="J1337" s="9">
        <v>10755</v>
      </c>
      <c r="K1337" s="10" t="s">
        <v>1996</v>
      </c>
      <c r="L1337" s="10" t="s">
        <v>261</v>
      </c>
      <c r="M1337" s="10" t="s">
        <v>1842</v>
      </c>
      <c r="N1337" s="7"/>
    </row>
    <row r="1338" s="1" customFormat="1" ht="28.5" customHeight="1" spans="1:14">
      <c r="A1338" s="8"/>
      <c r="B1338" s="9"/>
      <c r="C1338" s="9" t="s">
        <v>1289</v>
      </c>
      <c r="D1338" s="9">
        <v>3000</v>
      </c>
      <c r="E1338" s="9"/>
      <c r="F1338" s="9"/>
      <c r="G1338" s="10" t="s">
        <v>2391</v>
      </c>
      <c r="H1338" s="10" t="s">
        <v>563</v>
      </c>
      <c r="I1338" s="10"/>
      <c r="J1338" s="9">
        <v>100756</v>
      </c>
      <c r="K1338" s="10" t="s">
        <v>320</v>
      </c>
      <c r="L1338" s="10" t="s">
        <v>248</v>
      </c>
      <c r="M1338" s="10" t="s">
        <v>1834</v>
      </c>
      <c r="N1338" s="7"/>
    </row>
    <row r="1339" s="1" customFormat="1" ht="28.5" customHeight="1" spans="1:14">
      <c r="A1339" s="8"/>
      <c r="B1339" s="9"/>
      <c r="C1339" s="9" t="s">
        <v>1289</v>
      </c>
      <c r="D1339" s="9">
        <v>2500</v>
      </c>
      <c r="E1339" s="9"/>
      <c r="F1339" s="9"/>
      <c r="G1339" s="10" t="s">
        <v>2391</v>
      </c>
      <c r="H1339" s="10" t="s">
        <v>563</v>
      </c>
      <c r="I1339" s="10"/>
      <c r="J1339" s="9">
        <v>100757</v>
      </c>
      <c r="K1339" s="10" t="s">
        <v>320</v>
      </c>
      <c r="L1339" s="10" t="s">
        <v>248</v>
      </c>
      <c r="M1339" s="10" t="s">
        <v>1834</v>
      </c>
      <c r="N1339" s="7"/>
    </row>
    <row r="1340" s="1" customFormat="1" ht="28.5" customHeight="1" spans="1:14">
      <c r="A1340" s="8"/>
      <c r="B1340" s="9"/>
      <c r="C1340" s="9" t="s">
        <v>1289</v>
      </c>
      <c r="D1340" s="9">
        <v>2000</v>
      </c>
      <c r="E1340" s="9"/>
      <c r="F1340" s="9"/>
      <c r="G1340" s="10" t="s">
        <v>2391</v>
      </c>
      <c r="H1340" s="10" t="s">
        <v>563</v>
      </c>
      <c r="I1340" s="10"/>
      <c r="J1340" s="9">
        <v>100758</v>
      </c>
      <c r="K1340" s="10" t="s">
        <v>320</v>
      </c>
      <c r="L1340" s="10" t="s">
        <v>248</v>
      </c>
      <c r="M1340" s="10" t="s">
        <v>1834</v>
      </c>
      <c r="N1340" s="7"/>
    </row>
    <row r="1341" s="1" customFormat="1" ht="28.5" customHeight="1" spans="1:14">
      <c r="A1341" s="8"/>
      <c r="B1341" s="9"/>
      <c r="C1341" s="9" t="s">
        <v>1289</v>
      </c>
      <c r="D1341" s="9">
        <v>1500</v>
      </c>
      <c r="E1341" s="9"/>
      <c r="F1341" s="9"/>
      <c r="G1341" s="10" t="s">
        <v>2391</v>
      </c>
      <c r="H1341" s="10" t="s">
        <v>563</v>
      </c>
      <c r="I1341" s="10"/>
      <c r="J1341" s="9">
        <v>100759</v>
      </c>
      <c r="K1341" s="10" t="s">
        <v>320</v>
      </c>
      <c r="L1341" s="10" t="s">
        <v>248</v>
      </c>
      <c r="M1341" s="10" t="s">
        <v>1834</v>
      </c>
      <c r="N1341" s="7"/>
    </row>
    <row r="1342" s="1" customFormat="1" ht="28.5" customHeight="1" spans="1:14">
      <c r="A1342" s="8"/>
      <c r="B1342" s="9"/>
      <c r="C1342" s="9" t="s">
        <v>1289</v>
      </c>
      <c r="D1342" s="9">
        <v>1000</v>
      </c>
      <c r="E1342" s="9"/>
      <c r="F1342" s="9"/>
      <c r="G1342" s="10" t="s">
        <v>2391</v>
      </c>
      <c r="H1342" s="10" t="s">
        <v>563</v>
      </c>
      <c r="I1342" s="10"/>
      <c r="J1342" s="9">
        <v>100760</v>
      </c>
      <c r="K1342" s="10" t="s">
        <v>320</v>
      </c>
      <c r="L1342" s="10" t="s">
        <v>248</v>
      </c>
      <c r="M1342" s="10" t="s">
        <v>1834</v>
      </c>
      <c r="N1342" s="7"/>
    </row>
    <row r="1343" s="1" customFormat="1" ht="28.5" customHeight="1" spans="1:14">
      <c r="A1343" s="8">
        <v>30601</v>
      </c>
      <c r="B1343" s="9">
        <v>30616</v>
      </c>
      <c r="C1343" s="9" t="s">
        <v>34</v>
      </c>
      <c r="D1343" s="9">
        <v>0</v>
      </c>
      <c r="E1343" s="9"/>
      <c r="F1343" s="9">
        <v>30603</v>
      </c>
      <c r="G1343" s="10" t="s">
        <v>1595</v>
      </c>
      <c r="H1343" s="10" t="s">
        <v>563</v>
      </c>
      <c r="I1343" s="10"/>
      <c r="J1343" s="9">
        <v>60761</v>
      </c>
      <c r="K1343" s="10" t="s">
        <v>2483</v>
      </c>
      <c r="L1343" s="10" t="s">
        <v>335</v>
      </c>
      <c r="M1343" s="10" t="s">
        <v>1842</v>
      </c>
      <c r="N1343" s="7"/>
    </row>
    <row r="1344" s="1" customFormat="1" ht="28.5" customHeight="1" spans="1:14">
      <c r="A1344" s="8">
        <v>30601</v>
      </c>
      <c r="B1344" s="9">
        <v>30617</v>
      </c>
      <c r="C1344" s="9" t="s">
        <v>34</v>
      </c>
      <c r="D1344" s="9">
        <v>0</v>
      </c>
      <c r="E1344" s="9"/>
      <c r="F1344" s="9">
        <v>30603</v>
      </c>
      <c r="G1344" s="10" t="s">
        <v>1597</v>
      </c>
      <c r="H1344" s="10" t="s">
        <v>563</v>
      </c>
      <c r="I1344" s="10"/>
      <c r="J1344" s="9">
        <v>60762</v>
      </c>
      <c r="K1344" s="10" t="s">
        <v>2484</v>
      </c>
      <c r="L1344" s="10" t="s">
        <v>335</v>
      </c>
      <c r="M1344" s="10" t="s">
        <v>1842</v>
      </c>
      <c r="N1344" s="7"/>
    </row>
    <row r="1345" s="1" customFormat="1" ht="28.5" customHeight="1" spans="1:14">
      <c r="A1345" s="8">
        <v>30601</v>
      </c>
      <c r="B1345" s="9">
        <v>30618</v>
      </c>
      <c r="C1345" s="9" t="s">
        <v>34</v>
      </c>
      <c r="D1345" s="9">
        <v>0</v>
      </c>
      <c r="E1345" s="9"/>
      <c r="F1345" s="9">
        <v>30603</v>
      </c>
      <c r="G1345" s="10" t="s">
        <v>1599</v>
      </c>
      <c r="H1345" s="10" t="s">
        <v>563</v>
      </c>
      <c r="I1345" s="10"/>
      <c r="J1345" s="9">
        <v>60763</v>
      </c>
      <c r="K1345" s="10" t="s">
        <v>2485</v>
      </c>
      <c r="L1345" s="10" t="s">
        <v>335</v>
      </c>
      <c r="M1345" s="10" t="s">
        <v>1842</v>
      </c>
      <c r="N1345" s="7"/>
    </row>
    <row r="1346" s="1" customFormat="1" ht="28.5" customHeight="1" spans="1:14">
      <c r="A1346" s="8">
        <v>30601</v>
      </c>
      <c r="B1346" s="9">
        <v>30619</v>
      </c>
      <c r="C1346" s="9" t="s">
        <v>34</v>
      </c>
      <c r="D1346" s="9">
        <v>0</v>
      </c>
      <c r="E1346" s="9"/>
      <c r="F1346" s="9">
        <v>30603</v>
      </c>
      <c r="G1346" s="10" t="s">
        <v>1601</v>
      </c>
      <c r="H1346" s="10" t="s">
        <v>563</v>
      </c>
      <c r="I1346" s="10"/>
      <c r="J1346" s="9">
        <v>60764</v>
      </c>
      <c r="K1346" s="10" t="s">
        <v>2486</v>
      </c>
      <c r="L1346" s="10" t="s">
        <v>335</v>
      </c>
      <c r="M1346" s="10" t="s">
        <v>1842</v>
      </c>
      <c r="N1346" s="7"/>
    </row>
    <row r="1347" s="1" customFormat="1" ht="28.5" customHeight="1" spans="1:14">
      <c r="A1347" s="8">
        <v>30601</v>
      </c>
      <c r="B1347" s="9">
        <v>30620</v>
      </c>
      <c r="C1347" s="9" t="s">
        <v>34</v>
      </c>
      <c r="D1347" s="9">
        <v>0</v>
      </c>
      <c r="E1347" s="9"/>
      <c r="F1347" s="9">
        <v>30603</v>
      </c>
      <c r="G1347" s="10" t="s">
        <v>1603</v>
      </c>
      <c r="H1347" s="10" t="s">
        <v>563</v>
      </c>
      <c r="I1347" s="10"/>
      <c r="J1347" s="9">
        <v>60765</v>
      </c>
      <c r="K1347" s="10" t="s">
        <v>2487</v>
      </c>
      <c r="L1347" s="10" t="s">
        <v>335</v>
      </c>
      <c r="M1347" s="10" t="s">
        <v>1842</v>
      </c>
      <c r="N1347" s="7"/>
    </row>
    <row r="1348" s="1" customFormat="1" ht="28.5" customHeight="1" spans="1:14">
      <c r="A1348" s="8">
        <v>30601</v>
      </c>
      <c r="B1348" s="9">
        <v>30621</v>
      </c>
      <c r="C1348" s="9" t="s">
        <v>34</v>
      </c>
      <c r="D1348" s="9">
        <v>3000</v>
      </c>
      <c r="E1348" s="9"/>
      <c r="F1348" s="9">
        <v>30604</v>
      </c>
      <c r="G1348" s="10" t="s">
        <v>1593</v>
      </c>
      <c r="H1348" s="10" t="s">
        <v>563</v>
      </c>
      <c r="I1348" s="10"/>
      <c r="J1348" s="9">
        <v>50766</v>
      </c>
      <c r="K1348" s="10" t="s">
        <v>2454</v>
      </c>
      <c r="L1348" s="10" t="s">
        <v>336</v>
      </c>
      <c r="M1348" s="10" t="s">
        <v>1842</v>
      </c>
      <c r="N1348" s="7"/>
    </row>
    <row r="1349" s="1" customFormat="1" ht="28.5" customHeight="1" spans="1:14">
      <c r="A1349" s="8">
        <v>30601</v>
      </c>
      <c r="B1349" s="9">
        <v>30622</v>
      </c>
      <c r="C1349" s="9" t="s">
        <v>34</v>
      </c>
      <c r="D1349" s="9">
        <v>2500</v>
      </c>
      <c r="E1349" s="9"/>
      <c r="F1349" s="9">
        <v>30604</v>
      </c>
      <c r="G1349" s="10" t="s">
        <v>1605</v>
      </c>
      <c r="H1349" s="10" t="s">
        <v>563</v>
      </c>
      <c r="I1349" s="10"/>
      <c r="J1349" s="9">
        <v>50767</v>
      </c>
      <c r="K1349" s="10" t="s">
        <v>2488</v>
      </c>
      <c r="L1349" s="10" t="s">
        <v>336</v>
      </c>
      <c r="M1349" s="10" t="s">
        <v>1842</v>
      </c>
      <c r="N1349" s="7"/>
    </row>
    <row r="1350" s="1" customFormat="1" ht="28.5" customHeight="1" spans="1:14">
      <c r="A1350" s="8">
        <v>30601</v>
      </c>
      <c r="B1350" s="9">
        <v>30623</v>
      </c>
      <c r="C1350" s="9" t="s">
        <v>34</v>
      </c>
      <c r="D1350" s="9">
        <v>2000</v>
      </c>
      <c r="E1350" s="9"/>
      <c r="F1350" s="9">
        <v>30604</v>
      </c>
      <c r="G1350" s="10" t="s">
        <v>2489</v>
      </c>
      <c r="H1350" s="10" t="s">
        <v>563</v>
      </c>
      <c r="I1350" s="10"/>
      <c r="J1350" s="9">
        <v>50768</v>
      </c>
      <c r="K1350" s="10" t="s">
        <v>2490</v>
      </c>
      <c r="L1350" s="10" t="s">
        <v>336</v>
      </c>
      <c r="M1350" s="10" t="s">
        <v>1842</v>
      </c>
      <c r="N1350" s="7"/>
    </row>
    <row r="1351" s="1" customFormat="1" ht="28.5" customHeight="1" spans="1:14">
      <c r="A1351" s="8">
        <v>30601</v>
      </c>
      <c r="B1351" s="9">
        <v>30624</v>
      </c>
      <c r="C1351" s="9" t="s">
        <v>34</v>
      </c>
      <c r="D1351" s="9">
        <v>1500</v>
      </c>
      <c r="E1351" s="9"/>
      <c r="F1351" s="9">
        <v>30604</v>
      </c>
      <c r="G1351" s="10" t="s">
        <v>2491</v>
      </c>
      <c r="H1351" s="10" t="s">
        <v>563</v>
      </c>
      <c r="I1351" s="10"/>
      <c r="J1351" s="9">
        <v>50769</v>
      </c>
      <c r="K1351" s="10" t="s">
        <v>2492</v>
      </c>
      <c r="L1351" s="10" t="s">
        <v>336</v>
      </c>
      <c r="M1351" s="10" t="s">
        <v>1842</v>
      </c>
      <c r="N1351" s="7"/>
    </row>
    <row r="1352" s="1" customFormat="1" ht="28.5" customHeight="1" spans="1:14">
      <c r="A1352" s="8">
        <v>30601</v>
      </c>
      <c r="B1352" s="9">
        <v>30625</v>
      </c>
      <c r="C1352" s="9" t="s">
        <v>34</v>
      </c>
      <c r="D1352" s="9">
        <v>1000</v>
      </c>
      <c r="E1352" s="9"/>
      <c r="F1352" s="9">
        <v>30604</v>
      </c>
      <c r="G1352" s="10" t="s">
        <v>1613</v>
      </c>
      <c r="H1352" s="10" t="s">
        <v>563</v>
      </c>
      <c r="I1352" s="10"/>
      <c r="J1352" s="9">
        <v>50770</v>
      </c>
      <c r="K1352" s="10" t="s">
        <v>2493</v>
      </c>
      <c r="L1352" s="10" t="s">
        <v>336</v>
      </c>
      <c r="M1352" s="10" t="s">
        <v>1842</v>
      </c>
      <c r="N1352" s="7"/>
    </row>
    <row r="1353" s="1" customFormat="1" ht="28.5" customHeight="1" spans="1:14">
      <c r="A1353" s="8">
        <v>30601</v>
      </c>
      <c r="B1353" s="9">
        <v>30626</v>
      </c>
      <c r="C1353" s="9" t="s">
        <v>34</v>
      </c>
      <c r="D1353" s="9">
        <v>3000</v>
      </c>
      <c r="E1353" s="9"/>
      <c r="F1353" s="9">
        <v>30605</v>
      </c>
      <c r="G1353" s="10" t="s">
        <v>2494</v>
      </c>
      <c r="H1353" s="10" t="s">
        <v>563</v>
      </c>
      <c r="I1353" s="10"/>
      <c r="J1353" s="9">
        <v>30771</v>
      </c>
      <c r="K1353" s="10" t="s">
        <v>2495</v>
      </c>
      <c r="L1353" s="10" t="s">
        <v>337</v>
      </c>
      <c r="M1353" s="10" t="s">
        <v>1842</v>
      </c>
      <c r="N1353" s="7"/>
    </row>
    <row r="1354" s="1" customFormat="1" ht="28.5" customHeight="1" spans="1:14">
      <c r="A1354" s="8">
        <v>30601</v>
      </c>
      <c r="B1354" s="9">
        <v>30627</v>
      </c>
      <c r="C1354" s="9" t="s">
        <v>34</v>
      </c>
      <c r="D1354" s="9">
        <v>2500</v>
      </c>
      <c r="E1354" s="9"/>
      <c r="F1354" s="9">
        <v>30605</v>
      </c>
      <c r="G1354" s="10" t="s">
        <v>2496</v>
      </c>
      <c r="H1354" s="10" t="s">
        <v>563</v>
      </c>
      <c r="I1354" s="10"/>
      <c r="J1354" s="9">
        <v>30772</v>
      </c>
      <c r="K1354" s="10" t="s">
        <v>2497</v>
      </c>
      <c r="L1354" s="10" t="s">
        <v>337</v>
      </c>
      <c r="M1354" s="10" t="s">
        <v>1842</v>
      </c>
      <c r="N1354" s="7"/>
    </row>
    <row r="1355" s="1" customFormat="1" ht="28.5" customHeight="1" spans="1:14">
      <c r="A1355" s="8">
        <v>30601</v>
      </c>
      <c r="B1355" s="9">
        <v>30628</v>
      </c>
      <c r="C1355" s="9" t="s">
        <v>34</v>
      </c>
      <c r="D1355" s="9">
        <v>2000</v>
      </c>
      <c r="E1355" s="9"/>
      <c r="F1355" s="9">
        <v>30605</v>
      </c>
      <c r="G1355" s="10" t="s">
        <v>2498</v>
      </c>
      <c r="H1355" s="10" t="s">
        <v>563</v>
      </c>
      <c r="I1355" s="10"/>
      <c r="J1355" s="9">
        <v>30773</v>
      </c>
      <c r="K1355" s="10" t="s">
        <v>2499</v>
      </c>
      <c r="L1355" s="10" t="s">
        <v>337</v>
      </c>
      <c r="M1355" s="10" t="s">
        <v>1842</v>
      </c>
      <c r="N1355" s="7"/>
    </row>
    <row r="1356" s="1" customFormat="1" ht="28.5" customHeight="1" spans="1:14">
      <c r="A1356" s="8">
        <v>30601</v>
      </c>
      <c r="B1356" s="9">
        <v>30629</v>
      </c>
      <c r="C1356" s="9" t="s">
        <v>34</v>
      </c>
      <c r="D1356" s="9">
        <v>1500</v>
      </c>
      <c r="E1356" s="9"/>
      <c r="F1356" s="9">
        <v>30605</v>
      </c>
      <c r="G1356" s="10" t="s">
        <v>2500</v>
      </c>
      <c r="H1356" s="10" t="s">
        <v>563</v>
      </c>
      <c r="I1356" s="10"/>
      <c r="J1356" s="9">
        <v>30774</v>
      </c>
      <c r="K1356" s="10" t="s">
        <v>2501</v>
      </c>
      <c r="L1356" s="10" t="s">
        <v>337</v>
      </c>
      <c r="M1356" s="10" t="s">
        <v>1842</v>
      </c>
      <c r="N1356" s="7"/>
    </row>
    <row r="1357" s="1" customFormat="1" ht="28.5" customHeight="1" spans="1:14">
      <c r="A1357" s="8">
        <v>30601</v>
      </c>
      <c r="B1357" s="9">
        <v>30630</v>
      </c>
      <c r="C1357" s="9" t="s">
        <v>34</v>
      </c>
      <c r="D1357" s="9">
        <v>1000</v>
      </c>
      <c r="E1357" s="9"/>
      <c r="F1357" s="9">
        <v>30605</v>
      </c>
      <c r="G1357" s="10" t="s">
        <v>2502</v>
      </c>
      <c r="H1357" s="10" t="s">
        <v>563</v>
      </c>
      <c r="I1357" s="10"/>
      <c r="J1357" s="9">
        <v>30775</v>
      </c>
      <c r="K1357" s="10" t="s">
        <v>2503</v>
      </c>
      <c r="L1357" s="10" t="s">
        <v>337</v>
      </c>
      <c r="M1357" s="10" t="s">
        <v>1842</v>
      </c>
      <c r="N1357" s="7"/>
    </row>
    <row r="1358" s="1" customFormat="1" ht="28.5" customHeight="1" spans="1:14">
      <c r="A1358" s="8">
        <v>30601</v>
      </c>
      <c r="B1358" s="9">
        <v>30631</v>
      </c>
      <c r="C1358" s="9" t="s">
        <v>34</v>
      </c>
      <c r="D1358" s="9">
        <v>3000</v>
      </c>
      <c r="E1358" s="9"/>
      <c r="F1358" s="9">
        <v>30606</v>
      </c>
      <c r="G1358" s="10" t="s">
        <v>2471</v>
      </c>
      <c r="H1358" s="10" t="s">
        <v>563</v>
      </c>
      <c r="I1358" s="10"/>
      <c r="J1358" s="9">
        <v>40776</v>
      </c>
      <c r="K1358" s="10" t="s">
        <v>2472</v>
      </c>
      <c r="L1358" s="10" t="s">
        <v>338</v>
      </c>
      <c r="M1358" s="10" t="s">
        <v>1842</v>
      </c>
      <c r="N1358" s="7"/>
    </row>
    <row r="1359" s="1" customFormat="1" ht="28.5" customHeight="1" spans="1:14">
      <c r="A1359" s="8">
        <v>30601</v>
      </c>
      <c r="B1359" s="9">
        <v>30632</v>
      </c>
      <c r="C1359" s="9" t="s">
        <v>34</v>
      </c>
      <c r="D1359" s="9">
        <v>2500</v>
      </c>
      <c r="E1359" s="9"/>
      <c r="F1359" s="9">
        <v>30606</v>
      </c>
      <c r="G1359" s="10" t="s">
        <v>2504</v>
      </c>
      <c r="H1359" s="10" t="s">
        <v>563</v>
      </c>
      <c r="I1359" s="10"/>
      <c r="J1359" s="9">
        <v>40777</v>
      </c>
      <c r="K1359" s="10" t="s">
        <v>2505</v>
      </c>
      <c r="L1359" s="10" t="s">
        <v>338</v>
      </c>
      <c r="M1359" s="10" t="s">
        <v>1842</v>
      </c>
      <c r="N1359" s="7"/>
    </row>
    <row r="1360" s="1" customFormat="1" ht="28.5" customHeight="1" spans="1:14">
      <c r="A1360" s="8">
        <v>30601</v>
      </c>
      <c r="B1360" s="9">
        <v>30633</v>
      </c>
      <c r="C1360" s="9" t="s">
        <v>34</v>
      </c>
      <c r="D1360" s="9">
        <v>2000</v>
      </c>
      <c r="E1360" s="9"/>
      <c r="F1360" s="9">
        <v>30606</v>
      </c>
      <c r="G1360" s="10" t="s">
        <v>2506</v>
      </c>
      <c r="H1360" s="10" t="s">
        <v>563</v>
      </c>
      <c r="I1360" s="10"/>
      <c r="J1360" s="9">
        <v>40778</v>
      </c>
      <c r="K1360" s="10" t="s">
        <v>2507</v>
      </c>
      <c r="L1360" s="10" t="s">
        <v>338</v>
      </c>
      <c r="M1360" s="10" t="s">
        <v>1842</v>
      </c>
      <c r="N1360" s="7"/>
    </row>
    <row r="1361" s="1" customFormat="1" ht="28.5" customHeight="1" spans="1:14">
      <c r="A1361" s="8">
        <v>30601</v>
      </c>
      <c r="B1361" s="9">
        <v>30634</v>
      </c>
      <c r="C1361" s="9" t="s">
        <v>34</v>
      </c>
      <c r="D1361" s="9">
        <v>1500</v>
      </c>
      <c r="E1361" s="9"/>
      <c r="F1361" s="9">
        <v>30606</v>
      </c>
      <c r="G1361" s="10" t="s">
        <v>2508</v>
      </c>
      <c r="H1361" s="10" t="s">
        <v>563</v>
      </c>
      <c r="I1361" s="10"/>
      <c r="J1361" s="9">
        <v>40779</v>
      </c>
      <c r="K1361" s="10" t="s">
        <v>2509</v>
      </c>
      <c r="L1361" s="10" t="s">
        <v>338</v>
      </c>
      <c r="M1361" s="10" t="s">
        <v>1842</v>
      </c>
      <c r="N1361" s="7"/>
    </row>
    <row r="1362" s="1" customFormat="1" ht="28.5" customHeight="1" spans="1:14">
      <c r="A1362" s="8">
        <v>30601</v>
      </c>
      <c r="B1362" s="9">
        <v>30635</v>
      </c>
      <c r="C1362" s="9" t="s">
        <v>34</v>
      </c>
      <c r="D1362" s="9">
        <v>1000</v>
      </c>
      <c r="E1362" s="9"/>
      <c r="F1362" s="9">
        <v>30606</v>
      </c>
      <c r="G1362" s="10" t="s">
        <v>2510</v>
      </c>
      <c r="H1362" s="10" t="s">
        <v>563</v>
      </c>
      <c r="I1362" s="10"/>
      <c r="J1362" s="9">
        <v>40780</v>
      </c>
      <c r="K1362" s="10" t="s">
        <v>2511</v>
      </c>
      <c r="L1362" s="10" t="s">
        <v>338</v>
      </c>
      <c r="M1362" s="10" t="s">
        <v>1842</v>
      </c>
      <c r="N1362" s="7"/>
    </row>
    <row r="1363" s="1" customFormat="1" ht="28.5" customHeight="1" spans="1:14">
      <c r="A1363" s="8"/>
      <c r="B1363" s="9"/>
      <c r="C1363" s="9" t="s">
        <v>1289</v>
      </c>
      <c r="D1363" s="9">
        <v>3000</v>
      </c>
      <c r="E1363" s="9"/>
      <c r="F1363" s="9"/>
      <c r="G1363" s="10" t="s">
        <v>2512</v>
      </c>
      <c r="H1363" s="10" t="s">
        <v>563</v>
      </c>
      <c r="I1363" s="10"/>
      <c r="J1363" s="9">
        <v>10781</v>
      </c>
      <c r="K1363" s="10" t="s">
        <v>2513</v>
      </c>
      <c r="L1363" s="10" t="s">
        <v>268</v>
      </c>
      <c r="M1363" s="10" t="s">
        <v>1834</v>
      </c>
      <c r="N1363" s="7"/>
    </row>
    <row r="1364" s="1" customFormat="1" ht="28.5" customHeight="1" spans="1:14">
      <c r="A1364" s="8"/>
      <c r="B1364" s="9"/>
      <c r="C1364" s="9" t="s">
        <v>1289</v>
      </c>
      <c r="D1364" s="9">
        <v>2500</v>
      </c>
      <c r="E1364" s="9"/>
      <c r="F1364" s="9"/>
      <c r="G1364" s="10" t="s">
        <v>2514</v>
      </c>
      <c r="H1364" s="10" t="s">
        <v>563</v>
      </c>
      <c r="I1364" s="10"/>
      <c r="J1364" s="9">
        <v>10782</v>
      </c>
      <c r="K1364" s="10" t="s">
        <v>2515</v>
      </c>
      <c r="L1364" s="10" t="s">
        <v>268</v>
      </c>
      <c r="M1364" s="10" t="s">
        <v>1834</v>
      </c>
      <c r="N1364" s="7"/>
    </row>
    <row r="1365" s="1" customFormat="1" ht="28.5" customHeight="1" spans="1:14">
      <c r="A1365" s="8"/>
      <c r="B1365" s="9"/>
      <c r="C1365" s="9" t="s">
        <v>1289</v>
      </c>
      <c r="D1365" s="9">
        <v>2000</v>
      </c>
      <c r="E1365" s="9"/>
      <c r="F1365" s="9"/>
      <c r="G1365" s="10" t="s">
        <v>2516</v>
      </c>
      <c r="H1365" s="10" t="s">
        <v>563</v>
      </c>
      <c r="I1365" s="10"/>
      <c r="J1365" s="9">
        <v>10783</v>
      </c>
      <c r="K1365" s="10" t="s">
        <v>2517</v>
      </c>
      <c r="L1365" s="10" t="s">
        <v>268</v>
      </c>
      <c r="M1365" s="10" t="s">
        <v>1834</v>
      </c>
      <c r="N1365" s="7"/>
    </row>
    <row r="1366" s="1" customFormat="1" ht="28.5" customHeight="1" spans="1:14">
      <c r="A1366" s="8"/>
      <c r="B1366" s="9"/>
      <c r="C1366" s="9" t="s">
        <v>1289</v>
      </c>
      <c r="D1366" s="9">
        <v>1500</v>
      </c>
      <c r="E1366" s="9"/>
      <c r="F1366" s="9"/>
      <c r="G1366" s="10" t="s">
        <v>2518</v>
      </c>
      <c r="H1366" s="10" t="s">
        <v>563</v>
      </c>
      <c r="I1366" s="10"/>
      <c r="J1366" s="9">
        <v>10784</v>
      </c>
      <c r="K1366" s="10" t="s">
        <v>2519</v>
      </c>
      <c r="L1366" s="10" t="s">
        <v>268</v>
      </c>
      <c r="M1366" s="10" t="s">
        <v>1834</v>
      </c>
      <c r="N1366" s="7"/>
    </row>
    <row r="1367" s="1" customFormat="1" ht="28.5" customHeight="1" spans="1:14">
      <c r="A1367" s="8"/>
      <c r="B1367" s="9"/>
      <c r="C1367" s="9" t="s">
        <v>1289</v>
      </c>
      <c r="D1367" s="9">
        <v>1000</v>
      </c>
      <c r="E1367" s="9"/>
      <c r="F1367" s="9"/>
      <c r="G1367" s="10" t="s">
        <v>2520</v>
      </c>
      <c r="H1367" s="10" t="s">
        <v>563</v>
      </c>
      <c r="I1367" s="10"/>
      <c r="J1367" s="9">
        <v>10785</v>
      </c>
      <c r="K1367" s="10" t="s">
        <v>2521</v>
      </c>
      <c r="L1367" s="10" t="s">
        <v>268</v>
      </c>
      <c r="M1367" s="10" t="s">
        <v>1834</v>
      </c>
      <c r="N1367" s="7"/>
    </row>
    <row r="1368" s="1" customFormat="1" ht="28.5" customHeight="1" spans="1:14">
      <c r="A1368" s="8">
        <v>30701</v>
      </c>
      <c r="B1368" s="9">
        <v>30701</v>
      </c>
      <c r="C1368" s="9" t="s">
        <v>35</v>
      </c>
      <c r="D1368" s="9">
        <v>0</v>
      </c>
      <c r="E1368" s="9"/>
      <c r="F1368" s="9">
        <v>30700</v>
      </c>
      <c r="G1368" s="10" t="s">
        <v>1396</v>
      </c>
      <c r="H1368" s="10" t="s">
        <v>563</v>
      </c>
      <c r="I1368" s="10"/>
      <c r="J1368" s="9">
        <v>60786</v>
      </c>
      <c r="K1368" s="10" t="s">
        <v>2036</v>
      </c>
      <c r="L1368" s="10" t="s">
        <v>267</v>
      </c>
      <c r="M1368" s="10" t="s">
        <v>1842</v>
      </c>
      <c r="N1368" s="7"/>
    </row>
    <row r="1369" s="1" customFormat="1" ht="28.5" customHeight="1" spans="1:14">
      <c r="A1369" s="8">
        <v>30701</v>
      </c>
      <c r="B1369" s="9">
        <v>30702</v>
      </c>
      <c r="C1369" s="9" t="s">
        <v>35</v>
      </c>
      <c r="D1369" s="9">
        <v>0</v>
      </c>
      <c r="E1369" s="9"/>
      <c r="F1369" s="9">
        <v>30700</v>
      </c>
      <c r="G1369" s="10" t="s">
        <v>1398</v>
      </c>
      <c r="H1369" s="10" t="s">
        <v>563</v>
      </c>
      <c r="I1369" s="10"/>
      <c r="J1369" s="9">
        <v>60787</v>
      </c>
      <c r="K1369" s="10" t="s">
        <v>2037</v>
      </c>
      <c r="L1369" s="10" t="s">
        <v>267</v>
      </c>
      <c r="M1369" s="10" t="s">
        <v>1842</v>
      </c>
      <c r="N1369" s="7"/>
    </row>
    <row r="1370" s="1" customFormat="1" ht="28.5" customHeight="1" spans="1:14">
      <c r="A1370" s="8">
        <v>30701</v>
      </c>
      <c r="B1370" s="9">
        <v>30703</v>
      </c>
      <c r="C1370" s="9" t="s">
        <v>35</v>
      </c>
      <c r="D1370" s="9">
        <v>0</v>
      </c>
      <c r="E1370" s="9"/>
      <c r="F1370" s="9">
        <v>30700</v>
      </c>
      <c r="G1370" s="10" t="s">
        <v>1400</v>
      </c>
      <c r="H1370" s="10" t="s">
        <v>563</v>
      </c>
      <c r="I1370" s="10"/>
      <c r="J1370" s="9">
        <v>60788</v>
      </c>
      <c r="K1370" s="10" t="s">
        <v>2038</v>
      </c>
      <c r="L1370" s="10" t="s">
        <v>267</v>
      </c>
      <c r="M1370" s="10" t="s">
        <v>1842</v>
      </c>
      <c r="N1370" s="7"/>
    </row>
    <row r="1371" s="1" customFormat="1" ht="28.5" customHeight="1" spans="1:14">
      <c r="A1371" s="8">
        <v>30701</v>
      </c>
      <c r="B1371" s="9">
        <v>30704</v>
      </c>
      <c r="C1371" s="9" t="s">
        <v>35</v>
      </c>
      <c r="D1371" s="9">
        <v>0</v>
      </c>
      <c r="E1371" s="9"/>
      <c r="F1371" s="9">
        <v>30700</v>
      </c>
      <c r="G1371" s="10" t="s">
        <v>1402</v>
      </c>
      <c r="H1371" s="10" t="s">
        <v>563</v>
      </c>
      <c r="I1371" s="10"/>
      <c r="J1371" s="9">
        <v>60789</v>
      </c>
      <c r="K1371" s="10" t="s">
        <v>2039</v>
      </c>
      <c r="L1371" s="10" t="s">
        <v>267</v>
      </c>
      <c r="M1371" s="10" t="s">
        <v>1842</v>
      </c>
      <c r="N1371" s="7"/>
    </row>
    <row r="1372" s="1" customFormat="1" ht="28.5" customHeight="1" spans="1:14">
      <c r="A1372" s="8">
        <v>30701</v>
      </c>
      <c r="B1372" s="9">
        <v>30705</v>
      </c>
      <c r="C1372" s="9" t="s">
        <v>35</v>
      </c>
      <c r="D1372" s="9">
        <v>0</v>
      </c>
      <c r="E1372" s="9"/>
      <c r="F1372" s="9">
        <v>30700</v>
      </c>
      <c r="G1372" s="10" t="s">
        <v>1404</v>
      </c>
      <c r="H1372" s="10" t="s">
        <v>563</v>
      </c>
      <c r="I1372" s="10"/>
      <c r="J1372" s="9">
        <v>60790</v>
      </c>
      <c r="K1372" s="10" t="s">
        <v>2040</v>
      </c>
      <c r="L1372" s="10" t="s">
        <v>267</v>
      </c>
      <c r="M1372" s="10" t="s">
        <v>1842</v>
      </c>
      <c r="N1372" s="7"/>
    </row>
    <row r="1373" s="1" customFormat="1" ht="28.5" customHeight="1" spans="1:14">
      <c r="A1373" s="8">
        <v>30701</v>
      </c>
      <c r="B1373" s="9">
        <v>30706</v>
      </c>
      <c r="C1373" s="9" t="s">
        <v>35</v>
      </c>
      <c r="D1373" s="9">
        <v>3000</v>
      </c>
      <c r="E1373" s="9"/>
      <c r="F1373" s="9">
        <v>30701</v>
      </c>
      <c r="G1373" s="10" t="s">
        <v>1929</v>
      </c>
      <c r="H1373" s="10" t="s">
        <v>563</v>
      </c>
      <c r="I1373" s="10"/>
      <c r="J1373" s="9">
        <v>20791</v>
      </c>
      <c r="K1373" s="10" t="s">
        <v>1930</v>
      </c>
      <c r="L1373" s="10" t="s">
        <v>268</v>
      </c>
      <c r="M1373" s="10" t="s">
        <v>1842</v>
      </c>
      <c r="N1373" s="7"/>
    </row>
    <row r="1374" s="1" customFormat="1" ht="28.5" customHeight="1" spans="1:14">
      <c r="A1374" s="8">
        <v>30701</v>
      </c>
      <c r="B1374" s="9">
        <v>30707</v>
      </c>
      <c r="C1374" s="9" t="s">
        <v>35</v>
      </c>
      <c r="D1374" s="9">
        <v>2500</v>
      </c>
      <c r="E1374" s="9"/>
      <c r="F1374" s="9">
        <v>30701</v>
      </c>
      <c r="G1374" s="10" t="s">
        <v>2041</v>
      </c>
      <c r="H1374" s="10" t="s">
        <v>563</v>
      </c>
      <c r="I1374" s="10"/>
      <c r="J1374" s="9">
        <v>20792</v>
      </c>
      <c r="K1374" s="10" t="s">
        <v>2042</v>
      </c>
      <c r="L1374" s="10" t="s">
        <v>268</v>
      </c>
      <c r="M1374" s="10" t="s">
        <v>1842</v>
      </c>
      <c r="N1374" s="7"/>
    </row>
    <row r="1375" s="1" customFormat="1" ht="28.5" customHeight="1" spans="1:14">
      <c r="A1375" s="8">
        <v>30701</v>
      </c>
      <c r="B1375" s="9">
        <v>30708</v>
      </c>
      <c r="C1375" s="9" t="s">
        <v>35</v>
      </c>
      <c r="D1375" s="9">
        <v>2000</v>
      </c>
      <c r="E1375" s="9"/>
      <c r="F1375" s="9">
        <v>30701</v>
      </c>
      <c r="G1375" s="10" t="s">
        <v>2043</v>
      </c>
      <c r="H1375" s="10" t="s">
        <v>563</v>
      </c>
      <c r="I1375" s="10"/>
      <c r="J1375" s="9">
        <v>20793</v>
      </c>
      <c r="K1375" s="10" t="s">
        <v>2044</v>
      </c>
      <c r="L1375" s="10" t="s">
        <v>268</v>
      </c>
      <c r="M1375" s="10" t="s">
        <v>1842</v>
      </c>
      <c r="N1375" s="7"/>
    </row>
    <row r="1376" s="1" customFormat="1" ht="28.5" customHeight="1" spans="1:14">
      <c r="A1376" s="8">
        <v>30701</v>
      </c>
      <c r="B1376" s="9">
        <v>30709</v>
      </c>
      <c r="C1376" s="9" t="s">
        <v>35</v>
      </c>
      <c r="D1376" s="9">
        <v>1500</v>
      </c>
      <c r="E1376" s="9"/>
      <c r="F1376" s="9">
        <v>30701</v>
      </c>
      <c r="G1376" s="10" t="s">
        <v>2045</v>
      </c>
      <c r="H1376" s="10" t="s">
        <v>563</v>
      </c>
      <c r="I1376" s="10"/>
      <c r="J1376" s="9">
        <v>20794</v>
      </c>
      <c r="K1376" s="10" t="s">
        <v>2046</v>
      </c>
      <c r="L1376" s="10" t="s">
        <v>268</v>
      </c>
      <c r="M1376" s="10" t="s">
        <v>1842</v>
      </c>
      <c r="N1376" s="7"/>
    </row>
    <row r="1377" s="1" customFormat="1" ht="28.5" customHeight="1" spans="1:14">
      <c r="A1377" s="8">
        <v>30701</v>
      </c>
      <c r="B1377" s="9">
        <v>30710</v>
      </c>
      <c r="C1377" s="9" t="s">
        <v>35</v>
      </c>
      <c r="D1377" s="9">
        <v>1000</v>
      </c>
      <c r="E1377" s="9"/>
      <c r="F1377" s="9">
        <v>30701</v>
      </c>
      <c r="G1377" s="10" t="s">
        <v>2047</v>
      </c>
      <c r="H1377" s="10" t="s">
        <v>563</v>
      </c>
      <c r="I1377" s="10"/>
      <c r="J1377" s="9">
        <v>20795</v>
      </c>
      <c r="K1377" s="10" t="s">
        <v>2048</v>
      </c>
      <c r="L1377" s="10" t="s">
        <v>268</v>
      </c>
      <c r="M1377" s="10" t="s">
        <v>1842</v>
      </c>
      <c r="N1377" s="7"/>
    </row>
    <row r="1378" s="1" customFormat="1" ht="28.5" customHeight="1" spans="1:14">
      <c r="A1378" s="8"/>
      <c r="B1378" s="9"/>
      <c r="C1378" s="9" t="s">
        <v>1289</v>
      </c>
      <c r="D1378" s="9">
        <v>3000</v>
      </c>
      <c r="E1378" s="9"/>
      <c r="F1378" s="9"/>
      <c r="G1378" s="10" t="s">
        <v>1857</v>
      </c>
      <c r="H1378" s="10" t="s">
        <v>563</v>
      </c>
      <c r="I1378" s="10"/>
      <c r="J1378" s="9">
        <v>90796</v>
      </c>
      <c r="K1378" s="10" t="s">
        <v>1858</v>
      </c>
      <c r="L1378" s="10" t="s">
        <v>224</v>
      </c>
      <c r="M1378" s="10" t="s">
        <v>1834</v>
      </c>
      <c r="N1378" s="7"/>
    </row>
    <row r="1379" s="1" customFormat="1" ht="28.5" customHeight="1" spans="1:14">
      <c r="A1379" s="8"/>
      <c r="B1379" s="9"/>
      <c r="C1379" s="9" t="s">
        <v>1289</v>
      </c>
      <c r="D1379" s="9">
        <v>2500</v>
      </c>
      <c r="E1379" s="9"/>
      <c r="F1379" s="9"/>
      <c r="G1379" s="10" t="s">
        <v>1857</v>
      </c>
      <c r="H1379" s="10" t="s">
        <v>563</v>
      </c>
      <c r="I1379" s="10"/>
      <c r="J1379" s="9">
        <v>90797</v>
      </c>
      <c r="K1379" s="10" t="s">
        <v>1858</v>
      </c>
      <c r="L1379" s="10" t="s">
        <v>224</v>
      </c>
      <c r="M1379" s="10" t="s">
        <v>1834</v>
      </c>
      <c r="N1379" s="7"/>
    </row>
    <row r="1380" s="1" customFormat="1" ht="28.5" customHeight="1" spans="1:14">
      <c r="A1380" s="8"/>
      <c r="B1380" s="9"/>
      <c r="C1380" s="9" t="s">
        <v>1289</v>
      </c>
      <c r="D1380" s="9">
        <v>2000</v>
      </c>
      <c r="E1380" s="9"/>
      <c r="F1380" s="9"/>
      <c r="G1380" s="10" t="s">
        <v>1857</v>
      </c>
      <c r="H1380" s="10" t="s">
        <v>563</v>
      </c>
      <c r="I1380" s="10"/>
      <c r="J1380" s="9">
        <v>90798</v>
      </c>
      <c r="K1380" s="10" t="s">
        <v>1858</v>
      </c>
      <c r="L1380" s="10" t="s">
        <v>224</v>
      </c>
      <c r="M1380" s="10" t="s">
        <v>1834</v>
      </c>
      <c r="N1380" s="7"/>
    </row>
    <row r="1381" s="1" customFormat="1" ht="28.5" customHeight="1" spans="1:14">
      <c r="A1381" s="8"/>
      <c r="B1381" s="9"/>
      <c r="C1381" s="9" t="s">
        <v>1289</v>
      </c>
      <c r="D1381" s="9">
        <v>1500</v>
      </c>
      <c r="E1381" s="9"/>
      <c r="F1381" s="9"/>
      <c r="G1381" s="10" t="s">
        <v>1857</v>
      </c>
      <c r="H1381" s="10" t="s">
        <v>563</v>
      </c>
      <c r="I1381" s="10"/>
      <c r="J1381" s="9">
        <v>90799</v>
      </c>
      <c r="K1381" s="10" t="s">
        <v>1858</v>
      </c>
      <c r="L1381" s="10" t="s">
        <v>224</v>
      </c>
      <c r="M1381" s="10" t="s">
        <v>1834</v>
      </c>
      <c r="N1381" s="7"/>
    </row>
    <row r="1382" s="1" customFormat="1" ht="28.5" customHeight="1" spans="1:14">
      <c r="A1382" s="8"/>
      <c r="B1382" s="9"/>
      <c r="C1382" s="9" t="s">
        <v>1289</v>
      </c>
      <c r="D1382" s="9">
        <v>1000</v>
      </c>
      <c r="E1382" s="9"/>
      <c r="F1382" s="9"/>
      <c r="G1382" s="10" t="s">
        <v>1857</v>
      </c>
      <c r="H1382" s="10" t="s">
        <v>563</v>
      </c>
      <c r="I1382" s="10"/>
      <c r="J1382" s="9">
        <v>90800</v>
      </c>
      <c r="K1382" s="10" t="s">
        <v>1858</v>
      </c>
      <c r="L1382" s="10" t="s">
        <v>224</v>
      </c>
      <c r="M1382" s="10" t="s">
        <v>1834</v>
      </c>
      <c r="N1382" s="7"/>
    </row>
    <row r="1383" s="1" customFormat="1" ht="28.5" customHeight="1" spans="1:14">
      <c r="A1383" s="8">
        <v>30703</v>
      </c>
      <c r="B1383" s="9">
        <v>30711</v>
      </c>
      <c r="C1383" s="9" t="s">
        <v>35</v>
      </c>
      <c r="D1383" s="9">
        <v>3000</v>
      </c>
      <c r="E1383" s="9"/>
      <c r="F1383" s="9">
        <v>30702</v>
      </c>
      <c r="G1383" s="10" t="s">
        <v>1859</v>
      </c>
      <c r="H1383" s="10" t="s">
        <v>563</v>
      </c>
      <c r="I1383" s="10"/>
      <c r="J1383" s="9">
        <v>70801</v>
      </c>
      <c r="K1383" s="10" t="s">
        <v>1860</v>
      </c>
      <c r="L1383" s="10" t="s">
        <v>228</v>
      </c>
      <c r="M1383" s="10" t="s">
        <v>1842</v>
      </c>
      <c r="N1383" s="7"/>
    </row>
    <row r="1384" s="1" customFormat="1" ht="28.5" customHeight="1" spans="1:14">
      <c r="A1384" s="8">
        <v>30703</v>
      </c>
      <c r="B1384" s="9">
        <v>30712</v>
      </c>
      <c r="C1384" s="9" t="s">
        <v>35</v>
      </c>
      <c r="D1384" s="9">
        <v>2500</v>
      </c>
      <c r="E1384" s="9"/>
      <c r="F1384" s="9">
        <v>30702</v>
      </c>
      <c r="G1384" s="10" t="s">
        <v>1859</v>
      </c>
      <c r="H1384" s="10" t="s">
        <v>563</v>
      </c>
      <c r="I1384" s="10"/>
      <c r="J1384" s="9">
        <v>70802</v>
      </c>
      <c r="K1384" s="10" t="s">
        <v>1860</v>
      </c>
      <c r="L1384" s="10" t="s">
        <v>228</v>
      </c>
      <c r="M1384" s="10" t="s">
        <v>1842</v>
      </c>
      <c r="N1384" s="7"/>
    </row>
    <row r="1385" s="1" customFormat="1" ht="28.5" customHeight="1" spans="1:14">
      <c r="A1385" s="8">
        <v>30703</v>
      </c>
      <c r="B1385" s="9">
        <v>30713</v>
      </c>
      <c r="C1385" s="9" t="s">
        <v>35</v>
      </c>
      <c r="D1385" s="9">
        <v>2000</v>
      </c>
      <c r="E1385" s="9"/>
      <c r="F1385" s="9">
        <v>30702</v>
      </c>
      <c r="G1385" s="10" t="s">
        <v>1859</v>
      </c>
      <c r="H1385" s="10" t="s">
        <v>563</v>
      </c>
      <c r="I1385" s="10"/>
      <c r="J1385" s="9">
        <v>70803</v>
      </c>
      <c r="K1385" s="10" t="s">
        <v>1860</v>
      </c>
      <c r="L1385" s="10" t="s">
        <v>228</v>
      </c>
      <c r="M1385" s="10" t="s">
        <v>1842</v>
      </c>
      <c r="N1385" s="7"/>
    </row>
    <row r="1386" s="1" customFormat="1" ht="28.5" customHeight="1" spans="1:14">
      <c r="A1386" s="8">
        <v>30703</v>
      </c>
      <c r="B1386" s="9">
        <v>30714</v>
      </c>
      <c r="C1386" s="9" t="s">
        <v>35</v>
      </c>
      <c r="D1386" s="9">
        <v>1500</v>
      </c>
      <c r="E1386" s="9"/>
      <c r="F1386" s="9">
        <v>30702</v>
      </c>
      <c r="G1386" s="10" t="s">
        <v>1859</v>
      </c>
      <c r="H1386" s="10" t="s">
        <v>563</v>
      </c>
      <c r="I1386" s="10"/>
      <c r="J1386" s="9">
        <v>70804</v>
      </c>
      <c r="K1386" s="10" t="s">
        <v>1860</v>
      </c>
      <c r="L1386" s="10" t="s">
        <v>228</v>
      </c>
      <c r="M1386" s="10" t="s">
        <v>1842</v>
      </c>
      <c r="N1386" s="7"/>
    </row>
    <row r="1387" s="1" customFormat="1" ht="28.5" customHeight="1" spans="1:14">
      <c r="A1387" s="8">
        <v>30703</v>
      </c>
      <c r="B1387" s="9">
        <v>30715</v>
      </c>
      <c r="C1387" s="9" t="s">
        <v>35</v>
      </c>
      <c r="D1387" s="9">
        <v>1000</v>
      </c>
      <c r="E1387" s="9"/>
      <c r="F1387" s="9">
        <v>30702</v>
      </c>
      <c r="G1387" s="10" t="s">
        <v>1859</v>
      </c>
      <c r="H1387" s="10" t="s">
        <v>563</v>
      </c>
      <c r="I1387" s="10"/>
      <c r="J1387" s="9">
        <v>70805</v>
      </c>
      <c r="K1387" s="10" t="s">
        <v>1860</v>
      </c>
      <c r="L1387" s="10" t="s">
        <v>228</v>
      </c>
      <c r="M1387" s="10" t="s">
        <v>1842</v>
      </c>
      <c r="N1387" s="7"/>
    </row>
    <row r="1388" s="1" customFormat="1" ht="28.5" customHeight="1" spans="1:14">
      <c r="A1388" s="8"/>
      <c r="B1388" s="9"/>
      <c r="C1388" s="9" t="s">
        <v>1289</v>
      </c>
      <c r="D1388" s="9">
        <v>3000</v>
      </c>
      <c r="E1388" s="9"/>
      <c r="F1388" s="9"/>
      <c r="G1388" s="10" t="s">
        <v>1861</v>
      </c>
      <c r="H1388" s="10" t="s">
        <v>563</v>
      </c>
      <c r="I1388" s="10"/>
      <c r="J1388" s="9">
        <v>80806</v>
      </c>
      <c r="K1388" s="10" t="s">
        <v>1862</v>
      </c>
      <c r="L1388" s="10" t="s">
        <v>231</v>
      </c>
      <c r="M1388" s="10" t="s">
        <v>1834</v>
      </c>
      <c r="N1388" s="7"/>
    </row>
    <row r="1389" s="1" customFormat="1" ht="28.5" customHeight="1" spans="1:14">
      <c r="A1389" s="8"/>
      <c r="B1389" s="9"/>
      <c r="C1389" s="9" t="s">
        <v>1289</v>
      </c>
      <c r="D1389" s="9">
        <v>2500</v>
      </c>
      <c r="E1389" s="9"/>
      <c r="F1389" s="9"/>
      <c r="G1389" s="10" t="s">
        <v>1861</v>
      </c>
      <c r="H1389" s="10" t="s">
        <v>563</v>
      </c>
      <c r="I1389" s="10"/>
      <c r="J1389" s="9">
        <v>80807</v>
      </c>
      <c r="K1389" s="10" t="s">
        <v>1862</v>
      </c>
      <c r="L1389" s="10" t="s">
        <v>231</v>
      </c>
      <c r="M1389" s="10" t="s">
        <v>1834</v>
      </c>
      <c r="N1389" s="7"/>
    </row>
    <row r="1390" s="1" customFormat="1" ht="28.5" customHeight="1" spans="1:14">
      <c r="A1390" s="8"/>
      <c r="B1390" s="9"/>
      <c r="C1390" s="9" t="s">
        <v>1289</v>
      </c>
      <c r="D1390" s="9">
        <v>2000</v>
      </c>
      <c r="E1390" s="9"/>
      <c r="F1390" s="9"/>
      <c r="G1390" s="10" t="s">
        <v>1861</v>
      </c>
      <c r="H1390" s="10" t="s">
        <v>563</v>
      </c>
      <c r="I1390" s="10"/>
      <c r="J1390" s="9">
        <v>80808</v>
      </c>
      <c r="K1390" s="10" t="s">
        <v>1862</v>
      </c>
      <c r="L1390" s="10" t="s">
        <v>231</v>
      </c>
      <c r="M1390" s="10" t="s">
        <v>1834</v>
      </c>
      <c r="N1390" s="7"/>
    </row>
    <row r="1391" s="1" customFormat="1" ht="28.5" customHeight="1" spans="1:14">
      <c r="A1391" s="8"/>
      <c r="B1391" s="9"/>
      <c r="C1391" s="9" t="s">
        <v>1289</v>
      </c>
      <c r="D1391" s="9">
        <v>1500</v>
      </c>
      <c r="E1391" s="9"/>
      <c r="F1391" s="9"/>
      <c r="G1391" s="10" t="s">
        <v>1861</v>
      </c>
      <c r="H1391" s="10" t="s">
        <v>563</v>
      </c>
      <c r="I1391" s="10"/>
      <c r="J1391" s="9">
        <v>80809</v>
      </c>
      <c r="K1391" s="10" t="s">
        <v>1862</v>
      </c>
      <c r="L1391" s="10" t="s">
        <v>231</v>
      </c>
      <c r="M1391" s="10" t="s">
        <v>1834</v>
      </c>
      <c r="N1391" s="7"/>
    </row>
    <row r="1392" s="1" customFormat="1" ht="28.5" customHeight="1" spans="1:14">
      <c r="A1392" s="8"/>
      <c r="B1392" s="9"/>
      <c r="C1392" s="9" t="s">
        <v>1289</v>
      </c>
      <c r="D1392" s="9">
        <v>1000</v>
      </c>
      <c r="E1392" s="9"/>
      <c r="F1392" s="9"/>
      <c r="G1392" s="10" t="s">
        <v>1861</v>
      </c>
      <c r="H1392" s="10" t="s">
        <v>563</v>
      </c>
      <c r="I1392" s="10"/>
      <c r="J1392" s="9">
        <v>80810</v>
      </c>
      <c r="K1392" s="10" t="s">
        <v>1862</v>
      </c>
      <c r="L1392" s="10" t="s">
        <v>231</v>
      </c>
      <c r="M1392" s="10" t="s">
        <v>1834</v>
      </c>
      <c r="N1392" s="7"/>
    </row>
    <row r="1393" s="1" customFormat="1" ht="28.5" customHeight="1" spans="1:14">
      <c r="A1393" s="8">
        <v>30702</v>
      </c>
      <c r="B1393" s="9">
        <v>30716</v>
      </c>
      <c r="C1393" s="9" t="s">
        <v>35</v>
      </c>
      <c r="D1393" s="9">
        <v>3000</v>
      </c>
      <c r="E1393" s="9"/>
      <c r="F1393" s="9">
        <v>30703</v>
      </c>
      <c r="G1393" s="10" t="s">
        <v>2049</v>
      </c>
      <c r="H1393" s="10" t="s">
        <v>563</v>
      </c>
      <c r="I1393" s="10"/>
      <c r="J1393" s="9">
        <v>10811</v>
      </c>
      <c r="K1393" s="10" t="s">
        <v>2050</v>
      </c>
      <c r="L1393" s="10" t="s">
        <v>269</v>
      </c>
      <c r="M1393" s="10" t="s">
        <v>1842</v>
      </c>
      <c r="N1393" s="7"/>
    </row>
    <row r="1394" s="1" customFormat="1" ht="28.5" customHeight="1" spans="1:14">
      <c r="A1394" s="8">
        <v>30702</v>
      </c>
      <c r="B1394" s="9">
        <v>30717</v>
      </c>
      <c r="C1394" s="9" t="s">
        <v>35</v>
      </c>
      <c r="D1394" s="9">
        <v>2500</v>
      </c>
      <c r="E1394" s="9"/>
      <c r="F1394" s="9">
        <v>30703</v>
      </c>
      <c r="G1394" s="10" t="s">
        <v>1993</v>
      </c>
      <c r="H1394" s="10" t="s">
        <v>563</v>
      </c>
      <c r="I1394" s="10"/>
      <c r="J1394" s="9">
        <v>10812</v>
      </c>
      <c r="K1394" s="10" t="s">
        <v>1994</v>
      </c>
      <c r="L1394" s="10" t="s">
        <v>269</v>
      </c>
      <c r="M1394" s="10" t="s">
        <v>1842</v>
      </c>
      <c r="N1394" s="7"/>
    </row>
    <row r="1395" s="1" customFormat="1" ht="28.5" customHeight="1" spans="1:14">
      <c r="A1395" s="8">
        <v>30702</v>
      </c>
      <c r="B1395" s="9">
        <v>30718</v>
      </c>
      <c r="C1395" s="9" t="s">
        <v>35</v>
      </c>
      <c r="D1395" s="9">
        <v>2000</v>
      </c>
      <c r="E1395" s="9"/>
      <c r="F1395" s="9">
        <v>30703</v>
      </c>
      <c r="G1395" s="10" t="s">
        <v>2051</v>
      </c>
      <c r="H1395" s="10" t="s">
        <v>563</v>
      </c>
      <c r="I1395" s="10"/>
      <c r="J1395" s="9">
        <v>10813</v>
      </c>
      <c r="K1395" s="10" t="s">
        <v>2052</v>
      </c>
      <c r="L1395" s="10" t="s">
        <v>269</v>
      </c>
      <c r="M1395" s="10" t="s">
        <v>1842</v>
      </c>
      <c r="N1395" s="7"/>
    </row>
    <row r="1396" s="1" customFormat="1" ht="28.5" customHeight="1" spans="1:14">
      <c r="A1396" s="8">
        <v>30702</v>
      </c>
      <c r="B1396" s="9">
        <v>30719</v>
      </c>
      <c r="C1396" s="9" t="s">
        <v>35</v>
      </c>
      <c r="D1396" s="9">
        <v>1500</v>
      </c>
      <c r="E1396" s="9"/>
      <c r="F1396" s="9">
        <v>30703</v>
      </c>
      <c r="G1396" s="10" t="s">
        <v>2053</v>
      </c>
      <c r="H1396" s="10" t="s">
        <v>563</v>
      </c>
      <c r="I1396" s="10"/>
      <c r="J1396" s="9">
        <v>10814</v>
      </c>
      <c r="K1396" s="10" t="s">
        <v>2054</v>
      </c>
      <c r="L1396" s="10" t="s">
        <v>269</v>
      </c>
      <c r="M1396" s="10" t="s">
        <v>1842</v>
      </c>
      <c r="N1396" s="7"/>
    </row>
    <row r="1397" s="1" customFormat="1" ht="28.5" customHeight="1" spans="1:14">
      <c r="A1397" s="8">
        <v>30702</v>
      </c>
      <c r="B1397" s="9">
        <v>30720</v>
      </c>
      <c r="C1397" s="9" t="s">
        <v>35</v>
      </c>
      <c r="D1397" s="9">
        <v>1000</v>
      </c>
      <c r="E1397" s="9"/>
      <c r="F1397" s="9">
        <v>30703</v>
      </c>
      <c r="G1397" s="10" t="s">
        <v>2055</v>
      </c>
      <c r="H1397" s="10" t="s">
        <v>563</v>
      </c>
      <c r="I1397" s="10"/>
      <c r="J1397" s="9">
        <v>10815</v>
      </c>
      <c r="K1397" s="10" t="s">
        <v>2056</v>
      </c>
      <c r="L1397" s="10" t="s">
        <v>269</v>
      </c>
      <c r="M1397" s="10" t="s">
        <v>1842</v>
      </c>
      <c r="N1397" s="7"/>
    </row>
    <row r="1398" s="1" customFormat="1" ht="28.5" customHeight="1" spans="1:14">
      <c r="A1398" s="8">
        <v>30703</v>
      </c>
      <c r="B1398" s="9">
        <v>30721</v>
      </c>
      <c r="C1398" s="9" t="s">
        <v>35</v>
      </c>
      <c r="D1398" s="9">
        <v>3000</v>
      </c>
      <c r="E1398" s="9"/>
      <c r="F1398" s="9">
        <v>30704</v>
      </c>
      <c r="G1398" s="10" t="s">
        <v>2391</v>
      </c>
      <c r="H1398" s="10" t="s">
        <v>563</v>
      </c>
      <c r="I1398" s="10"/>
      <c r="J1398" s="9">
        <v>100816</v>
      </c>
      <c r="K1398" s="10" t="s">
        <v>320</v>
      </c>
      <c r="L1398" s="10" t="s">
        <v>248</v>
      </c>
      <c r="M1398" s="10" t="s">
        <v>1842</v>
      </c>
      <c r="N1398" s="7"/>
    </row>
    <row r="1399" s="1" customFormat="1" ht="28.5" customHeight="1" spans="1:14">
      <c r="A1399" s="8">
        <v>30703</v>
      </c>
      <c r="B1399" s="9">
        <v>30722</v>
      </c>
      <c r="C1399" s="9" t="s">
        <v>35</v>
      </c>
      <c r="D1399" s="9">
        <v>2500</v>
      </c>
      <c r="E1399" s="9"/>
      <c r="F1399" s="9">
        <v>30704</v>
      </c>
      <c r="G1399" s="10" t="s">
        <v>2391</v>
      </c>
      <c r="H1399" s="10" t="s">
        <v>563</v>
      </c>
      <c r="I1399" s="10"/>
      <c r="J1399" s="9">
        <v>100817</v>
      </c>
      <c r="K1399" s="10" t="s">
        <v>320</v>
      </c>
      <c r="L1399" s="10" t="s">
        <v>248</v>
      </c>
      <c r="M1399" s="10" t="s">
        <v>1842</v>
      </c>
      <c r="N1399" s="7"/>
    </row>
    <row r="1400" s="1" customFormat="1" ht="28.5" customHeight="1" spans="1:14">
      <c r="A1400" s="8">
        <v>30703</v>
      </c>
      <c r="B1400" s="9">
        <v>30723</v>
      </c>
      <c r="C1400" s="9" t="s">
        <v>35</v>
      </c>
      <c r="D1400" s="9">
        <v>2000</v>
      </c>
      <c r="E1400" s="9"/>
      <c r="F1400" s="9">
        <v>30704</v>
      </c>
      <c r="G1400" s="10" t="s">
        <v>2391</v>
      </c>
      <c r="H1400" s="10" t="s">
        <v>563</v>
      </c>
      <c r="I1400" s="10"/>
      <c r="J1400" s="9">
        <v>100818</v>
      </c>
      <c r="K1400" s="10" t="s">
        <v>320</v>
      </c>
      <c r="L1400" s="10" t="s">
        <v>248</v>
      </c>
      <c r="M1400" s="10" t="s">
        <v>1842</v>
      </c>
      <c r="N1400" s="7"/>
    </row>
    <row r="1401" s="1" customFormat="1" ht="28.5" customHeight="1" spans="1:14">
      <c r="A1401" s="8">
        <v>30703</v>
      </c>
      <c r="B1401" s="9">
        <v>30724</v>
      </c>
      <c r="C1401" s="9" t="s">
        <v>35</v>
      </c>
      <c r="D1401" s="9">
        <v>1500</v>
      </c>
      <c r="E1401" s="9"/>
      <c r="F1401" s="9">
        <v>30704</v>
      </c>
      <c r="G1401" s="10" t="s">
        <v>2391</v>
      </c>
      <c r="H1401" s="10" t="s">
        <v>563</v>
      </c>
      <c r="I1401" s="10"/>
      <c r="J1401" s="9">
        <v>100819</v>
      </c>
      <c r="K1401" s="10" t="s">
        <v>320</v>
      </c>
      <c r="L1401" s="10" t="s">
        <v>248</v>
      </c>
      <c r="M1401" s="10" t="s">
        <v>1842</v>
      </c>
      <c r="N1401" s="7"/>
    </row>
    <row r="1402" s="1" customFormat="1" ht="28.5" customHeight="1" spans="1:14">
      <c r="A1402" s="8">
        <v>30703</v>
      </c>
      <c r="B1402" s="9">
        <v>30725</v>
      </c>
      <c r="C1402" s="9" t="s">
        <v>35</v>
      </c>
      <c r="D1402" s="9">
        <v>1000</v>
      </c>
      <c r="E1402" s="9"/>
      <c r="F1402" s="9">
        <v>30704</v>
      </c>
      <c r="G1402" s="10" t="s">
        <v>2391</v>
      </c>
      <c r="H1402" s="10" t="s">
        <v>563</v>
      </c>
      <c r="I1402" s="10"/>
      <c r="J1402" s="9">
        <v>100820</v>
      </c>
      <c r="K1402" s="10" t="s">
        <v>320</v>
      </c>
      <c r="L1402" s="10" t="s">
        <v>248</v>
      </c>
      <c r="M1402" s="10" t="s">
        <v>1842</v>
      </c>
      <c r="N1402" s="7"/>
    </row>
    <row r="1403" s="1" customFormat="1" ht="28.5" customHeight="1" spans="1:14">
      <c r="A1403" s="8">
        <v>30701</v>
      </c>
      <c r="B1403" s="9">
        <v>30726</v>
      </c>
      <c r="C1403" s="9" t="s">
        <v>35</v>
      </c>
      <c r="D1403" s="9">
        <v>0</v>
      </c>
      <c r="E1403" s="9"/>
      <c r="F1403" s="9">
        <v>30705</v>
      </c>
      <c r="G1403" s="10" t="s">
        <v>1615</v>
      </c>
      <c r="H1403" s="10" t="s">
        <v>563</v>
      </c>
      <c r="I1403" s="10"/>
      <c r="J1403" s="9">
        <v>60821</v>
      </c>
      <c r="K1403" s="10" t="s">
        <v>2522</v>
      </c>
      <c r="L1403" s="10" t="s">
        <v>339</v>
      </c>
      <c r="M1403" s="10" t="s">
        <v>1842</v>
      </c>
      <c r="N1403" s="7"/>
    </row>
    <row r="1404" s="1" customFormat="1" ht="28.5" customHeight="1" spans="1:14">
      <c r="A1404" s="8">
        <v>30701</v>
      </c>
      <c r="B1404" s="9">
        <v>30727</v>
      </c>
      <c r="C1404" s="9" t="s">
        <v>35</v>
      </c>
      <c r="D1404" s="9">
        <v>0</v>
      </c>
      <c r="E1404" s="9"/>
      <c r="F1404" s="9">
        <v>30705</v>
      </c>
      <c r="G1404" s="10" t="s">
        <v>1617</v>
      </c>
      <c r="H1404" s="10" t="s">
        <v>563</v>
      </c>
      <c r="I1404" s="10"/>
      <c r="J1404" s="9">
        <v>60822</v>
      </c>
      <c r="K1404" s="10" t="s">
        <v>2523</v>
      </c>
      <c r="L1404" s="10" t="s">
        <v>339</v>
      </c>
      <c r="M1404" s="10" t="s">
        <v>1842</v>
      </c>
      <c r="N1404" s="7"/>
    </row>
    <row r="1405" s="1" customFormat="1" ht="28.5" customHeight="1" spans="1:14">
      <c r="A1405" s="8">
        <v>30701</v>
      </c>
      <c r="B1405" s="9">
        <v>30728</v>
      </c>
      <c r="C1405" s="9" t="s">
        <v>35</v>
      </c>
      <c r="D1405" s="9">
        <v>0</v>
      </c>
      <c r="E1405" s="9"/>
      <c r="F1405" s="9">
        <v>30705</v>
      </c>
      <c r="G1405" s="10" t="s">
        <v>1619</v>
      </c>
      <c r="H1405" s="10" t="s">
        <v>563</v>
      </c>
      <c r="I1405" s="10"/>
      <c r="J1405" s="9">
        <v>60823</v>
      </c>
      <c r="K1405" s="10" t="s">
        <v>2524</v>
      </c>
      <c r="L1405" s="10" t="s">
        <v>339</v>
      </c>
      <c r="M1405" s="10" t="s">
        <v>1842</v>
      </c>
      <c r="N1405" s="7"/>
    </row>
    <row r="1406" s="1" customFormat="1" ht="28.5" customHeight="1" spans="1:14">
      <c r="A1406" s="8">
        <v>30701</v>
      </c>
      <c r="B1406" s="9">
        <v>30729</v>
      </c>
      <c r="C1406" s="9" t="s">
        <v>35</v>
      </c>
      <c r="D1406" s="9">
        <v>0</v>
      </c>
      <c r="E1406" s="9"/>
      <c r="F1406" s="9">
        <v>30705</v>
      </c>
      <c r="G1406" s="10" t="s">
        <v>1621</v>
      </c>
      <c r="H1406" s="10" t="s">
        <v>563</v>
      </c>
      <c r="I1406" s="10"/>
      <c r="J1406" s="9">
        <v>60824</v>
      </c>
      <c r="K1406" s="10" t="s">
        <v>2525</v>
      </c>
      <c r="L1406" s="10" t="s">
        <v>339</v>
      </c>
      <c r="M1406" s="10" t="s">
        <v>1842</v>
      </c>
      <c r="N1406" s="7"/>
    </row>
    <row r="1407" s="1" customFormat="1" ht="28.5" customHeight="1" spans="1:14">
      <c r="A1407" s="8">
        <v>30701</v>
      </c>
      <c r="B1407" s="9">
        <v>30730</v>
      </c>
      <c r="C1407" s="9" t="s">
        <v>35</v>
      </c>
      <c r="D1407" s="9">
        <v>0</v>
      </c>
      <c r="E1407" s="9"/>
      <c r="F1407" s="9">
        <v>30705</v>
      </c>
      <c r="G1407" s="10" t="s">
        <v>1623</v>
      </c>
      <c r="H1407" s="10" t="s">
        <v>563</v>
      </c>
      <c r="I1407" s="10"/>
      <c r="J1407" s="9">
        <v>60825</v>
      </c>
      <c r="K1407" s="10" t="s">
        <v>2526</v>
      </c>
      <c r="L1407" s="10" t="s">
        <v>339</v>
      </c>
      <c r="M1407" s="10" t="s">
        <v>1842</v>
      </c>
      <c r="N1407" s="7"/>
    </row>
    <row r="1408" s="1" customFormat="1" ht="28.5" customHeight="1" spans="1:14">
      <c r="A1408" s="8">
        <v>30701</v>
      </c>
      <c r="B1408" s="9">
        <v>30731</v>
      </c>
      <c r="C1408" s="9" t="s">
        <v>35</v>
      </c>
      <c r="D1408" s="9">
        <v>3000</v>
      </c>
      <c r="E1408" s="9"/>
      <c r="F1408" s="9">
        <v>30706</v>
      </c>
      <c r="G1408" s="10" t="s">
        <v>1625</v>
      </c>
      <c r="H1408" s="10" t="s">
        <v>563</v>
      </c>
      <c r="I1408" s="10"/>
      <c r="J1408" s="9">
        <v>50826</v>
      </c>
      <c r="K1408" s="10" t="s">
        <v>2527</v>
      </c>
      <c r="L1408" s="10" t="s">
        <v>340</v>
      </c>
      <c r="M1408" s="10" t="s">
        <v>1842</v>
      </c>
      <c r="N1408" s="7"/>
    </row>
    <row r="1409" s="1" customFormat="1" ht="28.5" customHeight="1" spans="1:14">
      <c r="A1409" s="8">
        <v>30701</v>
      </c>
      <c r="B1409" s="9">
        <v>30732</v>
      </c>
      <c r="C1409" s="9" t="s">
        <v>35</v>
      </c>
      <c r="D1409" s="9">
        <v>2500</v>
      </c>
      <c r="E1409" s="9"/>
      <c r="F1409" s="9">
        <v>30706</v>
      </c>
      <c r="G1409" s="10" t="s">
        <v>2491</v>
      </c>
      <c r="H1409" s="10" t="s">
        <v>563</v>
      </c>
      <c r="I1409" s="10"/>
      <c r="J1409" s="9">
        <v>50827</v>
      </c>
      <c r="K1409" s="10" t="s">
        <v>2492</v>
      </c>
      <c r="L1409" s="10" t="s">
        <v>340</v>
      </c>
      <c r="M1409" s="10" t="s">
        <v>1842</v>
      </c>
      <c r="N1409" s="7"/>
    </row>
    <row r="1410" s="1" customFormat="1" ht="28.5" customHeight="1" spans="1:14">
      <c r="A1410" s="8">
        <v>30701</v>
      </c>
      <c r="B1410" s="9">
        <v>30733</v>
      </c>
      <c r="C1410" s="9" t="s">
        <v>35</v>
      </c>
      <c r="D1410" s="9">
        <v>2000</v>
      </c>
      <c r="E1410" s="9"/>
      <c r="F1410" s="9">
        <v>30706</v>
      </c>
      <c r="G1410" s="10" t="s">
        <v>2528</v>
      </c>
      <c r="H1410" s="10" t="s">
        <v>563</v>
      </c>
      <c r="I1410" s="10"/>
      <c r="J1410" s="9">
        <v>50828</v>
      </c>
      <c r="K1410" s="10" t="s">
        <v>2529</v>
      </c>
      <c r="L1410" s="10" t="s">
        <v>340</v>
      </c>
      <c r="M1410" s="10" t="s">
        <v>1842</v>
      </c>
      <c r="N1410" s="7"/>
    </row>
    <row r="1411" s="1" customFormat="1" ht="28.5" customHeight="1" spans="1:14">
      <c r="A1411" s="8">
        <v>30701</v>
      </c>
      <c r="B1411" s="9">
        <v>30734</v>
      </c>
      <c r="C1411" s="9" t="s">
        <v>35</v>
      </c>
      <c r="D1411" s="9">
        <v>1500</v>
      </c>
      <c r="E1411" s="9"/>
      <c r="F1411" s="9">
        <v>30706</v>
      </c>
      <c r="G1411" s="10" t="s">
        <v>1627</v>
      </c>
      <c r="H1411" s="10" t="s">
        <v>563</v>
      </c>
      <c r="I1411" s="10"/>
      <c r="J1411" s="9">
        <v>50829</v>
      </c>
      <c r="K1411" s="10" t="s">
        <v>2530</v>
      </c>
      <c r="L1411" s="10" t="s">
        <v>340</v>
      </c>
      <c r="M1411" s="10" t="s">
        <v>1842</v>
      </c>
      <c r="N1411" s="7"/>
    </row>
    <row r="1412" s="1" customFormat="1" ht="28.5" customHeight="1" spans="1:14">
      <c r="A1412" s="8">
        <v>30701</v>
      </c>
      <c r="B1412" s="9">
        <v>30735</v>
      </c>
      <c r="C1412" s="9" t="s">
        <v>35</v>
      </c>
      <c r="D1412" s="9">
        <v>1000</v>
      </c>
      <c r="E1412" s="9"/>
      <c r="F1412" s="9">
        <v>30706</v>
      </c>
      <c r="G1412" s="10" t="s">
        <v>1639</v>
      </c>
      <c r="H1412" s="10" t="s">
        <v>563</v>
      </c>
      <c r="I1412" s="10"/>
      <c r="J1412" s="9">
        <v>50830</v>
      </c>
      <c r="K1412" s="10" t="s">
        <v>2531</v>
      </c>
      <c r="L1412" s="10" t="s">
        <v>340</v>
      </c>
      <c r="M1412" s="10" t="s">
        <v>1842</v>
      </c>
      <c r="N1412" s="7"/>
    </row>
    <row r="1413" s="1" customFormat="1" ht="28.5" customHeight="1" spans="1:14">
      <c r="A1413" s="8">
        <v>30701</v>
      </c>
      <c r="B1413" s="9">
        <v>30736</v>
      </c>
      <c r="C1413" s="9" t="s">
        <v>35</v>
      </c>
      <c r="D1413" s="9">
        <v>3000</v>
      </c>
      <c r="E1413" s="9"/>
      <c r="F1413" s="9">
        <v>30707</v>
      </c>
      <c r="G1413" s="10" t="s">
        <v>2502</v>
      </c>
      <c r="H1413" s="10" t="s">
        <v>563</v>
      </c>
      <c r="I1413" s="10"/>
      <c r="J1413" s="9">
        <v>30831</v>
      </c>
      <c r="K1413" s="10" t="s">
        <v>2503</v>
      </c>
      <c r="L1413" s="10" t="s">
        <v>341</v>
      </c>
      <c r="M1413" s="10" t="s">
        <v>1842</v>
      </c>
      <c r="N1413" s="7"/>
    </row>
    <row r="1414" s="1" customFormat="1" ht="28.5" customHeight="1" spans="1:14">
      <c r="A1414" s="8">
        <v>30701</v>
      </c>
      <c r="B1414" s="9">
        <v>30737</v>
      </c>
      <c r="C1414" s="9" t="s">
        <v>35</v>
      </c>
      <c r="D1414" s="9">
        <v>2500</v>
      </c>
      <c r="E1414" s="9"/>
      <c r="F1414" s="9">
        <v>30707</v>
      </c>
      <c r="G1414" s="10" t="s">
        <v>2532</v>
      </c>
      <c r="H1414" s="10" t="s">
        <v>563</v>
      </c>
      <c r="I1414" s="10"/>
      <c r="J1414" s="9">
        <v>30832</v>
      </c>
      <c r="K1414" s="10" t="s">
        <v>2533</v>
      </c>
      <c r="L1414" s="10" t="s">
        <v>341</v>
      </c>
      <c r="M1414" s="10" t="s">
        <v>1842</v>
      </c>
      <c r="N1414" s="7"/>
    </row>
    <row r="1415" s="1" customFormat="1" ht="28.5" customHeight="1" spans="1:14">
      <c r="A1415" s="8">
        <v>30701</v>
      </c>
      <c r="B1415" s="9">
        <v>30738</v>
      </c>
      <c r="C1415" s="9" t="s">
        <v>35</v>
      </c>
      <c r="D1415" s="9">
        <v>2000</v>
      </c>
      <c r="E1415" s="9"/>
      <c r="F1415" s="9">
        <v>30707</v>
      </c>
      <c r="G1415" s="10" t="s">
        <v>2534</v>
      </c>
      <c r="H1415" s="10" t="s">
        <v>563</v>
      </c>
      <c r="I1415" s="10"/>
      <c r="J1415" s="9">
        <v>30833</v>
      </c>
      <c r="K1415" s="10" t="s">
        <v>2535</v>
      </c>
      <c r="L1415" s="10" t="s">
        <v>341</v>
      </c>
      <c r="M1415" s="10" t="s">
        <v>1842</v>
      </c>
      <c r="N1415" s="7"/>
    </row>
    <row r="1416" s="1" customFormat="1" ht="28.5" customHeight="1" spans="1:14">
      <c r="A1416" s="8">
        <v>30701</v>
      </c>
      <c r="B1416" s="9">
        <v>30739</v>
      </c>
      <c r="C1416" s="9" t="s">
        <v>35</v>
      </c>
      <c r="D1416" s="9">
        <v>1500</v>
      </c>
      <c r="E1416" s="9"/>
      <c r="F1416" s="9">
        <v>30707</v>
      </c>
      <c r="G1416" s="10" t="s">
        <v>2536</v>
      </c>
      <c r="H1416" s="10" t="s">
        <v>563</v>
      </c>
      <c r="I1416" s="10"/>
      <c r="J1416" s="9">
        <v>30834</v>
      </c>
      <c r="K1416" s="10" t="s">
        <v>2537</v>
      </c>
      <c r="L1416" s="10" t="s">
        <v>341</v>
      </c>
      <c r="M1416" s="10" t="s">
        <v>1842</v>
      </c>
      <c r="N1416" s="7"/>
    </row>
    <row r="1417" s="1" customFormat="1" ht="28.5" customHeight="1" spans="1:14">
      <c r="A1417" s="8">
        <v>30701</v>
      </c>
      <c r="B1417" s="9">
        <v>30740</v>
      </c>
      <c r="C1417" s="9" t="s">
        <v>35</v>
      </c>
      <c r="D1417" s="9">
        <v>1000</v>
      </c>
      <c r="E1417" s="9"/>
      <c r="F1417" s="9">
        <v>30707</v>
      </c>
      <c r="G1417" s="10" t="s">
        <v>2538</v>
      </c>
      <c r="H1417" s="10" t="s">
        <v>563</v>
      </c>
      <c r="I1417" s="10"/>
      <c r="J1417" s="9">
        <v>30835</v>
      </c>
      <c r="K1417" s="10" t="s">
        <v>2539</v>
      </c>
      <c r="L1417" s="10" t="s">
        <v>341</v>
      </c>
      <c r="M1417" s="10" t="s">
        <v>1842</v>
      </c>
      <c r="N1417" s="7"/>
    </row>
    <row r="1418" s="1" customFormat="1" ht="28.5" customHeight="1" spans="1:14">
      <c r="A1418" s="8">
        <v>30701</v>
      </c>
      <c r="B1418" s="9">
        <v>30741</v>
      </c>
      <c r="C1418" s="9" t="s">
        <v>35</v>
      </c>
      <c r="D1418" s="9">
        <v>3000</v>
      </c>
      <c r="E1418" s="9"/>
      <c r="F1418" s="9">
        <v>30708</v>
      </c>
      <c r="G1418" s="10" t="s">
        <v>2510</v>
      </c>
      <c r="H1418" s="10" t="s">
        <v>563</v>
      </c>
      <c r="I1418" s="10"/>
      <c r="J1418" s="9">
        <v>40836</v>
      </c>
      <c r="K1418" s="10" t="s">
        <v>2511</v>
      </c>
      <c r="L1418" s="10" t="s">
        <v>342</v>
      </c>
      <c r="M1418" s="10" t="s">
        <v>1842</v>
      </c>
      <c r="N1418" s="7"/>
    </row>
    <row r="1419" s="1" customFormat="1" ht="28.5" customHeight="1" spans="1:14">
      <c r="A1419" s="8">
        <v>30701</v>
      </c>
      <c r="B1419" s="9">
        <v>30742</v>
      </c>
      <c r="C1419" s="9" t="s">
        <v>35</v>
      </c>
      <c r="D1419" s="9">
        <v>2500</v>
      </c>
      <c r="E1419" s="9"/>
      <c r="F1419" s="9">
        <v>30708</v>
      </c>
      <c r="G1419" s="10" t="s">
        <v>2540</v>
      </c>
      <c r="H1419" s="10" t="s">
        <v>563</v>
      </c>
      <c r="I1419" s="10"/>
      <c r="J1419" s="9">
        <v>40837</v>
      </c>
      <c r="K1419" s="10" t="s">
        <v>2541</v>
      </c>
      <c r="L1419" s="10" t="s">
        <v>342</v>
      </c>
      <c r="M1419" s="10" t="s">
        <v>1842</v>
      </c>
      <c r="N1419" s="7"/>
    </row>
    <row r="1420" s="1" customFormat="1" ht="28.5" customHeight="1" spans="1:14">
      <c r="A1420" s="8">
        <v>30701</v>
      </c>
      <c r="B1420" s="9">
        <v>30743</v>
      </c>
      <c r="C1420" s="9" t="s">
        <v>35</v>
      </c>
      <c r="D1420" s="9">
        <v>2000</v>
      </c>
      <c r="E1420" s="9"/>
      <c r="F1420" s="9">
        <v>30708</v>
      </c>
      <c r="G1420" s="10" t="s">
        <v>2542</v>
      </c>
      <c r="H1420" s="10" t="s">
        <v>563</v>
      </c>
      <c r="I1420" s="10"/>
      <c r="J1420" s="9">
        <v>40838</v>
      </c>
      <c r="K1420" s="10" t="s">
        <v>2543</v>
      </c>
      <c r="L1420" s="10" t="s">
        <v>342</v>
      </c>
      <c r="M1420" s="10" t="s">
        <v>1842</v>
      </c>
      <c r="N1420" s="7"/>
    </row>
    <row r="1421" s="1" customFormat="1" ht="28.5" customHeight="1" spans="1:14">
      <c r="A1421" s="8">
        <v>30701</v>
      </c>
      <c r="B1421" s="9">
        <v>30744</v>
      </c>
      <c r="C1421" s="9" t="s">
        <v>35</v>
      </c>
      <c r="D1421" s="9">
        <v>1500</v>
      </c>
      <c r="E1421" s="9"/>
      <c r="F1421" s="9">
        <v>30708</v>
      </c>
      <c r="G1421" s="10" t="s">
        <v>2544</v>
      </c>
      <c r="H1421" s="10" t="s">
        <v>563</v>
      </c>
      <c r="I1421" s="10"/>
      <c r="J1421" s="9">
        <v>40839</v>
      </c>
      <c r="K1421" s="10" t="s">
        <v>2545</v>
      </c>
      <c r="L1421" s="10" t="s">
        <v>342</v>
      </c>
      <c r="M1421" s="10" t="s">
        <v>1842</v>
      </c>
      <c r="N1421" s="7"/>
    </row>
    <row r="1422" s="1" customFormat="1" ht="28.5" customHeight="1" spans="1:14">
      <c r="A1422" s="8">
        <v>30701</v>
      </c>
      <c r="B1422" s="9">
        <v>30745</v>
      </c>
      <c r="C1422" s="9" t="s">
        <v>35</v>
      </c>
      <c r="D1422" s="9">
        <v>1000</v>
      </c>
      <c r="E1422" s="9"/>
      <c r="F1422" s="9">
        <v>30708</v>
      </c>
      <c r="G1422" s="10" t="s">
        <v>2546</v>
      </c>
      <c r="H1422" s="10" t="s">
        <v>563</v>
      </c>
      <c r="I1422" s="10"/>
      <c r="J1422" s="9">
        <v>40840</v>
      </c>
      <c r="K1422" s="10" t="s">
        <v>2547</v>
      </c>
      <c r="L1422" s="10" t="s">
        <v>342</v>
      </c>
      <c r="M1422" s="10" t="s">
        <v>1842</v>
      </c>
      <c r="N1422" s="7"/>
    </row>
    <row r="1423" s="1" customFormat="1" ht="28.5" customHeight="1" spans="1:14">
      <c r="A1423" s="8"/>
      <c r="B1423" s="9"/>
      <c r="C1423" s="9" t="s">
        <v>1289</v>
      </c>
      <c r="D1423" s="9">
        <v>3000</v>
      </c>
      <c r="E1423" s="9"/>
      <c r="F1423" s="9"/>
      <c r="G1423" s="10" t="s">
        <v>2548</v>
      </c>
      <c r="H1423" s="10" t="s">
        <v>563</v>
      </c>
      <c r="I1423" s="10"/>
      <c r="J1423" s="9">
        <v>10841</v>
      </c>
      <c r="K1423" s="10" t="s">
        <v>2549</v>
      </c>
      <c r="L1423" s="10" t="s">
        <v>276</v>
      </c>
      <c r="M1423" s="10" t="s">
        <v>1834</v>
      </c>
      <c r="N1423" s="7"/>
    </row>
    <row r="1424" s="1" customFormat="1" ht="28.5" customHeight="1" spans="1:14">
      <c r="A1424" s="8"/>
      <c r="B1424" s="9"/>
      <c r="C1424" s="9" t="s">
        <v>1289</v>
      </c>
      <c r="D1424" s="9">
        <v>2500</v>
      </c>
      <c r="E1424" s="9"/>
      <c r="F1424" s="9"/>
      <c r="G1424" s="10" t="s">
        <v>2550</v>
      </c>
      <c r="H1424" s="10" t="s">
        <v>563</v>
      </c>
      <c r="I1424" s="10"/>
      <c r="J1424" s="9">
        <v>10842</v>
      </c>
      <c r="K1424" s="10" t="s">
        <v>2551</v>
      </c>
      <c r="L1424" s="10" t="s">
        <v>276</v>
      </c>
      <c r="M1424" s="10" t="s">
        <v>1834</v>
      </c>
      <c r="N1424" s="7"/>
    </row>
    <row r="1425" s="1" customFormat="1" ht="28.5" customHeight="1" spans="1:14">
      <c r="A1425" s="8"/>
      <c r="B1425" s="9"/>
      <c r="C1425" s="9" t="s">
        <v>1289</v>
      </c>
      <c r="D1425" s="9">
        <v>2000</v>
      </c>
      <c r="E1425" s="9"/>
      <c r="F1425" s="9"/>
      <c r="G1425" s="10" t="s">
        <v>2552</v>
      </c>
      <c r="H1425" s="10" t="s">
        <v>563</v>
      </c>
      <c r="I1425" s="10"/>
      <c r="J1425" s="9">
        <v>10843</v>
      </c>
      <c r="K1425" s="10" t="s">
        <v>2553</v>
      </c>
      <c r="L1425" s="10" t="s">
        <v>276</v>
      </c>
      <c r="M1425" s="10" t="s">
        <v>1834</v>
      </c>
      <c r="N1425" s="7"/>
    </row>
    <row r="1426" s="1" customFormat="1" ht="28.5" customHeight="1" spans="1:14">
      <c r="A1426" s="8"/>
      <c r="B1426" s="9"/>
      <c r="C1426" s="9" t="s">
        <v>1289</v>
      </c>
      <c r="D1426" s="9">
        <v>1500</v>
      </c>
      <c r="E1426" s="9"/>
      <c r="F1426" s="9"/>
      <c r="G1426" s="10" t="s">
        <v>2554</v>
      </c>
      <c r="H1426" s="10" t="s">
        <v>563</v>
      </c>
      <c r="I1426" s="10"/>
      <c r="J1426" s="9">
        <v>10844</v>
      </c>
      <c r="K1426" s="10" t="s">
        <v>2555</v>
      </c>
      <c r="L1426" s="10" t="s">
        <v>276</v>
      </c>
      <c r="M1426" s="10" t="s">
        <v>1834</v>
      </c>
      <c r="N1426" s="7"/>
    </row>
    <row r="1427" s="1" customFormat="1" ht="28.5" customHeight="1" spans="1:14">
      <c r="A1427" s="8"/>
      <c r="B1427" s="9"/>
      <c r="C1427" s="9" t="s">
        <v>1289</v>
      </c>
      <c r="D1427" s="9">
        <v>1000</v>
      </c>
      <c r="E1427" s="9"/>
      <c r="F1427" s="9"/>
      <c r="G1427" s="10" t="s">
        <v>2556</v>
      </c>
      <c r="H1427" s="10" t="s">
        <v>563</v>
      </c>
      <c r="I1427" s="10"/>
      <c r="J1427" s="9">
        <v>10845</v>
      </c>
      <c r="K1427" s="10" t="s">
        <v>2557</v>
      </c>
      <c r="L1427" s="10" t="s">
        <v>276</v>
      </c>
      <c r="M1427" s="10" t="s">
        <v>1834</v>
      </c>
      <c r="N1427" s="7"/>
    </row>
    <row r="1428" s="1" customFormat="1" ht="28.5" customHeight="1" spans="1:14">
      <c r="A1428" s="8">
        <v>30801</v>
      </c>
      <c r="B1428" s="9">
        <v>30801</v>
      </c>
      <c r="C1428" s="9" t="s">
        <v>36</v>
      </c>
      <c r="D1428" s="9">
        <v>0</v>
      </c>
      <c r="E1428" s="9"/>
      <c r="F1428" s="9">
        <v>30800</v>
      </c>
      <c r="G1428" s="10" t="s">
        <v>1432</v>
      </c>
      <c r="H1428" s="10" t="s">
        <v>563</v>
      </c>
      <c r="I1428" s="10"/>
      <c r="J1428" s="9">
        <v>60846</v>
      </c>
      <c r="K1428" s="10" t="s">
        <v>2093</v>
      </c>
      <c r="L1428" s="10" t="s">
        <v>275</v>
      </c>
      <c r="M1428" s="10" t="s">
        <v>1842</v>
      </c>
      <c r="N1428" s="7"/>
    </row>
    <row r="1429" s="1" customFormat="1" ht="28.5" customHeight="1" spans="1:14">
      <c r="A1429" s="8">
        <v>30801</v>
      </c>
      <c r="B1429" s="9">
        <v>30802</v>
      </c>
      <c r="C1429" s="9" t="s">
        <v>36</v>
      </c>
      <c r="D1429" s="9">
        <v>0</v>
      </c>
      <c r="E1429" s="9"/>
      <c r="F1429" s="9">
        <v>30800</v>
      </c>
      <c r="G1429" s="10" t="s">
        <v>1434</v>
      </c>
      <c r="H1429" s="10" t="s">
        <v>563</v>
      </c>
      <c r="I1429" s="10"/>
      <c r="J1429" s="9">
        <v>60847</v>
      </c>
      <c r="K1429" s="10" t="s">
        <v>2094</v>
      </c>
      <c r="L1429" s="10" t="s">
        <v>275</v>
      </c>
      <c r="M1429" s="10" t="s">
        <v>1842</v>
      </c>
      <c r="N1429" s="7"/>
    </row>
    <row r="1430" s="1" customFormat="1" ht="28.5" customHeight="1" spans="1:14">
      <c r="A1430" s="8">
        <v>30801</v>
      </c>
      <c r="B1430" s="9">
        <v>30803</v>
      </c>
      <c r="C1430" s="9" t="s">
        <v>36</v>
      </c>
      <c r="D1430" s="9">
        <v>0</v>
      </c>
      <c r="E1430" s="9"/>
      <c r="F1430" s="9">
        <v>30800</v>
      </c>
      <c r="G1430" s="10" t="s">
        <v>1436</v>
      </c>
      <c r="H1430" s="10" t="s">
        <v>563</v>
      </c>
      <c r="I1430" s="10"/>
      <c r="J1430" s="9">
        <v>60848</v>
      </c>
      <c r="K1430" s="10" t="s">
        <v>2095</v>
      </c>
      <c r="L1430" s="10" t="s">
        <v>275</v>
      </c>
      <c r="M1430" s="10" t="s">
        <v>1842</v>
      </c>
      <c r="N1430" s="7"/>
    </row>
    <row r="1431" s="1" customFormat="1" ht="28.5" customHeight="1" spans="1:14">
      <c r="A1431" s="8">
        <v>30801</v>
      </c>
      <c r="B1431" s="9">
        <v>30804</v>
      </c>
      <c r="C1431" s="9" t="s">
        <v>36</v>
      </c>
      <c r="D1431" s="9">
        <v>0</v>
      </c>
      <c r="E1431" s="9"/>
      <c r="F1431" s="9">
        <v>30800</v>
      </c>
      <c r="G1431" s="10" t="s">
        <v>1438</v>
      </c>
      <c r="H1431" s="10" t="s">
        <v>563</v>
      </c>
      <c r="I1431" s="10"/>
      <c r="J1431" s="9">
        <v>60849</v>
      </c>
      <c r="K1431" s="10" t="s">
        <v>2096</v>
      </c>
      <c r="L1431" s="10" t="s">
        <v>275</v>
      </c>
      <c r="M1431" s="10" t="s">
        <v>1842</v>
      </c>
      <c r="N1431" s="7"/>
    </row>
    <row r="1432" s="1" customFormat="1" ht="28.5" customHeight="1" spans="1:14">
      <c r="A1432" s="8">
        <v>30801</v>
      </c>
      <c r="B1432" s="9">
        <v>30805</v>
      </c>
      <c r="C1432" s="9" t="s">
        <v>36</v>
      </c>
      <c r="D1432" s="9">
        <v>0</v>
      </c>
      <c r="E1432" s="9"/>
      <c r="F1432" s="9">
        <v>30800</v>
      </c>
      <c r="G1432" s="10" t="s">
        <v>1440</v>
      </c>
      <c r="H1432" s="10" t="s">
        <v>563</v>
      </c>
      <c r="I1432" s="10"/>
      <c r="J1432" s="9">
        <v>60850</v>
      </c>
      <c r="K1432" s="10" t="s">
        <v>2097</v>
      </c>
      <c r="L1432" s="10" t="s">
        <v>275</v>
      </c>
      <c r="M1432" s="10" t="s">
        <v>1842</v>
      </c>
      <c r="N1432" s="7"/>
    </row>
    <row r="1433" s="1" customFormat="1" ht="28.5" customHeight="1" spans="1:14">
      <c r="A1433" s="8">
        <v>30801</v>
      </c>
      <c r="B1433" s="9">
        <v>30806</v>
      </c>
      <c r="C1433" s="9" t="s">
        <v>36</v>
      </c>
      <c r="D1433" s="9">
        <v>3000</v>
      </c>
      <c r="E1433" s="9"/>
      <c r="F1433" s="9">
        <v>30801</v>
      </c>
      <c r="G1433" s="10" t="s">
        <v>2047</v>
      </c>
      <c r="H1433" s="10" t="s">
        <v>563</v>
      </c>
      <c r="I1433" s="10"/>
      <c r="J1433" s="9">
        <v>20851</v>
      </c>
      <c r="K1433" s="10" t="s">
        <v>2048</v>
      </c>
      <c r="L1433" s="10" t="s">
        <v>276</v>
      </c>
      <c r="M1433" s="10" t="s">
        <v>1842</v>
      </c>
      <c r="N1433" s="7"/>
    </row>
    <row r="1434" s="1" customFormat="1" ht="28.5" customHeight="1" spans="1:14">
      <c r="A1434" s="8">
        <v>30801</v>
      </c>
      <c r="B1434" s="9">
        <v>30807</v>
      </c>
      <c r="C1434" s="9" t="s">
        <v>36</v>
      </c>
      <c r="D1434" s="9">
        <v>2500</v>
      </c>
      <c r="E1434" s="9"/>
      <c r="F1434" s="9">
        <v>30801</v>
      </c>
      <c r="G1434" s="10" t="s">
        <v>2098</v>
      </c>
      <c r="H1434" s="10" t="s">
        <v>563</v>
      </c>
      <c r="I1434" s="10"/>
      <c r="J1434" s="9">
        <v>20852</v>
      </c>
      <c r="K1434" s="10" t="s">
        <v>2099</v>
      </c>
      <c r="L1434" s="10" t="s">
        <v>276</v>
      </c>
      <c r="M1434" s="10" t="s">
        <v>1842</v>
      </c>
      <c r="N1434" s="7"/>
    </row>
    <row r="1435" s="1" customFormat="1" ht="28.5" customHeight="1" spans="1:14">
      <c r="A1435" s="8">
        <v>30801</v>
      </c>
      <c r="B1435" s="9">
        <v>30808</v>
      </c>
      <c r="C1435" s="9" t="s">
        <v>36</v>
      </c>
      <c r="D1435" s="9">
        <v>2000</v>
      </c>
      <c r="E1435" s="9"/>
      <c r="F1435" s="9">
        <v>30801</v>
      </c>
      <c r="G1435" s="10" t="s">
        <v>2100</v>
      </c>
      <c r="H1435" s="10" t="s">
        <v>563</v>
      </c>
      <c r="I1435" s="10"/>
      <c r="J1435" s="9">
        <v>20853</v>
      </c>
      <c r="K1435" s="10" t="s">
        <v>2101</v>
      </c>
      <c r="L1435" s="10" t="s">
        <v>276</v>
      </c>
      <c r="M1435" s="10" t="s">
        <v>1842</v>
      </c>
      <c r="N1435" s="7"/>
    </row>
    <row r="1436" s="1" customFormat="1" ht="28.5" customHeight="1" spans="1:14">
      <c r="A1436" s="8">
        <v>30801</v>
      </c>
      <c r="B1436" s="9">
        <v>30809</v>
      </c>
      <c r="C1436" s="9" t="s">
        <v>36</v>
      </c>
      <c r="D1436" s="9">
        <v>1500</v>
      </c>
      <c r="E1436" s="9"/>
      <c r="F1436" s="9">
        <v>30801</v>
      </c>
      <c r="G1436" s="10" t="s">
        <v>2102</v>
      </c>
      <c r="H1436" s="10" t="s">
        <v>563</v>
      </c>
      <c r="I1436" s="10"/>
      <c r="J1436" s="9">
        <v>20854</v>
      </c>
      <c r="K1436" s="10" t="s">
        <v>2103</v>
      </c>
      <c r="L1436" s="10" t="s">
        <v>276</v>
      </c>
      <c r="M1436" s="10" t="s">
        <v>1842</v>
      </c>
      <c r="N1436" s="7"/>
    </row>
    <row r="1437" s="1" customFormat="1" ht="28.5" customHeight="1" spans="1:14">
      <c r="A1437" s="8">
        <v>30801</v>
      </c>
      <c r="B1437" s="9">
        <v>30810</v>
      </c>
      <c r="C1437" s="9" t="s">
        <v>36</v>
      </c>
      <c r="D1437" s="9">
        <v>1000</v>
      </c>
      <c r="E1437" s="9"/>
      <c r="F1437" s="9">
        <v>30801</v>
      </c>
      <c r="G1437" s="10" t="s">
        <v>2104</v>
      </c>
      <c r="H1437" s="10" t="s">
        <v>563</v>
      </c>
      <c r="I1437" s="10"/>
      <c r="J1437" s="9">
        <v>20855</v>
      </c>
      <c r="K1437" s="10" t="s">
        <v>2105</v>
      </c>
      <c r="L1437" s="10" t="s">
        <v>276</v>
      </c>
      <c r="M1437" s="10" t="s">
        <v>1842</v>
      </c>
      <c r="N1437" s="7"/>
    </row>
    <row r="1438" s="1" customFormat="1" ht="28.5" customHeight="1" spans="1:14">
      <c r="A1438" s="8"/>
      <c r="B1438" s="9"/>
      <c r="C1438" s="9" t="s">
        <v>1289</v>
      </c>
      <c r="D1438" s="9">
        <v>3000</v>
      </c>
      <c r="E1438" s="9"/>
      <c r="F1438" s="9"/>
      <c r="G1438" s="10" t="s">
        <v>1857</v>
      </c>
      <c r="H1438" s="10" t="s">
        <v>563</v>
      </c>
      <c r="I1438" s="10"/>
      <c r="J1438" s="9">
        <v>90856</v>
      </c>
      <c r="K1438" s="10" t="s">
        <v>1858</v>
      </c>
      <c r="L1438" s="10" t="s">
        <v>224</v>
      </c>
      <c r="M1438" s="10" t="s">
        <v>1834</v>
      </c>
      <c r="N1438" s="7"/>
    </row>
    <row r="1439" s="1" customFormat="1" ht="28.5" customHeight="1" spans="1:14">
      <c r="A1439" s="8"/>
      <c r="B1439" s="9"/>
      <c r="C1439" s="9" t="s">
        <v>1289</v>
      </c>
      <c r="D1439" s="9">
        <v>2500</v>
      </c>
      <c r="E1439" s="9"/>
      <c r="F1439" s="9"/>
      <c r="G1439" s="10" t="s">
        <v>1857</v>
      </c>
      <c r="H1439" s="10" t="s">
        <v>563</v>
      </c>
      <c r="I1439" s="10"/>
      <c r="J1439" s="9">
        <v>90857</v>
      </c>
      <c r="K1439" s="10" t="s">
        <v>1858</v>
      </c>
      <c r="L1439" s="10" t="s">
        <v>224</v>
      </c>
      <c r="M1439" s="10" t="s">
        <v>1834</v>
      </c>
      <c r="N1439" s="7"/>
    </row>
    <row r="1440" s="1" customFormat="1" ht="28.5" customHeight="1" spans="1:14">
      <c r="A1440" s="8"/>
      <c r="B1440" s="9"/>
      <c r="C1440" s="9" t="s">
        <v>1289</v>
      </c>
      <c r="D1440" s="9">
        <v>2000</v>
      </c>
      <c r="E1440" s="9"/>
      <c r="F1440" s="9"/>
      <c r="G1440" s="10" t="s">
        <v>1857</v>
      </c>
      <c r="H1440" s="10" t="s">
        <v>563</v>
      </c>
      <c r="I1440" s="10"/>
      <c r="J1440" s="9">
        <v>90858</v>
      </c>
      <c r="K1440" s="10" t="s">
        <v>1858</v>
      </c>
      <c r="L1440" s="10" t="s">
        <v>224</v>
      </c>
      <c r="M1440" s="10" t="s">
        <v>1834</v>
      </c>
      <c r="N1440" s="7"/>
    </row>
    <row r="1441" s="1" customFormat="1" ht="28.5" customHeight="1" spans="1:14">
      <c r="A1441" s="8"/>
      <c r="B1441" s="9"/>
      <c r="C1441" s="9" t="s">
        <v>1289</v>
      </c>
      <c r="D1441" s="9">
        <v>1500</v>
      </c>
      <c r="E1441" s="9"/>
      <c r="F1441" s="9"/>
      <c r="G1441" s="10" t="s">
        <v>1857</v>
      </c>
      <c r="H1441" s="10" t="s">
        <v>563</v>
      </c>
      <c r="I1441" s="10"/>
      <c r="J1441" s="9">
        <v>90859</v>
      </c>
      <c r="K1441" s="10" t="s">
        <v>1858</v>
      </c>
      <c r="L1441" s="10" t="s">
        <v>224</v>
      </c>
      <c r="M1441" s="10" t="s">
        <v>1834</v>
      </c>
      <c r="N1441" s="7"/>
    </row>
    <row r="1442" s="1" customFormat="1" ht="28.5" customHeight="1" spans="1:14">
      <c r="A1442" s="8"/>
      <c r="B1442" s="9"/>
      <c r="C1442" s="9" t="s">
        <v>1289</v>
      </c>
      <c r="D1442" s="9">
        <v>1000</v>
      </c>
      <c r="E1442" s="9"/>
      <c r="F1442" s="9"/>
      <c r="G1442" s="10" t="s">
        <v>1857</v>
      </c>
      <c r="H1442" s="10" t="s">
        <v>563</v>
      </c>
      <c r="I1442" s="10"/>
      <c r="J1442" s="9">
        <v>90860</v>
      </c>
      <c r="K1442" s="10" t="s">
        <v>1858</v>
      </c>
      <c r="L1442" s="10" t="s">
        <v>224</v>
      </c>
      <c r="M1442" s="10" t="s">
        <v>1834</v>
      </c>
      <c r="N1442" s="7"/>
    </row>
    <row r="1443" s="1" customFormat="1" ht="28.5" customHeight="1" spans="1:14">
      <c r="A1443" s="8">
        <v>30803</v>
      </c>
      <c r="B1443" s="9">
        <v>30811</v>
      </c>
      <c r="C1443" s="9" t="s">
        <v>36</v>
      </c>
      <c r="D1443" s="9">
        <v>3000</v>
      </c>
      <c r="E1443" s="9"/>
      <c r="F1443" s="9">
        <v>30802</v>
      </c>
      <c r="G1443" s="10" t="s">
        <v>1859</v>
      </c>
      <c r="H1443" s="10" t="s">
        <v>563</v>
      </c>
      <c r="I1443" s="10"/>
      <c r="J1443" s="9">
        <v>70861</v>
      </c>
      <c r="K1443" s="10" t="s">
        <v>1860</v>
      </c>
      <c r="L1443" s="10" t="s">
        <v>228</v>
      </c>
      <c r="M1443" s="10" t="s">
        <v>1842</v>
      </c>
      <c r="N1443" s="7"/>
    </row>
    <row r="1444" s="1" customFormat="1" ht="28.5" customHeight="1" spans="1:14">
      <c r="A1444" s="8">
        <v>30803</v>
      </c>
      <c r="B1444" s="9">
        <v>30812</v>
      </c>
      <c r="C1444" s="9" t="s">
        <v>36</v>
      </c>
      <c r="D1444" s="9">
        <v>2500</v>
      </c>
      <c r="E1444" s="9"/>
      <c r="F1444" s="9">
        <v>30802</v>
      </c>
      <c r="G1444" s="10" t="s">
        <v>1859</v>
      </c>
      <c r="H1444" s="10" t="s">
        <v>563</v>
      </c>
      <c r="I1444" s="10"/>
      <c r="J1444" s="9">
        <v>70862</v>
      </c>
      <c r="K1444" s="10" t="s">
        <v>1860</v>
      </c>
      <c r="L1444" s="10" t="s">
        <v>228</v>
      </c>
      <c r="M1444" s="10" t="s">
        <v>1842</v>
      </c>
      <c r="N1444" s="7"/>
    </row>
    <row r="1445" s="1" customFormat="1" ht="28.5" customHeight="1" spans="1:14">
      <c r="A1445" s="8">
        <v>30803</v>
      </c>
      <c r="B1445" s="9">
        <v>30813</v>
      </c>
      <c r="C1445" s="9" t="s">
        <v>36</v>
      </c>
      <c r="D1445" s="9">
        <v>2000</v>
      </c>
      <c r="E1445" s="9"/>
      <c r="F1445" s="9">
        <v>30802</v>
      </c>
      <c r="G1445" s="10" t="s">
        <v>1859</v>
      </c>
      <c r="H1445" s="10" t="s">
        <v>563</v>
      </c>
      <c r="I1445" s="10"/>
      <c r="J1445" s="9">
        <v>70863</v>
      </c>
      <c r="K1445" s="10" t="s">
        <v>1860</v>
      </c>
      <c r="L1445" s="10" t="s">
        <v>228</v>
      </c>
      <c r="M1445" s="10" t="s">
        <v>1842</v>
      </c>
      <c r="N1445" s="7"/>
    </row>
    <row r="1446" s="1" customFormat="1" ht="28.5" customHeight="1" spans="1:14">
      <c r="A1446" s="8">
        <v>30803</v>
      </c>
      <c r="B1446" s="9">
        <v>30814</v>
      </c>
      <c r="C1446" s="9" t="s">
        <v>36</v>
      </c>
      <c r="D1446" s="9">
        <v>1500</v>
      </c>
      <c r="E1446" s="9"/>
      <c r="F1446" s="9">
        <v>30802</v>
      </c>
      <c r="G1446" s="10" t="s">
        <v>1859</v>
      </c>
      <c r="H1446" s="10" t="s">
        <v>563</v>
      </c>
      <c r="I1446" s="10"/>
      <c r="J1446" s="9">
        <v>70864</v>
      </c>
      <c r="K1446" s="10" t="s">
        <v>1860</v>
      </c>
      <c r="L1446" s="10" t="s">
        <v>228</v>
      </c>
      <c r="M1446" s="10" t="s">
        <v>1842</v>
      </c>
      <c r="N1446" s="7"/>
    </row>
    <row r="1447" s="1" customFormat="1" ht="28.5" customHeight="1" spans="1:14">
      <c r="A1447" s="8">
        <v>30803</v>
      </c>
      <c r="B1447" s="9">
        <v>30815</v>
      </c>
      <c r="C1447" s="9" t="s">
        <v>36</v>
      </c>
      <c r="D1447" s="9">
        <v>1000</v>
      </c>
      <c r="E1447" s="9"/>
      <c r="F1447" s="9">
        <v>30802</v>
      </c>
      <c r="G1447" s="10" t="s">
        <v>1859</v>
      </c>
      <c r="H1447" s="10" t="s">
        <v>563</v>
      </c>
      <c r="I1447" s="10"/>
      <c r="J1447" s="9">
        <v>70865</v>
      </c>
      <c r="K1447" s="10" t="s">
        <v>1860</v>
      </c>
      <c r="L1447" s="10" t="s">
        <v>228</v>
      </c>
      <c r="M1447" s="10" t="s">
        <v>1842</v>
      </c>
      <c r="N1447" s="7"/>
    </row>
    <row r="1448" s="1" customFormat="1" ht="28.5" customHeight="1" spans="1:14">
      <c r="A1448" s="8">
        <v>30803</v>
      </c>
      <c r="B1448" s="9">
        <v>30816</v>
      </c>
      <c r="C1448" s="9" t="s">
        <v>36</v>
      </c>
      <c r="D1448" s="9">
        <v>3000</v>
      </c>
      <c r="E1448" s="9"/>
      <c r="F1448" s="9">
        <v>30803</v>
      </c>
      <c r="G1448" s="10" t="s">
        <v>1861</v>
      </c>
      <c r="H1448" s="10" t="s">
        <v>563</v>
      </c>
      <c r="I1448" s="10"/>
      <c r="J1448" s="9">
        <v>80866</v>
      </c>
      <c r="K1448" s="10" t="s">
        <v>1862</v>
      </c>
      <c r="L1448" s="10" t="s">
        <v>231</v>
      </c>
      <c r="M1448" s="10" t="s">
        <v>1842</v>
      </c>
      <c r="N1448" s="7"/>
    </row>
    <row r="1449" s="1" customFormat="1" ht="28.5" customHeight="1" spans="1:14">
      <c r="A1449" s="8">
        <v>30803</v>
      </c>
      <c r="B1449" s="9">
        <v>30817</v>
      </c>
      <c r="C1449" s="9" t="s">
        <v>36</v>
      </c>
      <c r="D1449" s="9">
        <v>2500</v>
      </c>
      <c r="E1449" s="9"/>
      <c r="F1449" s="9">
        <v>30803</v>
      </c>
      <c r="G1449" s="10" t="s">
        <v>1861</v>
      </c>
      <c r="H1449" s="10" t="s">
        <v>563</v>
      </c>
      <c r="I1449" s="10"/>
      <c r="J1449" s="9">
        <v>80867</v>
      </c>
      <c r="K1449" s="10" t="s">
        <v>1862</v>
      </c>
      <c r="L1449" s="10" t="s">
        <v>231</v>
      </c>
      <c r="M1449" s="10" t="s">
        <v>1842</v>
      </c>
      <c r="N1449" s="7"/>
    </row>
    <row r="1450" s="1" customFormat="1" ht="28.5" customHeight="1" spans="1:14">
      <c r="A1450" s="8">
        <v>30803</v>
      </c>
      <c r="B1450" s="9">
        <v>30818</v>
      </c>
      <c r="C1450" s="9" t="s">
        <v>36</v>
      </c>
      <c r="D1450" s="9">
        <v>2000</v>
      </c>
      <c r="E1450" s="9"/>
      <c r="F1450" s="9">
        <v>30803</v>
      </c>
      <c r="G1450" s="10" t="s">
        <v>1861</v>
      </c>
      <c r="H1450" s="10" t="s">
        <v>563</v>
      </c>
      <c r="I1450" s="10"/>
      <c r="J1450" s="9">
        <v>80868</v>
      </c>
      <c r="K1450" s="10" t="s">
        <v>1862</v>
      </c>
      <c r="L1450" s="10" t="s">
        <v>231</v>
      </c>
      <c r="M1450" s="10" t="s">
        <v>1842</v>
      </c>
      <c r="N1450" s="7"/>
    </row>
    <row r="1451" s="1" customFormat="1" ht="28.5" customHeight="1" spans="1:14">
      <c r="A1451" s="8">
        <v>30803</v>
      </c>
      <c r="B1451" s="9">
        <v>30819</v>
      </c>
      <c r="C1451" s="9" t="s">
        <v>36</v>
      </c>
      <c r="D1451" s="9">
        <v>1500</v>
      </c>
      <c r="E1451" s="9"/>
      <c r="F1451" s="9">
        <v>30803</v>
      </c>
      <c r="G1451" s="10" t="s">
        <v>1861</v>
      </c>
      <c r="H1451" s="10" t="s">
        <v>563</v>
      </c>
      <c r="I1451" s="10"/>
      <c r="J1451" s="9">
        <v>80869</v>
      </c>
      <c r="K1451" s="10" t="s">
        <v>1862</v>
      </c>
      <c r="L1451" s="10" t="s">
        <v>231</v>
      </c>
      <c r="M1451" s="10" t="s">
        <v>1842</v>
      </c>
      <c r="N1451" s="7"/>
    </row>
    <row r="1452" s="1" customFormat="1" ht="28.5" customHeight="1" spans="1:14">
      <c r="A1452" s="8">
        <v>30803</v>
      </c>
      <c r="B1452" s="9">
        <v>30820</v>
      </c>
      <c r="C1452" s="9" t="s">
        <v>36</v>
      </c>
      <c r="D1452" s="9">
        <v>1000</v>
      </c>
      <c r="E1452" s="9"/>
      <c r="F1452" s="9">
        <v>30803</v>
      </c>
      <c r="G1452" s="10" t="s">
        <v>1861</v>
      </c>
      <c r="H1452" s="10" t="s">
        <v>563</v>
      </c>
      <c r="I1452" s="10"/>
      <c r="J1452" s="9">
        <v>80870</v>
      </c>
      <c r="K1452" s="10" t="s">
        <v>1862</v>
      </c>
      <c r="L1452" s="10" t="s">
        <v>231</v>
      </c>
      <c r="M1452" s="10" t="s">
        <v>1842</v>
      </c>
      <c r="N1452" s="7"/>
    </row>
    <row r="1453" s="1" customFormat="1" ht="28.5" customHeight="1" spans="1:14">
      <c r="A1453" s="8">
        <v>30802</v>
      </c>
      <c r="B1453" s="9">
        <v>30821</v>
      </c>
      <c r="C1453" s="9" t="s">
        <v>36</v>
      </c>
      <c r="D1453" s="9">
        <v>3000</v>
      </c>
      <c r="E1453" s="9"/>
      <c r="F1453" s="9">
        <v>30804</v>
      </c>
      <c r="G1453" s="10" t="s">
        <v>2055</v>
      </c>
      <c r="H1453" s="10" t="s">
        <v>563</v>
      </c>
      <c r="I1453" s="10"/>
      <c r="J1453" s="9">
        <v>10871</v>
      </c>
      <c r="K1453" s="10" t="s">
        <v>2056</v>
      </c>
      <c r="L1453" s="10" t="s">
        <v>277</v>
      </c>
      <c r="M1453" s="10" t="s">
        <v>1842</v>
      </c>
      <c r="N1453" s="7"/>
    </row>
    <row r="1454" s="1" customFormat="1" ht="28.5" customHeight="1" spans="1:14">
      <c r="A1454" s="8">
        <v>30802</v>
      </c>
      <c r="B1454" s="9">
        <v>30822</v>
      </c>
      <c r="C1454" s="9" t="s">
        <v>36</v>
      </c>
      <c r="D1454" s="9">
        <v>2500</v>
      </c>
      <c r="E1454" s="9"/>
      <c r="F1454" s="9">
        <v>30804</v>
      </c>
      <c r="G1454" s="10" t="s">
        <v>2106</v>
      </c>
      <c r="H1454" s="10" t="s">
        <v>563</v>
      </c>
      <c r="I1454" s="10"/>
      <c r="J1454" s="9">
        <v>10872</v>
      </c>
      <c r="K1454" s="10" t="s">
        <v>2107</v>
      </c>
      <c r="L1454" s="10" t="s">
        <v>277</v>
      </c>
      <c r="M1454" s="10" t="s">
        <v>1842</v>
      </c>
      <c r="N1454" s="7"/>
    </row>
    <row r="1455" s="1" customFormat="1" ht="28.5" customHeight="1" spans="1:14">
      <c r="A1455" s="8">
        <v>30802</v>
      </c>
      <c r="B1455" s="9">
        <v>30823</v>
      </c>
      <c r="C1455" s="9" t="s">
        <v>36</v>
      </c>
      <c r="D1455" s="9">
        <v>2000</v>
      </c>
      <c r="E1455" s="9"/>
      <c r="F1455" s="9">
        <v>30804</v>
      </c>
      <c r="G1455" s="10" t="s">
        <v>2108</v>
      </c>
      <c r="H1455" s="10" t="s">
        <v>563</v>
      </c>
      <c r="I1455" s="10"/>
      <c r="J1455" s="9">
        <v>10873</v>
      </c>
      <c r="K1455" s="10" t="s">
        <v>2109</v>
      </c>
      <c r="L1455" s="10" t="s">
        <v>277</v>
      </c>
      <c r="M1455" s="10" t="s">
        <v>1842</v>
      </c>
      <c r="N1455" s="7"/>
    </row>
    <row r="1456" s="1" customFormat="1" ht="28.5" customHeight="1" spans="1:14">
      <c r="A1456" s="8">
        <v>30802</v>
      </c>
      <c r="B1456" s="9">
        <v>30824</v>
      </c>
      <c r="C1456" s="9" t="s">
        <v>36</v>
      </c>
      <c r="D1456" s="9">
        <v>1500</v>
      </c>
      <c r="E1456" s="9"/>
      <c r="F1456" s="9">
        <v>30804</v>
      </c>
      <c r="G1456" s="10" t="s">
        <v>2110</v>
      </c>
      <c r="H1456" s="10" t="s">
        <v>563</v>
      </c>
      <c r="I1456" s="10"/>
      <c r="J1456" s="9">
        <v>10874</v>
      </c>
      <c r="K1456" s="10" t="s">
        <v>2111</v>
      </c>
      <c r="L1456" s="10" t="s">
        <v>277</v>
      </c>
      <c r="M1456" s="10" t="s">
        <v>1842</v>
      </c>
      <c r="N1456" s="7"/>
    </row>
    <row r="1457" s="1" customFormat="1" ht="28.5" customHeight="1" spans="1:14">
      <c r="A1457" s="8">
        <v>30802</v>
      </c>
      <c r="B1457" s="9">
        <v>30825</v>
      </c>
      <c r="C1457" s="9" t="s">
        <v>36</v>
      </c>
      <c r="D1457" s="9">
        <v>1000</v>
      </c>
      <c r="E1457" s="9"/>
      <c r="F1457" s="9">
        <v>30804</v>
      </c>
      <c r="G1457" s="10" t="s">
        <v>1865</v>
      </c>
      <c r="H1457" s="10" t="s">
        <v>563</v>
      </c>
      <c r="I1457" s="10"/>
      <c r="J1457" s="9">
        <v>10875</v>
      </c>
      <c r="K1457" s="10" t="s">
        <v>1866</v>
      </c>
      <c r="L1457" s="10" t="s">
        <v>277</v>
      </c>
      <c r="M1457" s="10" t="s">
        <v>1842</v>
      </c>
      <c r="N1457" s="7"/>
    </row>
    <row r="1458" s="1" customFormat="1" ht="28.5" customHeight="1" spans="1:14">
      <c r="A1458" s="8">
        <v>30803</v>
      </c>
      <c r="B1458" s="9">
        <v>30826</v>
      </c>
      <c r="C1458" s="9" t="s">
        <v>36</v>
      </c>
      <c r="D1458" s="9">
        <v>3000</v>
      </c>
      <c r="E1458" s="9"/>
      <c r="F1458" s="9">
        <v>30805</v>
      </c>
      <c r="G1458" s="10" t="s">
        <v>2391</v>
      </c>
      <c r="H1458" s="10" t="s">
        <v>563</v>
      </c>
      <c r="I1458" s="10"/>
      <c r="J1458" s="9">
        <v>100876</v>
      </c>
      <c r="K1458" s="10" t="s">
        <v>320</v>
      </c>
      <c r="L1458" s="10" t="s">
        <v>248</v>
      </c>
      <c r="M1458" s="10" t="s">
        <v>1842</v>
      </c>
      <c r="N1458" s="7"/>
    </row>
    <row r="1459" s="1" customFormat="1" ht="28.5" customHeight="1" spans="1:14">
      <c r="A1459" s="8">
        <v>30803</v>
      </c>
      <c r="B1459" s="9">
        <v>30827</v>
      </c>
      <c r="C1459" s="9" t="s">
        <v>36</v>
      </c>
      <c r="D1459" s="9">
        <v>2500</v>
      </c>
      <c r="E1459" s="9"/>
      <c r="F1459" s="9">
        <v>30805</v>
      </c>
      <c r="G1459" s="10" t="s">
        <v>2391</v>
      </c>
      <c r="H1459" s="10" t="s">
        <v>563</v>
      </c>
      <c r="I1459" s="10"/>
      <c r="J1459" s="9">
        <v>100877</v>
      </c>
      <c r="K1459" s="10" t="s">
        <v>320</v>
      </c>
      <c r="L1459" s="10" t="s">
        <v>248</v>
      </c>
      <c r="M1459" s="10" t="s">
        <v>1842</v>
      </c>
      <c r="N1459" s="7"/>
    </row>
    <row r="1460" s="1" customFormat="1" ht="28.5" customHeight="1" spans="1:14">
      <c r="A1460" s="8">
        <v>30803</v>
      </c>
      <c r="B1460" s="9">
        <v>30828</v>
      </c>
      <c r="C1460" s="9" t="s">
        <v>36</v>
      </c>
      <c r="D1460" s="9">
        <v>2000</v>
      </c>
      <c r="E1460" s="9"/>
      <c r="F1460" s="9">
        <v>30805</v>
      </c>
      <c r="G1460" s="10" t="s">
        <v>2391</v>
      </c>
      <c r="H1460" s="10" t="s">
        <v>563</v>
      </c>
      <c r="I1460" s="10"/>
      <c r="J1460" s="9">
        <v>100878</v>
      </c>
      <c r="K1460" s="10" t="s">
        <v>320</v>
      </c>
      <c r="L1460" s="10" t="s">
        <v>248</v>
      </c>
      <c r="M1460" s="10" t="s">
        <v>1842</v>
      </c>
      <c r="N1460" s="7"/>
    </row>
    <row r="1461" s="1" customFormat="1" ht="28.5" customHeight="1" spans="1:14">
      <c r="A1461" s="8">
        <v>30803</v>
      </c>
      <c r="B1461" s="9">
        <v>30829</v>
      </c>
      <c r="C1461" s="9" t="s">
        <v>36</v>
      </c>
      <c r="D1461" s="9">
        <v>1500</v>
      </c>
      <c r="E1461" s="9"/>
      <c r="F1461" s="9">
        <v>30805</v>
      </c>
      <c r="G1461" s="10" t="s">
        <v>2391</v>
      </c>
      <c r="H1461" s="10" t="s">
        <v>563</v>
      </c>
      <c r="I1461" s="10"/>
      <c r="J1461" s="9">
        <v>100879</v>
      </c>
      <c r="K1461" s="10" t="s">
        <v>320</v>
      </c>
      <c r="L1461" s="10" t="s">
        <v>248</v>
      </c>
      <c r="M1461" s="10" t="s">
        <v>1842</v>
      </c>
      <c r="N1461" s="7"/>
    </row>
    <row r="1462" s="1" customFormat="1" ht="28.5" customHeight="1" spans="1:14">
      <c r="A1462" s="8">
        <v>30803</v>
      </c>
      <c r="B1462" s="9">
        <v>30830</v>
      </c>
      <c r="C1462" s="9" t="s">
        <v>36</v>
      </c>
      <c r="D1462" s="9">
        <v>1000</v>
      </c>
      <c r="E1462" s="9"/>
      <c r="F1462" s="9">
        <v>30805</v>
      </c>
      <c r="G1462" s="10" t="s">
        <v>2391</v>
      </c>
      <c r="H1462" s="10" t="s">
        <v>563</v>
      </c>
      <c r="I1462" s="10"/>
      <c r="J1462" s="9">
        <v>100880</v>
      </c>
      <c r="K1462" s="10" t="s">
        <v>320</v>
      </c>
      <c r="L1462" s="10" t="s">
        <v>248</v>
      </c>
      <c r="M1462" s="10" t="s">
        <v>1842</v>
      </c>
      <c r="N1462" s="7"/>
    </row>
    <row r="1463" s="1" customFormat="1" ht="28.5" customHeight="1" spans="1:14">
      <c r="A1463" s="8">
        <v>30801</v>
      </c>
      <c r="B1463" s="9">
        <v>30831</v>
      </c>
      <c r="C1463" s="9" t="s">
        <v>36</v>
      </c>
      <c r="D1463" s="9">
        <v>0</v>
      </c>
      <c r="E1463" s="9"/>
      <c r="F1463" s="9">
        <v>30806</v>
      </c>
      <c r="G1463" s="10" t="s">
        <v>1629</v>
      </c>
      <c r="H1463" s="10" t="s">
        <v>563</v>
      </c>
      <c r="I1463" s="10"/>
      <c r="J1463" s="9">
        <v>60881</v>
      </c>
      <c r="K1463" s="10" t="s">
        <v>2558</v>
      </c>
      <c r="L1463" s="10" t="s">
        <v>343</v>
      </c>
      <c r="M1463" s="10" t="s">
        <v>1842</v>
      </c>
      <c r="N1463" s="7"/>
    </row>
    <row r="1464" s="1" customFormat="1" ht="28.5" customHeight="1" spans="1:14">
      <c r="A1464" s="8">
        <v>30801</v>
      </c>
      <c r="B1464" s="9">
        <v>30832</v>
      </c>
      <c r="C1464" s="9" t="s">
        <v>36</v>
      </c>
      <c r="D1464" s="9">
        <v>0</v>
      </c>
      <c r="E1464" s="9"/>
      <c r="F1464" s="9">
        <v>30806</v>
      </c>
      <c r="G1464" s="10" t="s">
        <v>1631</v>
      </c>
      <c r="H1464" s="10" t="s">
        <v>563</v>
      </c>
      <c r="I1464" s="10"/>
      <c r="J1464" s="9">
        <v>60882</v>
      </c>
      <c r="K1464" s="10" t="s">
        <v>2559</v>
      </c>
      <c r="L1464" s="10" t="s">
        <v>343</v>
      </c>
      <c r="M1464" s="10" t="s">
        <v>1842</v>
      </c>
      <c r="N1464" s="7"/>
    </row>
    <row r="1465" s="1" customFormat="1" ht="28.5" customHeight="1" spans="1:14">
      <c r="A1465" s="8">
        <v>30801</v>
      </c>
      <c r="B1465" s="9">
        <v>30833</v>
      </c>
      <c r="C1465" s="9" t="s">
        <v>36</v>
      </c>
      <c r="D1465" s="9">
        <v>0</v>
      </c>
      <c r="E1465" s="9"/>
      <c r="F1465" s="9">
        <v>30806</v>
      </c>
      <c r="G1465" s="10" t="s">
        <v>1633</v>
      </c>
      <c r="H1465" s="10" t="s">
        <v>563</v>
      </c>
      <c r="I1465" s="10"/>
      <c r="J1465" s="9">
        <v>60883</v>
      </c>
      <c r="K1465" s="10" t="s">
        <v>2560</v>
      </c>
      <c r="L1465" s="10" t="s">
        <v>343</v>
      </c>
      <c r="M1465" s="10" t="s">
        <v>1842</v>
      </c>
      <c r="N1465" s="7"/>
    </row>
    <row r="1466" s="1" customFormat="1" ht="28.5" customHeight="1" spans="1:14">
      <c r="A1466" s="8">
        <v>30801</v>
      </c>
      <c r="B1466" s="9">
        <v>30834</v>
      </c>
      <c r="C1466" s="9" t="s">
        <v>36</v>
      </c>
      <c r="D1466" s="9">
        <v>0</v>
      </c>
      <c r="E1466" s="9"/>
      <c r="F1466" s="9">
        <v>30806</v>
      </c>
      <c r="G1466" s="10" t="s">
        <v>1635</v>
      </c>
      <c r="H1466" s="10" t="s">
        <v>563</v>
      </c>
      <c r="I1466" s="10"/>
      <c r="J1466" s="9">
        <v>60884</v>
      </c>
      <c r="K1466" s="10" t="s">
        <v>2561</v>
      </c>
      <c r="L1466" s="10" t="s">
        <v>343</v>
      </c>
      <c r="M1466" s="10" t="s">
        <v>1842</v>
      </c>
      <c r="N1466" s="7"/>
    </row>
    <row r="1467" s="1" customFormat="1" ht="28.5" customHeight="1" spans="1:14">
      <c r="A1467" s="8">
        <v>30801</v>
      </c>
      <c r="B1467" s="9">
        <v>30835</v>
      </c>
      <c r="C1467" s="9" t="s">
        <v>36</v>
      </c>
      <c r="D1467" s="9">
        <v>0</v>
      </c>
      <c r="E1467" s="9"/>
      <c r="F1467" s="9">
        <v>30806</v>
      </c>
      <c r="G1467" s="10" t="s">
        <v>1637</v>
      </c>
      <c r="H1467" s="10" t="s">
        <v>563</v>
      </c>
      <c r="I1467" s="10"/>
      <c r="J1467" s="9">
        <v>60885</v>
      </c>
      <c r="K1467" s="10" t="s">
        <v>2562</v>
      </c>
      <c r="L1467" s="10" t="s">
        <v>343</v>
      </c>
      <c r="M1467" s="10" t="s">
        <v>1842</v>
      </c>
      <c r="N1467" s="7"/>
    </row>
    <row r="1468" s="1" customFormat="1" ht="28.5" customHeight="1" spans="1:14">
      <c r="A1468" s="8">
        <v>30801</v>
      </c>
      <c r="B1468" s="9">
        <v>30836</v>
      </c>
      <c r="C1468" s="9" t="s">
        <v>36</v>
      </c>
      <c r="D1468" s="9">
        <v>3000</v>
      </c>
      <c r="E1468" s="9"/>
      <c r="F1468" s="9">
        <v>30807</v>
      </c>
      <c r="G1468" s="10" t="s">
        <v>1639</v>
      </c>
      <c r="H1468" s="10" t="s">
        <v>563</v>
      </c>
      <c r="I1468" s="10"/>
      <c r="J1468" s="9">
        <v>50886</v>
      </c>
      <c r="K1468" s="10" t="s">
        <v>2531</v>
      </c>
      <c r="L1468" s="10" t="s">
        <v>344</v>
      </c>
      <c r="M1468" s="10" t="s">
        <v>1842</v>
      </c>
      <c r="N1468" s="7"/>
    </row>
    <row r="1469" s="1" customFormat="1" ht="28.5" customHeight="1" spans="1:14">
      <c r="A1469" s="8">
        <v>30801</v>
      </c>
      <c r="B1469" s="9">
        <v>30837</v>
      </c>
      <c r="C1469" s="9" t="s">
        <v>36</v>
      </c>
      <c r="D1469" s="9">
        <v>2500</v>
      </c>
      <c r="E1469" s="9"/>
      <c r="F1469" s="9">
        <v>30807</v>
      </c>
      <c r="G1469" s="10" t="s">
        <v>2563</v>
      </c>
      <c r="H1469" s="10" t="s">
        <v>563</v>
      </c>
      <c r="I1469" s="10"/>
      <c r="J1469" s="9">
        <v>50887</v>
      </c>
      <c r="K1469" s="10" t="s">
        <v>2564</v>
      </c>
      <c r="L1469" s="10" t="s">
        <v>344</v>
      </c>
      <c r="M1469" s="10" t="s">
        <v>1842</v>
      </c>
      <c r="N1469" s="7"/>
    </row>
    <row r="1470" s="1" customFormat="1" ht="28.5" customHeight="1" spans="1:14">
      <c r="A1470" s="8">
        <v>30801</v>
      </c>
      <c r="B1470" s="9">
        <v>30838</v>
      </c>
      <c r="C1470" s="9" t="s">
        <v>36</v>
      </c>
      <c r="D1470" s="9">
        <v>2000</v>
      </c>
      <c r="E1470" s="9"/>
      <c r="F1470" s="9">
        <v>30807</v>
      </c>
      <c r="G1470" s="10" t="s">
        <v>2565</v>
      </c>
      <c r="H1470" s="10" t="s">
        <v>563</v>
      </c>
      <c r="I1470" s="10"/>
      <c r="J1470" s="9">
        <v>50888</v>
      </c>
      <c r="K1470" s="10" t="s">
        <v>2566</v>
      </c>
      <c r="L1470" s="10" t="s">
        <v>344</v>
      </c>
      <c r="M1470" s="10" t="s">
        <v>1842</v>
      </c>
      <c r="N1470" s="7"/>
    </row>
    <row r="1471" s="1" customFormat="1" ht="28.5" customHeight="1" spans="1:14">
      <c r="A1471" s="8">
        <v>30801</v>
      </c>
      <c r="B1471" s="9">
        <v>30839</v>
      </c>
      <c r="C1471" s="9" t="s">
        <v>36</v>
      </c>
      <c r="D1471" s="9">
        <v>1500</v>
      </c>
      <c r="E1471" s="9"/>
      <c r="F1471" s="9">
        <v>30807</v>
      </c>
      <c r="G1471" s="10" t="s">
        <v>1645</v>
      </c>
      <c r="H1471" s="10" t="s">
        <v>563</v>
      </c>
      <c r="I1471" s="10"/>
      <c r="J1471" s="9">
        <v>50889</v>
      </c>
      <c r="K1471" s="10" t="s">
        <v>2567</v>
      </c>
      <c r="L1471" s="10" t="s">
        <v>344</v>
      </c>
      <c r="M1471" s="10" t="s">
        <v>1842</v>
      </c>
      <c r="N1471" s="7"/>
    </row>
    <row r="1472" s="1" customFormat="1" ht="28.5" customHeight="1" spans="1:14">
      <c r="A1472" s="8">
        <v>30801</v>
      </c>
      <c r="B1472" s="9">
        <v>30840</v>
      </c>
      <c r="C1472" s="9" t="s">
        <v>36</v>
      </c>
      <c r="D1472" s="9">
        <v>1000</v>
      </c>
      <c r="E1472" s="9"/>
      <c r="F1472" s="9">
        <v>30807</v>
      </c>
      <c r="G1472" s="10" t="s">
        <v>1647</v>
      </c>
      <c r="H1472" s="10" t="s">
        <v>563</v>
      </c>
      <c r="I1472" s="10"/>
      <c r="J1472" s="9">
        <v>50890</v>
      </c>
      <c r="K1472" s="10" t="s">
        <v>2568</v>
      </c>
      <c r="L1472" s="10" t="s">
        <v>344</v>
      </c>
      <c r="M1472" s="10" t="s">
        <v>1842</v>
      </c>
      <c r="N1472" s="7"/>
    </row>
    <row r="1473" s="1" customFormat="1" ht="28.5" customHeight="1" spans="1:14">
      <c r="A1473" s="8">
        <v>30801</v>
      </c>
      <c r="B1473" s="9">
        <v>30841</v>
      </c>
      <c r="C1473" s="9" t="s">
        <v>36</v>
      </c>
      <c r="D1473" s="9">
        <v>3000</v>
      </c>
      <c r="E1473" s="9"/>
      <c r="F1473" s="9">
        <v>30808</v>
      </c>
      <c r="G1473" s="10" t="s">
        <v>2538</v>
      </c>
      <c r="H1473" s="10" t="s">
        <v>563</v>
      </c>
      <c r="I1473" s="10"/>
      <c r="J1473" s="9">
        <v>30891</v>
      </c>
      <c r="K1473" s="10" t="s">
        <v>2539</v>
      </c>
      <c r="L1473" s="10" t="s">
        <v>345</v>
      </c>
      <c r="M1473" s="10" t="s">
        <v>1842</v>
      </c>
      <c r="N1473" s="7"/>
    </row>
    <row r="1474" s="1" customFormat="1" ht="28.5" customHeight="1" spans="1:14">
      <c r="A1474" s="8">
        <v>30801</v>
      </c>
      <c r="B1474" s="9">
        <v>30842</v>
      </c>
      <c r="C1474" s="9" t="s">
        <v>36</v>
      </c>
      <c r="D1474" s="9">
        <v>2500</v>
      </c>
      <c r="E1474" s="9"/>
      <c r="F1474" s="9">
        <v>30808</v>
      </c>
      <c r="G1474" s="10" t="s">
        <v>2569</v>
      </c>
      <c r="H1474" s="10" t="s">
        <v>563</v>
      </c>
      <c r="I1474" s="10"/>
      <c r="J1474" s="9">
        <v>30892</v>
      </c>
      <c r="K1474" s="10" t="s">
        <v>2570</v>
      </c>
      <c r="L1474" s="10" t="s">
        <v>345</v>
      </c>
      <c r="M1474" s="10" t="s">
        <v>1842</v>
      </c>
      <c r="N1474" s="7"/>
    </row>
    <row r="1475" s="1" customFormat="1" ht="28.5" customHeight="1" spans="1:14">
      <c r="A1475" s="8">
        <v>30801</v>
      </c>
      <c r="B1475" s="9">
        <v>30843</v>
      </c>
      <c r="C1475" s="9" t="s">
        <v>36</v>
      </c>
      <c r="D1475" s="9">
        <v>2000</v>
      </c>
      <c r="E1475" s="9"/>
      <c r="F1475" s="9">
        <v>30808</v>
      </c>
      <c r="G1475" s="10" t="s">
        <v>2571</v>
      </c>
      <c r="H1475" s="10" t="s">
        <v>563</v>
      </c>
      <c r="I1475" s="10"/>
      <c r="J1475" s="9">
        <v>30893</v>
      </c>
      <c r="K1475" s="10" t="s">
        <v>2572</v>
      </c>
      <c r="L1475" s="10" t="s">
        <v>345</v>
      </c>
      <c r="M1475" s="10" t="s">
        <v>1842</v>
      </c>
      <c r="N1475" s="7"/>
    </row>
    <row r="1476" s="1" customFormat="1" ht="28.5" customHeight="1" spans="1:14">
      <c r="A1476" s="8">
        <v>30801</v>
      </c>
      <c r="B1476" s="9">
        <v>30844</v>
      </c>
      <c r="C1476" s="9" t="s">
        <v>36</v>
      </c>
      <c r="D1476" s="9">
        <v>1500</v>
      </c>
      <c r="E1476" s="9"/>
      <c r="F1476" s="9">
        <v>30808</v>
      </c>
      <c r="G1476" s="10" t="s">
        <v>2573</v>
      </c>
      <c r="H1476" s="10" t="s">
        <v>563</v>
      </c>
      <c r="I1476" s="10"/>
      <c r="J1476" s="9">
        <v>30894</v>
      </c>
      <c r="K1476" s="10" t="s">
        <v>2574</v>
      </c>
      <c r="L1476" s="10" t="s">
        <v>345</v>
      </c>
      <c r="M1476" s="10" t="s">
        <v>1842</v>
      </c>
      <c r="N1476" s="7"/>
    </row>
    <row r="1477" s="1" customFormat="1" ht="28.5" customHeight="1" spans="1:14">
      <c r="A1477" s="8">
        <v>30801</v>
      </c>
      <c r="B1477" s="9">
        <v>30845</v>
      </c>
      <c r="C1477" s="9" t="s">
        <v>36</v>
      </c>
      <c r="D1477" s="9">
        <v>1000</v>
      </c>
      <c r="E1477" s="9"/>
      <c r="F1477" s="9">
        <v>30808</v>
      </c>
      <c r="G1477" s="10" t="s">
        <v>2575</v>
      </c>
      <c r="H1477" s="10" t="s">
        <v>563</v>
      </c>
      <c r="I1477" s="10"/>
      <c r="J1477" s="9">
        <v>30895</v>
      </c>
      <c r="K1477" s="10" t="s">
        <v>2576</v>
      </c>
      <c r="L1477" s="10" t="s">
        <v>345</v>
      </c>
      <c r="M1477" s="10" t="s">
        <v>1842</v>
      </c>
      <c r="N1477" s="7"/>
    </row>
    <row r="1478" s="1" customFormat="1" ht="28.5" customHeight="1" spans="1:14">
      <c r="A1478" s="8">
        <v>30801</v>
      </c>
      <c r="B1478" s="9">
        <v>30846</v>
      </c>
      <c r="C1478" s="9" t="s">
        <v>36</v>
      </c>
      <c r="D1478" s="9">
        <v>3000</v>
      </c>
      <c r="E1478" s="9"/>
      <c r="F1478" s="9">
        <v>30809</v>
      </c>
      <c r="G1478" s="10" t="s">
        <v>2546</v>
      </c>
      <c r="H1478" s="10" t="s">
        <v>563</v>
      </c>
      <c r="I1478" s="10"/>
      <c r="J1478" s="9">
        <v>40896</v>
      </c>
      <c r="K1478" s="10" t="s">
        <v>2547</v>
      </c>
      <c r="L1478" s="10" t="s">
        <v>346</v>
      </c>
      <c r="M1478" s="10" t="s">
        <v>1842</v>
      </c>
      <c r="N1478" s="7"/>
    </row>
    <row r="1479" s="1" customFormat="1" ht="28.5" customHeight="1" spans="1:14">
      <c r="A1479" s="8">
        <v>30801</v>
      </c>
      <c r="B1479" s="9">
        <v>30847</v>
      </c>
      <c r="C1479" s="9" t="s">
        <v>36</v>
      </c>
      <c r="D1479" s="9">
        <v>2500</v>
      </c>
      <c r="E1479" s="9"/>
      <c r="F1479" s="9">
        <v>30809</v>
      </c>
      <c r="G1479" s="10" t="s">
        <v>2577</v>
      </c>
      <c r="H1479" s="10" t="s">
        <v>563</v>
      </c>
      <c r="I1479" s="10"/>
      <c r="J1479" s="9">
        <v>40897</v>
      </c>
      <c r="K1479" s="10" t="s">
        <v>2578</v>
      </c>
      <c r="L1479" s="10" t="s">
        <v>346</v>
      </c>
      <c r="M1479" s="10" t="s">
        <v>1842</v>
      </c>
      <c r="N1479" s="7"/>
    </row>
    <row r="1480" s="1" customFormat="1" ht="28.5" customHeight="1" spans="1:14">
      <c r="A1480" s="8">
        <v>30801</v>
      </c>
      <c r="B1480" s="9">
        <v>30848</v>
      </c>
      <c r="C1480" s="9" t="s">
        <v>36</v>
      </c>
      <c r="D1480" s="9">
        <v>2000</v>
      </c>
      <c r="E1480" s="9"/>
      <c r="F1480" s="9">
        <v>30809</v>
      </c>
      <c r="G1480" s="10" t="s">
        <v>2579</v>
      </c>
      <c r="H1480" s="10" t="s">
        <v>563</v>
      </c>
      <c r="I1480" s="10"/>
      <c r="J1480" s="9">
        <v>40898</v>
      </c>
      <c r="K1480" s="10" t="s">
        <v>2580</v>
      </c>
      <c r="L1480" s="10" t="s">
        <v>346</v>
      </c>
      <c r="M1480" s="10" t="s">
        <v>1842</v>
      </c>
      <c r="N1480" s="7"/>
    </row>
    <row r="1481" s="1" customFormat="1" ht="28.5" customHeight="1" spans="1:14">
      <c r="A1481" s="8">
        <v>30801</v>
      </c>
      <c r="B1481" s="9">
        <v>30849</v>
      </c>
      <c r="C1481" s="9" t="s">
        <v>36</v>
      </c>
      <c r="D1481" s="9">
        <v>1500</v>
      </c>
      <c r="E1481" s="9"/>
      <c r="F1481" s="9">
        <v>30809</v>
      </c>
      <c r="G1481" s="10" t="s">
        <v>2581</v>
      </c>
      <c r="H1481" s="10" t="s">
        <v>563</v>
      </c>
      <c r="I1481" s="10"/>
      <c r="J1481" s="9">
        <v>40899</v>
      </c>
      <c r="K1481" s="10" t="s">
        <v>2582</v>
      </c>
      <c r="L1481" s="10" t="s">
        <v>346</v>
      </c>
      <c r="M1481" s="10" t="s">
        <v>1842</v>
      </c>
      <c r="N1481" s="7"/>
    </row>
    <row r="1482" s="1" customFormat="1" ht="28.5" customHeight="1" spans="1:14">
      <c r="A1482" s="8">
        <v>30801</v>
      </c>
      <c r="B1482" s="9">
        <v>30850</v>
      </c>
      <c r="C1482" s="9" t="s">
        <v>36</v>
      </c>
      <c r="D1482" s="9">
        <v>1000</v>
      </c>
      <c r="E1482" s="9"/>
      <c r="F1482" s="9">
        <v>30809</v>
      </c>
      <c r="G1482" s="10" t="s">
        <v>2583</v>
      </c>
      <c r="H1482" s="10" t="s">
        <v>563</v>
      </c>
      <c r="I1482" s="10"/>
      <c r="J1482" s="9">
        <v>40900</v>
      </c>
      <c r="K1482" s="10" t="s">
        <v>2584</v>
      </c>
      <c r="L1482" s="10" t="s">
        <v>346</v>
      </c>
      <c r="M1482" s="10" t="s">
        <v>1842</v>
      </c>
      <c r="N1482" s="7"/>
    </row>
    <row r="1483" s="1" customFormat="1" ht="28.5" customHeight="1" spans="1:14">
      <c r="A1483" s="8"/>
      <c r="B1483" s="9"/>
      <c r="C1483" s="9" t="s">
        <v>1289</v>
      </c>
      <c r="D1483" s="9">
        <v>3000</v>
      </c>
      <c r="E1483" s="9"/>
      <c r="F1483" s="9"/>
      <c r="G1483" s="10" t="s">
        <v>2585</v>
      </c>
      <c r="H1483" s="10" t="s">
        <v>563</v>
      </c>
      <c r="I1483" s="10"/>
      <c r="J1483" s="9">
        <v>10901</v>
      </c>
      <c r="K1483" s="10" t="s">
        <v>2586</v>
      </c>
      <c r="L1483" s="10" t="s">
        <v>221</v>
      </c>
      <c r="M1483" s="10" t="s">
        <v>1834</v>
      </c>
      <c r="N1483" s="7"/>
    </row>
    <row r="1484" s="1" customFormat="1" ht="28.5" customHeight="1" spans="1:14">
      <c r="A1484" s="8"/>
      <c r="B1484" s="9"/>
      <c r="C1484" s="9" t="s">
        <v>1289</v>
      </c>
      <c r="D1484" s="9">
        <v>2500</v>
      </c>
      <c r="E1484" s="9"/>
      <c r="F1484" s="9"/>
      <c r="G1484" s="10" t="s">
        <v>2587</v>
      </c>
      <c r="H1484" s="10" t="s">
        <v>563</v>
      </c>
      <c r="I1484" s="10"/>
      <c r="J1484" s="9">
        <v>10902</v>
      </c>
      <c r="K1484" s="10" t="s">
        <v>2588</v>
      </c>
      <c r="L1484" s="10" t="s">
        <v>221</v>
      </c>
      <c r="M1484" s="10" t="s">
        <v>1834</v>
      </c>
      <c r="N1484" s="7"/>
    </row>
    <row r="1485" s="1" customFormat="1" ht="28.5" customHeight="1" spans="1:14">
      <c r="A1485" s="8"/>
      <c r="B1485" s="9"/>
      <c r="C1485" s="9" t="s">
        <v>1289</v>
      </c>
      <c r="D1485" s="9">
        <v>2000</v>
      </c>
      <c r="E1485" s="9"/>
      <c r="F1485" s="9"/>
      <c r="G1485" s="10" t="s">
        <v>2589</v>
      </c>
      <c r="H1485" s="10" t="s">
        <v>563</v>
      </c>
      <c r="I1485" s="10"/>
      <c r="J1485" s="9">
        <v>10903</v>
      </c>
      <c r="K1485" s="10" t="s">
        <v>2590</v>
      </c>
      <c r="L1485" s="10" t="s">
        <v>221</v>
      </c>
      <c r="M1485" s="10" t="s">
        <v>1834</v>
      </c>
      <c r="N1485" s="7"/>
    </row>
    <row r="1486" s="1" customFormat="1" ht="28.5" customHeight="1" spans="1:14">
      <c r="A1486" s="8"/>
      <c r="B1486" s="9"/>
      <c r="C1486" s="9" t="s">
        <v>1289</v>
      </c>
      <c r="D1486" s="9">
        <v>1500</v>
      </c>
      <c r="E1486" s="9"/>
      <c r="F1486" s="9"/>
      <c r="G1486" s="10" t="s">
        <v>2591</v>
      </c>
      <c r="H1486" s="10" t="s">
        <v>563</v>
      </c>
      <c r="I1486" s="10"/>
      <c r="J1486" s="9">
        <v>10904</v>
      </c>
      <c r="K1486" s="10" t="s">
        <v>2592</v>
      </c>
      <c r="L1486" s="10" t="s">
        <v>221</v>
      </c>
      <c r="M1486" s="10" t="s">
        <v>1834</v>
      </c>
      <c r="N1486" s="7"/>
    </row>
    <row r="1487" s="1" customFormat="1" ht="28.5" customHeight="1" spans="1:14">
      <c r="A1487" s="8"/>
      <c r="B1487" s="9"/>
      <c r="C1487" s="9" t="s">
        <v>1289</v>
      </c>
      <c r="D1487" s="9">
        <v>1000</v>
      </c>
      <c r="E1487" s="9"/>
      <c r="F1487" s="9"/>
      <c r="G1487" s="10" t="s">
        <v>2593</v>
      </c>
      <c r="H1487" s="10" t="s">
        <v>563</v>
      </c>
      <c r="I1487" s="10"/>
      <c r="J1487" s="9">
        <v>10905</v>
      </c>
      <c r="K1487" s="10" t="s">
        <v>2594</v>
      </c>
      <c r="L1487" s="10" t="s">
        <v>221</v>
      </c>
      <c r="M1487" s="10" t="s">
        <v>1834</v>
      </c>
      <c r="N1487" s="7"/>
    </row>
    <row r="1488" s="1" customFormat="1" ht="28.5" customHeight="1" spans="1:14">
      <c r="A1488" s="8">
        <v>40401</v>
      </c>
      <c r="B1488" s="9">
        <v>40401</v>
      </c>
      <c r="C1488" s="9" t="s">
        <v>32</v>
      </c>
      <c r="D1488" s="9">
        <v>0</v>
      </c>
      <c r="E1488" s="9"/>
      <c r="F1488" s="9">
        <v>40400</v>
      </c>
      <c r="G1488" s="10" t="s">
        <v>1261</v>
      </c>
      <c r="H1488" s="10" t="s">
        <v>563</v>
      </c>
      <c r="I1488" s="10"/>
      <c r="J1488" s="9">
        <v>60906</v>
      </c>
      <c r="K1488" s="10" t="s">
        <v>1841</v>
      </c>
      <c r="L1488" s="10" t="s">
        <v>218</v>
      </c>
      <c r="M1488" s="10" t="s">
        <v>1842</v>
      </c>
      <c r="N1488" s="7"/>
    </row>
    <row r="1489" s="1" customFormat="1" ht="28.5" customHeight="1" spans="1:14">
      <c r="A1489" s="8">
        <v>40401</v>
      </c>
      <c r="B1489" s="9">
        <v>40402</v>
      </c>
      <c r="C1489" s="9" t="s">
        <v>32</v>
      </c>
      <c r="D1489" s="9">
        <v>0</v>
      </c>
      <c r="E1489" s="9"/>
      <c r="F1489" s="9">
        <v>40400</v>
      </c>
      <c r="G1489" s="10" t="s">
        <v>1263</v>
      </c>
      <c r="H1489" s="10" t="s">
        <v>563</v>
      </c>
      <c r="I1489" s="10"/>
      <c r="J1489" s="9">
        <v>60907</v>
      </c>
      <c r="K1489" s="10" t="s">
        <v>1843</v>
      </c>
      <c r="L1489" s="10" t="s">
        <v>218</v>
      </c>
      <c r="M1489" s="10" t="s">
        <v>1842</v>
      </c>
      <c r="N1489" s="7"/>
    </row>
    <row r="1490" s="1" customFormat="1" ht="28.5" customHeight="1" spans="1:14">
      <c r="A1490" s="8">
        <v>40401</v>
      </c>
      <c r="B1490" s="9">
        <v>40403</v>
      </c>
      <c r="C1490" s="9" t="s">
        <v>32</v>
      </c>
      <c r="D1490" s="9">
        <v>0</v>
      </c>
      <c r="E1490" s="9"/>
      <c r="F1490" s="9">
        <v>40400</v>
      </c>
      <c r="G1490" s="10" t="s">
        <v>1265</v>
      </c>
      <c r="H1490" s="10" t="s">
        <v>563</v>
      </c>
      <c r="I1490" s="10"/>
      <c r="J1490" s="9">
        <v>60908</v>
      </c>
      <c r="K1490" s="10" t="s">
        <v>1844</v>
      </c>
      <c r="L1490" s="10" t="s">
        <v>218</v>
      </c>
      <c r="M1490" s="10" t="s">
        <v>1842</v>
      </c>
      <c r="N1490" s="7"/>
    </row>
    <row r="1491" s="1" customFormat="1" ht="28.5" customHeight="1" spans="1:14">
      <c r="A1491" s="8">
        <v>40401</v>
      </c>
      <c r="B1491" s="9">
        <v>40404</v>
      </c>
      <c r="C1491" s="9" t="s">
        <v>32</v>
      </c>
      <c r="D1491" s="9">
        <v>0</v>
      </c>
      <c r="E1491" s="9"/>
      <c r="F1491" s="9">
        <v>40400</v>
      </c>
      <c r="G1491" s="10" t="s">
        <v>1267</v>
      </c>
      <c r="H1491" s="10" t="s">
        <v>563</v>
      </c>
      <c r="I1491" s="10"/>
      <c r="J1491" s="9">
        <v>60909</v>
      </c>
      <c r="K1491" s="10" t="s">
        <v>1845</v>
      </c>
      <c r="L1491" s="10" t="s">
        <v>218</v>
      </c>
      <c r="M1491" s="10" t="s">
        <v>1842</v>
      </c>
      <c r="N1491" s="7"/>
    </row>
    <row r="1492" s="1" customFormat="1" ht="28.5" customHeight="1" spans="1:14">
      <c r="A1492" s="8">
        <v>40401</v>
      </c>
      <c r="B1492" s="9">
        <v>40405</v>
      </c>
      <c r="C1492" s="9" t="s">
        <v>32</v>
      </c>
      <c r="D1492" s="9">
        <v>0</v>
      </c>
      <c r="E1492" s="9"/>
      <c r="F1492" s="9">
        <v>40400</v>
      </c>
      <c r="G1492" s="10" t="s">
        <v>1269</v>
      </c>
      <c r="H1492" s="10" t="s">
        <v>563</v>
      </c>
      <c r="I1492" s="10"/>
      <c r="J1492" s="9">
        <v>60910</v>
      </c>
      <c r="K1492" s="10" t="s">
        <v>1846</v>
      </c>
      <c r="L1492" s="10" t="s">
        <v>218</v>
      </c>
      <c r="M1492" s="10" t="s">
        <v>1842</v>
      </c>
      <c r="N1492" s="7"/>
    </row>
    <row r="1493" s="1" customFormat="1" ht="28.5" customHeight="1" spans="1:14">
      <c r="A1493" s="8">
        <v>40401</v>
      </c>
      <c r="B1493" s="9">
        <v>40406</v>
      </c>
      <c r="C1493" s="9" t="s">
        <v>32</v>
      </c>
      <c r="D1493" s="9">
        <v>3000</v>
      </c>
      <c r="E1493" s="9"/>
      <c r="F1493" s="9">
        <v>40401</v>
      </c>
      <c r="G1493" s="10" t="s">
        <v>1847</v>
      </c>
      <c r="H1493" s="10" t="s">
        <v>563</v>
      </c>
      <c r="I1493" s="10"/>
      <c r="J1493" s="9">
        <v>20911</v>
      </c>
      <c r="K1493" s="10" t="s">
        <v>1848</v>
      </c>
      <c r="L1493" s="10" t="s">
        <v>221</v>
      </c>
      <c r="M1493" s="10" t="s">
        <v>1842</v>
      </c>
      <c r="N1493" s="7"/>
    </row>
    <row r="1494" s="1" customFormat="1" ht="28.5" customHeight="1" spans="1:14">
      <c r="A1494" s="8">
        <v>40401</v>
      </c>
      <c r="B1494" s="9">
        <v>40407</v>
      </c>
      <c r="C1494" s="9" t="s">
        <v>32</v>
      </c>
      <c r="D1494" s="9">
        <v>2500</v>
      </c>
      <c r="E1494" s="9"/>
      <c r="F1494" s="9">
        <v>40401</v>
      </c>
      <c r="G1494" s="10" t="s">
        <v>1849</v>
      </c>
      <c r="H1494" s="10" t="s">
        <v>563</v>
      </c>
      <c r="I1494" s="10"/>
      <c r="J1494" s="9">
        <v>20912</v>
      </c>
      <c r="K1494" s="10" t="s">
        <v>1850</v>
      </c>
      <c r="L1494" s="10" t="s">
        <v>221</v>
      </c>
      <c r="M1494" s="10" t="s">
        <v>1842</v>
      </c>
      <c r="N1494" s="7"/>
    </row>
    <row r="1495" s="1" customFormat="1" ht="28.5" customHeight="1" spans="1:14">
      <c r="A1495" s="8">
        <v>40401</v>
      </c>
      <c r="B1495" s="9">
        <v>40408</v>
      </c>
      <c r="C1495" s="9" t="s">
        <v>32</v>
      </c>
      <c r="D1495" s="9">
        <v>2000</v>
      </c>
      <c r="E1495" s="9"/>
      <c r="F1495" s="9">
        <v>40401</v>
      </c>
      <c r="G1495" s="10" t="s">
        <v>1851</v>
      </c>
      <c r="H1495" s="10" t="s">
        <v>563</v>
      </c>
      <c r="I1495" s="10"/>
      <c r="J1495" s="9">
        <v>20913</v>
      </c>
      <c r="K1495" s="10" t="s">
        <v>1852</v>
      </c>
      <c r="L1495" s="10" t="s">
        <v>221</v>
      </c>
      <c r="M1495" s="10" t="s">
        <v>1842</v>
      </c>
      <c r="N1495" s="7"/>
    </row>
    <row r="1496" s="1" customFormat="1" ht="28.5" customHeight="1" spans="1:14">
      <c r="A1496" s="8">
        <v>40401</v>
      </c>
      <c r="B1496" s="9">
        <v>40409</v>
      </c>
      <c r="C1496" s="9" t="s">
        <v>32</v>
      </c>
      <c r="D1496" s="9">
        <v>1500</v>
      </c>
      <c r="E1496" s="9"/>
      <c r="F1496" s="9">
        <v>40401</v>
      </c>
      <c r="G1496" s="10" t="s">
        <v>1853</v>
      </c>
      <c r="H1496" s="10" t="s">
        <v>563</v>
      </c>
      <c r="I1496" s="10"/>
      <c r="J1496" s="9">
        <v>20914</v>
      </c>
      <c r="K1496" s="10" t="s">
        <v>1854</v>
      </c>
      <c r="L1496" s="10" t="s">
        <v>221</v>
      </c>
      <c r="M1496" s="10" t="s">
        <v>1842</v>
      </c>
      <c r="N1496" s="7"/>
    </row>
    <row r="1497" s="1" customFormat="1" ht="28.5" customHeight="1" spans="1:14">
      <c r="A1497" s="8">
        <v>40401</v>
      </c>
      <c r="B1497" s="9">
        <v>40410</v>
      </c>
      <c r="C1497" s="9" t="s">
        <v>32</v>
      </c>
      <c r="D1497" s="9">
        <v>1000</v>
      </c>
      <c r="E1497" s="9"/>
      <c r="F1497" s="9">
        <v>40401</v>
      </c>
      <c r="G1497" s="10" t="s">
        <v>1855</v>
      </c>
      <c r="H1497" s="10" t="s">
        <v>563</v>
      </c>
      <c r="I1497" s="10"/>
      <c r="J1497" s="9">
        <v>20915</v>
      </c>
      <c r="K1497" s="10" t="s">
        <v>1856</v>
      </c>
      <c r="L1497" s="10" t="s">
        <v>221</v>
      </c>
      <c r="M1497" s="10" t="s">
        <v>1842</v>
      </c>
      <c r="N1497" s="7"/>
    </row>
    <row r="1498" s="1" customFormat="1" ht="28.5" customHeight="1" spans="1:14">
      <c r="A1498" s="8"/>
      <c r="B1498" s="9"/>
      <c r="C1498" s="9" t="s">
        <v>1289</v>
      </c>
      <c r="D1498" s="9">
        <v>3000</v>
      </c>
      <c r="E1498" s="9"/>
      <c r="F1498" s="9"/>
      <c r="G1498" s="10" t="s">
        <v>1857</v>
      </c>
      <c r="H1498" s="10" t="s">
        <v>563</v>
      </c>
      <c r="I1498" s="10"/>
      <c r="J1498" s="9">
        <v>90916</v>
      </c>
      <c r="K1498" s="10" t="s">
        <v>1858</v>
      </c>
      <c r="L1498" s="10" t="s">
        <v>224</v>
      </c>
      <c r="M1498" s="10" t="s">
        <v>1834</v>
      </c>
      <c r="N1498" s="7"/>
    </row>
    <row r="1499" s="1" customFormat="1" ht="28.5" customHeight="1" spans="1:14">
      <c r="A1499" s="8"/>
      <c r="B1499" s="9"/>
      <c r="C1499" s="9" t="s">
        <v>1289</v>
      </c>
      <c r="D1499" s="9">
        <v>2500</v>
      </c>
      <c r="E1499" s="9"/>
      <c r="F1499" s="9"/>
      <c r="G1499" s="10" t="s">
        <v>1857</v>
      </c>
      <c r="H1499" s="10" t="s">
        <v>563</v>
      </c>
      <c r="I1499" s="10"/>
      <c r="J1499" s="9">
        <v>90917</v>
      </c>
      <c r="K1499" s="10" t="s">
        <v>1858</v>
      </c>
      <c r="L1499" s="10" t="s">
        <v>224</v>
      </c>
      <c r="M1499" s="10" t="s">
        <v>1834</v>
      </c>
      <c r="N1499" s="7"/>
    </row>
    <row r="1500" s="1" customFormat="1" ht="28.5" customHeight="1" spans="1:14">
      <c r="A1500" s="8"/>
      <c r="B1500" s="9"/>
      <c r="C1500" s="9" t="s">
        <v>1289</v>
      </c>
      <c r="D1500" s="9">
        <v>2000</v>
      </c>
      <c r="E1500" s="9"/>
      <c r="F1500" s="9"/>
      <c r="G1500" s="10" t="s">
        <v>1857</v>
      </c>
      <c r="H1500" s="10" t="s">
        <v>563</v>
      </c>
      <c r="I1500" s="10"/>
      <c r="J1500" s="9">
        <v>90918</v>
      </c>
      <c r="K1500" s="10" t="s">
        <v>1858</v>
      </c>
      <c r="L1500" s="10" t="s">
        <v>224</v>
      </c>
      <c r="M1500" s="10" t="s">
        <v>1834</v>
      </c>
      <c r="N1500" s="7"/>
    </row>
    <row r="1501" s="1" customFormat="1" ht="28.5" customHeight="1" spans="1:14">
      <c r="A1501" s="8"/>
      <c r="B1501" s="9"/>
      <c r="C1501" s="9" t="s">
        <v>1289</v>
      </c>
      <c r="D1501" s="9">
        <v>1500</v>
      </c>
      <c r="E1501" s="9"/>
      <c r="F1501" s="9"/>
      <c r="G1501" s="10" t="s">
        <v>1857</v>
      </c>
      <c r="H1501" s="10" t="s">
        <v>563</v>
      </c>
      <c r="I1501" s="10"/>
      <c r="J1501" s="9">
        <v>90919</v>
      </c>
      <c r="K1501" s="10" t="s">
        <v>1858</v>
      </c>
      <c r="L1501" s="10" t="s">
        <v>224</v>
      </c>
      <c r="M1501" s="10" t="s">
        <v>1834</v>
      </c>
      <c r="N1501" s="7"/>
    </row>
    <row r="1502" s="1" customFormat="1" ht="28.5" customHeight="1" spans="1:14">
      <c r="A1502" s="8"/>
      <c r="B1502" s="9"/>
      <c r="C1502" s="9" t="s">
        <v>1289</v>
      </c>
      <c r="D1502" s="9">
        <v>1000</v>
      </c>
      <c r="E1502" s="9"/>
      <c r="F1502" s="9"/>
      <c r="G1502" s="10" t="s">
        <v>1857</v>
      </c>
      <c r="H1502" s="10" t="s">
        <v>563</v>
      </c>
      <c r="I1502" s="10"/>
      <c r="J1502" s="9">
        <v>90920</v>
      </c>
      <c r="K1502" s="10" t="s">
        <v>1858</v>
      </c>
      <c r="L1502" s="10" t="s">
        <v>224</v>
      </c>
      <c r="M1502" s="10" t="s">
        <v>1834</v>
      </c>
      <c r="N1502" s="7"/>
    </row>
    <row r="1503" s="1" customFormat="1" ht="28.5" customHeight="1" spans="1:14">
      <c r="A1503" s="8"/>
      <c r="B1503" s="9"/>
      <c r="C1503" s="9" t="s">
        <v>1289</v>
      </c>
      <c r="D1503" s="9">
        <v>3000</v>
      </c>
      <c r="E1503" s="9"/>
      <c r="F1503" s="9"/>
      <c r="G1503" s="10" t="s">
        <v>1859</v>
      </c>
      <c r="H1503" s="10" t="s">
        <v>563</v>
      </c>
      <c r="I1503" s="10"/>
      <c r="J1503" s="9">
        <v>70921</v>
      </c>
      <c r="K1503" s="10" t="s">
        <v>1860</v>
      </c>
      <c r="L1503" s="10" t="s">
        <v>228</v>
      </c>
      <c r="M1503" s="10" t="s">
        <v>1834</v>
      </c>
      <c r="N1503" s="7"/>
    </row>
    <row r="1504" s="1" customFormat="1" ht="28.5" customHeight="1" spans="1:14">
      <c r="A1504" s="8"/>
      <c r="B1504" s="9"/>
      <c r="C1504" s="9" t="s">
        <v>1289</v>
      </c>
      <c r="D1504" s="9">
        <v>2500</v>
      </c>
      <c r="E1504" s="9"/>
      <c r="F1504" s="9"/>
      <c r="G1504" s="10" t="s">
        <v>1859</v>
      </c>
      <c r="H1504" s="10" t="s">
        <v>563</v>
      </c>
      <c r="I1504" s="10"/>
      <c r="J1504" s="9">
        <v>70922</v>
      </c>
      <c r="K1504" s="10" t="s">
        <v>1860</v>
      </c>
      <c r="L1504" s="10" t="s">
        <v>228</v>
      </c>
      <c r="M1504" s="10" t="s">
        <v>1834</v>
      </c>
      <c r="N1504" s="7"/>
    </row>
    <row r="1505" s="1" customFormat="1" ht="28.5" customHeight="1" spans="1:14">
      <c r="A1505" s="8"/>
      <c r="B1505" s="9"/>
      <c r="C1505" s="9" t="s">
        <v>1289</v>
      </c>
      <c r="D1505" s="9">
        <v>2000</v>
      </c>
      <c r="E1505" s="9"/>
      <c r="F1505" s="9"/>
      <c r="G1505" s="10" t="s">
        <v>1859</v>
      </c>
      <c r="H1505" s="10" t="s">
        <v>563</v>
      </c>
      <c r="I1505" s="10"/>
      <c r="J1505" s="9">
        <v>70923</v>
      </c>
      <c r="K1505" s="10" t="s">
        <v>1860</v>
      </c>
      <c r="L1505" s="10" t="s">
        <v>228</v>
      </c>
      <c r="M1505" s="10" t="s">
        <v>1834</v>
      </c>
      <c r="N1505" s="7"/>
    </row>
    <row r="1506" s="1" customFormat="1" ht="28.5" customHeight="1" spans="1:14">
      <c r="A1506" s="8"/>
      <c r="B1506" s="9"/>
      <c r="C1506" s="9" t="s">
        <v>1289</v>
      </c>
      <c r="D1506" s="9">
        <v>1500</v>
      </c>
      <c r="E1506" s="9"/>
      <c r="F1506" s="9"/>
      <c r="G1506" s="10" t="s">
        <v>1859</v>
      </c>
      <c r="H1506" s="10" t="s">
        <v>563</v>
      </c>
      <c r="I1506" s="10"/>
      <c r="J1506" s="9">
        <v>70924</v>
      </c>
      <c r="K1506" s="10" t="s">
        <v>1860</v>
      </c>
      <c r="L1506" s="10" t="s">
        <v>228</v>
      </c>
      <c r="M1506" s="10" t="s">
        <v>1834</v>
      </c>
      <c r="N1506" s="7"/>
    </row>
    <row r="1507" s="1" customFormat="1" ht="28.5" customHeight="1" spans="1:14">
      <c r="A1507" s="8"/>
      <c r="B1507" s="9"/>
      <c r="C1507" s="9" t="s">
        <v>1289</v>
      </c>
      <c r="D1507" s="9">
        <v>1000</v>
      </c>
      <c r="E1507" s="9"/>
      <c r="F1507" s="9"/>
      <c r="G1507" s="10" t="s">
        <v>1859</v>
      </c>
      <c r="H1507" s="10" t="s">
        <v>563</v>
      </c>
      <c r="I1507" s="10"/>
      <c r="J1507" s="9">
        <v>70925</v>
      </c>
      <c r="K1507" s="10" t="s">
        <v>1860</v>
      </c>
      <c r="L1507" s="10" t="s">
        <v>228</v>
      </c>
      <c r="M1507" s="10" t="s">
        <v>1834</v>
      </c>
      <c r="N1507" s="7"/>
    </row>
    <row r="1508" s="1" customFormat="1" ht="28.5" customHeight="1" spans="1:14">
      <c r="A1508" s="8"/>
      <c r="B1508" s="9"/>
      <c r="C1508" s="9" t="s">
        <v>1289</v>
      </c>
      <c r="D1508" s="9">
        <v>3000</v>
      </c>
      <c r="E1508" s="9"/>
      <c r="F1508" s="9"/>
      <c r="G1508" s="10" t="s">
        <v>1861</v>
      </c>
      <c r="H1508" s="10" t="s">
        <v>563</v>
      </c>
      <c r="I1508" s="10"/>
      <c r="J1508" s="9">
        <v>80926</v>
      </c>
      <c r="K1508" s="10" t="s">
        <v>1862</v>
      </c>
      <c r="L1508" s="10" t="s">
        <v>231</v>
      </c>
      <c r="M1508" s="10" t="s">
        <v>1834</v>
      </c>
      <c r="N1508" s="7"/>
    </row>
    <row r="1509" s="1" customFormat="1" ht="28.5" customHeight="1" spans="1:14">
      <c r="A1509" s="8"/>
      <c r="B1509" s="9"/>
      <c r="C1509" s="9" t="s">
        <v>1289</v>
      </c>
      <c r="D1509" s="9">
        <v>2500</v>
      </c>
      <c r="E1509" s="9"/>
      <c r="F1509" s="9"/>
      <c r="G1509" s="10" t="s">
        <v>1861</v>
      </c>
      <c r="H1509" s="10" t="s">
        <v>563</v>
      </c>
      <c r="I1509" s="10"/>
      <c r="J1509" s="9">
        <v>80927</v>
      </c>
      <c r="K1509" s="10" t="s">
        <v>1862</v>
      </c>
      <c r="L1509" s="10" t="s">
        <v>231</v>
      </c>
      <c r="M1509" s="10" t="s">
        <v>1834</v>
      </c>
      <c r="N1509" s="7"/>
    </row>
    <row r="1510" s="1" customFormat="1" ht="28.5" customHeight="1" spans="1:14">
      <c r="A1510" s="8"/>
      <c r="B1510" s="9"/>
      <c r="C1510" s="9" t="s">
        <v>1289</v>
      </c>
      <c r="D1510" s="9">
        <v>2000</v>
      </c>
      <c r="E1510" s="9"/>
      <c r="F1510" s="9"/>
      <c r="G1510" s="10" t="s">
        <v>1861</v>
      </c>
      <c r="H1510" s="10" t="s">
        <v>563</v>
      </c>
      <c r="I1510" s="10"/>
      <c r="J1510" s="9">
        <v>80928</v>
      </c>
      <c r="K1510" s="10" t="s">
        <v>1862</v>
      </c>
      <c r="L1510" s="10" t="s">
        <v>231</v>
      </c>
      <c r="M1510" s="10" t="s">
        <v>1834</v>
      </c>
      <c r="N1510" s="7"/>
    </row>
    <row r="1511" s="1" customFormat="1" ht="28.5" customHeight="1" spans="1:14">
      <c r="A1511" s="8"/>
      <c r="B1511" s="9"/>
      <c r="C1511" s="9" t="s">
        <v>1289</v>
      </c>
      <c r="D1511" s="9">
        <v>1500</v>
      </c>
      <c r="E1511" s="9"/>
      <c r="F1511" s="9"/>
      <c r="G1511" s="10" t="s">
        <v>1861</v>
      </c>
      <c r="H1511" s="10" t="s">
        <v>563</v>
      </c>
      <c r="I1511" s="10"/>
      <c r="J1511" s="9">
        <v>80929</v>
      </c>
      <c r="K1511" s="10" t="s">
        <v>1862</v>
      </c>
      <c r="L1511" s="10" t="s">
        <v>231</v>
      </c>
      <c r="M1511" s="10" t="s">
        <v>1834</v>
      </c>
      <c r="N1511" s="7"/>
    </row>
    <row r="1512" s="1" customFormat="1" ht="28.5" customHeight="1" spans="1:14">
      <c r="A1512" s="8"/>
      <c r="B1512" s="9"/>
      <c r="C1512" s="9" t="s">
        <v>1289</v>
      </c>
      <c r="D1512" s="9">
        <v>1000</v>
      </c>
      <c r="E1512" s="9"/>
      <c r="F1512" s="9"/>
      <c r="G1512" s="10" t="s">
        <v>1861</v>
      </c>
      <c r="H1512" s="10" t="s">
        <v>563</v>
      </c>
      <c r="I1512" s="10"/>
      <c r="J1512" s="9">
        <v>80930</v>
      </c>
      <c r="K1512" s="10" t="s">
        <v>1862</v>
      </c>
      <c r="L1512" s="10" t="s">
        <v>231</v>
      </c>
      <c r="M1512" s="10" t="s">
        <v>1834</v>
      </c>
      <c r="N1512" s="7"/>
    </row>
    <row r="1513" s="1" customFormat="1" ht="28.5" customHeight="1" spans="1:14">
      <c r="A1513" s="8"/>
      <c r="B1513" s="9"/>
      <c r="C1513" s="9" t="s">
        <v>1289</v>
      </c>
      <c r="D1513" s="9">
        <v>3000</v>
      </c>
      <c r="E1513" s="9"/>
      <c r="F1513" s="9"/>
      <c r="G1513" s="10" t="s">
        <v>2595</v>
      </c>
      <c r="H1513" s="10" t="s">
        <v>563</v>
      </c>
      <c r="I1513" s="10"/>
      <c r="J1513" s="9">
        <v>100931</v>
      </c>
      <c r="K1513" s="10" t="s">
        <v>349</v>
      </c>
      <c r="L1513" s="10" t="s">
        <v>248</v>
      </c>
      <c r="M1513" s="10" t="s">
        <v>1834</v>
      </c>
      <c r="N1513" s="7"/>
    </row>
    <row r="1514" s="1" customFormat="1" ht="28.5" customHeight="1" spans="1:14">
      <c r="A1514" s="8"/>
      <c r="B1514" s="9"/>
      <c r="C1514" s="9" t="s">
        <v>1289</v>
      </c>
      <c r="D1514" s="9">
        <v>2500</v>
      </c>
      <c r="E1514" s="9"/>
      <c r="F1514" s="9"/>
      <c r="G1514" s="10" t="s">
        <v>2595</v>
      </c>
      <c r="H1514" s="10" t="s">
        <v>563</v>
      </c>
      <c r="I1514" s="10"/>
      <c r="J1514" s="9">
        <v>100932</v>
      </c>
      <c r="K1514" s="10" t="s">
        <v>349</v>
      </c>
      <c r="L1514" s="10" t="s">
        <v>248</v>
      </c>
      <c r="M1514" s="10" t="s">
        <v>1834</v>
      </c>
      <c r="N1514" s="7"/>
    </row>
    <row r="1515" s="1" customFormat="1" ht="28.5" customHeight="1" spans="1:14">
      <c r="A1515" s="8"/>
      <c r="B1515" s="9"/>
      <c r="C1515" s="9" t="s">
        <v>1289</v>
      </c>
      <c r="D1515" s="9">
        <v>2000</v>
      </c>
      <c r="E1515" s="9"/>
      <c r="F1515" s="9"/>
      <c r="G1515" s="10" t="s">
        <v>2595</v>
      </c>
      <c r="H1515" s="10" t="s">
        <v>563</v>
      </c>
      <c r="I1515" s="10"/>
      <c r="J1515" s="9">
        <v>100933</v>
      </c>
      <c r="K1515" s="10" t="s">
        <v>349</v>
      </c>
      <c r="L1515" s="10" t="s">
        <v>248</v>
      </c>
      <c r="M1515" s="10" t="s">
        <v>1834</v>
      </c>
      <c r="N1515" s="7"/>
    </row>
    <row r="1516" s="1" customFormat="1" ht="28.5" customHeight="1" spans="1:14">
      <c r="A1516" s="8"/>
      <c r="B1516" s="9"/>
      <c r="C1516" s="9" t="s">
        <v>1289</v>
      </c>
      <c r="D1516" s="9">
        <v>1500</v>
      </c>
      <c r="E1516" s="9"/>
      <c r="F1516" s="9"/>
      <c r="G1516" s="10" t="s">
        <v>2595</v>
      </c>
      <c r="H1516" s="10" t="s">
        <v>563</v>
      </c>
      <c r="I1516" s="10"/>
      <c r="J1516" s="9">
        <v>100934</v>
      </c>
      <c r="K1516" s="10" t="s">
        <v>349</v>
      </c>
      <c r="L1516" s="10" t="s">
        <v>248</v>
      </c>
      <c r="M1516" s="10" t="s">
        <v>1834</v>
      </c>
      <c r="N1516" s="7"/>
    </row>
    <row r="1517" s="1" customFormat="1" ht="28.5" customHeight="1" spans="1:14">
      <c r="A1517" s="8"/>
      <c r="B1517" s="9"/>
      <c r="C1517" s="9" t="s">
        <v>1289</v>
      </c>
      <c r="D1517" s="9">
        <v>1000</v>
      </c>
      <c r="E1517" s="9"/>
      <c r="F1517" s="9"/>
      <c r="G1517" s="10" t="s">
        <v>2595</v>
      </c>
      <c r="H1517" s="10" t="s">
        <v>563</v>
      </c>
      <c r="I1517" s="10"/>
      <c r="J1517" s="9">
        <v>100935</v>
      </c>
      <c r="K1517" s="10" t="s">
        <v>349</v>
      </c>
      <c r="L1517" s="10" t="s">
        <v>248</v>
      </c>
      <c r="M1517" s="10" t="s">
        <v>1834</v>
      </c>
      <c r="N1517" s="7"/>
    </row>
    <row r="1518" s="1" customFormat="1" ht="28.5" customHeight="1" spans="1:14">
      <c r="A1518" s="8"/>
      <c r="B1518" s="9"/>
      <c r="C1518" s="9" t="s">
        <v>1289</v>
      </c>
      <c r="D1518" s="9">
        <v>3000</v>
      </c>
      <c r="E1518" s="9"/>
      <c r="F1518" s="9"/>
      <c r="G1518" s="10" t="s">
        <v>2596</v>
      </c>
      <c r="H1518" s="10" t="s">
        <v>563</v>
      </c>
      <c r="I1518" s="10"/>
      <c r="J1518" s="9">
        <v>10936</v>
      </c>
      <c r="K1518" s="10" t="s">
        <v>2597</v>
      </c>
      <c r="L1518" s="10" t="s">
        <v>285</v>
      </c>
      <c r="M1518" s="10" t="s">
        <v>1834</v>
      </c>
      <c r="N1518" s="7"/>
    </row>
    <row r="1519" s="1" customFormat="1" ht="28.5" customHeight="1" spans="1:14">
      <c r="A1519" s="8"/>
      <c r="B1519" s="9"/>
      <c r="C1519" s="9" t="s">
        <v>1289</v>
      </c>
      <c r="D1519" s="9">
        <v>2500</v>
      </c>
      <c r="E1519" s="9"/>
      <c r="F1519" s="9"/>
      <c r="G1519" s="10" t="s">
        <v>2598</v>
      </c>
      <c r="H1519" s="10" t="s">
        <v>563</v>
      </c>
      <c r="I1519" s="10"/>
      <c r="J1519" s="9">
        <v>10937</v>
      </c>
      <c r="K1519" s="10" t="s">
        <v>2599</v>
      </c>
      <c r="L1519" s="10" t="s">
        <v>285</v>
      </c>
      <c r="M1519" s="10" t="s">
        <v>1834</v>
      </c>
      <c r="N1519" s="7"/>
    </row>
    <row r="1520" s="1" customFormat="1" ht="28.5" customHeight="1" spans="1:14">
      <c r="A1520" s="8"/>
      <c r="B1520" s="9"/>
      <c r="C1520" s="9" t="s">
        <v>1289</v>
      </c>
      <c r="D1520" s="9">
        <v>2000</v>
      </c>
      <c r="E1520" s="9"/>
      <c r="F1520" s="9"/>
      <c r="G1520" s="10" t="s">
        <v>2600</v>
      </c>
      <c r="H1520" s="10" t="s">
        <v>563</v>
      </c>
      <c r="I1520" s="10"/>
      <c r="J1520" s="9">
        <v>10938</v>
      </c>
      <c r="K1520" s="10" t="s">
        <v>2601</v>
      </c>
      <c r="L1520" s="10" t="s">
        <v>285</v>
      </c>
      <c r="M1520" s="10" t="s">
        <v>1834</v>
      </c>
      <c r="N1520" s="7"/>
    </row>
    <row r="1521" s="1" customFormat="1" ht="28.5" customHeight="1" spans="1:14">
      <c r="A1521" s="8"/>
      <c r="B1521" s="9"/>
      <c r="C1521" s="9" t="s">
        <v>1289</v>
      </c>
      <c r="D1521" s="9">
        <v>1500</v>
      </c>
      <c r="E1521" s="9"/>
      <c r="F1521" s="9"/>
      <c r="G1521" s="10" t="s">
        <v>2602</v>
      </c>
      <c r="H1521" s="10" t="s">
        <v>563</v>
      </c>
      <c r="I1521" s="10"/>
      <c r="J1521" s="9">
        <v>10939</v>
      </c>
      <c r="K1521" s="10" t="s">
        <v>2603</v>
      </c>
      <c r="L1521" s="10" t="s">
        <v>285</v>
      </c>
      <c r="M1521" s="10" t="s">
        <v>1834</v>
      </c>
      <c r="N1521" s="7"/>
    </row>
    <row r="1522" s="1" customFormat="1" ht="28.5" customHeight="1" spans="1:14">
      <c r="A1522" s="8"/>
      <c r="B1522" s="9"/>
      <c r="C1522" s="9" t="s">
        <v>1289</v>
      </c>
      <c r="D1522" s="9">
        <v>1000</v>
      </c>
      <c r="E1522" s="9"/>
      <c r="F1522" s="9"/>
      <c r="G1522" s="10" t="s">
        <v>2604</v>
      </c>
      <c r="H1522" s="10" t="s">
        <v>563</v>
      </c>
      <c r="I1522" s="10"/>
      <c r="J1522" s="9">
        <v>10940</v>
      </c>
      <c r="K1522" s="10" t="s">
        <v>2605</v>
      </c>
      <c r="L1522" s="10" t="s">
        <v>285</v>
      </c>
      <c r="M1522" s="10" t="s">
        <v>1834</v>
      </c>
      <c r="N1522" s="7"/>
    </row>
    <row r="1523" s="1" customFormat="1" ht="28.5" customHeight="1" spans="1:14">
      <c r="A1523" s="8">
        <v>40401</v>
      </c>
      <c r="B1523" s="9">
        <v>40411</v>
      </c>
      <c r="C1523" s="9" t="s">
        <v>32</v>
      </c>
      <c r="D1523" s="9">
        <v>0</v>
      </c>
      <c r="E1523" s="9"/>
      <c r="F1523" s="9">
        <v>40402</v>
      </c>
      <c r="G1523" s="10" t="s">
        <v>1649</v>
      </c>
      <c r="H1523" s="10" t="s">
        <v>563</v>
      </c>
      <c r="I1523" s="10"/>
      <c r="J1523" s="9">
        <v>60941</v>
      </c>
      <c r="K1523" s="10" t="s">
        <v>2606</v>
      </c>
      <c r="L1523" s="10" t="s">
        <v>350</v>
      </c>
      <c r="M1523" s="10" t="s">
        <v>1842</v>
      </c>
      <c r="N1523" s="7"/>
    </row>
    <row r="1524" s="1" customFormat="1" ht="28.5" customHeight="1" spans="1:14">
      <c r="A1524" s="8">
        <v>40401</v>
      </c>
      <c r="B1524" s="9">
        <v>40412</v>
      </c>
      <c r="C1524" s="9" t="s">
        <v>32</v>
      </c>
      <c r="D1524" s="9">
        <v>0</v>
      </c>
      <c r="E1524" s="9"/>
      <c r="F1524" s="9">
        <v>40402</v>
      </c>
      <c r="G1524" s="10" t="s">
        <v>1651</v>
      </c>
      <c r="H1524" s="10" t="s">
        <v>563</v>
      </c>
      <c r="I1524" s="10"/>
      <c r="J1524" s="9">
        <v>60942</v>
      </c>
      <c r="K1524" s="10" t="s">
        <v>2607</v>
      </c>
      <c r="L1524" s="10" t="s">
        <v>350</v>
      </c>
      <c r="M1524" s="10" t="s">
        <v>1842</v>
      </c>
      <c r="N1524" s="7"/>
    </row>
    <row r="1525" s="1" customFormat="1" ht="28.5" customHeight="1" spans="1:14">
      <c r="A1525" s="8">
        <v>40401</v>
      </c>
      <c r="B1525" s="9">
        <v>40413</v>
      </c>
      <c r="C1525" s="9" t="s">
        <v>32</v>
      </c>
      <c r="D1525" s="9">
        <v>0</v>
      </c>
      <c r="E1525" s="9"/>
      <c r="F1525" s="9">
        <v>40402</v>
      </c>
      <c r="G1525" s="10" t="s">
        <v>1653</v>
      </c>
      <c r="H1525" s="10" t="s">
        <v>563</v>
      </c>
      <c r="I1525" s="10"/>
      <c r="J1525" s="9">
        <v>60943</v>
      </c>
      <c r="K1525" s="10" t="s">
        <v>2608</v>
      </c>
      <c r="L1525" s="10" t="s">
        <v>350</v>
      </c>
      <c r="M1525" s="10" t="s">
        <v>1842</v>
      </c>
      <c r="N1525" s="7"/>
    </row>
    <row r="1526" s="1" customFormat="1" ht="28.5" customHeight="1" spans="1:14">
      <c r="A1526" s="8">
        <v>40401</v>
      </c>
      <c r="B1526" s="9">
        <v>40414</v>
      </c>
      <c r="C1526" s="9" t="s">
        <v>32</v>
      </c>
      <c r="D1526" s="9">
        <v>0</v>
      </c>
      <c r="E1526" s="9"/>
      <c r="F1526" s="9">
        <v>40402</v>
      </c>
      <c r="G1526" s="10" t="s">
        <v>1655</v>
      </c>
      <c r="H1526" s="10" t="s">
        <v>563</v>
      </c>
      <c r="I1526" s="10"/>
      <c r="J1526" s="9">
        <v>60944</v>
      </c>
      <c r="K1526" s="10" t="s">
        <v>2609</v>
      </c>
      <c r="L1526" s="10" t="s">
        <v>350</v>
      </c>
      <c r="M1526" s="10" t="s">
        <v>1842</v>
      </c>
      <c r="N1526" s="7"/>
    </row>
    <row r="1527" s="1" customFormat="1" ht="28.5" customHeight="1" spans="1:14">
      <c r="A1527" s="8">
        <v>40401</v>
      </c>
      <c r="B1527" s="9">
        <v>40415</v>
      </c>
      <c r="C1527" s="9" t="s">
        <v>32</v>
      </c>
      <c r="D1527" s="9">
        <v>0</v>
      </c>
      <c r="E1527" s="9"/>
      <c r="F1527" s="9">
        <v>40402</v>
      </c>
      <c r="G1527" s="10" t="s">
        <v>1657</v>
      </c>
      <c r="H1527" s="10" t="s">
        <v>563</v>
      </c>
      <c r="I1527" s="10"/>
      <c r="J1527" s="9">
        <v>60945</v>
      </c>
      <c r="K1527" s="10" t="s">
        <v>2610</v>
      </c>
      <c r="L1527" s="10" t="s">
        <v>350</v>
      </c>
      <c r="M1527" s="10" t="s">
        <v>1842</v>
      </c>
      <c r="N1527" s="7"/>
    </row>
    <row r="1528" s="1" customFormat="1" ht="28.5" customHeight="1" spans="1:14">
      <c r="A1528" s="8">
        <v>40401</v>
      </c>
      <c r="B1528" s="9">
        <v>40416</v>
      </c>
      <c r="C1528" s="9" t="s">
        <v>32</v>
      </c>
      <c r="D1528" s="9">
        <v>3000</v>
      </c>
      <c r="E1528" s="9"/>
      <c r="F1528" s="9">
        <v>40403</v>
      </c>
      <c r="G1528" s="10" t="s">
        <v>1659</v>
      </c>
      <c r="H1528" s="10" t="s">
        <v>563</v>
      </c>
      <c r="I1528" s="10"/>
      <c r="J1528" s="9">
        <v>50946</v>
      </c>
      <c r="K1528" s="10" t="s">
        <v>2611</v>
      </c>
      <c r="L1528" s="10" t="s">
        <v>353</v>
      </c>
      <c r="M1528" s="10" t="s">
        <v>1842</v>
      </c>
      <c r="N1528" s="7"/>
    </row>
    <row r="1529" s="1" customFormat="1" ht="28.5" customHeight="1" spans="1:14">
      <c r="A1529" s="8">
        <v>40401</v>
      </c>
      <c r="B1529" s="9">
        <v>40417</v>
      </c>
      <c r="C1529" s="9" t="s">
        <v>32</v>
      </c>
      <c r="D1529" s="9">
        <v>2500</v>
      </c>
      <c r="E1529" s="9"/>
      <c r="F1529" s="9">
        <v>40403</v>
      </c>
      <c r="G1529" s="10" t="s">
        <v>1661</v>
      </c>
      <c r="H1529" s="10" t="s">
        <v>563</v>
      </c>
      <c r="I1529" s="10"/>
      <c r="J1529" s="9">
        <v>50947</v>
      </c>
      <c r="K1529" s="10" t="s">
        <v>2612</v>
      </c>
      <c r="L1529" s="10" t="s">
        <v>353</v>
      </c>
      <c r="M1529" s="10" t="s">
        <v>1842</v>
      </c>
      <c r="N1529" s="7"/>
    </row>
    <row r="1530" s="1" customFormat="1" ht="28.5" customHeight="1" spans="1:14">
      <c r="A1530" s="8">
        <v>40401</v>
      </c>
      <c r="B1530" s="9">
        <v>40418</v>
      </c>
      <c r="C1530" s="9" t="s">
        <v>32</v>
      </c>
      <c r="D1530" s="9">
        <v>2000</v>
      </c>
      <c r="E1530" s="9"/>
      <c r="F1530" s="9">
        <v>40403</v>
      </c>
      <c r="G1530" s="10" t="s">
        <v>2613</v>
      </c>
      <c r="H1530" s="10" t="s">
        <v>563</v>
      </c>
      <c r="I1530" s="10"/>
      <c r="J1530" s="9">
        <v>50948</v>
      </c>
      <c r="K1530" s="10" t="s">
        <v>2614</v>
      </c>
      <c r="L1530" s="10" t="s">
        <v>353</v>
      </c>
      <c r="M1530" s="10" t="s">
        <v>1842</v>
      </c>
      <c r="N1530" s="7"/>
    </row>
    <row r="1531" s="1" customFormat="1" ht="28.5" customHeight="1" spans="1:14">
      <c r="A1531" s="8">
        <v>40401</v>
      </c>
      <c r="B1531" s="9">
        <v>40419</v>
      </c>
      <c r="C1531" s="9" t="s">
        <v>32</v>
      </c>
      <c r="D1531" s="9">
        <v>1500</v>
      </c>
      <c r="E1531" s="9"/>
      <c r="F1531" s="9">
        <v>40403</v>
      </c>
      <c r="G1531" s="10" t="s">
        <v>2615</v>
      </c>
      <c r="H1531" s="10" t="s">
        <v>563</v>
      </c>
      <c r="I1531" s="10"/>
      <c r="J1531" s="9">
        <v>50949</v>
      </c>
      <c r="K1531" s="10" t="s">
        <v>2616</v>
      </c>
      <c r="L1531" s="10" t="s">
        <v>353</v>
      </c>
      <c r="M1531" s="10" t="s">
        <v>1842</v>
      </c>
      <c r="N1531" s="7"/>
    </row>
    <row r="1532" s="1" customFormat="1" ht="28.5" customHeight="1" spans="1:14">
      <c r="A1532" s="8">
        <v>40401</v>
      </c>
      <c r="B1532" s="9">
        <v>40420</v>
      </c>
      <c r="C1532" s="9" t="s">
        <v>32</v>
      </c>
      <c r="D1532" s="9">
        <v>1000</v>
      </c>
      <c r="E1532" s="9"/>
      <c r="F1532" s="9">
        <v>40403</v>
      </c>
      <c r="G1532" s="10" t="s">
        <v>1669</v>
      </c>
      <c r="H1532" s="10" t="s">
        <v>563</v>
      </c>
      <c r="I1532" s="10"/>
      <c r="J1532" s="9">
        <v>50950</v>
      </c>
      <c r="K1532" s="10" t="s">
        <v>2617</v>
      </c>
      <c r="L1532" s="10" t="s">
        <v>353</v>
      </c>
      <c r="M1532" s="10" t="s">
        <v>1842</v>
      </c>
      <c r="N1532" s="7"/>
    </row>
    <row r="1533" s="1" customFormat="1" ht="28.5" customHeight="1" spans="1:14">
      <c r="A1533" s="8"/>
      <c r="B1533" s="9"/>
      <c r="C1533" s="9" t="s">
        <v>1289</v>
      </c>
      <c r="D1533" s="9">
        <v>3000</v>
      </c>
      <c r="E1533" s="9"/>
      <c r="F1533" s="9"/>
      <c r="G1533" s="10" t="s">
        <v>2618</v>
      </c>
      <c r="H1533" s="10" t="s">
        <v>563</v>
      </c>
      <c r="I1533" s="10"/>
      <c r="J1533" s="9">
        <v>30951</v>
      </c>
      <c r="K1533" s="10" t="s">
        <v>2619</v>
      </c>
      <c r="L1533" s="10" t="s">
        <v>355</v>
      </c>
      <c r="M1533" s="10" t="s">
        <v>1834</v>
      </c>
      <c r="N1533" s="7"/>
    </row>
    <row r="1534" s="1" customFormat="1" ht="28.5" customHeight="1" spans="1:14">
      <c r="A1534" s="8"/>
      <c r="B1534" s="9"/>
      <c r="C1534" s="9" t="s">
        <v>1289</v>
      </c>
      <c r="D1534" s="9">
        <v>2500</v>
      </c>
      <c r="E1534" s="9"/>
      <c r="F1534" s="9"/>
      <c r="G1534" s="10" t="s">
        <v>2620</v>
      </c>
      <c r="H1534" s="10" t="s">
        <v>563</v>
      </c>
      <c r="I1534" s="10"/>
      <c r="J1534" s="9">
        <v>30952</v>
      </c>
      <c r="K1534" s="10" t="s">
        <v>2621</v>
      </c>
      <c r="L1534" s="10" t="s">
        <v>355</v>
      </c>
      <c r="M1534" s="10" t="s">
        <v>1834</v>
      </c>
      <c r="N1534" s="7"/>
    </row>
    <row r="1535" s="1" customFormat="1" ht="28.5" customHeight="1" spans="1:14">
      <c r="A1535" s="8"/>
      <c r="B1535" s="9"/>
      <c r="C1535" s="9" t="s">
        <v>1289</v>
      </c>
      <c r="D1535" s="9">
        <v>2000</v>
      </c>
      <c r="E1535" s="9"/>
      <c r="F1535" s="9"/>
      <c r="G1535" s="10" t="s">
        <v>2622</v>
      </c>
      <c r="H1535" s="10" t="s">
        <v>563</v>
      </c>
      <c r="I1535" s="10"/>
      <c r="J1535" s="9">
        <v>30953</v>
      </c>
      <c r="K1535" s="10" t="s">
        <v>2623</v>
      </c>
      <c r="L1535" s="10" t="s">
        <v>355</v>
      </c>
      <c r="M1535" s="10" t="s">
        <v>1834</v>
      </c>
      <c r="N1535" s="7"/>
    </row>
    <row r="1536" s="1" customFormat="1" ht="28.5" customHeight="1" spans="1:14">
      <c r="A1536" s="8"/>
      <c r="B1536" s="9"/>
      <c r="C1536" s="9" t="s">
        <v>1289</v>
      </c>
      <c r="D1536" s="9">
        <v>1500</v>
      </c>
      <c r="E1536" s="9"/>
      <c r="F1536" s="9"/>
      <c r="G1536" s="10" t="s">
        <v>2624</v>
      </c>
      <c r="H1536" s="10" t="s">
        <v>563</v>
      </c>
      <c r="I1536" s="10"/>
      <c r="J1536" s="9">
        <v>30954</v>
      </c>
      <c r="K1536" s="10" t="s">
        <v>2625</v>
      </c>
      <c r="L1536" s="10" t="s">
        <v>355</v>
      </c>
      <c r="M1536" s="10" t="s">
        <v>1834</v>
      </c>
      <c r="N1536" s="7"/>
    </row>
    <row r="1537" s="1" customFormat="1" ht="28.5" customHeight="1" spans="1:14">
      <c r="A1537" s="8"/>
      <c r="B1537" s="9"/>
      <c r="C1537" s="9" t="s">
        <v>1289</v>
      </c>
      <c r="D1537" s="9">
        <v>1000</v>
      </c>
      <c r="E1537" s="9"/>
      <c r="F1537" s="9"/>
      <c r="G1537" s="10" t="s">
        <v>2626</v>
      </c>
      <c r="H1537" s="10" t="s">
        <v>563</v>
      </c>
      <c r="I1537" s="10"/>
      <c r="J1537" s="9">
        <v>30955</v>
      </c>
      <c r="K1537" s="10" t="s">
        <v>2627</v>
      </c>
      <c r="L1537" s="10" t="s">
        <v>355</v>
      </c>
      <c r="M1537" s="10" t="s">
        <v>1834</v>
      </c>
      <c r="N1537" s="7"/>
    </row>
    <row r="1538" s="1" customFormat="1" ht="28.5" customHeight="1" spans="1:14">
      <c r="A1538" s="8">
        <v>40401</v>
      </c>
      <c r="B1538" s="9">
        <v>40421</v>
      </c>
      <c r="C1538" s="9" t="s">
        <v>32</v>
      </c>
      <c r="D1538" s="9">
        <v>3000</v>
      </c>
      <c r="E1538" s="9"/>
      <c r="F1538" s="9">
        <v>40404</v>
      </c>
      <c r="G1538" s="10" t="s">
        <v>2628</v>
      </c>
      <c r="H1538" s="10" t="s">
        <v>563</v>
      </c>
      <c r="I1538" s="10"/>
      <c r="J1538" s="9">
        <v>40956</v>
      </c>
      <c r="K1538" s="10" t="s">
        <v>2629</v>
      </c>
      <c r="L1538" s="10" t="s">
        <v>358</v>
      </c>
      <c r="M1538" s="10" t="s">
        <v>1842</v>
      </c>
      <c r="N1538" s="7"/>
    </row>
    <row r="1539" s="1" customFormat="1" ht="28.5" customHeight="1" spans="1:14">
      <c r="A1539" s="8">
        <v>40401</v>
      </c>
      <c r="B1539" s="9">
        <v>40422</v>
      </c>
      <c r="C1539" s="9" t="s">
        <v>32</v>
      </c>
      <c r="D1539" s="9">
        <v>2500</v>
      </c>
      <c r="E1539" s="9"/>
      <c r="F1539" s="9">
        <v>40404</v>
      </c>
      <c r="G1539" s="10" t="s">
        <v>2630</v>
      </c>
      <c r="H1539" s="10" t="s">
        <v>563</v>
      </c>
      <c r="I1539" s="10"/>
      <c r="J1539" s="9">
        <v>40957</v>
      </c>
      <c r="K1539" s="10" t="s">
        <v>2631</v>
      </c>
      <c r="L1539" s="10" t="s">
        <v>358</v>
      </c>
      <c r="M1539" s="10" t="s">
        <v>1842</v>
      </c>
      <c r="N1539" s="7"/>
    </row>
    <row r="1540" s="1" customFormat="1" ht="28.5" customHeight="1" spans="1:14">
      <c r="A1540" s="8">
        <v>40401</v>
      </c>
      <c r="B1540" s="9">
        <v>40423</v>
      </c>
      <c r="C1540" s="9" t="s">
        <v>32</v>
      </c>
      <c r="D1540" s="9">
        <v>2000</v>
      </c>
      <c r="E1540" s="9"/>
      <c r="F1540" s="9">
        <v>40404</v>
      </c>
      <c r="G1540" s="10" t="s">
        <v>2632</v>
      </c>
      <c r="H1540" s="10" t="s">
        <v>563</v>
      </c>
      <c r="I1540" s="10"/>
      <c r="J1540" s="9">
        <v>40958</v>
      </c>
      <c r="K1540" s="10" t="s">
        <v>2633</v>
      </c>
      <c r="L1540" s="10" t="s">
        <v>358</v>
      </c>
      <c r="M1540" s="10" t="s">
        <v>1842</v>
      </c>
      <c r="N1540" s="7"/>
    </row>
    <row r="1541" s="1" customFormat="1" ht="28.5" customHeight="1" spans="1:14">
      <c r="A1541" s="8">
        <v>40401</v>
      </c>
      <c r="B1541" s="9">
        <v>40424</v>
      </c>
      <c r="C1541" s="9" t="s">
        <v>32</v>
      </c>
      <c r="D1541" s="9">
        <v>1500</v>
      </c>
      <c r="E1541" s="9"/>
      <c r="F1541" s="9">
        <v>40404</v>
      </c>
      <c r="G1541" s="10" t="s">
        <v>2634</v>
      </c>
      <c r="H1541" s="10" t="s">
        <v>563</v>
      </c>
      <c r="I1541" s="10"/>
      <c r="J1541" s="9">
        <v>40959</v>
      </c>
      <c r="K1541" s="10" t="s">
        <v>2635</v>
      </c>
      <c r="L1541" s="10" t="s">
        <v>358</v>
      </c>
      <c r="M1541" s="10" t="s">
        <v>1842</v>
      </c>
      <c r="N1541" s="7"/>
    </row>
    <row r="1542" s="1" customFormat="1" ht="28.5" customHeight="1" spans="1:14">
      <c r="A1542" s="8">
        <v>40401</v>
      </c>
      <c r="B1542" s="9">
        <v>40425</v>
      </c>
      <c r="C1542" s="9" t="s">
        <v>32</v>
      </c>
      <c r="D1542" s="9">
        <v>1000</v>
      </c>
      <c r="E1542" s="9"/>
      <c r="F1542" s="9">
        <v>40404</v>
      </c>
      <c r="G1542" s="10" t="s">
        <v>2636</v>
      </c>
      <c r="H1542" s="10" t="s">
        <v>563</v>
      </c>
      <c r="I1542" s="10"/>
      <c r="J1542" s="9">
        <v>40960</v>
      </c>
      <c r="K1542" s="10" t="s">
        <v>2637</v>
      </c>
      <c r="L1542" s="10" t="s">
        <v>358</v>
      </c>
      <c r="M1542" s="10" t="s">
        <v>1842</v>
      </c>
      <c r="N1542" s="7"/>
    </row>
    <row r="1543" s="1" customFormat="1" ht="28.5" customHeight="1" spans="1:14">
      <c r="A1543" s="8"/>
      <c r="B1543" s="9"/>
      <c r="C1543" s="9" t="s">
        <v>1289</v>
      </c>
      <c r="D1543" s="9">
        <v>3000</v>
      </c>
      <c r="E1543" s="9"/>
      <c r="F1543" s="9"/>
      <c r="G1543" s="10" t="s">
        <v>2638</v>
      </c>
      <c r="H1543" s="10" t="s">
        <v>563</v>
      </c>
      <c r="I1543" s="10"/>
      <c r="J1543" s="9">
        <v>10961</v>
      </c>
      <c r="K1543" s="10" t="s">
        <v>2639</v>
      </c>
      <c r="L1543" s="10" t="s">
        <v>252</v>
      </c>
      <c r="M1543" s="10" t="s">
        <v>1834</v>
      </c>
      <c r="N1543" s="7"/>
    </row>
    <row r="1544" s="1" customFormat="1" ht="28.5" customHeight="1" spans="1:14">
      <c r="A1544" s="8"/>
      <c r="B1544" s="9"/>
      <c r="C1544" s="9" t="s">
        <v>1289</v>
      </c>
      <c r="D1544" s="9">
        <v>2500</v>
      </c>
      <c r="E1544" s="9"/>
      <c r="F1544" s="9"/>
      <c r="G1544" s="10" t="s">
        <v>2640</v>
      </c>
      <c r="H1544" s="10" t="s">
        <v>563</v>
      </c>
      <c r="I1544" s="10"/>
      <c r="J1544" s="9">
        <v>10962</v>
      </c>
      <c r="K1544" s="10" t="s">
        <v>2641</v>
      </c>
      <c r="L1544" s="10" t="s">
        <v>252</v>
      </c>
      <c r="M1544" s="10" t="s">
        <v>1834</v>
      </c>
      <c r="N1544" s="7"/>
    </row>
    <row r="1545" s="1" customFormat="1" ht="28.5" customHeight="1" spans="1:14">
      <c r="A1545" s="8"/>
      <c r="B1545" s="9"/>
      <c r="C1545" s="9" t="s">
        <v>1289</v>
      </c>
      <c r="D1545" s="9">
        <v>2000</v>
      </c>
      <c r="E1545" s="9"/>
      <c r="F1545" s="9"/>
      <c r="G1545" s="10" t="s">
        <v>2642</v>
      </c>
      <c r="H1545" s="10" t="s">
        <v>563</v>
      </c>
      <c r="I1545" s="10"/>
      <c r="J1545" s="9">
        <v>10963</v>
      </c>
      <c r="K1545" s="10" t="s">
        <v>2643</v>
      </c>
      <c r="L1545" s="10" t="s">
        <v>252</v>
      </c>
      <c r="M1545" s="10" t="s">
        <v>1834</v>
      </c>
      <c r="N1545" s="7"/>
    </row>
    <row r="1546" s="1" customFormat="1" ht="28.5" customHeight="1" spans="1:14">
      <c r="A1546" s="8"/>
      <c r="B1546" s="9"/>
      <c r="C1546" s="9" t="s">
        <v>1289</v>
      </c>
      <c r="D1546" s="9">
        <v>1500</v>
      </c>
      <c r="E1546" s="9"/>
      <c r="F1546" s="9"/>
      <c r="G1546" s="10" t="s">
        <v>2644</v>
      </c>
      <c r="H1546" s="10" t="s">
        <v>563</v>
      </c>
      <c r="I1546" s="10"/>
      <c r="J1546" s="9">
        <v>10964</v>
      </c>
      <c r="K1546" s="10" t="s">
        <v>2645</v>
      </c>
      <c r="L1546" s="10" t="s">
        <v>252</v>
      </c>
      <c r="M1546" s="10" t="s">
        <v>1834</v>
      </c>
      <c r="N1546" s="7"/>
    </row>
    <row r="1547" s="1" customFormat="1" ht="28.5" customHeight="1" spans="1:14">
      <c r="A1547" s="8"/>
      <c r="B1547" s="9"/>
      <c r="C1547" s="9" t="s">
        <v>1289</v>
      </c>
      <c r="D1547" s="9">
        <v>1000</v>
      </c>
      <c r="E1547" s="9"/>
      <c r="F1547" s="9"/>
      <c r="G1547" s="10" t="s">
        <v>2646</v>
      </c>
      <c r="H1547" s="10" t="s">
        <v>563</v>
      </c>
      <c r="I1547" s="10"/>
      <c r="J1547" s="9">
        <v>10965</v>
      </c>
      <c r="K1547" s="10" t="s">
        <v>2647</v>
      </c>
      <c r="L1547" s="10" t="s">
        <v>252</v>
      </c>
      <c r="M1547" s="10" t="s">
        <v>1834</v>
      </c>
      <c r="N1547" s="7"/>
    </row>
    <row r="1548" s="1" customFormat="1" ht="28.5" customHeight="1" spans="1:14">
      <c r="A1548" s="8">
        <v>40501</v>
      </c>
      <c r="B1548" s="9">
        <v>40501</v>
      </c>
      <c r="C1548" s="9" t="s">
        <v>33</v>
      </c>
      <c r="D1548" s="9">
        <v>0</v>
      </c>
      <c r="E1548" s="9"/>
      <c r="F1548" s="9">
        <v>40500</v>
      </c>
      <c r="G1548" s="10" t="s">
        <v>1313</v>
      </c>
      <c r="H1548" s="10" t="s">
        <v>563</v>
      </c>
      <c r="I1548" s="10"/>
      <c r="J1548" s="9">
        <v>60966</v>
      </c>
      <c r="K1548" s="10" t="s">
        <v>1916</v>
      </c>
      <c r="L1548" s="10" t="s">
        <v>251</v>
      </c>
      <c r="M1548" s="10" t="s">
        <v>1842</v>
      </c>
      <c r="N1548" s="7"/>
    </row>
    <row r="1549" s="1" customFormat="1" ht="28.5" customHeight="1" spans="1:14">
      <c r="A1549" s="8">
        <v>40501</v>
      </c>
      <c r="B1549" s="9">
        <v>40502</v>
      </c>
      <c r="C1549" s="9" t="s">
        <v>33</v>
      </c>
      <c r="D1549" s="9">
        <v>0</v>
      </c>
      <c r="E1549" s="9"/>
      <c r="F1549" s="9">
        <v>40500</v>
      </c>
      <c r="G1549" s="10" t="s">
        <v>1315</v>
      </c>
      <c r="H1549" s="10" t="s">
        <v>563</v>
      </c>
      <c r="I1549" s="10"/>
      <c r="J1549" s="9">
        <v>60967</v>
      </c>
      <c r="K1549" s="10" t="s">
        <v>1917</v>
      </c>
      <c r="L1549" s="10" t="s">
        <v>251</v>
      </c>
      <c r="M1549" s="10" t="s">
        <v>1842</v>
      </c>
      <c r="N1549" s="7"/>
    </row>
    <row r="1550" s="1" customFormat="1" ht="28.5" customHeight="1" spans="1:14">
      <c r="A1550" s="8">
        <v>40501</v>
      </c>
      <c r="B1550" s="9">
        <v>40503</v>
      </c>
      <c r="C1550" s="9" t="s">
        <v>33</v>
      </c>
      <c r="D1550" s="9">
        <v>0</v>
      </c>
      <c r="E1550" s="9"/>
      <c r="F1550" s="9">
        <v>40500</v>
      </c>
      <c r="G1550" s="10" t="s">
        <v>1317</v>
      </c>
      <c r="H1550" s="10" t="s">
        <v>563</v>
      </c>
      <c r="I1550" s="10"/>
      <c r="J1550" s="9">
        <v>60968</v>
      </c>
      <c r="K1550" s="10" t="s">
        <v>1918</v>
      </c>
      <c r="L1550" s="10" t="s">
        <v>251</v>
      </c>
      <c r="M1550" s="10" t="s">
        <v>1842</v>
      </c>
      <c r="N1550" s="7"/>
    </row>
    <row r="1551" s="1" customFormat="1" ht="28.5" customHeight="1" spans="1:14">
      <c r="A1551" s="8">
        <v>40501</v>
      </c>
      <c r="B1551" s="9">
        <v>40504</v>
      </c>
      <c r="C1551" s="9" t="s">
        <v>33</v>
      </c>
      <c r="D1551" s="9">
        <v>0</v>
      </c>
      <c r="E1551" s="9"/>
      <c r="F1551" s="9">
        <v>40500</v>
      </c>
      <c r="G1551" s="10" t="s">
        <v>1319</v>
      </c>
      <c r="H1551" s="10" t="s">
        <v>563</v>
      </c>
      <c r="I1551" s="10"/>
      <c r="J1551" s="9">
        <v>60969</v>
      </c>
      <c r="K1551" s="10" t="s">
        <v>1919</v>
      </c>
      <c r="L1551" s="10" t="s">
        <v>251</v>
      </c>
      <c r="M1551" s="10" t="s">
        <v>1842</v>
      </c>
      <c r="N1551" s="7"/>
    </row>
    <row r="1552" s="1" customFormat="1" ht="28.5" customHeight="1" spans="1:14">
      <c r="A1552" s="8">
        <v>40501</v>
      </c>
      <c r="B1552" s="9">
        <v>40505</v>
      </c>
      <c r="C1552" s="9" t="s">
        <v>33</v>
      </c>
      <c r="D1552" s="9">
        <v>0</v>
      </c>
      <c r="E1552" s="9"/>
      <c r="F1552" s="9">
        <v>40500</v>
      </c>
      <c r="G1552" s="10" t="s">
        <v>1321</v>
      </c>
      <c r="H1552" s="10" t="s">
        <v>563</v>
      </c>
      <c r="I1552" s="10"/>
      <c r="J1552" s="9">
        <v>60970</v>
      </c>
      <c r="K1552" s="10" t="s">
        <v>1920</v>
      </c>
      <c r="L1552" s="10" t="s">
        <v>251</v>
      </c>
      <c r="M1552" s="10" t="s">
        <v>1842</v>
      </c>
      <c r="N1552" s="7"/>
    </row>
    <row r="1553" s="1" customFormat="1" ht="28.5" customHeight="1" spans="1:14">
      <c r="A1553" s="8">
        <v>40501</v>
      </c>
      <c r="B1553" s="9">
        <v>40506</v>
      </c>
      <c r="C1553" s="9" t="s">
        <v>33</v>
      </c>
      <c r="D1553" s="9">
        <v>3000</v>
      </c>
      <c r="E1553" s="9"/>
      <c r="F1553" s="9">
        <v>40501</v>
      </c>
      <c r="G1553" s="10" t="s">
        <v>1921</v>
      </c>
      <c r="H1553" s="10" t="s">
        <v>563</v>
      </c>
      <c r="I1553" s="10"/>
      <c r="J1553" s="9">
        <v>20971</v>
      </c>
      <c r="K1553" s="10" t="s">
        <v>1922</v>
      </c>
      <c r="L1553" s="10" t="s">
        <v>252</v>
      </c>
      <c r="M1553" s="10" t="s">
        <v>1842</v>
      </c>
      <c r="N1553" s="7"/>
    </row>
    <row r="1554" s="1" customFormat="1" ht="28.5" customHeight="1" spans="1:14">
      <c r="A1554" s="8">
        <v>40501</v>
      </c>
      <c r="B1554" s="9">
        <v>40507</v>
      </c>
      <c r="C1554" s="9" t="s">
        <v>33</v>
      </c>
      <c r="D1554" s="9">
        <v>2500</v>
      </c>
      <c r="E1554" s="9"/>
      <c r="F1554" s="9">
        <v>40501</v>
      </c>
      <c r="G1554" s="10" t="s">
        <v>1923</v>
      </c>
      <c r="H1554" s="10" t="s">
        <v>563</v>
      </c>
      <c r="I1554" s="10"/>
      <c r="J1554" s="9">
        <v>20972</v>
      </c>
      <c r="K1554" s="10" t="s">
        <v>1924</v>
      </c>
      <c r="L1554" s="10" t="s">
        <v>252</v>
      </c>
      <c r="M1554" s="10" t="s">
        <v>1842</v>
      </c>
      <c r="N1554" s="7"/>
    </row>
    <row r="1555" s="1" customFormat="1" ht="28.5" customHeight="1" spans="1:14">
      <c r="A1555" s="8">
        <v>40501</v>
      </c>
      <c r="B1555" s="9">
        <v>40508</v>
      </c>
      <c r="C1555" s="9" t="s">
        <v>33</v>
      </c>
      <c r="D1555" s="9">
        <v>2000</v>
      </c>
      <c r="E1555" s="9"/>
      <c r="F1555" s="9">
        <v>40501</v>
      </c>
      <c r="G1555" s="10" t="s">
        <v>1925</v>
      </c>
      <c r="H1555" s="10" t="s">
        <v>563</v>
      </c>
      <c r="I1555" s="10"/>
      <c r="J1555" s="9">
        <v>20973</v>
      </c>
      <c r="K1555" s="10" t="s">
        <v>1926</v>
      </c>
      <c r="L1555" s="10" t="s">
        <v>252</v>
      </c>
      <c r="M1555" s="10" t="s">
        <v>1842</v>
      </c>
      <c r="N1555" s="7"/>
    </row>
    <row r="1556" s="1" customFormat="1" ht="28.5" customHeight="1" spans="1:14">
      <c r="A1556" s="8">
        <v>40501</v>
      </c>
      <c r="B1556" s="9">
        <v>40509</v>
      </c>
      <c r="C1556" s="9" t="s">
        <v>33</v>
      </c>
      <c r="D1556" s="9">
        <v>1500</v>
      </c>
      <c r="E1556" s="9"/>
      <c r="F1556" s="9">
        <v>40501</v>
      </c>
      <c r="G1556" s="10" t="s">
        <v>1927</v>
      </c>
      <c r="H1556" s="10" t="s">
        <v>563</v>
      </c>
      <c r="I1556" s="10"/>
      <c r="J1556" s="9">
        <v>20974</v>
      </c>
      <c r="K1556" s="10" t="s">
        <v>1928</v>
      </c>
      <c r="L1556" s="10" t="s">
        <v>252</v>
      </c>
      <c r="M1556" s="10" t="s">
        <v>1842</v>
      </c>
      <c r="N1556" s="7"/>
    </row>
    <row r="1557" s="1" customFormat="1" ht="28.5" customHeight="1" spans="1:14">
      <c r="A1557" s="8">
        <v>40501</v>
      </c>
      <c r="B1557" s="9">
        <v>40510</v>
      </c>
      <c r="C1557" s="9" t="s">
        <v>33</v>
      </c>
      <c r="D1557" s="9">
        <v>1000</v>
      </c>
      <c r="E1557" s="9"/>
      <c r="F1557" s="9">
        <v>40501</v>
      </c>
      <c r="G1557" s="10" t="s">
        <v>1929</v>
      </c>
      <c r="H1557" s="10" t="s">
        <v>563</v>
      </c>
      <c r="I1557" s="10"/>
      <c r="J1557" s="9">
        <v>20975</v>
      </c>
      <c r="K1557" s="10" t="s">
        <v>1930</v>
      </c>
      <c r="L1557" s="10" t="s">
        <v>252</v>
      </c>
      <c r="M1557" s="10" t="s">
        <v>1842</v>
      </c>
      <c r="N1557" s="7"/>
    </row>
    <row r="1558" s="1" customFormat="1" ht="28.5" customHeight="1" spans="1:14">
      <c r="A1558" s="8"/>
      <c r="B1558" s="9"/>
      <c r="C1558" s="9" t="s">
        <v>1289</v>
      </c>
      <c r="D1558" s="9">
        <v>3000</v>
      </c>
      <c r="E1558" s="9"/>
      <c r="F1558" s="9"/>
      <c r="G1558" s="10" t="s">
        <v>1857</v>
      </c>
      <c r="H1558" s="10" t="s">
        <v>563</v>
      </c>
      <c r="I1558" s="10"/>
      <c r="J1558" s="9">
        <v>90976</v>
      </c>
      <c r="K1558" s="10" t="s">
        <v>1858</v>
      </c>
      <c r="L1558" s="10" t="s">
        <v>224</v>
      </c>
      <c r="M1558" s="10" t="s">
        <v>1834</v>
      </c>
      <c r="N1558" s="7"/>
    </row>
    <row r="1559" s="1" customFormat="1" ht="28.5" customHeight="1" spans="1:14">
      <c r="A1559" s="8"/>
      <c r="B1559" s="9"/>
      <c r="C1559" s="9" t="s">
        <v>1289</v>
      </c>
      <c r="D1559" s="9">
        <v>2500</v>
      </c>
      <c r="E1559" s="9"/>
      <c r="F1559" s="9"/>
      <c r="G1559" s="10" t="s">
        <v>1857</v>
      </c>
      <c r="H1559" s="10" t="s">
        <v>563</v>
      </c>
      <c r="I1559" s="10"/>
      <c r="J1559" s="9">
        <v>90977</v>
      </c>
      <c r="K1559" s="10" t="s">
        <v>1858</v>
      </c>
      <c r="L1559" s="10" t="s">
        <v>224</v>
      </c>
      <c r="M1559" s="10" t="s">
        <v>1834</v>
      </c>
      <c r="N1559" s="7"/>
    </row>
    <row r="1560" s="1" customFormat="1" ht="28.5" customHeight="1" spans="1:14">
      <c r="A1560" s="8"/>
      <c r="B1560" s="9"/>
      <c r="C1560" s="9" t="s">
        <v>1289</v>
      </c>
      <c r="D1560" s="9">
        <v>2000</v>
      </c>
      <c r="E1560" s="9"/>
      <c r="F1560" s="9"/>
      <c r="G1560" s="10" t="s">
        <v>1857</v>
      </c>
      <c r="H1560" s="10" t="s">
        <v>563</v>
      </c>
      <c r="I1560" s="10"/>
      <c r="J1560" s="9">
        <v>90978</v>
      </c>
      <c r="K1560" s="10" t="s">
        <v>1858</v>
      </c>
      <c r="L1560" s="10" t="s">
        <v>224</v>
      </c>
      <c r="M1560" s="10" t="s">
        <v>1834</v>
      </c>
      <c r="N1560" s="7"/>
    </row>
    <row r="1561" s="1" customFormat="1" ht="28.5" customHeight="1" spans="1:14">
      <c r="A1561" s="8"/>
      <c r="B1561" s="9"/>
      <c r="C1561" s="9" t="s">
        <v>1289</v>
      </c>
      <c r="D1561" s="9">
        <v>1500</v>
      </c>
      <c r="E1561" s="9"/>
      <c r="F1561" s="9"/>
      <c r="G1561" s="10" t="s">
        <v>1857</v>
      </c>
      <c r="H1561" s="10" t="s">
        <v>563</v>
      </c>
      <c r="I1561" s="10"/>
      <c r="J1561" s="9">
        <v>90979</v>
      </c>
      <c r="K1561" s="10" t="s">
        <v>1858</v>
      </c>
      <c r="L1561" s="10" t="s">
        <v>224</v>
      </c>
      <c r="M1561" s="10" t="s">
        <v>1834</v>
      </c>
      <c r="N1561" s="7"/>
    </row>
    <row r="1562" s="1" customFormat="1" ht="28.5" customHeight="1" spans="1:14">
      <c r="A1562" s="8"/>
      <c r="B1562" s="9"/>
      <c r="C1562" s="9" t="s">
        <v>1289</v>
      </c>
      <c r="D1562" s="9">
        <v>1000</v>
      </c>
      <c r="E1562" s="9"/>
      <c r="F1562" s="9"/>
      <c r="G1562" s="10" t="s">
        <v>1857</v>
      </c>
      <c r="H1562" s="10" t="s">
        <v>563</v>
      </c>
      <c r="I1562" s="10"/>
      <c r="J1562" s="9">
        <v>90980</v>
      </c>
      <c r="K1562" s="10" t="s">
        <v>1858</v>
      </c>
      <c r="L1562" s="10" t="s">
        <v>224</v>
      </c>
      <c r="M1562" s="10" t="s">
        <v>1834</v>
      </c>
      <c r="N1562" s="7"/>
    </row>
    <row r="1563" s="1" customFormat="1" ht="28.5" customHeight="1" spans="1:14">
      <c r="A1563" s="8"/>
      <c r="B1563" s="9"/>
      <c r="C1563" s="9" t="s">
        <v>1289</v>
      </c>
      <c r="D1563" s="9">
        <v>3000</v>
      </c>
      <c r="E1563" s="9"/>
      <c r="F1563" s="9"/>
      <c r="G1563" s="10" t="s">
        <v>1859</v>
      </c>
      <c r="H1563" s="10" t="s">
        <v>563</v>
      </c>
      <c r="I1563" s="10"/>
      <c r="J1563" s="9">
        <v>70981</v>
      </c>
      <c r="K1563" s="10" t="s">
        <v>1860</v>
      </c>
      <c r="L1563" s="10" t="s">
        <v>228</v>
      </c>
      <c r="M1563" s="10" t="s">
        <v>1834</v>
      </c>
      <c r="N1563" s="7"/>
    </row>
    <row r="1564" s="1" customFormat="1" ht="28.5" customHeight="1" spans="1:14">
      <c r="A1564" s="8"/>
      <c r="B1564" s="9"/>
      <c r="C1564" s="9" t="s">
        <v>1289</v>
      </c>
      <c r="D1564" s="9">
        <v>2500</v>
      </c>
      <c r="E1564" s="9"/>
      <c r="F1564" s="9"/>
      <c r="G1564" s="10" t="s">
        <v>1859</v>
      </c>
      <c r="H1564" s="10" t="s">
        <v>563</v>
      </c>
      <c r="I1564" s="10"/>
      <c r="J1564" s="9">
        <v>70982</v>
      </c>
      <c r="K1564" s="10" t="s">
        <v>1860</v>
      </c>
      <c r="L1564" s="10" t="s">
        <v>228</v>
      </c>
      <c r="M1564" s="10" t="s">
        <v>1834</v>
      </c>
      <c r="N1564" s="7"/>
    </row>
    <row r="1565" s="1" customFormat="1" ht="28.5" customHeight="1" spans="1:14">
      <c r="A1565" s="8"/>
      <c r="B1565" s="9"/>
      <c r="C1565" s="9" t="s">
        <v>1289</v>
      </c>
      <c r="D1565" s="9">
        <v>2000</v>
      </c>
      <c r="E1565" s="9"/>
      <c r="F1565" s="9"/>
      <c r="G1565" s="10" t="s">
        <v>1859</v>
      </c>
      <c r="H1565" s="10" t="s">
        <v>563</v>
      </c>
      <c r="I1565" s="10"/>
      <c r="J1565" s="9">
        <v>70983</v>
      </c>
      <c r="K1565" s="10" t="s">
        <v>1860</v>
      </c>
      <c r="L1565" s="10" t="s">
        <v>228</v>
      </c>
      <c r="M1565" s="10" t="s">
        <v>1834</v>
      </c>
      <c r="N1565" s="7"/>
    </row>
    <row r="1566" s="1" customFormat="1" ht="28.5" customHeight="1" spans="1:14">
      <c r="A1566" s="8"/>
      <c r="B1566" s="9"/>
      <c r="C1566" s="9" t="s">
        <v>1289</v>
      </c>
      <c r="D1566" s="9">
        <v>1500</v>
      </c>
      <c r="E1566" s="9"/>
      <c r="F1566" s="9"/>
      <c r="G1566" s="10" t="s">
        <v>1859</v>
      </c>
      <c r="H1566" s="10" t="s">
        <v>563</v>
      </c>
      <c r="I1566" s="10"/>
      <c r="J1566" s="9">
        <v>70984</v>
      </c>
      <c r="K1566" s="10" t="s">
        <v>1860</v>
      </c>
      <c r="L1566" s="10" t="s">
        <v>228</v>
      </c>
      <c r="M1566" s="10" t="s">
        <v>1834</v>
      </c>
      <c r="N1566" s="7"/>
    </row>
    <row r="1567" s="1" customFormat="1" ht="28.5" customHeight="1" spans="1:14">
      <c r="A1567" s="8"/>
      <c r="B1567" s="9"/>
      <c r="C1567" s="9" t="s">
        <v>1289</v>
      </c>
      <c r="D1567" s="9">
        <v>1000</v>
      </c>
      <c r="E1567" s="9"/>
      <c r="F1567" s="9"/>
      <c r="G1567" s="10" t="s">
        <v>1859</v>
      </c>
      <c r="H1567" s="10" t="s">
        <v>563</v>
      </c>
      <c r="I1567" s="10"/>
      <c r="J1567" s="9">
        <v>70985</v>
      </c>
      <c r="K1567" s="10" t="s">
        <v>1860</v>
      </c>
      <c r="L1567" s="10" t="s">
        <v>228</v>
      </c>
      <c r="M1567" s="10" t="s">
        <v>1834</v>
      </c>
      <c r="N1567" s="7"/>
    </row>
    <row r="1568" s="1" customFormat="1" ht="28.5" customHeight="1" spans="1:14">
      <c r="A1568" s="8"/>
      <c r="B1568" s="9"/>
      <c r="C1568" s="9" t="s">
        <v>1289</v>
      </c>
      <c r="D1568" s="9">
        <v>3000</v>
      </c>
      <c r="E1568" s="9"/>
      <c r="F1568" s="9"/>
      <c r="G1568" s="10" t="s">
        <v>1861</v>
      </c>
      <c r="H1568" s="10" t="s">
        <v>563</v>
      </c>
      <c r="I1568" s="10"/>
      <c r="J1568" s="9">
        <v>80986</v>
      </c>
      <c r="K1568" s="10" t="s">
        <v>1862</v>
      </c>
      <c r="L1568" s="10" t="s">
        <v>231</v>
      </c>
      <c r="M1568" s="10" t="s">
        <v>1834</v>
      </c>
      <c r="N1568" s="7"/>
    </row>
    <row r="1569" s="1" customFormat="1" ht="28.5" customHeight="1" spans="1:14">
      <c r="A1569" s="8"/>
      <c r="B1569" s="9"/>
      <c r="C1569" s="9" t="s">
        <v>1289</v>
      </c>
      <c r="D1569" s="9">
        <v>2500</v>
      </c>
      <c r="E1569" s="9"/>
      <c r="F1569" s="9"/>
      <c r="G1569" s="10" t="s">
        <v>1861</v>
      </c>
      <c r="H1569" s="10" t="s">
        <v>563</v>
      </c>
      <c r="I1569" s="10"/>
      <c r="J1569" s="9">
        <v>80987</v>
      </c>
      <c r="K1569" s="10" t="s">
        <v>1862</v>
      </c>
      <c r="L1569" s="10" t="s">
        <v>231</v>
      </c>
      <c r="M1569" s="10" t="s">
        <v>1834</v>
      </c>
      <c r="N1569" s="7"/>
    </row>
    <row r="1570" s="1" customFormat="1" ht="28.5" customHeight="1" spans="1:14">
      <c r="A1570" s="8"/>
      <c r="B1570" s="9"/>
      <c r="C1570" s="9" t="s">
        <v>1289</v>
      </c>
      <c r="D1570" s="9">
        <v>2000</v>
      </c>
      <c r="E1570" s="9"/>
      <c r="F1570" s="9"/>
      <c r="G1570" s="10" t="s">
        <v>1861</v>
      </c>
      <c r="H1570" s="10" t="s">
        <v>563</v>
      </c>
      <c r="I1570" s="10"/>
      <c r="J1570" s="9">
        <v>80988</v>
      </c>
      <c r="K1570" s="10" t="s">
        <v>1862</v>
      </c>
      <c r="L1570" s="10" t="s">
        <v>231</v>
      </c>
      <c r="M1570" s="10" t="s">
        <v>1834</v>
      </c>
      <c r="N1570" s="7"/>
    </row>
    <row r="1571" s="1" customFormat="1" ht="28.5" customHeight="1" spans="1:14">
      <c r="A1571" s="8"/>
      <c r="B1571" s="9"/>
      <c r="C1571" s="9" t="s">
        <v>1289</v>
      </c>
      <c r="D1571" s="9">
        <v>1500</v>
      </c>
      <c r="E1571" s="9"/>
      <c r="F1571" s="9"/>
      <c r="G1571" s="10" t="s">
        <v>1861</v>
      </c>
      <c r="H1571" s="10" t="s">
        <v>563</v>
      </c>
      <c r="I1571" s="10"/>
      <c r="J1571" s="9">
        <v>80989</v>
      </c>
      <c r="K1571" s="10" t="s">
        <v>1862</v>
      </c>
      <c r="L1571" s="10" t="s">
        <v>231</v>
      </c>
      <c r="M1571" s="10" t="s">
        <v>1834</v>
      </c>
      <c r="N1571" s="7"/>
    </row>
    <row r="1572" s="1" customFormat="1" ht="28.5" customHeight="1" spans="1:14">
      <c r="A1572" s="8"/>
      <c r="B1572" s="9"/>
      <c r="C1572" s="9" t="s">
        <v>1289</v>
      </c>
      <c r="D1572" s="9">
        <v>1000</v>
      </c>
      <c r="E1572" s="9"/>
      <c r="F1572" s="9"/>
      <c r="G1572" s="10" t="s">
        <v>1861</v>
      </c>
      <c r="H1572" s="10" t="s">
        <v>563</v>
      </c>
      <c r="I1572" s="10"/>
      <c r="J1572" s="9">
        <v>80990</v>
      </c>
      <c r="K1572" s="10" t="s">
        <v>1862</v>
      </c>
      <c r="L1572" s="10" t="s">
        <v>231</v>
      </c>
      <c r="M1572" s="10" t="s">
        <v>1834</v>
      </c>
      <c r="N1572" s="7"/>
    </row>
    <row r="1573" s="1" customFormat="1" ht="28.5" customHeight="1" spans="1:14">
      <c r="A1573" s="8"/>
      <c r="B1573" s="9"/>
      <c r="C1573" s="9" t="s">
        <v>1289</v>
      </c>
      <c r="D1573" s="9">
        <v>3000</v>
      </c>
      <c r="E1573" s="9"/>
      <c r="F1573" s="9"/>
      <c r="G1573" s="10" t="s">
        <v>2595</v>
      </c>
      <c r="H1573" s="10" t="s">
        <v>563</v>
      </c>
      <c r="I1573" s="10"/>
      <c r="J1573" s="9">
        <v>100991</v>
      </c>
      <c r="K1573" s="10" t="s">
        <v>349</v>
      </c>
      <c r="L1573" s="10" t="s">
        <v>248</v>
      </c>
      <c r="M1573" s="10" t="s">
        <v>1834</v>
      </c>
      <c r="N1573" s="7"/>
    </row>
    <row r="1574" s="1" customFormat="1" ht="28.5" customHeight="1" spans="1:14">
      <c r="A1574" s="8"/>
      <c r="B1574" s="9"/>
      <c r="C1574" s="9" t="s">
        <v>1289</v>
      </c>
      <c r="D1574" s="9">
        <v>2500</v>
      </c>
      <c r="E1574" s="9"/>
      <c r="F1574" s="9"/>
      <c r="G1574" s="10" t="s">
        <v>2595</v>
      </c>
      <c r="H1574" s="10" t="s">
        <v>563</v>
      </c>
      <c r="I1574" s="10"/>
      <c r="J1574" s="9">
        <v>100992</v>
      </c>
      <c r="K1574" s="10" t="s">
        <v>349</v>
      </c>
      <c r="L1574" s="10" t="s">
        <v>248</v>
      </c>
      <c r="M1574" s="10" t="s">
        <v>1834</v>
      </c>
      <c r="N1574" s="7"/>
    </row>
    <row r="1575" s="1" customFormat="1" ht="28.5" customHeight="1" spans="1:14">
      <c r="A1575" s="8"/>
      <c r="B1575" s="9"/>
      <c r="C1575" s="9" t="s">
        <v>1289</v>
      </c>
      <c r="D1575" s="9">
        <v>2000</v>
      </c>
      <c r="E1575" s="9"/>
      <c r="F1575" s="9"/>
      <c r="G1575" s="10" t="s">
        <v>2595</v>
      </c>
      <c r="H1575" s="10" t="s">
        <v>563</v>
      </c>
      <c r="I1575" s="10"/>
      <c r="J1575" s="9">
        <v>100993</v>
      </c>
      <c r="K1575" s="10" t="s">
        <v>349</v>
      </c>
      <c r="L1575" s="10" t="s">
        <v>248</v>
      </c>
      <c r="M1575" s="10" t="s">
        <v>1834</v>
      </c>
      <c r="N1575" s="7"/>
    </row>
    <row r="1576" s="1" customFormat="1" ht="28.5" customHeight="1" spans="1:14">
      <c r="A1576" s="8"/>
      <c r="B1576" s="9"/>
      <c r="C1576" s="9" t="s">
        <v>1289</v>
      </c>
      <c r="D1576" s="9">
        <v>1500</v>
      </c>
      <c r="E1576" s="9"/>
      <c r="F1576" s="9"/>
      <c r="G1576" s="10" t="s">
        <v>2595</v>
      </c>
      <c r="H1576" s="10" t="s">
        <v>563</v>
      </c>
      <c r="I1576" s="10"/>
      <c r="J1576" s="9">
        <v>100994</v>
      </c>
      <c r="K1576" s="10" t="s">
        <v>349</v>
      </c>
      <c r="L1576" s="10" t="s">
        <v>248</v>
      </c>
      <c r="M1576" s="10" t="s">
        <v>1834</v>
      </c>
      <c r="N1576" s="7"/>
    </row>
    <row r="1577" s="1" customFormat="1" ht="28.5" customHeight="1" spans="1:14">
      <c r="A1577" s="8"/>
      <c r="B1577" s="9"/>
      <c r="C1577" s="9" t="s">
        <v>1289</v>
      </c>
      <c r="D1577" s="9">
        <v>1000</v>
      </c>
      <c r="E1577" s="9"/>
      <c r="F1577" s="9"/>
      <c r="G1577" s="10" t="s">
        <v>2595</v>
      </c>
      <c r="H1577" s="10" t="s">
        <v>563</v>
      </c>
      <c r="I1577" s="10"/>
      <c r="J1577" s="9">
        <v>100995</v>
      </c>
      <c r="K1577" s="10" t="s">
        <v>349</v>
      </c>
      <c r="L1577" s="10" t="s">
        <v>248</v>
      </c>
      <c r="M1577" s="10" t="s">
        <v>1834</v>
      </c>
      <c r="N1577" s="7"/>
    </row>
    <row r="1578" s="1" customFormat="1" ht="28.5" customHeight="1" spans="1:14">
      <c r="A1578" s="8"/>
      <c r="B1578" s="9"/>
      <c r="C1578" s="9" t="s">
        <v>1289</v>
      </c>
      <c r="D1578" s="9">
        <v>3000</v>
      </c>
      <c r="E1578" s="9"/>
      <c r="F1578" s="9"/>
      <c r="G1578" s="10" t="s">
        <v>2648</v>
      </c>
      <c r="H1578" s="10" t="s">
        <v>563</v>
      </c>
      <c r="I1578" s="10"/>
      <c r="J1578" s="9">
        <v>10996</v>
      </c>
      <c r="K1578" s="10" t="s">
        <v>2649</v>
      </c>
      <c r="L1578" s="10" t="s">
        <v>298</v>
      </c>
      <c r="M1578" s="10" t="s">
        <v>1834</v>
      </c>
      <c r="N1578" s="7"/>
    </row>
    <row r="1579" s="1" customFormat="1" ht="28.5" customHeight="1" spans="1:14">
      <c r="A1579" s="8"/>
      <c r="B1579" s="9"/>
      <c r="C1579" s="9" t="s">
        <v>1289</v>
      </c>
      <c r="D1579" s="9">
        <v>2500</v>
      </c>
      <c r="E1579" s="9"/>
      <c r="F1579" s="9"/>
      <c r="G1579" s="10" t="s">
        <v>2650</v>
      </c>
      <c r="H1579" s="10" t="s">
        <v>563</v>
      </c>
      <c r="I1579" s="10"/>
      <c r="J1579" s="9">
        <v>10997</v>
      </c>
      <c r="K1579" s="10" t="s">
        <v>2651</v>
      </c>
      <c r="L1579" s="10" t="s">
        <v>298</v>
      </c>
      <c r="M1579" s="10" t="s">
        <v>1834</v>
      </c>
      <c r="N1579" s="7"/>
    </row>
    <row r="1580" s="1" customFormat="1" ht="28.5" customHeight="1" spans="1:14">
      <c r="A1580" s="8"/>
      <c r="B1580" s="9"/>
      <c r="C1580" s="9" t="s">
        <v>1289</v>
      </c>
      <c r="D1580" s="9">
        <v>2000</v>
      </c>
      <c r="E1580" s="9"/>
      <c r="F1580" s="9"/>
      <c r="G1580" s="10" t="s">
        <v>2652</v>
      </c>
      <c r="H1580" s="10" t="s">
        <v>563</v>
      </c>
      <c r="I1580" s="10"/>
      <c r="J1580" s="9">
        <v>10998</v>
      </c>
      <c r="K1580" s="10" t="s">
        <v>2653</v>
      </c>
      <c r="L1580" s="10" t="s">
        <v>298</v>
      </c>
      <c r="M1580" s="10" t="s">
        <v>1834</v>
      </c>
      <c r="N1580" s="7"/>
    </row>
    <row r="1581" s="1" customFormat="1" ht="28.5" customHeight="1" spans="1:14">
      <c r="A1581" s="8"/>
      <c r="B1581" s="9"/>
      <c r="C1581" s="9" t="s">
        <v>1289</v>
      </c>
      <c r="D1581" s="9">
        <v>1500</v>
      </c>
      <c r="E1581" s="9"/>
      <c r="F1581" s="9"/>
      <c r="G1581" s="10" t="s">
        <v>2654</v>
      </c>
      <c r="H1581" s="10" t="s">
        <v>563</v>
      </c>
      <c r="I1581" s="10"/>
      <c r="J1581" s="9">
        <v>10999</v>
      </c>
      <c r="K1581" s="10" t="s">
        <v>2655</v>
      </c>
      <c r="L1581" s="10" t="s">
        <v>298</v>
      </c>
      <c r="M1581" s="10" t="s">
        <v>1834</v>
      </c>
      <c r="N1581" s="7"/>
    </row>
    <row r="1582" s="1" customFormat="1" ht="28.5" customHeight="1" spans="1:14">
      <c r="A1582" s="8"/>
      <c r="B1582" s="9"/>
      <c r="C1582" s="9" t="s">
        <v>1289</v>
      </c>
      <c r="D1582" s="9">
        <v>1000</v>
      </c>
      <c r="E1582" s="9"/>
      <c r="F1582" s="9"/>
      <c r="G1582" s="10" t="s">
        <v>2656</v>
      </c>
      <c r="H1582" s="10" t="s">
        <v>563</v>
      </c>
      <c r="I1582" s="10"/>
      <c r="J1582" s="9">
        <v>11000</v>
      </c>
      <c r="K1582" s="10" t="s">
        <v>2657</v>
      </c>
      <c r="L1582" s="10" t="s">
        <v>298</v>
      </c>
      <c r="M1582" s="10" t="s">
        <v>1834</v>
      </c>
      <c r="N1582" s="7"/>
    </row>
    <row r="1583" s="1" customFormat="1" ht="28.5" customHeight="1" spans="1:14">
      <c r="A1583" s="8">
        <v>40501</v>
      </c>
      <c r="B1583" s="9">
        <v>40511</v>
      </c>
      <c r="C1583" s="9" t="s">
        <v>33</v>
      </c>
      <c r="D1583" s="9">
        <v>0</v>
      </c>
      <c r="E1583" s="9"/>
      <c r="F1583" s="9">
        <v>40502</v>
      </c>
      <c r="G1583" s="10" t="s">
        <v>1671</v>
      </c>
      <c r="H1583" s="10" t="s">
        <v>563</v>
      </c>
      <c r="I1583" s="10"/>
      <c r="J1583" s="9">
        <v>61001</v>
      </c>
      <c r="K1583" s="10" t="s">
        <v>2658</v>
      </c>
      <c r="L1583" s="10" t="s">
        <v>360</v>
      </c>
      <c r="M1583" s="10" t="s">
        <v>1842</v>
      </c>
      <c r="N1583" s="7"/>
    </row>
    <row r="1584" s="1" customFormat="1" ht="28.5" customHeight="1" spans="1:14">
      <c r="A1584" s="8">
        <v>40501</v>
      </c>
      <c r="B1584" s="9">
        <v>40512</v>
      </c>
      <c r="C1584" s="9" t="s">
        <v>33</v>
      </c>
      <c r="D1584" s="9">
        <v>0</v>
      </c>
      <c r="E1584" s="9"/>
      <c r="F1584" s="9">
        <v>40502</v>
      </c>
      <c r="G1584" s="10" t="s">
        <v>1673</v>
      </c>
      <c r="H1584" s="10" t="s">
        <v>563</v>
      </c>
      <c r="I1584" s="10"/>
      <c r="J1584" s="9">
        <v>61002</v>
      </c>
      <c r="K1584" s="10" t="s">
        <v>2659</v>
      </c>
      <c r="L1584" s="10" t="s">
        <v>360</v>
      </c>
      <c r="M1584" s="10" t="s">
        <v>1842</v>
      </c>
      <c r="N1584" s="7"/>
    </row>
    <row r="1585" s="1" customFormat="1" ht="28.5" customHeight="1" spans="1:14">
      <c r="A1585" s="8">
        <v>40501</v>
      </c>
      <c r="B1585" s="9">
        <v>40513</v>
      </c>
      <c r="C1585" s="9" t="s">
        <v>33</v>
      </c>
      <c r="D1585" s="9">
        <v>0</v>
      </c>
      <c r="E1585" s="9"/>
      <c r="F1585" s="9">
        <v>40502</v>
      </c>
      <c r="G1585" s="10" t="s">
        <v>1675</v>
      </c>
      <c r="H1585" s="10" t="s">
        <v>563</v>
      </c>
      <c r="I1585" s="10"/>
      <c r="J1585" s="9">
        <v>61003</v>
      </c>
      <c r="K1585" s="10" t="s">
        <v>2660</v>
      </c>
      <c r="L1585" s="10" t="s">
        <v>360</v>
      </c>
      <c r="M1585" s="10" t="s">
        <v>1842</v>
      </c>
      <c r="N1585" s="7"/>
    </row>
    <row r="1586" s="1" customFormat="1" ht="28.5" customHeight="1" spans="1:14">
      <c r="A1586" s="8">
        <v>40501</v>
      </c>
      <c r="B1586" s="9">
        <v>40514</v>
      </c>
      <c r="C1586" s="9" t="s">
        <v>33</v>
      </c>
      <c r="D1586" s="9">
        <v>0</v>
      </c>
      <c r="E1586" s="9"/>
      <c r="F1586" s="9">
        <v>40502</v>
      </c>
      <c r="G1586" s="10" t="s">
        <v>1677</v>
      </c>
      <c r="H1586" s="10" t="s">
        <v>563</v>
      </c>
      <c r="I1586" s="10"/>
      <c r="J1586" s="9">
        <v>61004</v>
      </c>
      <c r="K1586" s="10" t="s">
        <v>2661</v>
      </c>
      <c r="L1586" s="10" t="s">
        <v>360</v>
      </c>
      <c r="M1586" s="10" t="s">
        <v>1842</v>
      </c>
      <c r="N1586" s="7"/>
    </row>
    <row r="1587" s="1" customFormat="1" ht="28.5" customHeight="1" spans="1:14">
      <c r="A1587" s="8">
        <v>40501</v>
      </c>
      <c r="B1587" s="9">
        <v>40515</v>
      </c>
      <c r="C1587" s="9" t="s">
        <v>33</v>
      </c>
      <c r="D1587" s="9">
        <v>0</v>
      </c>
      <c r="E1587" s="9"/>
      <c r="F1587" s="9">
        <v>40502</v>
      </c>
      <c r="G1587" s="10" t="s">
        <v>1679</v>
      </c>
      <c r="H1587" s="10" t="s">
        <v>563</v>
      </c>
      <c r="I1587" s="10"/>
      <c r="J1587" s="9">
        <v>61005</v>
      </c>
      <c r="K1587" s="10" t="s">
        <v>2662</v>
      </c>
      <c r="L1587" s="10" t="s">
        <v>360</v>
      </c>
      <c r="M1587" s="10" t="s">
        <v>1842</v>
      </c>
      <c r="N1587" s="7"/>
    </row>
    <row r="1588" s="1" customFormat="1" ht="28.5" customHeight="1" spans="1:14">
      <c r="A1588" s="8">
        <v>40501</v>
      </c>
      <c r="B1588" s="9">
        <v>40516</v>
      </c>
      <c r="C1588" s="9" t="s">
        <v>33</v>
      </c>
      <c r="D1588" s="9">
        <v>3000</v>
      </c>
      <c r="E1588" s="9"/>
      <c r="F1588" s="9">
        <v>40503</v>
      </c>
      <c r="G1588" s="10" t="s">
        <v>1669</v>
      </c>
      <c r="H1588" s="10" t="s">
        <v>563</v>
      </c>
      <c r="I1588" s="10"/>
      <c r="J1588" s="9">
        <v>51006</v>
      </c>
      <c r="K1588" s="10" t="s">
        <v>2617</v>
      </c>
      <c r="L1588" s="10" t="s">
        <v>361</v>
      </c>
      <c r="M1588" s="10" t="s">
        <v>1842</v>
      </c>
      <c r="N1588" s="7"/>
    </row>
    <row r="1589" s="1" customFormat="1" ht="28.5" customHeight="1" spans="1:14">
      <c r="A1589" s="8">
        <v>40501</v>
      </c>
      <c r="B1589" s="9">
        <v>40517</v>
      </c>
      <c r="C1589" s="9" t="s">
        <v>33</v>
      </c>
      <c r="D1589" s="9">
        <v>2500</v>
      </c>
      <c r="E1589" s="9"/>
      <c r="F1589" s="9">
        <v>40503</v>
      </c>
      <c r="G1589" s="10" t="s">
        <v>1681</v>
      </c>
      <c r="H1589" s="10" t="s">
        <v>563</v>
      </c>
      <c r="I1589" s="10"/>
      <c r="J1589" s="9">
        <v>51007</v>
      </c>
      <c r="K1589" s="10" t="s">
        <v>2663</v>
      </c>
      <c r="L1589" s="10" t="s">
        <v>361</v>
      </c>
      <c r="M1589" s="10" t="s">
        <v>1842</v>
      </c>
      <c r="N1589" s="7"/>
    </row>
    <row r="1590" s="1" customFormat="1" ht="28.5" customHeight="1" spans="1:14">
      <c r="A1590" s="8">
        <v>40501</v>
      </c>
      <c r="B1590" s="9">
        <v>40518</v>
      </c>
      <c r="C1590" s="9" t="s">
        <v>33</v>
      </c>
      <c r="D1590" s="9">
        <v>2000</v>
      </c>
      <c r="E1590" s="9"/>
      <c r="F1590" s="9">
        <v>40503</v>
      </c>
      <c r="G1590" s="10" t="s">
        <v>2664</v>
      </c>
      <c r="H1590" s="10" t="s">
        <v>563</v>
      </c>
      <c r="I1590" s="10"/>
      <c r="J1590" s="9">
        <v>51008</v>
      </c>
      <c r="K1590" s="10" t="s">
        <v>2665</v>
      </c>
      <c r="L1590" s="10" t="s">
        <v>361</v>
      </c>
      <c r="M1590" s="10" t="s">
        <v>1842</v>
      </c>
      <c r="N1590" s="7"/>
    </row>
    <row r="1591" s="1" customFormat="1" ht="28.5" customHeight="1" spans="1:14">
      <c r="A1591" s="8">
        <v>40501</v>
      </c>
      <c r="B1591" s="9">
        <v>40519</v>
      </c>
      <c r="C1591" s="9" t="s">
        <v>33</v>
      </c>
      <c r="D1591" s="9">
        <v>1500</v>
      </c>
      <c r="E1591" s="9"/>
      <c r="F1591" s="9">
        <v>40503</v>
      </c>
      <c r="G1591" s="10" t="s">
        <v>2666</v>
      </c>
      <c r="H1591" s="10" t="s">
        <v>563</v>
      </c>
      <c r="I1591" s="10"/>
      <c r="J1591" s="9">
        <v>51009</v>
      </c>
      <c r="K1591" s="10" t="s">
        <v>2667</v>
      </c>
      <c r="L1591" s="10" t="s">
        <v>361</v>
      </c>
      <c r="M1591" s="10" t="s">
        <v>1842</v>
      </c>
      <c r="N1591" s="7"/>
    </row>
    <row r="1592" s="1" customFormat="1" ht="28.5" customHeight="1" spans="1:14">
      <c r="A1592" s="8">
        <v>40501</v>
      </c>
      <c r="B1592" s="9">
        <v>40520</v>
      </c>
      <c r="C1592" s="9" t="s">
        <v>33</v>
      </c>
      <c r="D1592" s="9">
        <v>1000</v>
      </c>
      <c r="E1592" s="9"/>
      <c r="F1592" s="9">
        <v>40503</v>
      </c>
      <c r="G1592" s="10" t="s">
        <v>1689</v>
      </c>
      <c r="H1592" s="10" t="s">
        <v>563</v>
      </c>
      <c r="I1592" s="10"/>
      <c r="J1592" s="9">
        <v>51010</v>
      </c>
      <c r="K1592" s="10" t="s">
        <v>2668</v>
      </c>
      <c r="L1592" s="10" t="s">
        <v>361</v>
      </c>
      <c r="M1592" s="10" t="s">
        <v>1842</v>
      </c>
      <c r="N1592" s="7"/>
    </row>
    <row r="1593" s="1" customFormat="1" ht="28.5" customHeight="1" spans="1:14">
      <c r="A1593" s="8"/>
      <c r="B1593" s="9"/>
      <c r="C1593" s="9" t="s">
        <v>1289</v>
      </c>
      <c r="D1593" s="9">
        <v>3000</v>
      </c>
      <c r="E1593" s="9"/>
      <c r="F1593" s="9"/>
      <c r="G1593" s="10" t="s">
        <v>2669</v>
      </c>
      <c r="H1593" s="10" t="s">
        <v>563</v>
      </c>
      <c r="I1593" s="10"/>
      <c r="J1593" s="9">
        <v>31011</v>
      </c>
      <c r="K1593" s="10" t="s">
        <v>2670</v>
      </c>
      <c r="L1593" s="10" t="s">
        <v>362</v>
      </c>
      <c r="M1593" s="10" t="s">
        <v>1834</v>
      </c>
      <c r="N1593" s="7"/>
    </row>
    <row r="1594" s="1" customFormat="1" ht="28.5" customHeight="1" spans="1:14">
      <c r="A1594" s="8"/>
      <c r="B1594" s="9"/>
      <c r="C1594" s="9" t="s">
        <v>1289</v>
      </c>
      <c r="D1594" s="9">
        <v>2500</v>
      </c>
      <c r="E1594" s="9"/>
      <c r="F1594" s="9"/>
      <c r="G1594" s="10" t="s">
        <v>2671</v>
      </c>
      <c r="H1594" s="10" t="s">
        <v>563</v>
      </c>
      <c r="I1594" s="10"/>
      <c r="J1594" s="9">
        <v>31012</v>
      </c>
      <c r="K1594" s="10" t="s">
        <v>2672</v>
      </c>
      <c r="L1594" s="10" t="s">
        <v>362</v>
      </c>
      <c r="M1594" s="10" t="s">
        <v>1834</v>
      </c>
      <c r="N1594" s="7"/>
    </row>
    <row r="1595" s="1" customFormat="1" ht="28.5" customHeight="1" spans="1:14">
      <c r="A1595" s="8"/>
      <c r="B1595" s="9"/>
      <c r="C1595" s="9" t="s">
        <v>1289</v>
      </c>
      <c r="D1595" s="9">
        <v>2000</v>
      </c>
      <c r="E1595" s="9"/>
      <c r="F1595" s="9"/>
      <c r="G1595" s="10" t="s">
        <v>2673</v>
      </c>
      <c r="H1595" s="10" t="s">
        <v>563</v>
      </c>
      <c r="I1595" s="10"/>
      <c r="J1595" s="9">
        <v>31013</v>
      </c>
      <c r="K1595" s="10" t="s">
        <v>2674</v>
      </c>
      <c r="L1595" s="10" t="s">
        <v>362</v>
      </c>
      <c r="M1595" s="10" t="s">
        <v>1834</v>
      </c>
      <c r="N1595" s="7"/>
    </row>
    <row r="1596" s="1" customFormat="1" ht="28.5" customHeight="1" spans="1:14">
      <c r="A1596" s="8"/>
      <c r="B1596" s="9"/>
      <c r="C1596" s="9" t="s">
        <v>1289</v>
      </c>
      <c r="D1596" s="9">
        <v>1500</v>
      </c>
      <c r="E1596" s="9"/>
      <c r="F1596" s="9"/>
      <c r="G1596" s="10" t="s">
        <v>2675</v>
      </c>
      <c r="H1596" s="10" t="s">
        <v>563</v>
      </c>
      <c r="I1596" s="10"/>
      <c r="J1596" s="9">
        <v>31014</v>
      </c>
      <c r="K1596" s="10" t="s">
        <v>2676</v>
      </c>
      <c r="L1596" s="10" t="s">
        <v>362</v>
      </c>
      <c r="M1596" s="10" t="s">
        <v>1834</v>
      </c>
      <c r="N1596" s="7"/>
    </row>
    <row r="1597" s="1" customFormat="1" ht="28.5" customHeight="1" spans="1:14">
      <c r="A1597" s="8"/>
      <c r="B1597" s="9"/>
      <c r="C1597" s="9" t="s">
        <v>1289</v>
      </c>
      <c r="D1597" s="9">
        <v>1000</v>
      </c>
      <c r="E1597" s="9"/>
      <c r="F1597" s="9"/>
      <c r="G1597" s="10" t="s">
        <v>2677</v>
      </c>
      <c r="H1597" s="10" t="s">
        <v>563</v>
      </c>
      <c r="I1597" s="10"/>
      <c r="J1597" s="9">
        <v>31015</v>
      </c>
      <c r="K1597" s="10" t="s">
        <v>2678</v>
      </c>
      <c r="L1597" s="10" t="s">
        <v>362</v>
      </c>
      <c r="M1597" s="10" t="s">
        <v>1834</v>
      </c>
      <c r="N1597" s="7"/>
    </row>
    <row r="1598" s="1" customFormat="1" ht="28.5" customHeight="1" spans="1:14">
      <c r="A1598" s="8">
        <v>40501</v>
      </c>
      <c r="B1598" s="9">
        <v>40521</v>
      </c>
      <c r="C1598" s="9" t="s">
        <v>33</v>
      </c>
      <c r="D1598" s="9">
        <v>3000</v>
      </c>
      <c r="E1598" s="9"/>
      <c r="F1598" s="9">
        <v>40504</v>
      </c>
      <c r="G1598" s="10" t="s">
        <v>2636</v>
      </c>
      <c r="H1598" s="10" t="s">
        <v>563</v>
      </c>
      <c r="I1598" s="10"/>
      <c r="J1598" s="9">
        <v>41016</v>
      </c>
      <c r="K1598" s="10" t="s">
        <v>2637</v>
      </c>
      <c r="L1598" s="10" t="s">
        <v>363</v>
      </c>
      <c r="M1598" s="10" t="s">
        <v>1842</v>
      </c>
      <c r="N1598" s="7"/>
    </row>
    <row r="1599" s="1" customFormat="1" ht="28.5" customHeight="1" spans="1:14">
      <c r="A1599" s="8">
        <v>40501</v>
      </c>
      <c r="B1599" s="9">
        <v>40522</v>
      </c>
      <c r="C1599" s="9" t="s">
        <v>33</v>
      </c>
      <c r="D1599" s="9">
        <v>2500</v>
      </c>
      <c r="E1599" s="9"/>
      <c r="F1599" s="9">
        <v>40504</v>
      </c>
      <c r="G1599" s="10" t="s">
        <v>2679</v>
      </c>
      <c r="H1599" s="10" t="s">
        <v>563</v>
      </c>
      <c r="I1599" s="10"/>
      <c r="J1599" s="9">
        <v>41017</v>
      </c>
      <c r="K1599" s="10" t="s">
        <v>2680</v>
      </c>
      <c r="L1599" s="10" t="s">
        <v>363</v>
      </c>
      <c r="M1599" s="10" t="s">
        <v>1842</v>
      </c>
      <c r="N1599" s="7"/>
    </row>
    <row r="1600" s="1" customFormat="1" ht="28.5" customHeight="1" spans="1:14">
      <c r="A1600" s="8">
        <v>40501</v>
      </c>
      <c r="B1600" s="9">
        <v>40523</v>
      </c>
      <c r="C1600" s="9" t="s">
        <v>33</v>
      </c>
      <c r="D1600" s="9">
        <v>2000</v>
      </c>
      <c r="E1600" s="9"/>
      <c r="F1600" s="9">
        <v>40504</v>
      </c>
      <c r="G1600" s="10" t="s">
        <v>2681</v>
      </c>
      <c r="H1600" s="10" t="s">
        <v>563</v>
      </c>
      <c r="I1600" s="10"/>
      <c r="J1600" s="9">
        <v>41018</v>
      </c>
      <c r="K1600" s="10" t="s">
        <v>2682</v>
      </c>
      <c r="L1600" s="10" t="s">
        <v>363</v>
      </c>
      <c r="M1600" s="10" t="s">
        <v>1842</v>
      </c>
      <c r="N1600" s="7"/>
    </row>
    <row r="1601" s="1" customFormat="1" ht="28.5" customHeight="1" spans="1:14">
      <c r="A1601" s="8">
        <v>40501</v>
      </c>
      <c r="B1601" s="9">
        <v>40524</v>
      </c>
      <c r="C1601" s="9" t="s">
        <v>33</v>
      </c>
      <c r="D1601" s="9">
        <v>1500</v>
      </c>
      <c r="E1601" s="9"/>
      <c r="F1601" s="9">
        <v>40504</v>
      </c>
      <c r="G1601" s="10" t="s">
        <v>2683</v>
      </c>
      <c r="H1601" s="10" t="s">
        <v>563</v>
      </c>
      <c r="I1601" s="10"/>
      <c r="J1601" s="9">
        <v>41019</v>
      </c>
      <c r="K1601" s="10" t="s">
        <v>2684</v>
      </c>
      <c r="L1601" s="10" t="s">
        <v>363</v>
      </c>
      <c r="M1601" s="10" t="s">
        <v>1842</v>
      </c>
      <c r="N1601" s="7"/>
    </row>
    <row r="1602" s="1" customFormat="1" ht="28.5" customHeight="1" spans="1:14">
      <c r="A1602" s="8">
        <v>40501</v>
      </c>
      <c r="B1602" s="9">
        <v>40525</v>
      </c>
      <c r="C1602" s="9" t="s">
        <v>33</v>
      </c>
      <c r="D1602" s="9">
        <v>1000</v>
      </c>
      <c r="E1602" s="9"/>
      <c r="F1602" s="9">
        <v>40504</v>
      </c>
      <c r="G1602" s="10" t="s">
        <v>2685</v>
      </c>
      <c r="H1602" s="10" t="s">
        <v>563</v>
      </c>
      <c r="I1602" s="10"/>
      <c r="J1602" s="9">
        <v>41020</v>
      </c>
      <c r="K1602" s="10" t="s">
        <v>2686</v>
      </c>
      <c r="L1602" s="10" t="s">
        <v>363</v>
      </c>
      <c r="M1602" s="10" t="s">
        <v>1842</v>
      </c>
      <c r="N1602" s="7"/>
    </row>
    <row r="1603" s="1" customFormat="1" ht="28.5" customHeight="1" spans="1:14">
      <c r="A1603" s="8"/>
      <c r="B1603" s="9"/>
      <c r="C1603" s="9" t="s">
        <v>1289</v>
      </c>
      <c r="D1603" s="9">
        <v>3000</v>
      </c>
      <c r="E1603" s="9"/>
      <c r="F1603" s="9"/>
      <c r="G1603" s="10" t="s">
        <v>2687</v>
      </c>
      <c r="H1603" s="10" t="s">
        <v>563</v>
      </c>
      <c r="I1603" s="10"/>
      <c r="J1603" s="9">
        <v>11021</v>
      </c>
      <c r="K1603" s="10" t="s">
        <v>2688</v>
      </c>
      <c r="L1603" s="10" t="s">
        <v>260</v>
      </c>
      <c r="M1603" s="10" t="s">
        <v>1834</v>
      </c>
      <c r="N1603" s="7"/>
    </row>
    <row r="1604" s="1" customFormat="1" ht="28.5" customHeight="1" spans="1:14">
      <c r="A1604" s="8"/>
      <c r="B1604" s="9"/>
      <c r="C1604" s="9" t="s">
        <v>1289</v>
      </c>
      <c r="D1604" s="9">
        <v>2500</v>
      </c>
      <c r="E1604" s="9"/>
      <c r="F1604" s="9"/>
      <c r="G1604" s="10" t="s">
        <v>2689</v>
      </c>
      <c r="H1604" s="10" t="s">
        <v>563</v>
      </c>
      <c r="I1604" s="10"/>
      <c r="J1604" s="9">
        <v>11022</v>
      </c>
      <c r="K1604" s="10" t="s">
        <v>2690</v>
      </c>
      <c r="L1604" s="10" t="s">
        <v>260</v>
      </c>
      <c r="M1604" s="10" t="s">
        <v>1834</v>
      </c>
      <c r="N1604" s="7"/>
    </row>
    <row r="1605" s="1" customFormat="1" ht="28.5" customHeight="1" spans="1:14">
      <c r="A1605" s="8"/>
      <c r="B1605" s="9"/>
      <c r="C1605" s="9" t="s">
        <v>1289</v>
      </c>
      <c r="D1605" s="9">
        <v>2000</v>
      </c>
      <c r="E1605" s="9"/>
      <c r="F1605" s="9"/>
      <c r="G1605" s="10" t="s">
        <v>2691</v>
      </c>
      <c r="H1605" s="10" t="s">
        <v>563</v>
      </c>
      <c r="I1605" s="10"/>
      <c r="J1605" s="9">
        <v>11023</v>
      </c>
      <c r="K1605" s="10" t="s">
        <v>2692</v>
      </c>
      <c r="L1605" s="10" t="s">
        <v>260</v>
      </c>
      <c r="M1605" s="10" t="s">
        <v>1834</v>
      </c>
      <c r="N1605" s="7"/>
    </row>
    <row r="1606" s="1" customFormat="1" ht="28.5" customHeight="1" spans="1:14">
      <c r="A1606" s="8"/>
      <c r="B1606" s="9"/>
      <c r="C1606" s="9" t="s">
        <v>1289</v>
      </c>
      <c r="D1606" s="9">
        <v>1500</v>
      </c>
      <c r="E1606" s="9"/>
      <c r="F1606" s="9"/>
      <c r="G1606" s="10" t="s">
        <v>2693</v>
      </c>
      <c r="H1606" s="10" t="s">
        <v>563</v>
      </c>
      <c r="I1606" s="10"/>
      <c r="J1606" s="9">
        <v>11024</v>
      </c>
      <c r="K1606" s="10" t="s">
        <v>2694</v>
      </c>
      <c r="L1606" s="10" t="s">
        <v>260</v>
      </c>
      <c r="M1606" s="10" t="s">
        <v>1834</v>
      </c>
      <c r="N1606" s="7"/>
    </row>
    <row r="1607" s="1" customFormat="1" ht="28.5" customHeight="1" spans="1:14">
      <c r="A1607" s="8"/>
      <c r="B1607" s="9"/>
      <c r="C1607" s="9" t="s">
        <v>1289</v>
      </c>
      <c r="D1607" s="9">
        <v>1000</v>
      </c>
      <c r="E1607" s="9"/>
      <c r="F1607" s="9"/>
      <c r="G1607" s="10" t="s">
        <v>2695</v>
      </c>
      <c r="H1607" s="10" t="s">
        <v>563</v>
      </c>
      <c r="I1607" s="10"/>
      <c r="J1607" s="9">
        <v>11025</v>
      </c>
      <c r="K1607" s="10" t="s">
        <v>2696</v>
      </c>
      <c r="L1607" s="10" t="s">
        <v>260</v>
      </c>
      <c r="M1607" s="10" t="s">
        <v>1834</v>
      </c>
      <c r="N1607" s="7"/>
    </row>
    <row r="1608" s="1" customFormat="1" ht="28.5" customHeight="1" spans="1:14">
      <c r="A1608" s="8">
        <v>40601</v>
      </c>
      <c r="B1608" s="9">
        <v>40601</v>
      </c>
      <c r="C1608" s="9" t="s">
        <v>34</v>
      </c>
      <c r="D1608" s="9">
        <v>0</v>
      </c>
      <c r="E1608" s="9"/>
      <c r="F1608" s="9">
        <v>40600</v>
      </c>
      <c r="G1608" s="10" t="s">
        <v>1351</v>
      </c>
      <c r="H1608" s="10" t="s">
        <v>563</v>
      </c>
      <c r="I1608" s="10"/>
      <c r="J1608" s="9">
        <v>61026</v>
      </c>
      <c r="K1608" s="10" t="s">
        <v>1976</v>
      </c>
      <c r="L1608" s="10" t="s">
        <v>259</v>
      </c>
      <c r="M1608" s="10" t="s">
        <v>1842</v>
      </c>
      <c r="N1608" s="7"/>
    </row>
    <row r="1609" s="1" customFormat="1" ht="28.5" customHeight="1" spans="1:14">
      <c r="A1609" s="8">
        <v>40601</v>
      </c>
      <c r="B1609" s="9">
        <v>40602</v>
      </c>
      <c r="C1609" s="9" t="s">
        <v>34</v>
      </c>
      <c r="D1609" s="9">
        <v>0</v>
      </c>
      <c r="E1609" s="9"/>
      <c r="F1609" s="9">
        <v>40600</v>
      </c>
      <c r="G1609" s="10" t="s">
        <v>1353</v>
      </c>
      <c r="H1609" s="10" t="s">
        <v>563</v>
      </c>
      <c r="I1609" s="10"/>
      <c r="J1609" s="9">
        <v>61027</v>
      </c>
      <c r="K1609" s="10" t="s">
        <v>1977</v>
      </c>
      <c r="L1609" s="10" t="s">
        <v>259</v>
      </c>
      <c r="M1609" s="10" t="s">
        <v>1842</v>
      </c>
      <c r="N1609" s="7"/>
    </row>
    <row r="1610" s="1" customFormat="1" ht="28.5" customHeight="1" spans="1:14">
      <c r="A1610" s="8">
        <v>40601</v>
      </c>
      <c r="B1610" s="9">
        <v>40603</v>
      </c>
      <c r="C1610" s="9" t="s">
        <v>34</v>
      </c>
      <c r="D1610" s="9">
        <v>0</v>
      </c>
      <c r="E1610" s="9"/>
      <c r="F1610" s="9">
        <v>40600</v>
      </c>
      <c r="G1610" s="10" t="s">
        <v>1355</v>
      </c>
      <c r="H1610" s="10" t="s">
        <v>563</v>
      </c>
      <c r="I1610" s="10"/>
      <c r="J1610" s="9">
        <v>61028</v>
      </c>
      <c r="K1610" s="10" t="s">
        <v>1978</v>
      </c>
      <c r="L1610" s="10" t="s">
        <v>259</v>
      </c>
      <c r="M1610" s="10" t="s">
        <v>1842</v>
      </c>
      <c r="N1610" s="7"/>
    </row>
    <row r="1611" s="1" customFormat="1" ht="28.5" customHeight="1" spans="1:14">
      <c r="A1611" s="8">
        <v>40601</v>
      </c>
      <c r="B1611" s="9">
        <v>40604</v>
      </c>
      <c r="C1611" s="9" t="s">
        <v>34</v>
      </c>
      <c r="D1611" s="9">
        <v>0</v>
      </c>
      <c r="E1611" s="9"/>
      <c r="F1611" s="9">
        <v>40600</v>
      </c>
      <c r="G1611" s="10" t="s">
        <v>1357</v>
      </c>
      <c r="H1611" s="10" t="s">
        <v>563</v>
      </c>
      <c r="I1611" s="10"/>
      <c r="J1611" s="9">
        <v>61029</v>
      </c>
      <c r="K1611" s="10" t="s">
        <v>1979</v>
      </c>
      <c r="L1611" s="10" t="s">
        <v>259</v>
      </c>
      <c r="M1611" s="10" t="s">
        <v>1842</v>
      </c>
      <c r="N1611" s="7"/>
    </row>
    <row r="1612" s="1" customFormat="1" ht="28.5" customHeight="1" spans="1:14">
      <c r="A1612" s="8">
        <v>40601</v>
      </c>
      <c r="B1612" s="9">
        <v>40605</v>
      </c>
      <c r="C1612" s="9" t="s">
        <v>34</v>
      </c>
      <c r="D1612" s="9">
        <v>0</v>
      </c>
      <c r="E1612" s="9"/>
      <c r="F1612" s="9">
        <v>40600</v>
      </c>
      <c r="G1612" s="10" t="s">
        <v>1359</v>
      </c>
      <c r="H1612" s="10" t="s">
        <v>563</v>
      </c>
      <c r="I1612" s="10"/>
      <c r="J1612" s="9">
        <v>61030</v>
      </c>
      <c r="K1612" s="10" t="s">
        <v>1980</v>
      </c>
      <c r="L1612" s="10" t="s">
        <v>259</v>
      </c>
      <c r="M1612" s="10" t="s">
        <v>1842</v>
      </c>
      <c r="N1612" s="7"/>
    </row>
    <row r="1613" s="1" customFormat="1" ht="28.5" customHeight="1" spans="1:14">
      <c r="A1613" s="8">
        <v>40601</v>
      </c>
      <c r="B1613" s="9">
        <v>40606</v>
      </c>
      <c r="C1613" s="9" t="s">
        <v>34</v>
      </c>
      <c r="D1613" s="9">
        <v>3000</v>
      </c>
      <c r="E1613" s="9"/>
      <c r="F1613" s="9">
        <v>40601</v>
      </c>
      <c r="G1613" s="10" t="s">
        <v>1981</v>
      </c>
      <c r="H1613" s="10" t="s">
        <v>563</v>
      </c>
      <c r="I1613" s="10"/>
      <c r="J1613" s="9">
        <v>21031</v>
      </c>
      <c r="K1613" s="10" t="s">
        <v>1982</v>
      </c>
      <c r="L1613" s="10" t="s">
        <v>260</v>
      </c>
      <c r="M1613" s="10" t="s">
        <v>1842</v>
      </c>
      <c r="N1613" s="7"/>
    </row>
    <row r="1614" s="1" customFormat="1" ht="28.5" customHeight="1" spans="1:14">
      <c r="A1614" s="8">
        <v>40601</v>
      </c>
      <c r="B1614" s="9">
        <v>40607</v>
      </c>
      <c r="C1614" s="9" t="s">
        <v>34</v>
      </c>
      <c r="D1614" s="9">
        <v>2500</v>
      </c>
      <c r="E1614" s="9"/>
      <c r="F1614" s="9">
        <v>40601</v>
      </c>
      <c r="G1614" s="10" t="s">
        <v>1983</v>
      </c>
      <c r="H1614" s="10" t="s">
        <v>563</v>
      </c>
      <c r="I1614" s="10"/>
      <c r="J1614" s="9">
        <v>21032</v>
      </c>
      <c r="K1614" s="10" t="s">
        <v>1984</v>
      </c>
      <c r="L1614" s="10" t="s">
        <v>260</v>
      </c>
      <c r="M1614" s="10" t="s">
        <v>1842</v>
      </c>
      <c r="N1614" s="7"/>
    </row>
    <row r="1615" s="1" customFormat="1" ht="28.5" customHeight="1" spans="1:14">
      <c r="A1615" s="8">
        <v>40601</v>
      </c>
      <c r="B1615" s="9">
        <v>40608</v>
      </c>
      <c r="C1615" s="9" t="s">
        <v>34</v>
      </c>
      <c r="D1615" s="9">
        <v>2000</v>
      </c>
      <c r="E1615" s="9"/>
      <c r="F1615" s="9">
        <v>40601</v>
      </c>
      <c r="G1615" s="10" t="s">
        <v>1927</v>
      </c>
      <c r="H1615" s="10" t="s">
        <v>563</v>
      </c>
      <c r="I1615" s="10"/>
      <c r="J1615" s="9">
        <v>21033</v>
      </c>
      <c r="K1615" s="10" t="s">
        <v>1928</v>
      </c>
      <c r="L1615" s="10" t="s">
        <v>260</v>
      </c>
      <c r="M1615" s="10" t="s">
        <v>1842</v>
      </c>
      <c r="N1615" s="7"/>
    </row>
    <row r="1616" s="1" customFormat="1" ht="28.5" customHeight="1" spans="1:14">
      <c r="A1616" s="8">
        <v>40601</v>
      </c>
      <c r="B1616" s="9">
        <v>40609</v>
      </c>
      <c r="C1616" s="9" t="s">
        <v>34</v>
      </c>
      <c r="D1616" s="9">
        <v>1500</v>
      </c>
      <c r="E1616" s="9"/>
      <c r="F1616" s="9">
        <v>40601</v>
      </c>
      <c r="G1616" s="10" t="s">
        <v>1985</v>
      </c>
      <c r="H1616" s="10" t="s">
        <v>563</v>
      </c>
      <c r="I1616" s="10"/>
      <c r="J1616" s="9">
        <v>21034</v>
      </c>
      <c r="K1616" s="10" t="s">
        <v>1986</v>
      </c>
      <c r="L1616" s="10" t="s">
        <v>260</v>
      </c>
      <c r="M1616" s="10" t="s">
        <v>1842</v>
      </c>
      <c r="N1616" s="7"/>
    </row>
    <row r="1617" s="1" customFormat="1" ht="28.5" customHeight="1" spans="1:14">
      <c r="A1617" s="8">
        <v>40601</v>
      </c>
      <c r="B1617" s="9">
        <v>40610</v>
      </c>
      <c r="C1617" s="9" t="s">
        <v>34</v>
      </c>
      <c r="D1617" s="9">
        <v>1000</v>
      </c>
      <c r="E1617" s="9"/>
      <c r="F1617" s="9">
        <v>40601</v>
      </c>
      <c r="G1617" s="10" t="s">
        <v>1929</v>
      </c>
      <c r="H1617" s="10" t="s">
        <v>563</v>
      </c>
      <c r="I1617" s="10"/>
      <c r="J1617" s="9">
        <v>21035</v>
      </c>
      <c r="K1617" s="10" t="s">
        <v>1930</v>
      </c>
      <c r="L1617" s="10" t="s">
        <v>260</v>
      </c>
      <c r="M1617" s="10" t="s">
        <v>1842</v>
      </c>
      <c r="N1617" s="7"/>
    </row>
    <row r="1618" s="1" customFormat="1" ht="28.5" customHeight="1" spans="1:14">
      <c r="A1618" s="8"/>
      <c r="B1618" s="9"/>
      <c r="C1618" s="9" t="s">
        <v>1289</v>
      </c>
      <c r="D1618" s="9">
        <v>3000</v>
      </c>
      <c r="E1618" s="9"/>
      <c r="F1618" s="9"/>
      <c r="G1618" s="10" t="s">
        <v>1857</v>
      </c>
      <c r="H1618" s="10" t="s">
        <v>563</v>
      </c>
      <c r="I1618" s="10"/>
      <c r="J1618" s="9">
        <v>91036</v>
      </c>
      <c r="K1618" s="10" t="s">
        <v>1858</v>
      </c>
      <c r="L1618" s="10" t="s">
        <v>224</v>
      </c>
      <c r="M1618" s="10" t="s">
        <v>1834</v>
      </c>
      <c r="N1618" s="7"/>
    </row>
    <row r="1619" s="1" customFormat="1" ht="28.5" customHeight="1" spans="1:14">
      <c r="A1619" s="8"/>
      <c r="B1619" s="9"/>
      <c r="C1619" s="9" t="s">
        <v>1289</v>
      </c>
      <c r="D1619" s="9">
        <v>2500</v>
      </c>
      <c r="E1619" s="9"/>
      <c r="F1619" s="9"/>
      <c r="G1619" s="10" t="s">
        <v>1857</v>
      </c>
      <c r="H1619" s="10" t="s">
        <v>563</v>
      </c>
      <c r="I1619" s="10"/>
      <c r="J1619" s="9">
        <v>91037</v>
      </c>
      <c r="K1619" s="10" t="s">
        <v>1858</v>
      </c>
      <c r="L1619" s="10" t="s">
        <v>224</v>
      </c>
      <c r="M1619" s="10" t="s">
        <v>1834</v>
      </c>
      <c r="N1619" s="7"/>
    </row>
    <row r="1620" s="1" customFormat="1" ht="28.5" customHeight="1" spans="1:14">
      <c r="A1620" s="8"/>
      <c r="B1620" s="9"/>
      <c r="C1620" s="9" t="s">
        <v>1289</v>
      </c>
      <c r="D1620" s="9">
        <v>2000</v>
      </c>
      <c r="E1620" s="9"/>
      <c r="F1620" s="9"/>
      <c r="G1620" s="10" t="s">
        <v>1857</v>
      </c>
      <c r="H1620" s="10" t="s">
        <v>563</v>
      </c>
      <c r="I1620" s="10"/>
      <c r="J1620" s="9">
        <v>91038</v>
      </c>
      <c r="K1620" s="10" t="s">
        <v>1858</v>
      </c>
      <c r="L1620" s="10" t="s">
        <v>224</v>
      </c>
      <c r="M1620" s="10" t="s">
        <v>1834</v>
      </c>
      <c r="N1620" s="7"/>
    </row>
    <row r="1621" s="1" customFormat="1" ht="28.5" customHeight="1" spans="1:14">
      <c r="A1621" s="8"/>
      <c r="B1621" s="9"/>
      <c r="C1621" s="9" t="s">
        <v>1289</v>
      </c>
      <c r="D1621" s="9">
        <v>1500</v>
      </c>
      <c r="E1621" s="9"/>
      <c r="F1621" s="9"/>
      <c r="G1621" s="10" t="s">
        <v>1857</v>
      </c>
      <c r="H1621" s="10" t="s">
        <v>563</v>
      </c>
      <c r="I1621" s="10"/>
      <c r="J1621" s="9">
        <v>91039</v>
      </c>
      <c r="K1621" s="10" t="s">
        <v>1858</v>
      </c>
      <c r="L1621" s="10" t="s">
        <v>224</v>
      </c>
      <c r="M1621" s="10" t="s">
        <v>1834</v>
      </c>
      <c r="N1621" s="7"/>
    </row>
    <row r="1622" s="1" customFormat="1" ht="28.5" customHeight="1" spans="1:14">
      <c r="A1622" s="8"/>
      <c r="B1622" s="9"/>
      <c r="C1622" s="9" t="s">
        <v>1289</v>
      </c>
      <c r="D1622" s="9">
        <v>1000</v>
      </c>
      <c r="E1622" s="9"/>
      <c r="F1622" s="9"/>
      <c r="G1622" s="10" t="s">
        <v>1857</v>
      </c>
      <c r="H1622" s="10" t="s">
        <v>563</v>
      </c>
      <c r="I1622" s="10"/>
      <c r="J1622" s="9">
        <v>91040</v>
      </c>
      <c r="K1622" s="10" t="s">
        <v>1858</v>
      </c>
      <c r="L1622" s="10" t="s">
        <v>224</v>
      </c>
      <c r="M1622" s="10" t="s">
        <v>1834</v>
      </c>
      <c r="N1622" s="7"/>
    </row>
    <row r="1623" s="1" customFormat="1" ht="28.5" customHeight="1" spans="1:14">
      <c r="A1623" s="8"/>
      <c r="B1623" s="9"/>
      <c r="C1623" s="9" t="s">
        <v>1289</v>
      </c>
      <c r="D1623" s="9">
        <v>3000</v>
      </c>
      <c r="E1623" s="9"/>
      <c r="F1623" s="9"/>
      <c r="G1623" s="10" t="s">
        <v>1859</v>
      </c>
      <c r="H1623" s="10" t="s">
        <v>563</v>
      </c>
      <c r="I1623" s="10"/>
      <c r="J1623" s="9">
        <v>71041</v>
      </c>
      <c r="K1623" s="10" t="s">
        <v>1860</v>
      </c>
      <c r="L1623" s="10" t="s">
        <v>228</v>
      </c>
      <c r="M1623" s="10" t="s">
        <v>1834</v>
      </c>
      <c r="N1623" s="7"/>
    </row>
    <row r="1624" s="1" customFormat="1" ht="28.5" customHeight="1" spans="1:14">
      <c r="A1624" s="8"/>
      <c r="B1624" s="9"/>
      <c r="C1624" s="9" t="s">
        <v>1289</v>
      </c>
      <c r="D1624" s="9">
        <v>2500</v>
      </c>
      <c r="E1624" s="9"/>
      <c r="F1624" s="9"/>
      <c r="G1624" s="10" t="s">
        <v>1859</v>
      </c>
      <c r="H1624" s="10" t="s">
        <v>563</v>
      </c>
      <c r="I1624" s="10"/>
      <c r="J1624" s="9">
        <v>71042</v>
      </c>
      <c r="K1624" s="10" t="s">
        <v>1860</v>
      </c>
      <c r="L1624" s="10" t="s">
        <v>228</v>
      </c>
      <c r="M1624" s="10" t="s">
        <v>1834</v>
      </c>
      <c r="N1624" s="7"/>
    </row>
    <row r="1625" s="1" customFormat="1" ht="28.5" customHeight="1" spans="1:14">
      <c r="A1625" s="8"/>
      <c r="B1625" s="9"/>
      <c r="C1625" s="9" t="s">
        <v>1289</v>
      </c>
      <c r="D1625" s="9">
        <v>2000</v>
      </c>
      <c r="E1625" s="9"/>
      <c r="F1625" s="9"/>
      <c r="G1625" s="10" t="s">
        <v>1859</v>
      </c>
      <c r="H1625" s="10" t="s">
        <v>563</v>
      </c>
      <c r="I1625" s="10"/>
      <c r="J1625" s="9">
        <v>71043</v>
      </c>
      <c r="K1625" s="10" t="s">
        <v>1860</v>
      </c>
      <c r="L1625" s="10" t="s">
        <v>228</v>
      </c>
      <c r="M1625" s="10" t="s">
        <v>1834</v>
      </c>
      <c r="N1625" s="7"/>
    </row>
    <row r="1626" s="1" customFormat="1" ht="28.5" customHeight="1" spans="1:14">
      <c r="A1626" s="8"/>
      <c r="B1626" s="9"/>
      <c r="C1626" s="9" t="s">
        <v>1289</v>
      </c>
      <c r="D1626" s="9">
        <v>1500</v>
      </c>
      <c r="E1626" s="9"/>
      <c r="F1626" s="9"/>
      <c r="G1626" s="10" t="s">
        <v>1859</v>
      </c>
      <c r="H1626" s="10" t="s">
        <v>563</v>
      </c>
      <c r="I1626" s="10"/>
      <c r="J1626" s="9">
        <v>71044</v>
      </c>
      <c r="K1626" s="10" t="s">
        <v>1860</v>
      </c>
      <c r="L1626" s="10" t="s">
        <v>228</v>
      </c>
      <c r="M1626" s="10" t="s">
        <v>1834</v>
      </c>
      <c r="N1626" s="7"/>
    </row>
    <row r="1627" s="1" customFormat="1" ht="28.5" customHeight="1" spans="1:14">
      <c r="A1627" s="8"/>
      <c r="B1627" s="9"/>
      <c r="C1627" s="9" t="s">
        <v>1289</v>
      </c>
      <c r="D1627" s="9">
        <v>1000</v>
      </c>
      <c r="E1627" s="9"/>
      <c r="F1627" s="9"/>
      <c r="G1627" s="10" t="s">
        <v>1859</v>
      </c>
      <c r="H1627" s="10" t="s">
        <v>563</v>
      </c>
      <c r="I1627" s="10"/>
      <c r="J1627" s="9">
        <v>71045</v>
      </c>
      <c r="K1627" s="10" t="s">
        <v>1860</v>
      </c>
      <c r="L1627" s="10" t="s">
        <v>228</v>
      </c>
      <c r="M1627" s="10" t="s">
        <v>1834</v>
      </c>
      <c r="N1627" s="7"/>
    </row>
    <row r="1628" s="1" customFormat="1" ht="28.5" customHeight="1" spans="1:14">
      <c r="A1628" s="8"/>
      <c r="B1628" s="9"/>
      <c r="C1628" s="9" t="s">
        <v>1289</v>
      </c>
      <c r="D1628" s="9">
        <v>3000</v>
      </c>
      <c r="E1628" s="9"/>
      <c r="F1628" s="9"/>
      <c r="G1628" s="10" t="s">
        <v>1861</v>
      </c>
      <c r="H1628" s="10" t="s">
        <v>563</v>
      </c>
      <c r="I1628" s="10"/>
      <c r="J1628" s="9">
        <v>81046</v>
      </c>
      <c r="K1628" s="10" t="s">
        <v>1862</v>
      </c>
      <c r="L1628" s="10" t="s">
        <v>231</v>
      </c>
      <c r="M1628" s="10" t="s">
        <v>1834</v>
      </c>
      <c r="N1628" s="7"/>
    </row>
    <row r="1629" s="1" customFormat="1" ht="28.5" customHeight="1" spans="1:14">
      <c r="A1629" s="8"/>
      <c r="B1629" s="9"/>
      <c r="C1629" s="9" t="s">
        <v>1289</v>
      </c>
      <c r="D1629" s="9">
        <v>2500</v>
      </c>
      <c r="E1629" s="9"/>
      <c r="F1629" s="9"/>
      <c r="G1629" s="10" t="s">
        <v>1861</v>
      </c>
      <c r="H1629" s="10" t="s">
        <v>563</v>
      </c>
      <c r="I1629" s="10"/>
      <c r="J1629" s="9">
        <v>81047</v>
      </c>
      <c r="K1629" s="10" t="s">
        <v>1862</v>
      </c>
      <c r="L1629" s="10" t="s">
        <v>231</v>
      </c>
      <c r="M1629" s="10" t="s">
        <v>1834</v>
      </c>
      <c r="N1629" s="7"/>
    </row>
    <row r="1630" s="1" customFormat="1" ht="28.5" customHeight="1" spans="1:14">
      <c r="A1630" s="8"/>
      <c r="B1630" s="9"/>
      <c r="C1630" s="9" t="s">
        <v>1289</v>
      </c>
      <c r="D1630" s="9">
        <v>2000</v>
      </c>
      <c r="E1630" s="9"/>
      <c r="F1630" s="9"/>
      <c r="G1630" s="10" t="s">
        <v>1861</v>
      </c>
      <c r="H1630" s="10" t="s">
        <v>563</v>
      </c>
      <c r="I1630" s="10"/>
      <c r="J1630" s="9">
        <v>81048</v>
      </c>
      <c r="K1630" s="10" t="s">
        <v>1862</v>
      </c>
      <c r="L1630" s="10" t="s">
        <v>231</v>
      </c>
      <c r="M1630" s="10" t="s">
        <v>1834</v>
      </c>
      <c r="N1630" s="7"/>
    </row>
    <row r="1631" s="1" customFormat="1" ht="28.5" customHeight="1" spans="1:14">
      <c r="A1631" s="8"/>
      <c r="B1631" s="9"/>
      <c r="C1631" s="9" t="s">
        <v>1289</v>
      </c>
      <c r="D1631" s="9">
        <v>1500</v>
      </c>
      <c r="E1631" s="9"/>
      <c r="F1631" s="9"/>
      <c r="G1631" s="10" t="s">
        <v>1861</v>
      </c>
      <c r="H1631" s="10" t="s">
        <v>563</v>
      </c>
      <c r="I1631" s="10"/>
      <c r="J1631" s="9">
        <v>81049</v>
      </c>
      <c r="K1631" s="10" t="s">
        <v>1862</v>
      </c>
      <c r="L1631" s="10" t="s">
        <v>231</v>
      </c>
      <c r="M1631" s="10" t="s">
        <v>1834</v>
      </c>
      <c r="N1631" s="7"/>
    </row>
    <row r="1632" s="1" customFormat="1" ht="28.5" customHeight="1" spans="1:14">
      <c r="A1632" s="8"/>
      <c r="B1632" s="9"/>
      <c r="C1632" s="9" t="s">
        <v>1289</v>
      </c>
      <c r="D1632" s="9">
        <v>1000</v>
      </c>
      <c r="E1632" s="9"/>
      <c r="F1632" s="9"/>
      <c r="G1632" s="10" t="s">
        <v>1861</v>
      </c>
      <c r="H1632" s="10" t="s">
        <v>563</v>
      </c>
      <c r="I1632" s="10"/>
      <c r="J1632" s="9">
        <v>81050</v>
      </c>
      <c r="K1632" s="10" t="s">
        <v>1862</v>
      </c>
      <c r="L1632" s="10" t="s">
        <v>231</v>
      </c>
      <c r="M1632" s="10" t="s">
        <v>1834</v>
      </c>
      <c r="N1632" s="7"/>
    </row>
    <row r="1633" s="1" customFormat="1" ht="28.5" customHeight="1" spans="1:14">
      <c r="A1633" s="8"/>
      <c r="B1633" s="9"/>
      <c r="C1633" s="9" t="s">
        <v>1289</v>
      </c>
      <c r="D1633" s="9">
        <v>3000</v>
      </c>
      <c r="E1633" s="9"/>
      <c r="F1633" s="9"/>
      <c r="G1633" s="10" t="s">
        <v>2595</v>
      </c>
      <c r="H1633" s="10" t="s">
        <v>563</v>
      </c>
      <c r="I1633" s="10"/>
      <c r="J1633" s="9">
        <v>101051</v>
      </c>
      <c r="K1633" s="10" t="s">
        <v>349</v>
      </c>
      <c r="L1633" s="10" t="s">
        <v>248</v>
      </c>
      <c r="M1633" s="10" t="s">
        <v>1834</v>
      </c>
      <c r="N1633" s="7"/>
    </row>
    <row r="1634" s="1" customFormat="1" ht="28.5" customHeight="1" spans="1:14">
      <c r="A1634" s="8"/>
      <c r="B1634" s="9"/>
      <c r="C1634" s="9" t="s">
        <v>1289</v>
      </c>
      <c r="D1634" s="9">
        <v>2500</v>
      </c>
      <c r="E1634" s="9"/>
      <c r="F1634" s="9"/>
      <c r="G1634" s="10" t="s">
        <v>2595</v>
      </c>
      <c r="H1634" s="10" t="s">
        <v>563</v>
      </c>
      <c r="I1634" s="10"/>
      <c r="J1634" s="9">
        <v>101052</v>
      </c>
      <c r="K1634" s="10" t="s">
        <v>349</v>
      </c>
      <c r="L1634" s="10" t="s">
        <v>248</v>
      </c>
      <c r="M1634" s="10" t="s">
        <v>1834</v>
      </c>
      <c r="N1634" s="7"/>
    </row>
    <row r="1635" s="1" customFormat="1" ht="28.5" customHeight="1" spans="1:14">
      <c r="A1635" s="8"/>
      <c r="B1635" s="9"/>
      <c r="C1635" s="9" t="s">
        <v>1289</v>
      </c>
      <c r="D1635" s="9">
        <v>2000</v>
      </c>
      <c r="E1635" s="9"/>
      <c r="F1635" s="9"/>
      <c r="G1635" s="10" t="s">
        <v>2595</v>
      </c>
      <c r="H1635" s="10" t="s">
        <v>563</v>
      </c>
      <c r="I1635" s="10"/>
      <c r="J1635" s="9">
        <v>101053</v>
      </c>
      <c r="K1635" s="10" t="s">
        <v>349</v>
      </c>
      <c r="L1635" s="10" t="s">
        <v>248</v>
      </c>
      <c r="M1635" s="10" t="s">
        <v>1834</v>
      </c>
      <c r="N1635" s="7"/>
    </row>
    <row r="1636" s="1" customFormat="1" ht="28.5" customHeight="1" spans="1:14">
      <c r="A1636" s="8"/>
      <c r="B1636" s="9"/>
      <c r="C1636" s="9" t="s">
        <v>1289</v>
      </c>
      <c r="D1636" s="9">
        <v>1500</v>
      </c>
      <c r="E1636" s="9"/>
      <c r="F1636" s="9"/>
      <c r="G1636" s="10" t="s">
        <v>2595</v>
      </c>
      <c r="H1636" s="10" t="s">
        <v>563</v>
      </c>
      <c r="I1636" s="10"/>
      <c r="J1636" s="9">
        <v>101054</v>
      </c>
      <c r="K1636" s="10" t="s">
        <v>349</v>
      </c>
      <c r="L1636" s="10" t="s">
        <v>248</v>
      </c>
      <c r="M1636" s="10" t="s">
        <v>1834</v>
      </c>
      <c r="N1636" s="7"/>
    </row>
    <row r="1637" s="1" customFormat="1" ht="28.5" customHeight="1" spans="1:14">
      <c r="A1637" s="8"/>
      <c r="B1637" s="9"/>
      <c r="C1637" s="9" t="s">
        <v>1289</v>
      </c>
      <c r="D1637" s="9">
        <v>1000</v>
      </c>
      <c r="E1637" s="9"/>
      <c r="F1637" s="9"/>
      <c r="G1637" s="10" t="s">
        <v>2595</v>
      </c>
      <c r="H1637" s="10" t="s">
        <v>563</v>
      </c>
      <c r="I1637" s="10"/>
      <c r="J1637" s="9">
        <v>101055</v>
      </c>
      <c r="K1637" s="10" t="s">
        <v>349</v>
      </c>
      <c r="L1637" s="10" t="s">
        <v>248</v>
      </c>
      <c r="M1637" s="10" t="s">
        <v>1834</v>
      </c>
      <c r="N1637" s="7"/>
    </row>
    <row r="1638" s="1" customFormat="1" ht="28.5" customHeight="1" spans="1:14">
      <c r="A1638" s="8">
        <v>40602</v>
      </c>
      <c r="B1638" s="9">
        <v>40611</v>
      </c>
      <c r="C1638" s="9" t="s">
        <v>34</v>
      </c>
      <c r="D1638" s="9">
        <v>3000</v>
      </c>
      <c r="E1638" s="9"/>
      <c r="F1638" s="9">
        <v>40602</v>
      </c>
      <c r="G1638" s="10" t="s">
        <v>2243</v>
      </c>
      <c r="H1638" s="10" t="s">
        <v>563</v>
      </c>
      <c r="I1638" s="10"/>
      <c r="J1638" s="9">
        <v>11056</v>
      </c>
      <c r="K1638" s="10" t="s">
        <v>2244</v>
      </c>
      <c r="L1638" s="10" t="s">
        <v>303</v>
      </c>
      <c r="M1638" s="10" t="s">
        <v>1842</v>
      </c>
      <c r="N1638" s="7"/>
    </row>
    <row r="1639" s="1" customFormat="1" ht="28.5" customHeight="1" spans="1:14">
      <c r="A1639" s="8">
        <v>40602</v>
      </c>
      <c r="B1639" s="9">
        <v>40612</v>
      </c>
      <c r="C1639" s="9" t="s">
        <v>34</v>
      </c>
      <c r="D1639" s="9">
        <v>2500</v>
      </c>
      <c r="E1639" s="9"/>
      <c r="F1639" s="9">
        <v>40602</v>
      </c>
      <c r="G1639" s="10" t="s">
        <v>2245</v>
      </c>
      <c r="H1639" s="10" t="s">
        <v>563</v>
      </c>
      <c r="I1639" s="10"/>
      <c r="J1639" s="9">
        <v>11057</v>
      </c>
      <c r="K1639" s="10" t="s">
        <v>2246</v>
      </c>
      <c r="L1639" s="10" t="s">
        <v>303</v>
      </c>
      <c r="M1639" s="10" t="s">
        <v>1842</v>
      </c>
      <c r="N1639" s="7"/>
    </row>
    <row r="1640" s="1" customFormat="1" ht="28.5" customHeight="1" spans="1:14">
      <c r="A1640" s="8">
        <v>40602</v>
      </c>
      <c r="B1640" s="9">
        <v>40613</v>
      </c>
      <c r="C1640" s="9" t="s">
        <v>34</v>
      </c>
      <c r="D1640" s="9">
        <v>2000</v>
      </c>
      <c r="E1640" s="9"/>
      <c r="F1640" s="9">
        <v>40602</v>
      </c>
      <c r="G1640" s="10" t="s">
        <v>2247</v>
      </c>
      <c r="H1640" s="10" t="s">
        <v>563</v>
      </c>
      <c r="I1640" s="10"/>
      <c r="J1640" s="9">
        <v>11058</v>
      </c>
      <c r="K1640" s="10" t="s">
        <v>2248</v>
      </c>
      <c r="L1640" s="10" t="s">
        <v>303</v>
      </c>
      <c r="M1640" s="10" t="s">
        <v>1842</v>
      </c>
      <c r="N1640" s="7"/>
    </row>
    <row r="1641" s="1" customFormat="1" ht="28.5" customHeight="1" spans="1:14">
      <c r="A1641" s="8">
        <v>40602</v>
      </c>
      <c r="B1641" s="9">
        <v>40614</v>
      </c>
      <c r="C1641" s="9" t="s">
        <v>34</v>
      </c>
      <c r="D1641" s="9">
        <v>1500</v>
      </c>
      <c r="E1641" s="9"/>
      <c r="F1641" s="9">
        <v>40602</v>
      </c>
      <c r="G1641" s="10" t="s">
        <v>2249</v>
      </c>
      <c r="H1641" s="10" t="s">
        <v>563</v>
      </c>
      <c r="I1641" s="10"/>
      <c r="J1641" s="9">
        <v>11059</v>
      </c>
      <c r="K1641" s="10" t="s">
        <v>2250</v>
      </c>
      <c r="L1641" s="10" t="s">
        <v>303</v>
      </c>
      <c r="M1641" s="10" t="s">
        <v>1842</v>
      </c>
      <c r="N1641" s="7"/>
    </row>
    <row r="1642" s="1" customFormat="1" ht="28.5" customHeight="1" spans="1:14">
      <c r="A1642" s="8">
        <v>40602</v>
      </c>
      <c r="B1642" s="9">
        <v>40615</v>
      </c>
      <c r="C1642" s="9" t="s">
        <v>34</v>
      </c>
      <c r="D1642" s="9">
        <v>1000</v>
      </c>
      <c r="E1642" s="9"/>
      <c r="F1642" s="9">
        <v>40602</v>
      </c>
      <c r="G1642" s="10" t="s">
        <v>2251</v>
      </c>
      <c r="H1642" s="10" t="s">
        <v>563</v>
      </c>
      <c r="I1642" s="10"/>
      <c r="J1642" s="9">
        <v>11060</v>
      </c>
      <c r="K1642" s="10" t="s">
        <v>2252</v>
      </c>
      <c r="L1642" s="10" t="s">
        <v>303</v>
      </c>
      <c r="M1642" s="10" t="s">
        <v>1842</v>
      </c>
      <c r="N1642" s="7"/>
    </row>
    <row r="1643" s="1" customFormat="1" ht="28.5" customHeight="1" spans="1:14">
      <c r="A1643" s="8">
        <v>40601</v>
      </c>
      <c r="B1643" s="9">
        <v>40616</v>
      </c>
      <c r="C1643" s="9" t="s">
        <v>34</v>
      </c>
      <c r="D1643" s="9">
        <v>0</v>
      </c>
      <c r="E1643" s="9"/>
      <c r="F1643" s="9">
        <v>40603</v>
      </c>
      <c r="G1643" s="10" t="s">
        <v>1691</v>
      </c>
      <c r="H1643" s="10" t="s">
        <v>563</v>
      </c>
      <c r="I1643" s="10"/>
      <c r="J1643" s="9">
        <v>61061</v>
      </c>
      <c r="K1643" s="10" t="s">
        <v>2697</v>
      </c>
      <c r="L1643" s="10" t="s">
        <v>364</v>
      </c>
      <c r="M1643" s="10" t="s">
        <v>1842</v>
      </c>
      <c r="N1643" s="7"/>
    </row>
    <row r="1644" s="1" customFormat="1" ht="28.5" customHeight="1" spans="1:14">
      <c r="A1644" s="8">
        <v>40601</v>
      </c>
      <c r="B1644" s="9">
        <v>40617</v>
      </c>
      <c r="C1644" s="9" t="s">
        <v>34</v>
      </c>
      <c r="D1644" s="9">
        <v>0</v>
      </c>
      <c r="E1644" s="9"/>
      <c r="F1644" s="9">
        <v>40603</v>
      </c>
      <c r="G1644" s="10" t="s">
        <v>1693</v>
      </c>
      <c r="H1644" s="10" t="s">
        <v>563</v>
      </c>
      <c r="I1644" s="10"/>
      <c r="J1644" s="9">
        <v>61062</v>
      </c>
      <c r="K1644" s="10" t="s">
        <v>2698</v>
      </c>
      <c r="L1644" s="10" t="s">
        <v>364</v>
      </c>
      <c r="M1644" s="10" t="s">
        <v>1842</v>
      </c>
      <c r="N1644" s="7"/>
    </row>
    <row r="1645" s="1" customFormat="1" ht="28.5" customHeight="1" spans="1:14">
      <c r="A1645" s="8">
        <v>40601</v>
      </c>
      <c r="B1645" s="9">
        <v>40618</v>
      </c>
      <c r="C1645" s="9" t="s">
        <v>34</v>
      </c>
      <c r="D1645" s="9">
        <v>0</v>
      </c>
      <c r="E1645" s="9"/>
      <c r="F1645" s="9">
        <v>40603</v>
      </c>
      <c r="G1645" s="10" t="s">
        <v>1695</v>
      </c>
      <c r="H1645" s="10" t="s">
        <v>563</v>
      </c>
      <c r="I1645" s="10"/>
      <c r="J1645" s="9">
        <v>61063</v>
      </c>
      <c r="K1645" s="10" t="s">
        <v>2699</v>
      </c>
      <c r="L1645" s="10" t="s">
        <v>364</v>
      </c>
      <c r="M1645" s="10" t="s">
        <v>1842</v>
      </c>
      <c r="N1645" s="7"/>
    </row>
    <row r="1646" s="1" customFormat="1" ht="28.5" customHeight="1" spans="1:14">
      <c r="A1646" s="8">
        <v>40601</v>
      </c>
      <c r="B1646" s="9">
        <v>40619</v>
      </c>
      <c r="C1646" s="9" t="s">
        <v>34</v>
      </c>
      <c r="D1646" s="9">
        <v>0</v>
      </c>
      <c r="E1646" s="9"/>
      <c r="F1646" s="9">
        <v>40603</v>
      </c>
      <c r="G1646" s="10" t="s">
        <v>1697</v>
      </c>
      <c r="H1646" s="10" t="s">
        <v>563</v>
      </c>
      <c r="I1646" s="10"/>
      <c r="J1646" s="9">
        <v>61064</v>
      </c>
      <c r="K1646" s="10" t="s">
        <v>2700</v>
      </c>
      <c r="L1646" s="10" t="s">
        <v>364</v>
      </c>
      <c r="M1646" s="10" t="s">
        <v>1842</v>
      </c>
      <c r="N1646" s="7"/>
    </row>
    <row r="1647" s="1" customFormat="1" ht="28.5" customHeight="1" spans="1:14">
      <c r="A1647" s="8">
        <v>40601</v>
      </c>
      <c r="B1647" s="9">
        <v>40620</v>
      </c>
      <c r="C1647" s="9" t="s">
        <v>34</v>
      </c>
      <c r="D1647" s="9">
        <v>0</v>
      </c>
      <c r="E1647" s="9"/>
      <c r="F1647" s="9">
        <v>40603</v>
      </c>
      <c r="G1647" s="10" t="s">
        <v>1699</v>
      </c>
      <c r="H1647" s="10" t="s">
        <v>563</v>
      </c>
      <c r="I1647" s="10"/>
      <c r="J1647" s="9">
        <v>61065</v>
      </c>
      <c r="K1647" s="10" t="s">
        <v>2701</v>
      </c>
      <c r="L1647" s="10" t="s">
        <v>364</v>
      </c>
      <c r="M1647" s="10" t="s">
        <v>1842</v>
      </c>
      <c r="N1647" s="7"/>
    </row>
    <row r="1648" s="1" customFormat="1" ht="28.5" customHeight="1" spans="1:14">
      <c r="A1648" s="8">
        <v>40601</v>
      </c>
      <c r="B1648" s="9">
        <v>40621</v>
      </c>
      <c r="C1648" s="9" t="s">
        <v>34</v>
      </c>
      <c r="D1648" s="9">
        <v>3000</v>
      </c>
      <c r="E1648" s="9"/>
      <c r="F1648" s="9">
        <v>40604</v>
      </c>
      <c r="G1648" s="10" t="s">
        <v>1689</v>
      </c>
      <c r="H1648" s="10" t="s">
        <v>563</v>
      </c>
      <c r="I1648" s="10"/>
      <c r="J1648" s="9">
        <v>51066</v>
      </c>
      <c r="K1648" s="10" t="s">
        <v>2668</v>
      </c>
      <c r="L1648" s="10" t="s">
        <v>365</v>
      </c>
      <c r="M1648" s="10" t="s">
        <v>1842</v>
      </c>
      <c r="N1648" s="7"/>
    </row>
    <row r="1649" s="1" customFormat="1" ht="28.5" customHeight="1" spans="1:14">
      <c r="A1649" s="8">
        <v>40601</v>
      </c>
      <c r="B1649" s="9">
        <v>40622</v>
      </c>
      <c r="C1649" s="9" t="s">
        <v>34</v>
      </c>
      <c r="D1649" s="9">
        <v>2500</v>
      </c>
      <c r="E1649" s="9"/>
      <c r="F1649" s="9">
        <v>40604</v>
      </c>
      <c r="G1649" s="10" t="s">
        <v>1701</v>
      </c>
      <c r="H1649" s="10" t="s">
        <v>563</v>
      </c>
      <c r="I1649" s="10"/>
      <c r="J1649" s="9">
        <v>51067</v>
      </c>
      <c r="K1649" s="10" t="s">
        <v>2702</v>
      </c>
      <c r="L1649" s="10" t="s">
        <v>365</v>
      </c>
      <c r="M1649" s="10" t="s">
        <v>1842</v>
      </c>
      <c r="N1649" s="7"/>
    </row>
    <row r="1650" s="1" customFormat="1" ht="28.5" customHeight="1" spans="1:14">
      <c r="A1650" s="8">
        <v>40601</v>
      </c>
      <c r="B1650" s="9">
        <v>40623</v>
      </c>
      <c r="C1650" s="9" t="s">
        <v>34</v>
      </c>
      <c r="D1650" s="9">
        <v>2000</v>
      </c>
      <c r="E1650" s="9"/>
      <c r="F1650" s="9">
        <v>40604</v>
      </c>
      <c r="G1650" s="10" t="s">
        <v>2703</v>
      </c>
      <c r="H1650" s="10" t="s">
        <v>563</v>
      </c>
      <c r="I1650" s="10"/>
      <c r="J1650" s="9">
        <v>51068</v>
      </c>
      <c r="K1650" s="10" t="s">
        <v>2704</v>
      </c>
      <c r="L1650" s="10" t="s">
        <v>365</v>
      </c>
      <c r="M1650" s="10" t="s">
        <v>1842</v>
      </c>
      <c r="N1650" s="7"/>
    </row>
    <row r="1651" s="1" customFormat="1" ht="28.5" customHeight="1" spans="1:14">
      <c r="A1651" s="8">
        <v>40601</v>
      </c>
      <c r="B1651" s="9">
        <v>40624</v>
      </c>
      <c r="C1651" s="9" t="s">
        <v>34</v>
      </c>
      <c r="D1651" s="9">
        <v>1500</v>
      </c>
      <c r="E1651" s="9"/>
      <c r="F1651" s="9">
        <v>40604</v>
      </c>
      <c r="G1651" s="10" t="s">
        <v>2705</v>
      </c>
      <c r="H1651" s="10" t="s">
        <v>563</v>
      </c>
      <c r="I1651" s="10"/>
      <c r="J1651" s="9">
        <v>51069</v>
      </c>
      <c r="K1651" s="10" t="s">
        <v>2706</v>
      </c>
      <c r="L1651" s="10" t="s">
        <v>365</v>
      </c>
      <c r="M1651" s="10" t="s">
        <v>1842</v>
      </c>
      <c r="N1651" s="7"/>
    </row>
    <row r="1652" s="1" customFormat="1" ht="28.5" customHeight="1" spans="1:14">
      <c r="A1652" s="8">
        <v>40601</v>
      </c>
      <c r="B1652" s="9">
        <v>40625</v>
      </c>
      <c r="C1652" s="9" t="s">
        <v>34</v>
      </c>
      <c r="D1652" s="9">
        <v>1000</v>
      </c>
      <c r="E1652" s="9"/>
      <c r="F1652" s="9">
        <v>40604</v>
      </c>
      <c r="G1652" s="10" t="s">
        <v>1709</v>
      </c>
      <c r="H1652" s="10" t="s">
        <v>563</v>
      </c>
      <c r="I1652" s="10"/>
      <c r="J1652" s="9">
        <v>51070</v>
      </c>
      <c r="K1652" s="10" t="s">
        <v>2707</v>
      </c>
      <c r="L1652" s="10" t="s">
        <v>365</v>
      </c>
      <c r="M1652" s="10" t="s">
        <v>1842</v>
      </c>
      <c r="N1652" s="7"/>
    </row>
    <row r="1653" s="1" customFormat="1" ht="28.5" customHeight="1" spans="1:14">
      <c r="A1653" s="8">
        <v>40601</v>
      </c>
      <c r="B1653" s="9">
        <v>40626</v>
      </c>
      <c r="C1653" s="9" t="s">
        <v>34</v>
      </c>
      <c r="D1653" s="9">
        <v>3000</v>
      </c>
      <c r="E1653" s="9"/>
      <c r="F1653" s="9">
        <v>40605</v>
      </c>
      <c r="G1653" s="10" t="s">
        <v>2708</v>
      </c>
      <c r="H1653" s="10" t="s">
        <v>563</v>
      </c>
      <c r="I1653" s="10"/>
      <c r="J1653" s="9">
        <v>31071</v>
      </c>
      <c r="K1653" s="10" t="s">
        <v>2709</v>
      </c>
      <c r="L1653" s="10" t="s">
        <v>366</v>
      </c>
      <c r="M1653" s="10" t="s">
        <v>1842</v>
      </c>
      <c r="N1653" s="7"/>
    </row>
    <row r="1654" s="1" customFormat="1" ht="28.5" customHeight="1" spans="1:14">
      <c r="A1654" s="8">
        <v>40601</v>
      </c>
      <c r="B1654" s="9">
        <v>40627</v>
      </c>
      <c r="C1654" s="9" t="s">
        <v>34</v>
      </c>
      <c r="D1654" s="9">
        <v>2500</v>
      </c>
      <c r="E1654" s="9"/>
      <c r="F1654" s="9">
        <v>40605</v>
      </c>
      <c r="G1654" s="10" t="s">
        <v>2710</v>
      </c>
      <c r="H1654" s="10" t="s">
        <v>563</v>
      </c>
      <c r="I1654" s="10"/>
      <c r="J1654" s="9">
        <v>31072</v>
      </c>
      <c r="K1654" s="10" t="s">
        <v>2711</v>
      </c>
      <c r="L1654" s="10" t="s">
        <v>366</v>
      </c>
      <c r="M1654" s="10" t="s">
        <v>1842</v>
      </c>
      <c r="N1654" s="7"/>
    </row>
    <row r="1655" s="1" customFormat="1" ht="28.5" customHeight="1" spans="1:14">
      <c r="A1655" s="8">
        <v>40601</v>
      </c>
      <c r="B1655" s="9">
        <v>40628</v>
      </c>
      <c r="C1655" s="9" t="s">
        <v>34</v>
      </c>
      <c r="D1655" s="9">
        <v>2000</v>
      </c>
      <c r="E1655" s="9"/>
      <c r="F1655" s="9">
        <v>40605</v>
      </c>
      <c r="G1655" s="10" t="s">
        <v>2712</v>
      </c>
      <c r="H1655" s="10" t="s">
        <v>563</v>
      </c>
      <c r="I1655" s="10"/>
      <c r="J1655" s="9">
        <v>31073</v>
      </c>
      <c r="K1655" s="10" t="s">
        <v>2713</v>
      </c>
      <c r="L1655" s="10" t="s">
        <v>366</v>
      </c>
      <c r="M1655" s="10" t="s">
        <v>1842</v>
      </c>
      <c r="N1655" s="7"/>
    </row>
    <row r="1656" s="1" customFormat="1" ht="28.5" customHeight="1" spans="1:14">
      <c r="A1656" s="8">
        <v>40601</v>
      </c>
      <c r="B1656" s="9">
        <v>40629</v>
      </c>
      <c r="C1656" s="9" t="s">
        <v>34</v>
      </c>
      <c r="D1656" s="9">
        <v>1500</v>
      </c>
      <c r="E1656" s="9"/>
      <c r="F1656" s="9">
        <v>40605</v>
      </c>
      <c r="G1656" s="10" t="s">
        <v>2714</v>
      </c>
      <c r="H1656" s="10" t="s">
        <v>563</v>
      </c>
      <c r="I1656" s="10"/>
      <c r="J1656" s="9">
        <v>31074</v>
      </c>
      <c r="K1656" s="10" t="s">
        <v>2715</v>
      </c>
      <c r="L1656" s="10" t="s">
        <v>366</v>
      </c>
      <c r="M1656" s="10" t="s">
        <v>1842</v>
      </c>
      <c r="N1656" s="7"/>
    </row>
    <row r="1657" s="1" customFormat="1" ht="28.5" customHeight="1" spans="1:14">
      <c r="A1657" s="8">
        <v>40601</v>
      </c>
      <c r="B1657" s="9">
        <v>40630</v>
      </c>
      <c r="C1657" s="9" t="s">
        <v>34</v>
      </c>
      <c r="D1657" s="9">
        <v>1000</v>
      </c>
      <c r="E1657" s="9"/>
      <c r="F1657" s="9">
        <v>40605</v>
      </c>
      <c r="G1657" s="10" t="s">
        <v>2716</v>
      </c>
      <c r="H1657" s="10" t="s">
        <v>563</v>
      </c>
      <c r="I1657" s="10"/>
      <c r="J1657" s="9">
        <v>31075</v>
      </c>
      <c r="K1657" s="10" t="s">
        <v>2717</v>
      </c>
      <c r="L1657" s="10" t="s">
        <v>366</v>
      </c>
      <c r="M1657" s="10" t="s">
        <v>1842</v>
      </c>
      <c r="N1657" s="7"/>
    </row>
    <row r="1658" s="1" customFormat="1" ht="28.5" customHeight="1" spans="1:14">
      <c r="A1658" s="8">
        <v>40601</v>
      </c>
      <c r="B1658" s="9">
        <v>40631</v>
      </c>
      <c r="C1658" s="9" t="s">
        <v>34</v>
      </c>
      <c r="D1658" s="9">
        <v>3000</v>
      </c>
      <c r="E1658" s="9"/>
      <c r="F1658" s="9">
        <v>40606</v>
      </c>
      <c r="G1658" s="10" t="s">
        <v>2685</v>
      </c>
      <c r="H1658" s="10" t="s">
        <v>563</v>
      </c>
      <c r="I1658" s="10"/>
      <c r="J1658" s="9">
        <v>41076</v>
      </c>
      <c r="K1658" s="10" t="s">
        <v>2686</v>
      </c>
      <c r="L1658" s="10" t="s">
        <v>367</v>
      </c>
      <c r="M1658" s="10" t="s">
        <v>1842</v>
      </c>
      <c r="N1658" s="7"/>
    </row>
    <row r="1659" s="1" customFormat="1" ht="28.5" customHeight="1" spans="1:14">
      <c r="A1659" s="8">
        <v>40601</v>
      </c>
      <c r="B1659" s="9">
        <v>40632</v>
      </c>
      <c r="C1659" s="9" t="s">
        <v>34</v>
      </c>
      <c r="D1659" s="9">
        <v>2500</v>
      </c>
      <c r="E1659" s="9"/>
      <c r="F1659" s="9">
        <v>40606</v>
      </c>
      <c r="G1659" s="10" t="s">
        <v>2718</v>
      </c>
      <c r="H1659" s="10" t="s">
        <v>563</v>
      </c>
      <c r="I1659" s="10"/>
      <c r="J1659" s="9">
        <v>41077</v>
      </c>
      <c r="K1659" s="10" t="s">
        <v>2719</v>
      </c>
      <c r="L1659" s="10" t="s">
        <v>367</v>
      </c>
      <c r="M1659" s="10" t="s">
        <v>1842</v>
      </c>
      <c r="N1659" s="7"/>
    </row>
    <row r="1660" s="1" customFormat="1" ht="28.5" customHeight="1" spans="1:14">
      <c r="A1660" s="8">
        <v>40601</v>
      </c>
      <c r="B1660" s="9">
        <v>40633</v>
      </c>
      <c r="C1660" s="9" t="s">
        <v>34</v>
      </c>
      <c r="D1660" s="9">
        <v>2000</v>
      </c>
      <c r="E1660" s="9"/>
      <c r="F1660" s="9">
        <v>40606</v>
      </c>
      <c r="G1660" s="10" t="s">
        <v>2720</v>
      </c>
      <c r="H1660" s="10" t="s">
        <v>563</v>
      </c>
      <c r="I1660" s="10"/>
      <c r="J1660" s="9">
        <v>41078</v>
      </c>
      <c r="K1660" s="10" t="s">
        <v>2721</v>
      </c>
      <c r="L1660" s="10" t="s">
        <v>367</v>
      </c>
      <c r="M1660" s="10" t="s">
        <v>1842</v>
      </c>
      <c r="N1660" s="7"/>
    </row>
    <row r="1661" s="1" customFormat="1" ht="28.5" customHeight="1" spans="1:14">
      <c r="A1661" s="8">
        <v>40601</v>
      </c>
      <c r="B1661" s="9">
        <v>40634</v>
      </c>
      <c r="C1661" s="9" t="s">
        <v>34</v>
      </c>
      <c r="D1661" s="9">
        <v>1500</v>
      </c>
      <c r="E1661" s="9"/>
      <c r="F1661" s="9">
        <v>40606</v>
      </c>
      <c r="G1661" s="10" t="s">
        <v>2722</v>
      </c>
      <c r="H1661" s="10" t="s">
        <v>563</v>
      </c>
      <c r="I1661" s="10"/>
      <c r="J1661" s="9">
        <v>41079</v>
      </c>
      <c r="K1661" s="10" t="s">
        <v>2723</v>
      </c>
      <c r="L1661" s="10" t="s">
        <v>367</v>
      </c>
      <c r="M1661" s="10" t="s">
        <v>1842</v>
      </c>
      <c r="N1661" s="7"/>
    </row>
    <row r="1662" s="1" customFormat="1" ht="28.5" customHeight="1" spans="1:14">
      <c r="A1662" s="8">
        <v>40601</v>
      </c>
      <c r="B1662" s="9">
        <v>40635</v>
      </c>
      <c r="C1662" s="9" t="s">
        <v>34</v>
      </c>
      <c r="D1662" s="9">
        <v>1000</v>
      </c>
      <c r="E1662" s="9"/>
      <c r="F1662" s="9">
        <v>40606</v>
      </c>
      <c r="G1662" s="10" t="s">
        <v>2724</v>
      </c>
      <c r="H1662" s="10" t="s">
        <v>563</v>
      </c>
      <c r="I1662" s="10"/>
      <c r="J1662" s="9">
        <v>41080</v>
      </c>
      <c r="K1662" s="10" t="s">
        <v>2725</v>
      </c>
      <c r="L1662" s="10" t="s">
        <v>367</v>
      </c>
      <c r="M1662" s="10" t="s">
        <v>1842</v>
      </c>
      <c r="N1662" s="7"/>
    </row>
    <row r="1663" s="1" customFormat="1" ht="28.5" customHeight="1" spans="1:14">
      <c r="A1663" s="8"/>
      <c r="B1663" s="9"/>
      <c r="C1663" s="9" t="s">
        <v>1289</v>
      </c>
      <c r="D1663" s="9">
        <v>3000</v>
      </c>
      <c r="E1663" s="9"/>
      <c r="F1663" s="9"/>
      <c r="G1663" s="10" t="s">
        <v>2726</v>
      </c>
      <c r="H1663" s="10" t="s">
        <v>563</v>
      </c>
      <c r="I1663" s="10"/>
      <c r="J1663" s="9">
        <v>11081</v>
      </c>
      <c r="K1663" s="10" t="s">
        <v>2727</v>
      </c>
      <c r="L1663" s="10" t="s">
        <v>268</v>
      </c>
      <c r="M1663" s="10" t="s">
        <v>1834</v>
      </c>
      <c r="N1663" s="7"/>
    </row>
    <row r="1664" s="1" customFormat="1" ht="28.5" customHeight="1" spans="1:14">
      <c r="A1664" s="8"/>
      <c r="B1664" s="9"/>
      <c r="C1664" s="9" t="s">
        <v>1289</v>
      </c>
      <c r="D1664" s="9">
        <v>2500</v>
      </c>
      <c r="E1664" s="9"/>
      <c r="F1664" s="9"/>
      <c r="G1664" s="10" t="s">
        <v>2728</v>
      </c>
      <c r="H1664" s="10" t="s">
        <v>563</v>
      </c>
      <c r="I1664" s="10"/>
      <c r="J1664" s="9">
        <v>11082</v>
      </c>
      <c r="K1664" s="10" t="s">
        <v>2729</v>
      </c>
      <c r="L1664" s="10" t="s">
        <v>268</v>
      </c>
      <c r="M1664" s="10" t="s">
        <v>1834</v>
      </c>
      <c r="N1664" s="7"/>
    </row>
    <row r="1665" s="1" customFormat="1" ht="28.5" customHeight="1" spans="1:14">
      <c r="A1665" s="8"/>
      <c r="B1665" s="9"/>
      <c r="C1665" s="9" t="s">
        <v>1289</v>
      </c>
      <c r="D1665" s="9">
        <v>2000</v>
      </c>
      <c r="E1665" s="9"/>
      <c r="F1665" s="9"/>
      <c r="G1665" s="10" t="s">
        <v>2730</v>
      </c>
      <c r="H1665" s="10" t="s">
        <v>563</v>
      </c>
      <c r="I1665" s="10"/>
      <c r="J1665" s="9">
        <v>11083</v>
      </c>
      <c r="K1665" s="10" t="s">
        <v>2731</v>
      </c>
      <c r="L1665" s="10" t="s">
        <v>268</v>
      </c>
      <c r="M1665" s="10" t="s">
        <v>1834</v>
      </c>
      <c r="N1665" s="7"/>
    </row>
    <row r="1666" s="1" customFormat="1" ht="28.5" customHeight="1" spans="1:14">
      <c r="A1666" s="8"/>
      <c r="B1666" s="9"/>
      <c r="C1666" s="9" t="s">
        <v>1289</v>
      </c>
      <c r="D1666" s="9">
        <v>1500</v>
      </c>
      <c r="E1666" s="9"/>
      <c r="F1666" s="9"/>
      <c r="G1666" s="10" t="s">
        <v>2732</v>
      </c>
      <c r="H1666" s="10" t="s">
        <v>563</v>
      </c>
      <c r="I1666" s="10"/>
      <c r="J1666" s="9">
        <v>11084</v>
      </c>
      <c r="K1666" s="10" t="s">
        <v>2733</v>
      </c>
      <c r="L1666" s="10" t="s">
        <v>268</v>
      </c>
      <c r="M1666" s="10" t="s">
        <v>1834</v>
      </c>
      <c r="N1666" s="7"/>
    </row>
    <row r="1667" s="1" customFormat="1" ht="28.5" customHeight="1" spans="1:14">
      <c r="A1667" s="8"/>
      <c r="B1667" s="9"/>
      <c r="C1667" s="9" t="s">
        <v>1289</v>
      </c>
      <c r="D1667" s="9">
        <v>1000</v>
      </c>
      <c r="E1667" s="9"/>
      <c r="F1667" s="9"/>
      <c r="G1667" s="10" t="s">
        <v>2734</v>
      </c>
      <c r="H1667" s="10" t="s">
        <v>563</v>
      </c>
      <c r="I1667" s="10"/>
      <c r="J1667" s="9">
        <v>11085</v>
      </c>
      <c r="K1667" s="10" t="s">
        <v>2735</v>
      </c>
      <c r="L1667" s="10" t="s">
        <v>268</v>
      </c>
      <c r="M1667" s="10" t="s">
        <v>1834</v>
      </c>
      <c r="N1667" s="7"/>
    </row>
    <row r="1668" s="1" customFormat="1" ht="28.5" customHeight="1" spans="1:14">
      <c r="A1668" s="8">
        <v>40701</v>
      </c>
      <c r="B1668" s="9">
        <v>40701</v>
      </c>
      <c r="C1668" s="9" t="s">
        <v>35</v>
      </c>
      <c r="D1668" s="9">
        <v>0</v>
      </c>
      <c r="E1668" s="9"/>
      <c r="F1668" s="9">
        <v>40700</v>
      </c>
      <c r="G1668" s="10" t="s">
        <v>1396</v>
      </c>
      <c r="H1668" s="10" t="s">
        <v>563</v>
      </c>
      <c r="I1668" s="10"/>
      <c r="J1668" s="9">
        <v>61086</v>
      </c>
      <c r="K1668" s="10" t="s">
        <v>2036</v>
      </c>
      <c r="L1668" s="10" t="s">
        <v>267</v>
      </c>
      <c r="M1668" s="10" t="s">
        <v>1842</v>
      </c>
      <c r="N1668" s="7"/>
    </row>
    <row r="1669" s="1" customFormat="1" ht="28.5" customHeight="1" spans="1:14">
      <c r="A1669" s="8">
        <v>40701</v>
      </c>
      <c r="B1669" s="9">
        <v>40702</v>
      </c>
      <c r="C1669" s="9" t="s">
        <v>35</v>
      </c>
      <c r="D1669" s="9">
        <v>0</v>
      </c>
      <c r="E1669" s="9"/>
      <c r="F1669" s="9">
        <v>40700</v>
      </c>
      <c r="G1669" s="10" t="s">
        <v>1398</v>
      </c>
      <c r="H1669" s="10" t="s">
        <v>563</v>
      </c>
      <c r="I1669" s="10"/>
      <c r="J1669" s="9">
        <v>61087</v>
      </c>
      <c r="K1669" s="10" t="s">
        <v>2037</v>
      </c>
      <c r="L1669" s="10" t="s">
        <v>267</v>
      </c>
      <c r="M1669" s="10" t="s">
        <v>1842</v>
      </c>
      <c r="N1669" s="7"/>
    </row>
    <row r="1670" s="1" customFormat="1" ht="28.5" customHeight="1" spans="1:14">
      <c r="A1670" s="8">
        <v>40701</v>
      </c>
      <c r="B1670" s="9">
        <v>40703</v>
      </c>
      <c r="C1670" s="9" t="s">
        <v>35</v>
      </c>
      <c r="D1670" s="9">
        <v>0</v>
      </c>
      <c r="E1670" s="9"/>
      <c r="F1670" s="9">
        <v>40700</v>
      </c>
      <c r="G1670" s="10" t="s">
        <v>1400</v>
      </c>
      <c r="H1670" s="10" t="s">
        <v>563</v>
      </c>
      <c r="I1670" s="10"/>
      <c r="J1670" s="9">
        <v>61088</v>
      </c>
      <c r="K1670" s="10" t="s">
        <v>2038</v>
      </c>
      <c r="L1670" s="10" t="s">
        <v>267</v>
      </c>
      <c r="M1670" s="10" t="s">
        <v>1842</v>
      </c>
      <c r="N1670" s="7"/>
    </row>
    <row r="1671" s="1" customFormat="1" ht="28.5" customHeight="1" spans="1:14">
      <c r="A1671" s="8">
        <v>40701</v>
      </c>
      <c r="B1671" s="9">
        <v>40704</v>
      </c>
      <c r="C1671" s="9" t="s">
        <v>35</v>
      </c>
      <c r="D1671" s="9">
        <v>0</v>
      </c>
      <c r="E1671" s="9"/>
      <c r="F1671" s="9">
        <v>40700</v>
      </c>
      <c r="G1671" s="10" t="s">
        <v>1402</v>
      </c>
      <c r="H1671" s="10" t="s">
        <v>563</v>
      </c>
      <c r="I1671" s="10"/>
      <c r="J1671" s="9">
        <v>61089</v>
      </c>
      <c r="K1671" s="10" t="s">
        <v>2039</v>
      </c>
      <c r="L1671" s="10" t="s">
        <v>267</v>
      </c>
      <c r="M1671" s="10" t="s">
        <v>1842</v>
      </c>
      <c r="N1671" s="7"/>
    </row>
    <row r="1672" s="1" customFormat="1" ht="28.5" customHeight="1" spans="1:14">
      <c r="A1672" s="8">
        <v>40701</v>
      </c>
      <c r="B1672" s="9">
        <v>40705</v>
      </c>
      <c r="C1672" s="9" t="s">
        <v>35</v>
      </c>
      <c r="D1672" s="9">
        <v>0</v>
      </c>
      <c r="E1672" s="9"/>
      <c r="F1672" s="9">
        <v>40700</v>
      </c>
      <c r="G1672" s="10" t="s">
        <v>1404</v>
      </c>
      <c r="H1672" s="10" t="s">
        <v>563</v>
      </c>
      <c r="I1672" s="10"/>
      <c r="J1672" s="9">
        <v>61090</v>
      </c>
      <c r="K1672" s="10" t="s">
        <v>2040</v>
      </c>
      <c r="L1672" s="10" t="s">
        <v>267</v>
      </c>
      <c r="M1672" s="10" t="s">
        <v>1842</v>
      </c>
      <c r="N1672" s="7"/>
    </row>
    <row r="1673" s="1" customFormat="1" ht="28.5" customHeight="1" spans="1:14">
      <c r="A1673" s="8">
        <v>40701</v>
      </c>
      <c r="B1673" s="9">
        <v>40706</v>
      </c>
      <c r="C1673" s="9" t="s">
        <v>35</v>
      </c>
      <c r="D1673" s="9">
        <v>3000</v>
      </c>
      <c r="E1673" s="9"/>
      <c r="F1673" s="9">
        <v>40701</v>
      </c>
      <c r="G1673" s="10" t="s">
        <v>1929</v>
      </c>
      <c r="H1673" s="10" t="s">
        <v>563</v>
      </c>
      <c r="I1673" s="10"/>
      <c r="J1673" s="9">
        <v>21091</v>
      </c>
      <c r="K1673" s="10" t="s">
        <v>1930</v>
      </c>
      <c r="L1673" s="10" t="s">
        <v>268</v>
      </c>
      <c r="M1673" s="10" t="s">
        <v>1842</v>
      </c>
      <c r="N1673" s="7"/>
    </row>
    <row r="1674" s="1" customFormat="1" ht="28.5" customHeight="1" spans="1:14">
      <c r="A1674" s="8">
        <v>40701</v>
      </c>
      <c r="B1674" s="9">
        <v>40707</v>
      </c>
      <c r="C1674" s="9" t="s">
        <v>35</v>
      </c>
      <c r="D1674" s="9">
        <v>2500</v>
      </c>
      <c r="E1674" s="9"/>
      <c r="F1674" s="9">
        <v>40701</v>
      </c>
      <c r="G1674" s="10" t="s">
        <v>2041</v>
      </c>
      <c r="H1674" s="10" t="s">
        <v>563</v>
      </c>
      <c r="I1674" s="10"/>
      <c r="J1674" s="9">
        <v>21092</v>
      </c>
      <c r="K1674" s="10" t="s">
        <v>2042</v>
      </c>
      <c r="L1674" s="10" t="s">
        <v>268</v>
      </c>
      <c r="M1674" s="10" t="s">
        <v>1842</v>
      </c>
      <c r="N1674" s="7"/>
    </row>
    <row r="1675" s="1" customFormat="1" ht="28.5" customHeight="1" spans="1:14">
      <c r="A1675" s="8">
        <v>40701</v>
      </c>
      <c r="B1675" s="9">
        <v>40708</v>
      </c>
      <c r="C1675" s="9" t="s">
        <v>35</v>
      </c>
      <c r="D1675" s="9">
        <v>2000</v>
      </c>
      <c r="E1675" s="9"/>
      <c r="F1675" s="9">
        <v>40701</v>
      </c>
      <c r="G1675" s="10" t="s">
        <v>2043</v>
      </c>
      <c r="H1675" s="10" t="s">
        <v>563</v>
      </c>
      <c r="I1675" s="10"/>
      <c r="J1675" s="9">
        <v>21093</v>
      </c>
      <c r="K1675" s="10" t="s">
        <v>2044</v>
      </c>
      <c r="L1675" s="10" t="s">
        <v>268</v>
      </c>
      <c r="M1675" s="10" t="s">
        <v>1842</v>
      </c>
      <c r="N1675" s="7"/>
    </row>
    <row r="1676" s="1" customFormat="1" ht="28.5" customHeight="1" spans="1:14">
      <c r="A1676" s="8">
        <v>40701</v>
      </c>
      <c r="B1676" s="9">
        <v>40709</v>
      </c>
      <c r="C1676" s="9" t="s">
        <v>35</v>
      </c>
      <c r="D1676" s="9">
        <v>1500</v>
      </c>
      <c r="E1676" s="9"/>
      <c r="F1676" s="9">
        <v>40701</v>
      </c>
      <c r="G1676" s="10" t="s">
        <v>2045</v>
      </c>
      <c r="H1676" s="10" t="s">
        <v>563</v>
      </c>
      <c r="I1676" s="10"/>
      <c r="J1676" s="9">
        <v>21094</v>
      </c>
      <c r="K1676" s="10" t="s">
        <v>2046</v>
      </c>
      <c r="L1676" s="10" t="s">
        <v>268</v>
      </c>
      <c r="M1676" s="10" t="s">
        <v>1842</v>
      </c>
      <c r="N1676" s="7"/>
    </row>
    <row r="1677" s="1" customFormat="1" ht="28.5" customHeight="1" spans="1:14">
      <c r="A1677" s="8">
        <v>40701</v>
      </c>
      <c r="B1677" s="9">
        <v>40710</v>
      </c>
      <c r="C1677" s="9" t="s">
        <v>35</v>
      </c>
      <c r="D1677" s="9">
        <v>1000</v>
      </c>
      <c r="E1677" s="9"/>
      <c r="F1677" s="9">
        <v>40701</v>
      </c>
      <c r="G1677" s="10" t="s">
        <v>2047</v>
      </c>
      <c r="H1677" s="10" t="s">
        <v>563</v>
      </c>
      <c r="I1677" s="10"/>
      <c r="J1677" s="9">
        <v>21095</v>
      </c>
      <c r="K1677" s="10" t="s">
        <v>2048</v>
      </c>
      <c r="L1677" s="10" t="s">
        <v>268</v>
      </c>
      <c r="M1677" s="10" t="s">
        <v>1842</v>
      </c>
      <c r="N1677" s="7"/>
    </row>
    <row r="1678" s="1" customFormat="1" ht="28.5" customHeight="1" spans="1:14">
      <c r="A1678" s="8">
        <v>40703</v>
      </c>
      <c r="B1678" s="9">
        <v>40711</v>
      </c>
      <c r="C1678" s="9" t="s">
        <v>35</v>
      </c>
      <c r="D1678" s="9">
        <v>3000</v>
      </c>
      <c r="E1678" s="9"/>
      <c r="F1678" s="9">
        <v>40702</v>
      </c>
      <c r="G1678" s="10" t="s">
        <v>1857</v>
      </c>
      <c r="H1678" s="10" t="s">
        <v>563</v>
      </c>
      <c r="I1678" s="10"/>
      <c r="J1678" s="9">
        <v>91096</v>
      </c>
      <c r="K1678" s="10" t="s">
        <v>1858</v>
      </c>
      <c r="L1678" s="10" t="s">
        <v>224</v>
      </c>
      <c r="M1678" s="10" t="s">
        <v>1842</v>
      </c>
      <c r="N1678" s="7"/>
    </row>
    <row r="1679" s="1" customFormat="1" ht="28.5" customHeight="1" spans="1:14">
      <c r="A1679" s="8">
        <v>40703</v>
      </c>
      <c r="B1679" s="9">
        <v>40712</v>
      </c>
      <c r="C1679" s="9" t="s">
        <v>35</v>
      </c>
      <c r="D1679" s="9">
        <v>2500</v>
      </c>
      <c r="E1679" s="9"/>
      <c r="F1679" s="9">
        <v>40702</v>
      </c>
      <c r="G1679" s="10" t="s">
        <v>1857</v>
      </c>
      <c r="H1679" s="10" t="s">
        <v>563</v>
      </c>
      <c r="I1679" s="10"/>
      <c r="J1679" s="9">
        <v>91097</v>
      </c>
      <c r="K1679" s="10" t="s">
        <v>1858</v>
      </c>
      <c r="L1679" s="10" t="s">
        <v>224</v>
      </c>
      <c r="M1679" s="10" t="s">
        <v>1842</v>
      </c>
      <c r="N1679" s="7"/>
    </row>
    <row r="1680" s="1" customFormat="1" ht="28.5" customHeight="1" spans="1:14">
      <c r="A1680" s="8">
        <v>40703</v>
      </c>
      <c r="B1680" s="9">
        <v>40713</v>
      </c>
      <c r="C1680" s="9" t="s">
        <v>35</v>
      </c>
      <c r="D1680" s="9">
        <v>2000</v>
      </c>
      <c r="E1680" s="9"/>
      <c r="F1680" s="9">
        <v>40702</v>
      </c>
      <c r="G1680" s="10" t="s">
        <v>1857</v>
      </c>
      <c r="H1680" s="10" t="s">
        <v>563</v>
      </c>
      <c r="I1680" s="10"/>
      <c r="J1680" s="9">
        <v>91098</v>
      </c>
      <c r="K1680" s="10" t="s">
        <v>1858</v>
      </c>
      <c r="L1680" s="10" t="s">
        <v>224</v>
      </c>
      <c r="M1680" s="10" t="s">
        <v>1842</v>
      </c>
      <c r="N1680" s="7"/>
    </row>
    <row r="1681" s="1" customFormat="1" ht="28.5" customHeight="1" spans="1:14">
      <c r="A1681" s="8">
        <v>40703</v>
      </c>
      <c r="B1681" s="9">
        <v>40714</v>
      </c>
      <c r="C1681" s="9" t="s">
        <v>35</v>
      </c>
      <c r="D1681" s="9">
        <v>1500</v>
      </c>
      <c r="E1681" s="9"/>
      <c r="F1681" s="9">
        <v>40702</v>
      </c>
      <c r="G1681" s="10" t="s">
        <v>1857</v>
      </c>
      <c r="H1681" s="10" t="s">
        <v>563</v>
      </c>
      <c r="I1681" s="10"/>
      <c r="J1681" s="9">
        <v>91099</v>
      </c>
      <c r="K1681" s="10" t="s">
        <v>1858</v>
      </c>
      <c r="L1681" s="10" t="s">
        <v>224</v>
      </c>
      <c r="M1681" s="10" t="s">
        <v>1842</v>
      </c>
      <c r="N1681" s="7"/>
    </row>
    <row r="1682" s="1" customFormat="1" ht="28.5" customHeight="1" spans="1:14">
      <c r="A1682" s="8">
        <v>40703</v>
      </c>
      <c r="B1682" s="9">
        <v>40715</v>
      </c>
      <c r="C1682" s="9" t="s">
        <v>35</v>
      </c>
      <c r="D1682" s="9">
        <v>1000</v>
      </c>
      <c r="E1682" s="9"/>
      <c r="F1682" s="9">
        <v>40702</v>
      </c>
      <c r="G1682" s="10" t="s">
        <v>1857</v>
      </c>
      <c r="H1682" s="10" t="s">
        <v>563</v>
      </c>
      <c r="I1682" s="10"/>
      <c r="J1682" s="9">
        <v>91100</v>
      </c>
      <c r="K1682" s="10" t="s">
        <v>1858</v>
      </c>
      <c r="L1682" s="10" t="s">
        <v>224</v>
      </c>
      <c r="M1682" s="10" t="s">
        <v>1842</v>
      </c>
      <c r="N1682" s="7"/>
    </row>
    <row r="1683" s="1" customFormat="1" ht="28.5" customHeight="1" spans="1:14">
      <c r="A1683" s="8">
        <v>40703</v>
      </c>
      <c r="B1683" s="9">
        <v>40716</v>
      </c>
      <c r="C1683" s="9" t="s">
        <v>35</v>
      </c>
      <c r="D1683" s="9">
        <v>3000</v>
      </c>
      <c r="E1683" s="9"/>
      <c r="F1683" s="9">
        <v>40703</v>
      </c>
      <c r="G1683" s="10" t="s">
        <v>1859</v>
      </c>
      <c r="H1683" s="10" t="s">
        <v>563</v>
      </c>
      <c r="I1683" s="10"/>
      <c r="J1683" s="9">
        <v>71101</v>
      </c>
      <c r="K1683" s="10" t="s">
        <v>1860</v>
      </c>
      <c r="L1683" s="10" t="s">
        <v>228</v>
      </c>
      <c r="M1683" s="10" t="s">
        <v>1842</v>
      </c>
      <c r="N1683" s="7"/>
    </row>
    <row r="1684" s="1" customFormat="1" ht="28.5" customHeight="1" spans="1:14">
      <c r="A1684" s="8">
        <v>40703</v>
      </c>
      <c r="B1684" s="9">
        <v>40717</v>
      </c>
      <c r="C1684" s="9" t="s">
        <v>35</v>
      </c>
      <c r="D1684" s="9">
        <v>2500</v>
      </c>
      <c r="E1684" s="9"/>
      <c r="F1684" s="9">
        <v>40703</v>
      </c>
      <c r="G1684" s="10" t="s">
        <v>1859</v>
      </c>
      <c r="H1684" s="10" t="s">
        <v>563</v>
      </c>
      <c r="I1684" s="10"/>
      <c r="J1684" s="9">
        <v>71102</v>
      </c>
      <c r="K1684" s="10" t="s">
        <v>1860</v>
      </c>
      <c r="L1684" s="10" t="s">
        <v>228</v>
      </c>
      <c r="M1684" s="10" t="s">
        <v>1842</v>
      </c>
      <c r="N1684" s="7"/>
    </row>
    <row r="1685" s="1" customFormat="1" ht="28.5" customHeight="1" spans="1:14">
      <c r="A1685" s="8">
        <v>40703</v>
      </c>
      <c r="B1685" s="9">
        <v>40718</v>
      </c>
      <c r="C1685" s="9" t="s">
        <v>35</v>
      </c>
      <c r="D1685" s="9">
        <v>2000</v>
      </c>
      <c r="E1685" s="9"/>
      <c r="F1685" s="9">
        <v>40703</v>
      </c>
      <c r="G1685" s="10" t="s">
        <v>1859</v>
      </c>
      <c r="H1685" s="10" t="s">
        <v>563</v>
      </c>
      <c r="I1685" s="10"/>
      <c r="J1685" s="9">
        <v>71103</v>
      </c>
      <c r="K1685" s="10" t="s">
        <v>1860</v>
      </c>
      <c r="L1685" s="10" t="s">
        <v>228</v>
      </c>
      <c r="M1685" s="10" t="s">
        <v>1842</v>
      </c>
      <c r="N1685" s="7"/>
    </row>
    <row r="1686" s="1" customFormat="1" ht="28.5" customHeight="1" spans="1:14">
      <c r="A1686" s="8">
        <v>40703</v>
      </c>
      <c r="B1686" s="9">
        <v>40719</v>
      </c>
      <c r="C1686" s="9" t="s">
        <v>35</v>
      </c>
      <c r="D1686" s="9">
        <v>1500</v>
      </c>
      <c r="E1686" s="9"/>
      <c r="F1686" s="9">
        <v>40703</v>
      </c>
      <c r="G1686" s="10" t="s">
        <v>1859</v>
      </c>
      <c r="H1686" s="10" t="s">
        <v>563</v>
      </c>
      <c r="I1686" s="10"/>
      <c r="J1686" s="9">
        <v>71104</v>
      </c>
      <c r="K1686" s="10" t="s">
        <v>1860</v>
      </c>
      <c r="L1686" s="10" t="s">
        <v>228</v>
      </c>
      <c r="M1686" s="10" t="s">
        <v>1842</v>
      </c>
      <c r="N1686" s="7"/>
    </row>
    <row r="1687" s="1" customFormat="1" ht="28.5" customHeight="1" spans="1:14">
      <c r="A1687" s="8">
        <v>40703</v>
      </c>
      <c r="B1687" s="9">
        <v>40720</v>
      </c>
      <c r="C1687" s="9" t="s">
        <v>35</v>
      </c>
      <c r="D1687" s="9">
        <v>1000</v>
      </c>
      <c r="E1687" s="9"/>
      <c r="F1687" s="9">
        <v>40703</v>
      </c>
      <c r="G1687" s="10" t="s">
        <v>1859</v>
      </c>
      <c r="H1687" s="10" t="s">
        <v>563</v>
      </c>
      <c r="I1687" s="10"/>
      <c r="J1687" s="9">
        <v>71105</v>
      </c>
      <c r="K1687" s="10" t="s">
        <v>1860</v>
      </c>
      <c r="L1687" s="10" t="s">
        <v>228</v>
      </c>
      <c r="M1687" s="10" t="s">
        <v>1842</v>
      </c>
      <c r="N1687" s="7"/>
    </row>
    <row r="1688" s="1" customFormat="1" ht="28.5" customHeight="1" spans="1:14">
      <c r="A1688" s="8"/>
      <c r="B1688" s="9"/>
      <c r="C1688" s="9" t="s">
        <v>1289</v>
      </c>
      <c r="D1688" s="9">
        <v>3000</v>
      </c>
      <c r="E1688" s="9"/>
      <c r="F1688" s="9"/>
      <c r="G1688" s="10" t="s">
        <v>1861</v>
      </c>
      <c r="H1688" s="10" t="s">
        <v>563</v>
      </c>
      <c r="I1688" s="10"/>
      <c r="J1688" s="9">
        <v>81106</v>
      </c>
      <c r="K1688" s="10" t="s">
        <v>1862</v>
      </c>
      <c r="L1688" s="10" t="s">
        <v>231</v>
      </c>
      <c r="M1688" s="10" t="s">
        <v>1834</v>
      </c>
      <c r="N1688" s="7"/>
    </row>
    <row r="1689" s="1" customFormat="1" ht="28.5" customHeight="1" spans="1:14">
      <c r="A1689" s="8"/>
      <c r="B1689" s="9"/>
      <c r="C1689" s="9" t="s">
        <v>1289</v>
      </c>
      <c r="D1689" s="9">
        <v>2500</v>
      </c>
      <c r="E1689" s="9"/>
      <c r="F1689" s="9"/>
      <c r="G1689" s="10" t="s">
        <v>1861</v>
      </c>
      <c r="H1689" s="10" t="s">
        <v>563</v>
      </c>
      <c r="I1689" s="10"/>
      <c r="J1689" s="9">
        <v>81107</v>
      </c>
      <c r="K1689" s="10" t="s">
        <v>1862</v>
      </c>
      <c r="L1689" s="10" t="s">
        <v>231</v>
      </c>
      <c r="M1689" s="10" t="s">
        <v>1834</v>
      </c>
      <c r="N1689" s="7"/>
    </row>
    <row r="1690" s="1" customFormat="1" ht="28.5" customHeight="1" spans="1:14">
      <c r="A1690" s="8"/>
      <c r="B1690" s="9"/>
      <c r="C1690" s="9" t="s">
        <v>1289</v>
      </c>
      <c r="D1690" s="9">
        <v>2000</v>
      </c>
      <c r="E1690" s="9"/>
      <c r="F1690" s="9"/>
      <c r="G1690" s="10" t="s">
        <v>1861</v>
      </c>
      <c r="H1690" s="10" t="s">
        <v>563</v>
      </c>
      <c r="I1690" s="10"/>
      <c r="J1690" s="9">
        <v>81108</v>
      </c>
      <c r="K1690" s="10" t="s">
        <v>1862</v>
      </c>
      <c r="L1690" s="10" t="s">
        <v>231</v>
      </c>
      <c r="M1690" s="10" t="s">
        <v>1834</v>
      </c>
      <c r="N1690" s="7"/>
    </row>
    <row r="1691" s="1" customFormat="1" ht="28.5" customHeight="1" spans="1:14">
      <c r="A1691" s="8"/>
      <c r="B1691" s="9"/>
      <c r="C1691" s="9" t="s">
        <v>1289</v>
      </c>
      <c r="D1691" s="9">
        <v>1500</v>
      </c>
      <c r="E1691" s="9"/>
      <c r="F1691" s="9"/>
      <c r="G1691" s="10" t="s">
        <v>1861</v>
      </c>
      <c r="H1691" s="10" t="s">
        <v>563</v>
      </c>
      <c r="I1691" s="10"/>
      <c r="J1691" s="9">
        <v>81109</v>
      </c>
      <c r="K1691" s="10" t="s">
        <v>1862</v>
      </c>
      <c r="L1691" s="10" t="s">
        <v>231</v>
      </c>
      <c r="M1691" s="10" t="s">
        <v>1834</v>
      </c>
      <c r="N1691" s="7"/>
    </row>
    <row r="1692" s="1" customFormat="1" ht="28.5" customHeight="1" spans="1:14">
      <c r="A1692" s="8"/>
      <c r="B1692" s="9"/>
      <c r="C1692" s="9" t="s">
        <v>1289</v>
      </c>
      <c r="D1692" s="9">
        <v>1000</v>
      </c>
      <c r="E1692" s="9"/>
      <c r="F1692" s="9"/>
      <c r="G1692" s="10" t="s">
        <v>1861</v>
      </c>
      <c r="H1692" s="10" t="s">
        <v>563</v>
      </c>
      <c r="I1692" s="10"/>
      <c r="J1692" s="9">
        <v>81110</v>
      </c>
      <c r="K1692" s="10" t="s">
        <v>1862</v>
      </c>
      <c r="L1692" s="10" t="s">
        <v>231</v>
      </c>
      <c r="M1692" s="10" t="s">
        <v>1834</v>
      </c>
      <c r="N1692" s="7"/>
    </row>
    <row r="1693" s="1" customFormat="1" ht="28.5" customHeight="1" spans="1:14">
      <c r="A1693" s="8"/>
      <c r="B1693" s="9"/>
      <c r="C1693" s="9" t="s">
        <v>1289</v>
      </c>
      <c r="D1693" s="9">
        <v>3000</v>
      </c>
      <c r="E1693" s="9"/>
      <c r="F1693" s="9"/>
      <c r="G1693" s="10" t="s">
        <v>2595</v>
      </c>
      <c r="H1693" s="10" t="s">
        <v>563</v>
      </c>
      <c r="I1693" s="10"/>
      <c r="J1693" s="9">
        <v>101111</v>
      </c>
      <c r="K1693" s="10" t="s">
        <v>349</v>
      </c>
      <c r="L1693" s="10" t="s">
        <v>248</v>
      </c>
      <c r="M1693" s="10" t="s">
        <v>1834</v>
      </c>
      <c r="N1693" s="7"/>
    </row>
    <row r="1694" s="1" customFormat="1" ht="28.5" customHeight="1" spans="1:14">
      <c r="A1694" s="8"/>
      <c r="B1694" s="9"/>
      <c r="C1694" s="9" t="s">
        <v>1289</v>
      </c>
      <c r="D1694" s="9">
        <v>2500</v>
      </c>
      <c r="E1694" s="9"/>
      <c r="F1694" s="9"/>
      <c r="G1694" s="10" t="s">
        <v>2595</v>
      </c>
      <c r="H1694" s="10" t="s">
        <v>563</v>
      </c>
      <c r="I1694" s="10"/>
      <c r="J1694" s="9">
        <v>101112</v>
      </c>
      <c r="K1694" s="10" t="s">
        <v>349</v>
      </c>
      <c r="L1694" s="10" t="s">
        <v>248</v>
      </c>
      <c r="M1694" s="10" t="s">
        <v>1834</v>
      </c>
      <c r="N1694" s="7"/>
    </row>
    <row r="1695" s="1" customFormat="1" ht="28.5" customHeight="1" spans="1:14">
      <c r="A1695" s="8"/>
      <c r="B1695" s="9"/>
      <c r="C1695" s="9" t="s">
        <v>1289</v>
      </c>
      <c r="D1695" s="9">
        <v>2000</v>
      </c>
      <c r="E1695" s="9"/>
      <c r="F1695" s="9"/>
      <c r="G1695" s="10" t="s">
        <v>2595</v>
      </c>
      <c r="H1695" s="10" t="s">
        <v>563</v>
      </c>
      <c r="I1695" s="10"/>
      <c r="J1695" s="9">
        <v>101113</v>
      </c>
      <c r="K1695" s="10" t="s">
        <v>349</v>
      </c>
      <c r="L1695" s="10" t="s">
        <v>248</v>
      </c>
      <c r="M1695" s="10" t="s">
        <v>1834</v>
      </c>
      <c r="N1695" s="7"/>
    </row>
    <row r="1696" s="1" customFormat="1" ht="28.5" customHeight="1" spans="1:14">
      <c r="A1696" s="8"/>
      <c r="B1696" s="9"/>
      <c r="C1696" s="9" t="s">
        <v>1289</v>
      </c>
      <c r="D1696" s="9">
        <v>1500</v>
      </c>
      <c r="E1696" s="9"/>
      <c r="F1696" s="9"/>
      <c r="G1696" s="10" t="s">
        <v>2595</v>
      </c>
      <c r="H1696" s="10" t="s">
        <v>563</v>
      </c>
      <c r="I1696" s="10"/>
      <c r="J1696" s="9">
        <v>101114</v>
      </c>
      <c r="K1696" s="10" t="s">
        <v>349</v>
      </c>
      <c r="L1696" s="10" t="s">
        <v>248</v>
      </c>
      <c r="M1696" s="10" t="s">
        <v>1834</v>
      </c>
      <c r="N1696" s="7"/>
    </row>
    <row r="1697" s="1" customFormat="1" ht="28.5" customHeight="1" spans="1:14">
      <c r="A1697" s="8"/>
      <c r="B1697" s="9"/>
      <c r="C1697" s="9" t="s">
        <v>1289</v>
      </c>
      <c r="D1697" s="9">
        <v>1000</v>
      </c>
      <c r="E1697" s="9"/>
      <c r="F1697" s="9"/>
      <c r="G1697" s="10" t="s">
        <v>2595</v>
      </c>
      <c r="H1697" s="10" t="s">
        <v>563</v>
      </c>
      <c r="I1697" s="10"/>
      <c r="J1697" s="9">
        <v>101115</v>
      </c>
      <c r="K1697" s="10" t="s">
        <v>349</v>
      </c>
      <c r="L1697" s="10" t="s">
        <v>248</v>
      </c>
      <c r="M1697" s="10" t="s">
        <v>1834</v>
      </c>
      <c r="N1697" s="7"/>
    </row>
    <row r="1698" s="1" customFormat="1" ht="28.5" customHeight="1" spans="1:14">
      <c r="A1698" s="8">
        <v>40702</v>
      </c>
      <c r="B1698" s="9">
        <v>40721</v>
      </c>
      <c r="C1698" s="9" t="s">
        <v>35</v>
      </c>
      <c r="D1698" s="9">
        <v>3000</v>
      </c>
      <c r="E1698" s="9"/>
      <c r="F1698" s="9">
        <v>40704</v>
      </c>
      <c r="G1698" s="10" t="s">
        <v>2292</v>
      </c>
      <c r="H1698" s="10" t="s">
        <v>563</v>
      </c>
      <c r="I1698" s="10"/>
      <c r="J1698" s="9">
        <v>11116</v>
      </c>
      <c r="K1698" s="10" t="s">
        <v>2293</v>
      </c>
      <c r="L1698" s="10" t="s">
        <v>308</v>
      </c>
      <c r="M1698" s="10" t="s">
        <v>1842</v>
      </c>
      <c r="N1698" s="7"/>
    </row>
    <row r="1699" s="1" customFormat="1" ht="28.5" customHeight="1" spans="1:14">
      <c r="A1699" s="8">
        <v>40702</v>
      </c>
      <c r="B1699" s="9">
        <v>40722</v>
      </c>
      <c r="C1699" s="9" t="s">
        <v>35</v>
      </c>
      <c r="D1699" s="9">
        <v>2500</v>
      </c>
      <c r="E1699" s="9"/>
      <c r="F1699" s="9">
        <v>40704</v>
      </c>
      <c r="G1699" s="10" t="s">
        <v>2249</v>
      </c>
      <c r="H1699" s="10" t="s">
        <v>563</v>
      </c>
      <c r="I1699" s="10"/>
      <c r="J1699" s="9">
        <v>11117</v>
      </c>
      <c r="K1699" s="10" t="s">
        <v>2250</v>
      </c>
      <c r="L1699" s="10" t="s">
        <v>308</v>
      </c>
      <c r="M1699" s="10" t="s">
        <v>1842</v>
      </c>
      <c r="N1699" s="7"/>
    </row>
    <row r="1700" s="1" customFormat="1" ht="28.5" customHeight="1" spans="1:14">
      <c r="A1700" s="8">
        <v>40702</v>
      </c>
      <c r="B1700" s="9">
        <v>40723</v>
      </c>
      <c r="C1700" s="9" t="s">
        <v>35</v>
      </c>
      <c r="D1700" s="9">
        <v>2000</v>
      </c>
      <c r="E1700" s="9"/>
      <c r="F1700" s="9">
        <v>40704</v>
      </c>
      <c r="G1700" s="10" t="s">
        <v>2294</v>
      </c>
      <c r="H1700" s="10" t="s">
        <v>563</v>
      </c>
      <c r="I1700" s="10"/>
      <c r="J1700" s="9">
        <v>11118</v>
      </c>
      <c r="K1700" s="10" t="s">
        <v>2295</v>
      </c>
      <c r="L1700" s="10" t="s">
        <v>308</v>
      </c>
      <c r="M1700" s="10" t="s">
        <v>1842</v>
      </c>
      <c r="N1700" s="7"/>
    </row>
    <row r="1701" s="1" customFormat="1" ht="28.5" customHeight="1" spans="1:14">
      <c r="A1701" s="8">
        <v>40702</v>
      </c>
      <c r="B1701" s="9">
        <v>40724</v>
      </c>
      <c r="C1701" s="9" t="s">
        <v>35</v>
      </c>
      <c r="D1701" s="9">
        <v>1500</v>
      </c>
      <c r="E1701" s="9"/>
      <c r="F1701" s="9">
        <v>40704</v>
      </c>
      <c r="G1701" s="10" t="s">
        <v>2296</v>
      </c>
      <c r="H1701" s="10" t="s">
        <v>563</v>
      </c>
      <c r="I1701" s="10"/>
      <c r="J1701" s="9">
        <v>11119</v>
      </c>
      <c r="K1701" s="10" t="s">
        <v>2297</v>
      </c>
      <c r="L1701" s="10" t="s">
        <v>308</v>
      </c>
      <c r="M1701" s="10" t="s">
        <v>1842</v>
      </c>
      <c r="N1701" s="7"/>
    </row>
    <row r="1702" s="1" customFormat="1" ht="28.5" customHeight="1" spans="1:14">
      <c r="A1702" s="8">
        <v>40702</v>
      </c>
      <c r="B1702" s="9">
        <v>40725</v>
      </c>
      <c r="C1702" s="9" t="s">
        <v>35</v>
      </c>
      <c r="D1702" s="9">
        <v>1000</v>
      </c>
      <c r="E1702" s="9"/>
      <c r="F1702" s="9">
        <v>40704</v>
      </c>
      <c r="G1702" s="10" t="s">
        <v>2298</v>
      </c>
      <c r="H1702" s="10" t="s">
        <v>563</v>
      </c>
      <c r="I1702" s="10"/>
      <c r="J1702" s="9">
        <v>11120</v>
      </c>
      <c r="K1702" s="10" t="s">
        <v>2299</v>
      </c>
      <c r="L1702" s="10" t="s">
        <v>308</v>
      </c>
      <c r="M1702" s="10" t="s">
        <v>1842</v>
      </c>
      <c r="N1702" s="7"/>
    </row>
    <row r="1703" s="1" customFormat="1" ht="28.5" customHeight="1" spans="1:14">
      <c r="A1703" s="8">
        <v>40701</v>
      </c>
      <c r="B1703" s="9">
        <v>40726</v>
      </c>
      <c r="C1703" s="9" t="s">
        <v>35</v>
      </c>
      <c r="D1703" s="9">
        <v>0</v>
      </c>
      <c r="E1703" s="9"/>
      <c r="F1703" s="9">
        <v>40705</v>
      </c>
      <c r="G1703" s="10" t="s">
        <v>1711</v>
      </c>
      <c r="H1703" s="10" t="s">
        <v>563</v>
      </c>
      <c r="I1703" s="10"/>
      <c r="J1703" s="9">
        <v>61121</v>
      </c>
      <c r="K1703" s="10" t="s">
        <v>2736</v>
      </c>
      <c r="L1703" s="10" t="s">
        <v>368</v>
      </c>
      <c r="M1703" s="10" t="s">
        <v>1842</v>
      </c>
      <c r="N1703" s="7"/>
    </row>
    <row r="1704" s="1" customFormat="1" ht="28.5" customHeight="1" spans="1:14">
      <c r="A1704" s="8">
        <v>40701</v>
      </c>
      <c r="B1704" s="9">
        <v>40727</v>
      </c>
      <c r="C1704" s="9" t="s">
        <v>35</v>
      </c>
      <c r="D1704" s="9">
        <v>0</v>
      </c>
      <c r="E1704" s="9"/>
      <c r="F1704" s="9">
        <v>40705</v>
      </c>
      <c r="G1704" s="10" t="s">
        <v>1713</v>
      </c>
      <c r="H1704" s="10" t="s">
        <v>563</v>
      </c>
      <c r="I1704" s="10"/>
      <c r="J1704" s="9">
        <v>61122</v>
      </c>
      <c r="K1704" s="10" t="s">
        <v>2737</v>
      </c>
      <c r="L1704" s="10" t="s">
        <v>368</v>
      </c>
      <c r="M1704" s="10" t="s">
        <v>1842</v>
      </c>
      <c r="N1704" s="7"/>
    </row>
    <row r="1705" s="1" customFormat="1" ht="28.5" customHeight="1" spans="1:14">
      <c r="A1705" s="8">
        <v>40701</v>
      </c>
      <c r="B1705" s="9">
        <v>40728</v>
      </c>
      <c r="C1705" s="9" t="s">
        <v>35</v>
      </c>
      <c r="D1705" s="9">
        <v>0</v>
      </c>
      <c r="E1705" s="9"/>
      <c r="F1705" s="9">
        <v>40705</v>
      </c>
      <c r="G1705" s="10" t="s">
        <v>1715</v>
      </c>
      <c r="H1705" s="10" t="s">
        <v>563</v>
      </c>
      <c r="I1705" s="10"/>
      <c r="J1705" s="9">
        <v>61123</v>
      </c>
      <c r="K1705" s="10" t="s">
        <v>2738</v>
      </c>
      <c r="L1705" s="10" t="s">
        <v>368</v>
      </c>
      <c r="M1705" s="10" t="s">
        <v>1842</v>
      </c>
      <c r="N1705" s="7"/>
    </row>
    <row r="1706" s="1" customFormat="1" ht="28.5" customHeight="1" spans="1:14">
      <c r="A1706" s="8">
        <v>40701</v>
      </c>
      <c r="B1706" s="9">
        <v>40729</v>
      </c>
      <c r="C1706" s="9" t="s">
        <v>35</v>
      </c>
      <c r="D1706" s="9">
        <v>0</v>
      </c>
      <c r="E1706" s="9"/>
      <c r="F1706" s="9">
        <v>40705</v>
      </c>
      <c r="G1706" s="10" t="s">
        <v>1717</v>
      </c>
      <c r="H1706" s="10" t="s">
        <v>563</v>
      </c>
      <c r="I1706" s="10"/>
      <c r="J1706" s="9">
        <v>61124</v>
      </c>
      <c r="K1706" s="10" t="s">
        <v>2739</v>
      </c>
      <c r="L1706" s="10" t="s">
        <v>368</v>
      </c>
      <c r="M1706" s="10" t="s">
        <v>1842</v>
      </c>
      <c r="N1706" s="7"/>
    </row>
    <row r="1707" s="1" customFormat="1" ht="28.5" customHeight="1" spans="1:14">
      <c r="A1707" s="8">
        <v>40701</v>
      </c>
      <c r="B1707" s="9">
        <v>40730</v>
      </c>
      <c r="C1707" s="9" t="s">
        <v>35</v>
      </c>
      <c r="D1707" s="9">
        <v>0</v>
      </c>
      <c r="E1707" s="9"/>
      <c r="F1707" s="9">
        <v>40705</v>
      </c>
      <c r="G1707" s="10" t="s">
        <v>1719</v>
      </c>
      <c r="H1707" s="10" t="s">
        <v>563</v>
      </c>
      <c r="I1707" s="10"/>
      <c r="J1707" s="9">
        <v>61125</v>
      </c>
      <c r="K1707" s="10" t="s">
        <v>2740</v>
      </c>
      <c r="L1707" s="10" t="s">
        <v>368</v>
      </c>
      <c r="M1707" s="10" t="s">
        <v>1842</v>
      </c>
      <c r="N1707" s="7"/>
    </row>
    <row r="1708" s="1" customFormat="1" ht="28.5" customHeight="1" spans="1:14">
      <c r="A1708" s="8">
        <v>40701</v>
      </c>
      <c r="B1708" s="9">
        <v>40731</v>
      </c>
      <c r="C1708" s="9" t="s">
        <v>35</v>
      </c>
      <c r="D1708" s="9">
        <v>3000</v>
      </c>
      <c r="E1708" s="9"/>
      <c r="F1708" s="9">
        <v>40706</v>
      </c>
      <c r="G1708" s="10" t="s">
        <v>1721</v>
      </c>
      <c r="H1708" s="10" t="s">
        <v>563</v>
      </c>
      <c r="I1708" s="10"/>
      <c r="J1708" s="9">
        <v>51126</v>
      </c>
      <c r="K1708" s="10" t="s">
        <v>2741</v>
      </c>
      <c r="L1708" s="10" t="s">
        <v>369</v>
      </c>
      <c r="M1708" s="10" t="s">
        <v>1842</v>
      </c>
      <c r="N1708" s="7"/>
    </row>
    <row r="1709" s="1" customFormat="1" ht="28.5" customHeight="1" spans="1:14">
      <c r="A1709" s="8">
        <v>40701</v>
      </c>
      <c r="B1709" s="9">
        <v>40732</v>
      </c>
      <c r="C1709" s="9" t="s">
        <v>35</v>
      </c>
      <c r="D1709" s="9">
        <v>2500</v>
      </c>
      <c r="E1709" s="9"/>
      <c r="F1709" s="9">
        <v>40706</v>
      </c>
      <c r="G1709" s="10" t="s">
        <v>2705</v>
      </c>
      <c r="H1709" s="10" t="s">
        <v>563</v>
      </c>
      <c r="I1709" s="10"/>
      <c r="J1709" s="9">
        <v>51127</v>
      </c>
      <c r="K1709" s="10" t="s">
        <v>2706</v>
      </c>
      <c r="L1709" s="10" t="s">
        <v>369</v>
      </c>
      <c r="M1709" s="10" t="s">
        <v>1842</v>
      </c>
      <c r="N1709" s="7"/>
    </row>
    <row r="1710" s="1" customFormat="1" ht="28.5" customHeight="1" spans="1:14">
      <c r="A1710" s="8">
        <v>40701</v>
      </c>
      <c r="B1710" s="9">
        <v>40733</v>
      </c>
      <c r="C1710" s="9" t="s">
        <v>35</v>
      </c>
      <c r="D1710" s="9">
        <v>2000</v>
      </c>
      <c r="E1710" s="9"/>
      <c r="F1710" s="9">
        <v>40706</v>
      </c>
      <c r="G1710" s="10" t="s">
        <v>2742</v>
      </c>
      <c r="H1710" s="10" t="s">
        <v>563</v>
      </c>
      <c r="I1710" s="10"/>
      <c r="J1710" s="9">
        <v>51128</v>
      </c>
      <c r="K1710" s="10" t="s">
        <v>2743</v>
      </c>
      <c r="L1710" s="10" t="s">
        <v>369</v>
      </c>
      <c r="M1710" s="10" t="s">
        <v>1842</v>
      </c>
      <c r="N1710" s="7"/>
    </row>
    <row r="1711" s="1" customFormat="1" ht="28.5" customHeight="1" spans="1:14">
      <c r="A1711" s="8">
        <v>40701</v>
      </c>
      <c r="B1711" s="9">
        <v>40734</v>
      </c>
      <c r="C1711" s="9" t="s">
        <v>35</v>
      </c>
      <c r="D1711" s="9">
        <v>1500</v>
      </c>
      <c r="E1711" s="9"/>
      <c r="F1711" s="9">
        <v>40706</v>
      </c>
      <c r="G1711" s="10" t="s">
        <v>1723</v>
      </c>
      <c r="H1711" s="10" t="s">
        <v>563</v>
      </c>
      <c r="I1711" s="10"/>
      <c r="J1711" s="9">
        <v>51129</v>
      </c>
      <c r="K1711" s="10" t="s">
        <v>2744</v>
      </c>
      <c r="L1711" s="10" t="s">
        <v>369</v>
      </c>
      <c r="M1711" s="10" t="s">
        <v>1842</v>
      </c>
      <c r="N1711" s="7"/>
    </row>
    <row r="1712" s="1" customFormat="1" ht="28.5" customHeight="1" spans="1:14">
      <c r="A1712" s="8">
        <v>40701</v>
      </c>
      <c r="B1712" s="9">
        <v>40735</v>
      </c>
      <c r="C1712" s="9" t="s">
        <v>35</v>
      </c>
      <c r="D1712" s="9">
        <v>1000</v>
      </c>
      <c r="E1712" s="9"/>
      <c r="F1712" s="9">
        <v>40706</v>
      </c>
      <c r="G1712" s="10" t="s">
        <v>1735</v>
      </c>
      <c r="H1712" s="10" t="s">
        <v>563</v>
      </c>
      <c r="I1712" s="10"/>
      <c r="J1712" s="9">
        <v>51130</v>
      </c>
      <c r="K1712" s="10" t="s">
        <v>2745</v>
      </c>
      <c r="L1712" s="10" t="s">
        <v>369</v>
      </c>
      <c r="M1712" s="10" t="s">
        <v>1842</v>
      </c>
      <c r="N1712" s="7"/>
    </row>
    <row r="1713" s="1" customFormat="1" ht="28.5" customHeight="1" spans="1:14">
      <c r="A1713" s="8">
        <v>40701</v>
      </c>
      <c r="B1713" s="9">
        <v>40736</v>
      </c>
      <c r="C1713" s="9" t="s">
        <v>35</v>
      </c>
      <c r="D1713" s="9">
        <v>3000</v>
      </c>
      <c r="E1713" s="9"/>
      <c r="F1713" s="9">
        <v>40707</v>
      </c>
      <c r="G1713" s="10" t="s">
        <v>2716</v>
      </c>
      <c r="H1713" s="10" t="s">
        <v>563</v>
      </c>
      <c r="I1713" s="10"/>
      <c r="J1713" s="9">
        <v>31131</v>
      </c>
      <c r="K1713" s="10" t="s">
        <v>2717</v>
      </c>
      <c r="L1713" s="10" t="s">
        <v>370</v>
      </c>
      <c r="M1713" s="10" t="s">
        <v>1842</v>
      </c>
      <c r="N1713" s="7"/>
    </row>
    <row r="1714" s="1" customFormat="1" ht="28.5" customHeight="1" spans="1:14">
      <c r="A1714" s="8">
        <v>40701</v>
      </c>
      <c r="B1714" s="9">
        <v>40737</v>
      </c>
      <c r="C1714" s="9" t="s">
        <v>35</v>
      </c>
      <c r="D1714" s="9">
        <v>2500</v>
      </c>
      <c r="E1714" s="9"/>
      <c r="F1714" s="9">
        <v>40707</v>
      </c>
      <c r="G1714" s="10" t="s">
        <v>2746</v>
      </c>
      <c r="H1714" s="10" t="s">
        <v>563</v>
      </c>
      <c r="I1714" s="10"/>
      <c r="J1714" s="9">
        <v>31132</v>
      </c>
      <c r="K1714" s="10" t="s">
        <v>2747</v>
      </c>
      <c r="L1714" s="10" t="s">
        <v>370</v>
      </c>
      <c r="M1714" s="10" t="s">
        <v>1842</v>
      </c>
      <c r="N1714" s="7"/>
    </row>
    <row r="1715" s="1" customFormat="1" ht="28.5" customHeight="1" spans="1:14">
      <c r="A1715" s="8">
        <v>40701</v>
      </c>
      <c r="B1715" s="9">
        <v>40738</v>
      </c>
      <c r="C1715" s="9" t="s">
        <v>35</v>
      </c>
      <c r="D1715" s="9">
        <v>2000</v>
      </c>
      <c r="E1715" s="9"/>
      <c r="F1715" s="9">
        <v>40707</v>
      </c>
      <c r="G1715" s="10" t="s">
        <v>2748</v>
      </c>
      <c r="H1715" s="10" t="s">
        <v>563</v>
      </c>
      <c r="I1715" s="10"/>
      <c r="J1715" s="9">
        <v>31133</v>
      </c>
      <c r="K1715" s="10" t="s">
        <v>2749</v>
      </c>
      <c r="L1715" s="10" t="s">
        <v>370</v>
      </c>
      <c r="M1715" s="10" t="s">
        <v>1842</v>
      </c>
      <c r="N1715" s="7"/>
    </row>
    <row r="1716" s="1" customFormat="1" ht="28.5" customHeight="1" spans="1:14">
      <c r="A1716" s="8">
        <v>40701</v>
      </c>
      <c r="B1716" s="9">
        <v>40739</v>
      </c>
      <c r="C1716" s="9" t="s">
        <v>35</v>
      </c>
      <c r="D1716" s="9">
        <v>1500</v>
      </c>
      <c r="E1716" s="9"/>
      <c r="F1716" s="9">
        <v>40707</v>
      </c>
      <c r="G1716" s="10" t="s">
        <v>2750</v>
      </c>
      <c r="H1716" s="10" t="s">
        <v>563</v>
      </c>
      <c r="I1716" s="10"/>
      <c r="J1716" s="9">
        <v>31134</v>
      </c>
      <c r="K1716" s="10" t="s">
        <v>2751</v>
      </c>
      <c r="L1716" s="10" t="s">
        <v>370</v>
      </c>
      <c r="M1716" s="10" t="s">
        <v>1842</v>
      </c>
      <c r="N1716" s="7"/>
    </row>
    <row r="1717" s="1" customFormat="1" ht="28.5" customHeight="1" spans="1:14">
      <c r="A1717" s="8">
        <v>40701</v>
      </c>
      <c r="B1717" s="9">
        <v>40740</v>
      </c>
      <c r="C1717" s="9" t="s">
        <v>35</v>
      </c>
      <c r="D1717" s="9">
        <v>1000</v>
      </c>
      <c r="E1717" s="9"/>
      <c r="F1717" s="9">
        <v>40707</v>
      </c>
      <c r="G1717" s="10" t="s">
        <v>2752</v>
      </c>
      <c r="H1717" s="10" t="s">
        <v>563</v>
      </c>
      <c r="I1717" s="10"/>
      <c r="J1717" s="9">
        <v>31135</v>
      </c>
      <c r="K1717" s="10" t="s">
        <v>2753</v>
      </c>
      <c r="L1717" s="10" t="s">
        <v>370</v>
      </c>
      <c r="M1717" s="10" t="s">
        <v>1842</v>
      </c>
      <c r="N1717" s="7"/>
    </row>
    <row r="1718" s="1" customFormat="1" ht="28.5" customHeight="1" spans="1:14">
      <c r="A1718" s="8">
        <v>40701</v>
      </c>
      <c r="B1718" s="9">
        <v>40741</v>
      </c>
      <c r="C1718" s="9" t="s">
        <v>35</v>
      </c>
      <c r="D1718" s="9">
        <v>3000</v>
      </c>
      <c r="E1718" s="9"/>
      <c r="F1718" s="9">
        <v>40708</v>
      </c>
      <c r="G1718" s="10" t="s">
        <v>2724</v>
      </c>
      <c r="H1718" s="10" t="s">
        <v>563</v>
      </c>
      <c r="I1718" s="10"/>
      <c r="J1718" s="9">
        <v>41136</v>
      </c>
      <c r="K1718" s="10" t="s">
        <v>2725</v>
      </c>
      <c r="L1718" s="10" t="s">
        <v>371</v>
      </c>
      <c r="M1718" s="10" t="s">
        <v>1842</v>
      </c>
      <c r="N1718" s="7"/>
    </row>
    <row r="1719" s="1" customFormat="1" ht="28.5" customHeight="1" spans="1:14">
      <c r="A1719" s="8">
        <v>40701</v>
      </c>
      <c r="B1719" s="9">
        <v>40742</v>
      </c>
      <c r="C1719" s="9" t="s">
        <v>35</v>
      </c>
      <c r="D1719" s="9">
        <v>2500</v>
      </c>
      <c r="E1719" s="9"/>
      <c r="F1719" s="9">
        <v>40708</v>
      </c>
      <c r="G1719" s="10" t="s">
        <v>2754</v>
      </c>
      <c r="H1719" s="10" t="s">
        <v>563</v>
      </c>
      <c r="I1719" s="10"/>
      <c r="J1719" s="9">
        <v>41137</v>
      </c>
      <c r="K1719" s="10" t="s">
        <v>2755</v>
      </c>
      <c r="L1719" s="10" t="s">
        <v>371</v>
      </c>
      <c r="M1719" s="10" t="s">
        <v>1842</v>
      </c>
      <c r="N1719" s="7"/>
    </row>
    <row r="1720" s="1" customFormat="1" ht="28.5" customHeight="1" spans="1:14">
      <c r="A1720" s="8">
        <v>40701</v>
      </c>
      <c r="B1720" s="9">
        <v>40743</v>
      </c>
      <c r="C1720" s="9" t="s">
        <v>35</v>
      </c>
      <c r="D1720" s="9">
        <v>2000</v>
      </c>
      <c r="E1720" s="9"/>
      <c r="F1720" s="9">
        <v>40708</v>
      </c>
      <c r="G1720" s="10" t="s">
        <v>2756</v>
      </c>
      <c r="H1720" s="10" t="s">
        <v>563</v>
      </c>
      <c r="I1720" s="10"/>
      <c r="J1720" s="9">
        <v>41138</v>
      </c>
      <c r="K1720" s="10" t="s">
        <v>2757</v>
      </c>
      <c r="L1720" s="10" t="s">
        <v>371</v>
      </c>
      <c r="M1720" s="10" t="s">
        <v>1842</v>
      </c>
      <c r="N1720" s="7"/>
    </row>
    <row r="1721" s="1" customFormat="1" ht="28.5" customHeight="1" spans="1:14">
      <c r="A1721" s="8">
        <v>40701</v>
      </c>
      <c r="B1721" s="9">
        <v>40744</v>
      </c>
      <c r="C1721" s="9" t="s">
        <v>35</v>
      </c>
      <c r="D1721" s="9">
        <v>1500</v>
      </c>
      <c r="E1721" s="9"/>
      <c r="F1721" s="9">
        <v>40708</v>
      </c>
      <c r="G1721" s="10" t="s">
        <v>2758</v>
      </c>
      <c r="H1721" s="10" t="s">
        <v>563</v>
      </c>
      <c r="I1721" s="10"/>
      <c r="J1721" s="9">
        <v>41139</v>
      </c>
      <c r="K1721" s="10" t="s">
        <v>2759</v>
      </c>
      <c r="L1721" s="10" t="s">
        <v>371</v>
      </c>
      <c r="M1721" s="10" t="s">
        <v>1842</v>
      </c>
      <c r="N1721" s="7"/>
    </row>
    <row r="1722" s="1" customFormat="1" ht="28.5" customHeight="1" spans="1:14">
      <c r="A1722" s="8">
        <v>40701</v>
      </c>
      <c r="B1722" s="9">
        <v>40745</v>
      </c>
      <c r="C1722" s="9" t="s">
        <v>35</v>
      </c>
      <c r="D1722" s="9">
        <v>1000</v>
      </c>
      <c r="E1722" s="9"/>
      <c r="F1722" s="9">
        <v>40708</v>
      </c>
      <c r="G1722" s="10" t="s">
        <v>2760</v>
      </c>
      <c r="H1722" s="10" t="s">
        <v>563</v>
      </c>
      <c r="I1722" s="10"/>
      <c r="J1722" s="9">
        <v>41140</v>
      </c>
      <c r="K1722" s="10" t="s">
        <v>2761</v>
      </c>
      <c r="L1722" s="10" t="s">
        <v>371</v>
      </c>
      <c r="M1722" s="10" t="s">
        <v>1842</v>
      </c>
      <c r="N1722" s="7"/>
    </row>
    <row r="1723" s="1" customFormat="1" ht="28.5" customHeight="1" spans="1:14">
      <c r="A1723" s="8"/>
      <c r="B1723" s="9"/>
      <c r="C1723" s="9" t="s">
        <v>1289</v>
      </c>
      <c r="D1723" s="9">
        <v>3000</v>
      </c>
      <c r="E1723" s="9"/>
      <c r="F1723" s="9"/>
      <c r="G1723" s="10" t="s">
        <v>2762</v>
      </c>
      <c r="H1723" s="10" t="s">
        <v>563</v>
      </c>
      <c r="I1723" s="10"/>
      <c r="J1723" s="9">
        <v>11141</v>
      </c>
      <c r="K1723" s="10" t="s">
        <v>2763</v>
      </c>
      <c r="L1723" s="10" t="s">
        <v>276</v>
      </c>
      <c r="M1723" s="10" t="s">
        <v>1834</v>
      </c>
      <c r="N1723" s="7"/>
    </row>
    <row r="1724" s="1" customFormat="1" ht="28.5" customHeight="1" spans="1:14">
      <c r="A1724" s="8"/>
      <c r="B1724" s="9"/>
      <c r="C1724" s="9" t="s">
        <v>1289</v>
      </c>
      <c r="D1724" s="9">
        <v>2500</v>
      </c>
      <c r="E1724" s="9"/>
      <c r="F1724" s="9"/>
      <c r="G1724" s="10" t="s">
        <v>2764</v>
      </c>
      <c r="H1724" s="10" t="s">
        <v>563</v>
      </c>
      <c r="I1724" s="10"/>
      <c r="J1724" s="9">
        <v>11142</v>
      </c>
      <c r="K1724" s="10" t="s">
        <v>2765</v>
      </c>
      <c r="L1724" s="10" t="s">
        <v>276</v>
      </c>
      <c r="M1724" s="10" t="s">
        <v>1834</v>
      </c>
      <c r="N1724" s="7"/>
    </row>
    <row r="1725" s="1" customFormat="1" ht="28.5" customHeight="1" spans="1:14">
      <c r="A1725" s="8"/>
      <c r="B1725" s="9"/>
      <c r="C1725" s="9" t="s">
        <v>1289</v>
      </c>
      <c r="D1725" s="9">
        <v>2000</v>
      </c>
      <c r="E1725" s="9"/>
      <c r="F1725" s="9"/>
      <c r="G1725" s="10" t="s">
        <v>2766</v>
      </c>
      <c r="H1725" s="10" t="s">
        <v>563</v>
      </c>
      <c r="I1725" s="10"/>
      <c r="J1725" s="9">
        <v>11143</v>
      </c>
      <c r="K1725" s="10" t="s">
        <v>2767</v>
      </c>
      <c r="L1725" s="10" t="s">
        <v>276</v>
      </c>
      <c r="M1725" s="10" t="s">
        <v>1834</v>
      </c>
      <c r="N1725" s="7"/>
    </row>
    <row r="1726" s="1" customFormat="1" ht="28.5" customHeight="1" spans="1:14">
      <c r="A1726" s="8"/>
      <c r="B1726" s="9"/>
      <c r="C1726" s="9" t="s">
        <v>1289</v>
      </c>
      <c r="D1726" s="9">
        <v>1500</v>
      </c>
      <c r="E1726" s="9"/>
      <c r="F1726" s="9"/>
      <c r="G1726" s="10" t="s">
        <v>2768</v>
      </c>
      <c r="H1726" s="10" t="s">
        <v>563</v>
      </c>
      <c r="I1726" s="10"/>
      <c r="J1726" s="9">
        <v>11144</v>
      </c>
      <c r="K1726" s="10" t="s">
        <v>2769</v>
      </c>
      <c r="L1726" s="10" t="s">
        <v>276</v>
      </c>
      <c r="M1726" s="10" t="s">
        <v>1834</v>
      </c>
      <c r="N1726" s="7"/>
    </row>
    <row r="1727" s="1" customFormat="1" ht="28.5" customHeight="1" spans="1:14">
      <c r="A1727" s="8"/>
      <c r="B1727" s="9"/>
      <c r="C1727" s="9" t="s">
        <v>1289</v>
      </c>
      <c r="D1727" s="9">
        <v>1000</v>
      </c>
      <c r="E1727" s="9"/>
      <c r="F1727" s="9"/>
      <c r="G1727" s="10" t="s">
        <v>2770</v>
      </c>
      <c r="H1727" s="10" t="s">
        <v>563</v>
      </c>
      <c r="I1727" s="10"/>
      <c r="J1727" s="9">
        <v>11145</v>
      </c>
      <c r="K1727" s="10" t="s">
        <v>2771</v>
      </c>
      <c r="L1727" s="10" t="s">
        <v>276</v>
      </c>
      <c r="M1727" s="10" t="s">
        <v>1834</v>
      </c>
      <c r="N1727" s="7"/>
    </row>
    <row r="1728" s="1" customFormat="1" ht="28.5" customHeight="1" spans="1:14">
      <c r="A1728" s="8">
        <v>40801</v>
      </c>
      <c r="B1728" s="9">
        <v>40801</v>
      </c>
      <c r="C1728" s="9" t="s">
        <v>36</v>
      </c>
      <c r="D1728" s="9">
        <v>0</v>
      </c>
      <c r="E1728" s="9"/>
      <c r="F1728" s="9">
        <v>40800</v>
      </c>
      <c r="G1728" s="10" t="s">
        <v>1432</v>
      </c>
      <c r="H1728" s="10" t="s">
        <v>563</v>
      </c>
      <c r="I1728" s="10"/>
      <c r="J1728" s="9">
        <v>61146</v>
      </c>
      <c r="K1728" s="10" t="s">
        <v>2093</v>
      </c>
      <c r="L1728" s="10" t="s">
        <v>275</v>
      </c>
      <c r="M1728" s="10" t="s">
        <v>1842</v>
      </c>
      <c r="N1728" s="7"/>
    </row>
    <row r="1729" s="1" customFormat="1" ht="28.5" customHeight="1" spans="1:14">
      <c r="A1729" s="8">
        <v>40801</v>
      </c>
      <c r="B1729" s="9">
        <v>40802</v>
      </c>
      <c r="C1729" s="9" t="s">
        <v>36</v>
      </c>
      <c r="D1729" s="9">
        <v>0</v>
      </c>
      <c r="E1729" s="9"/>
      <c r="F1729" s="9">
        <v>40800</v>
      </c>
      <c r="G1729" s="10" t="s">
        <v>1434</v>
      </c>
      <c r="H1729" s="10" t="s">
        <v>563</v>
      </c>
      <c r="I1729" s="10"/>
      <c r="J1729" s="9">
        <v>61147</v>
      </c>
      <c r="K1729" s="10" t="s">
        <v>2094</v>
      </c>
      <c r="L1729" s="10" t="s">
        <v>275</v>
      </c>
      <c r="M1729" s="10" t="s">
        <v>1842</v>
      </c>
      <c r="N1729" s="7"/>
    </row>
    <row r="1730" s="1" customFormat="1" ht="28.5" customHeight="1" spans="1:14">
      <c r="A1730" s="8">
        <v>40801</v>
      </c>
      <c r="B1730" s="9">
        <v>40803</v>
      </c>
      <c r="C1730" s="9" t="s">
        <v>36</v>
      </c>
      <c r="D1730" s="9">
        <v>0</v>
      </c>
      <c r="E1730" s="9"/>
      <c r="F1730" s="9">
        <v>40800</v>
      </c>
      <c r="G1730" s="10" t="s">
        <v>1436</v>
      </c>
      <c r="H1730" s="10" t="s">
        <v>563</v>
      </c>
      <c r="I1730" s="10"/>
      <c r="J1730" s="9">
        <v>61148</v>
      </c>
      <c r="K1730" s="10" t="s">
        <v>2095</v>
      </c>
      <c r="L1730" s="10" t="s">
        <v>275</v>
      </c>
      <c r="M1730" s="10" t="s">
        <v>1842</v>
      </c>
      <c r="N1730" s="7"/>
    </row>
    <row r="1731" s="1" customFormat="1" ht="28.5" customHeight="1" spans="1:14">
      <c r="A1731" s="8">
        <v>40801</v>
      </c>
      <c r="B1731" s="9">
        <v>40804</v>
      </c>
      <c r="C1731" s="9" t="s">
        <v>36</v>
      </c>
      <c r="D1731" s="9">
        <v>0</v>
      </c>
      <c r="E1731" s="9"/>
      <c r="F1731" s="9">
        <v>40800</v>
      </c>
      <c r="G1731" s="10" t="s">
        <v>1438</v>
      </c>
      <c r="H1731" s="10" t="s">
        <v>563</v>
      </c>
      <c r="I1731" s="10"/>
      <c r="J1731" s="9">
        <v>61149</v>
      </c>
      <c r="K1731" s="10" t="s">
        <v>2096</v>
      </c>
      <c r="L1731" s="10" t="s">
        <v>275</v>
      </c>
      <c r="M1731" s="10" t="s">
        <v>1842</v>
      </c>
      <c r="N1731" s="7"/>
    </row>
    <row r="1732" s="1" customFormat="1" ht="28.5" customHeight="1" spans="1:14">
      <c r="A1732" s="8">
        <v>40801</v>
      </c>
      <c r="B1732" s="9">
        <v>40805</v>
      </c>
      <c r="C1732" s="9" t="s">
        <v>36</v>
      </c>
      <c r="D1732" s="9">
        <v>0</v>
      </c>
      <c r="E1732" s="9"/>
      <c r="F1732" s="9">
        <v>40800</v>
      </c>
      <c r="G1732" s="10" t="s">
        <v>1440</v>
      </c>
      <c r="H1732" s="10" t="s">
        <v>563</v>
      </c>
      <c r="I1732" s="10"/>
      <c r="J1732" s="9">
        <v>61150</v>
      </c>
      <c r="K1732" s="10" t="s">
        <v>2097</v>
      </c>
      <c r="L1732" s="10" t="s">
        <v>275</v>
      </c>
      <c r="M1732" s="10" t="s">
        <v>1842</v>
      </c>
      <c r="N1732" s="7"/>
    </row>
    <row r="1733" s="1" customFormat="1" ht="28.5" customHeight="1" spans="1:14">
      <c r="A1733" s="8">
        <v>40801</v>
      </c>
      <c r="B1733" s="9">
        <v>40806</v>
      </c>
      <c r="C1733" s="9" t="s">
        <v>36</v>
      </c>
      <c r="D1733" s="9">
        <v>3000</v>
      </c>
      <c r="E1733" s="9"/>
      <c r="F1733" s="9">
        <v>40801</v>
      </c>
      <c r="G1733" s="10" t="s">
        <v>2047</v>
      </c>
      <c r="H1733" s="10" t="s">
        <v>563</v>
      </c>
      <c r="I1733" s="10"/>
      <c r="J1733" s="9">
        <v>21151</v>
      </c>
      <c r="K1733" s="10" t="s">
        <v>2048</v>
      </c>
      <c r="L1733" s="10" t="s">
        <v>276</v>
      </c>
      <c r="M1733" s="10" t="s">
        <v>1842</v>
      </c>
      <c r="N1733" s="7"/>
    </row>
    <row r="1734" s="1" customFormat="1" ht="28.5" customHeight="1" spans="1:14">
      <c r="A1734" s="8">
        <v>40801</v>
      </c>
      <c r="B1734" s="9">
        <v>40807</v>
      </c>
      <c r="C1734" s="9" t="s">
        <v>36</v>
      </c>
      <c r="D1734" s="9">
        <v>2500</v>
      </c>
      <c r="E1734" s="9"/>
      <c r="F1734" s="9">
        <v>40801</v>
      </c>
      <c r="G1734" s="10" t="s">
        <v>2098</v>
      </c>
      <c r="H1734" s="10" t="s">
        <v>563</v>
      </c>
      <c r="I1734" s="10"/>
      <c r="J1734" s="9">
        <v>21152</v>
      </c>
      <c r="K1734" s="10" t="s">
        <v>2099</v>
      </c>
      <c r="L1734" s="10" t="s">
        <v>276</v>
      </c>
      <c r="M1734" s="10" t="s">
        <v>1842</v>
      </c>
      <c r="N1734" s="7"/>
    </row>
    <row r="1735" s="1" customFormat="1" ht="28.5" customHeight="1" spans="1:14">
      <c r="A1735" s="8">
        <v>40801</v>
      </c>
      <c r="B1735" s="9">
        <v>40808</v>
      </c>
      <c r="C1735" s="9" t="s">
        <v>36</v>
      </c>
      <c r="D1735" s="9">
        <v>2000</v>
      </c>
      <c r="E1735" s="9"/>
      <c r="F1735" s="9">
        <v>40801</v>
      </c>
      <c r="G1735" s="10" t="s">
        <v>2100</v>
      </c>
      <c r="H1735" s="10" t="s">
        <v>563</v>
      </c>
      <c r="I1735" s="10"/>
      <c r="J1735" s="9">
        <v>21153</v>
      </c>
      <c r="K1735" s="10" t="s">
        <v>2101</v>
      </c>
      <c r="L1735" s="10" t="s">
        <v>276</v>
      </c>
      <c r="M1735" s="10" t="s">
        <v>1842</v>
      </c>
      <c r="N1735" s="7"/>
    </row>
    <row r="1736" s="1" customFormat="1" ht="28.5" customHeight="1" spans="1:14">
      <c r="A1736" s="8">
        <v>40801</v>
      </c>
      <c r="B1736" s="9">
        <v>40809</v>
      </c>
      <c r="C1736" s="9" t="s">
        <v>36</v>
      </c>
      <c r="D1736" s="9">
        <v>1500</v>
      </c>
      <c r="E1736" s="9"/>
      <c r="F1736" s="9">
        <v>40801</v>
      </c>
      <c r="G1736" s="10" t="s">
        <v>2102</v>
      </c>
      <c r="H1736" s="10" t="s">
        <v>563</v>
      </c>
      <c r="I1736" s="10"/>
      <c r="J1736" s="9">
        <v>21154</v>
      </c>
      <c r="K1736" s="10" t="s">
        <v>2103</v>
      </c>
      <c r="L1736" s="10" t="s">
        <v>276</v>
      </c>
      <c r="M1736" s="10" t="s">
        <v>1842</v>
      </c>
      <c r="N1736" s="7"/>
    </row>
    <row r="1737" s="1" customFormat="1" ht="28.5" customHeight="1" spans="1:14">
      <c r="A1737" s="8">
        <v>40801</v>
      </c>
      <c r="B1737" s="9">
        <v>40810</v>
      </c>
      <c r="C1737" s="9" t="s">
        <v>36</v>
      </c>
      <c r="D1737" s="9">
        <v>1000</v>
      </c>
      <c r="E1737" s="9"/>
      <c r="F1737" s="9">
        <v>40801</v>
      </c>
      <c r="G1737" s="10" t="s">
        <v>2104</v>
      </c>
      <c r="H1737" s="10" t="s">
        <v>563</v>
      </c>
      <c r="I1737" s="10"/>
      <c r="J1737" s="9">
        <v>21155</v>
      </c>
      <c r="K1737" s="10" t="s">
        <v>2105</v>
      </c>
      <c r="L1737" s="10" t="s">
        <v>276</v>
      </c>
      <c r="M1737" s="10" t="s">
        <v>1842</v>
      </c>
      <c r="N1737" s="7"/>
    </row>
    <row r="1738" s="1" customFormat="1" ht="28.5" customHeight="1" spans="1:14">
      <c r="A1738" s="8">
        <v>40803</v>
      </c>
      <c r="B1738" s="9">
        <v>40811</v>
      </c>
      <c r="C1738" s="9" t="s">
        <v>36</v>
      </c>
      <c r="D1738" s="9">
        <v>3000</v>
      </c>
      <c r="E1738" s="9"/>
      <c r="F1738" s="9">
        <v>40802</v>
      </c>
      <c r="G1738" s="10" t="s">
        <v>1857</v>
      </c>
      <c r="H1738" s="10" t="s">
        <v>563</v>
      </c>
      <c r="I1738" s="10"/>
      <c r="J1738" s="9">
        <v>91156</v>
      </c>
      <c r="K1738" s="10" t="s">
        <v>1858</v>
      </c>
      <c r="L1738" s="10" t="s">
        <v>224</v>
      </c>
      <c r="M1738" s="10" t="s">
        <v>1842</v>
      </c>
      <c r="N1738" s="7"/>
    </row>
    <row r="1739" s="1" customFormat="1" ht="28.5" customHeight="1" spans="1:14">
      <c r="A1739" s="8">
        <v>40803</v>
      </c>
      <c r="B1739" s="9">
        <v>40812</v>
      </c>
      <c r="C1739" s="9" t="s">
        <v>36</v>
      </c>
      <c r="D1739" s="9">
        <v>2500</v>
      </c>
      <c r="E1739" s="9"/>
      <c r="F1739" s="9">
        <v>40802</v>
      </c>
      <c r="G1739" s="10" t="s">
        <v>1857</v>
      </c>
      <c r="H1739" s="10" t="s">
        <v>563</v>
      </c>
      <c r="I1739" s="10"/>
      <c r="J1739" s="9">
        <v>91157</v>
      </c>
      <c r="K1739" s="10" t="s">
        <v>1858</v>
      </c>
      <c r="L1739" s="10" t="s">
        <v>224</v>
      </c>
      <c r="M1739" s="10" t="s">
        <v>1842</v>
      </c>
      <c r="N1739" s="7"/>
    </row>
    <row r="1740" s="1" customFormat="1" ht="28.5" customHeight="1" spans="1:14">
      <c r="A1740" s="8">
        <v>40803</v>
      </c>
      <c r="B1740" s="9">
        <v>40813</v>
      </c>
      <c r="C1740" s="9" t="s">
        <v>36</v>
      </c>
      <c r="D1740" s="9">
        <v>2000</v>
      </c>
      <c r="E1740" s="9"/>
      <c r="F1740" s="9">
        <v>40802</v>
      </c>
      <c r="G1740" s="10" t="s">
        <v>1857</v>
      </c>
      <c r="H1740" s="10" t="s">
        <v>563</v>
      </c>
      <c r="I1740" s="10"/>
      <c r="J1740" s="9">
        <v>91158</v>
      </c>
      <c r="K1740" s="10" t="s">
        <v>1858</v>
      </c>
      <c r="L1740" s="10" t="s">
        <v>224</v>
      </c>
      <c r="M1740" s="10" t="s">
        <v>1842</v>
      </c>
      <c r="N1740" s="7"/>
    </row>
    <row r="1741" s="1" customFormat="1" ht="28.5" customHeight="1" spans="1:14">
      <c r="A1741" s="8">
        <v>40803</v>
      </c>
      <c r="B1741" s="9">
        <v>40814</v>
      </c>
      <c r="C1741" s="9" t="s">
        <v>36</v>
      </c>
      <c r="D1741" s="9">
        <v>1500</v>
      </c>
      <c r="E1741" s="9"/>
      <c r="F1741" s="9">
        <v>40802</v>
      </c>
      <c r="G1741" s="10" t="s">
        <v>1857</v>
      </c>
      <c r="H1741" s="10" t="s">
        <v>563</v>
      </c>
      <c r="I1741" s="10"/>
      <c r="J1741" s="9">
        <v>91159</v>
      </c>
      <c r="K1741" s="10" t="s">
        <v>1858</v>
      </c>
      <c r="L1741" s="10" t="s">
        <v>224</v>
      </c>
      <c r="M1741" s="10" t="s">
        <v>1842</v>
      </c>
      <c r="N1741" s="7"/>
    </row>
    <row r="1742" s="1" customFormat="1" ht="28.5" customHeight="1" spans="1:14">
      <c r="A1742" s="8">
        <v>40803</v>
      </c>
      <c r="B1742" s="9">
        <v>40815</v>
      </c>
      <c r="C1742" s="9" t="s">
        <v>36</v>
      </c>
      <c r="D1742" s="9">
        <v>1000</v>
      </c>
      <c r="E1742" s="9"/>
      <c r="F1742" s="9">
        <v>40802</v>
      </c>
      <c r="G1742" s="10" t="s">
        <v>1857</v>
      </c>
      <c r="H1742" s="10" t="s">
        <v>563</v>
      </c>
      <c r="I1742" s="10"/>
      <c r="J1742" s="9">
        <v>91160</v>
      </c>
      <c r="K1742" s="10" t="s">
        <v>1858</v>
      </c>
      <c r="L1742" s="10" t="s">
        <v>224</v>
      </c>
      <c r="M1742" s="10" t="s">
        <v>1842</v>
      </c>
      <c r="N1742" s="7"/>
    </row>
    <row r="1743" s="1" customFormat="1" ht="28.5" customHeight="1" spans="1:14">
      <c r="A1743" s="8">
        <v>40803</v>
      </c>
      <c r="B1743" s="9">
        <v>40816</v>
      </c>
      <c r="C1743" s="9" t="s">
        <v>36</v>
      </c>
      <c r="D1743" s="9">
        <v>3000</v>
      </c>
      <c r="E1743" s="9"/>
      <c r="F1743" s="9">
        <v>40803</v>
      </c>
      <c r="G1743" s="10" t="s">
        <v>1859</v>
      </c>
      <c r="H1743" s="10" t="s">
        <v>563</v>
      </c>
      <c r="I1743" s="10"/>
      <c r="J1743" s="9">
        <v>71161</v>
      </c>
      <c r="K1743" s="10" t="s">
        <v>1860</v>
      </c>
      <c r="L1743" s="10" t="s">
        <v>228</v>
      </c>
      <c r="M1743" s="10" t="s">
        <v>1842</v>
      </c>
      <c r="N1743" s="7"/>
    </row>
    <row r="1744" s="1" customFormat="1" ht="28.5" customHeight="1" spans="1:14">
      <c r="A1744" s="8">
        <v>40803</v>
      </c>
      <c r="B1744" s="9">
        <v>40817</v>
      </c>
      <c r="C1744" s="9" t="s">
        <v>36</v>
      </c>
      <c r="D1744" s="9">
        <v>2500</v>
      </c>
      <c r="E1744" s="9"/>
      <c r="F1744" s="9">
        <v>40803</v>
      </c>
      <c r="G1744" s="10" t="s">
        <v>1859</v>
      </c>
      <c r="H1744" s="10" t="s">
        <v>563</v>
      </c>
      <c r="I1744" s="10"/>
      <c r="J1744" s="9">
        <v>71162</v>
      </c>
      <c r="K1744" s="10" t="s">
        <v>1860</v>
      </c>
      <c r="L1744" s="10" t="s">
        <v>228</v>
      </c>
      <c r="M1744" s="10" t="s">
        <v>1842</v>
      </c>
      <c r="N1744" s="7"/>
    </row>
    <row r="1745" s="1" customFormat="1" ht="28.5" customHeight="1" spans="1:14">
      <c r="A1745" s="8">
        <v>40803</v>
      </c>
      <c r="B1745" s="9">
        <v>40818</v>
      </c>
      <c r="C1745" s="9" t="s">
        <v>36</v>
      </c>
      <c r="D1745" s="9">
        <v>2000</v>
      </c>
      <c r="E1745" s="9"/>
      <c r="F1745" s="9">
        <v>40803</v>
      </c>
      <c r="G1745" s="10" t="s">
        <v>1859</v>
      </c>
      <c r="H1745" s="10" t="s">
        <v>563</v>
      </c>
      <c r="I1745" s="10"/>
      <c r="J1745" s="9">
        <v>71163</v>
      </c>
      <c r="K1745" s="10" t="s">
        <v>1860</v>
      </c>
      <c r="L1745" s="10" t="s">
        <v>228</v>
      </c>
      <c r="M1745" s="10" t="s">
        <v>1842</v>
      </c>
      <c r="N1745" s="7"/>
    </row>
    <row r="1746" s="1" customFormat="1" ht="28.5" customHeight="1" spans="1:14">
      <c r="A1746" s="8">
        <v>40803</v>
      </c>
      <c r="B1746" s="9">
        <v>40819</v>
      </c>
      <c r="C1746" s="9" t="s">
        <v>36</v>
      </c>
      <c r="D1746" s="9">
        <v>1500</v>
      </c>
      <c r="E1746" s="9"/>
      <c r="F1746" s="9">
        <v>40803</v>
      </c>
      <c r="G1746" s="10" t="s">
        <v>1859</v>
      </c>
      <c r="H1746" s="10" t="s">
        <v>563</v>
      </c>
      <c r="I1746" s="10"/>
      <c r="J1746" s="9">
        <v>71164</v>
      </c>
      <c r="K1746" s="10" t="s">
        <v>1860</v>
      </c>
      <c r="L1746" s="10" t="s">
        <v>228</v>
      </c>
      <c r="M1746" s="10" t="s">
        <v>1842</v>
      </c>
      <c r="N1746" s="7"/>
    </row>
    <row r="1747" s="1" customFormat="1" ht="28.5" customHeight="1" spans="1:14">
      <c r="A1747" s="8">
        <v>40803</v>
      </c>
      <c r="B1747" s="9">
        <v>40820</v>
      </c>
      <c r="C1747" s="9" t="s">
        <v>36</v>
      </c>
      <c r="D1747" s="9">
        <v>1000</v>
      </c>
      <c r="E1747" s="9"/>
      <c r="F1747" s="9">
        <v>40803</v>
      </c>
      <c r="G1747" s="10" t="s">
        <v>1859</v>
      </c>
      <c r="H1747" s="10" t="s">
        <v>563</v>
      </c>
      <c r="I1747" s="10"/>
      <c r="J1747" s="9">
        <v>71165</v>
      </c>
      <c r="K1747" s="10" t="s">
        <v>1860</v>
      </c>
      <c r="L1747" s="10" t="s">
        <v>228</v>
      </c>
      <c r="M1747" s="10" t="s">
        <v>1842</v>
      </c>
      <c r="N1747" s="7"/>
    </row>
    <row r="1748" s="1" customFormat="1" ht="28.5" customHeight="1" spans="1:14">
      <c r="A1748" s="8">
        <v>40803</v>
      </c>
      <c r="B1748" s="9">
        <v>40821</v>
      </c>
      <c r="C1748" s="9" t="s">
        <v>36</v>
      </c>
      <c r="D1748" s="9">
        <v>3000</v>
      </c>
      <c r="E1748" s="9"/>
      <c r="F1748" s="9">
        <v>40804</v>
      </c>
      <c r="G1748" s="10" t="s">
        <v>1861</v>
      </c>
      <c r="H1748" s="10" t="s">
        <v>563</v>
      </c>
      <c r="I1748" s="10"/>
      <c r="J1748" s="9">
        <v>81166</v>
      </c>
      <c r="K1748" s="10" t="s">
        <v>1862</v>
      </c>
      <c r="L1748" s="10" t="s">
        <v>231</v>
      </c>
      <c r="M1748" s="10" t="s">
        <v>1842</v>
      </c>
      <c r="N1748" s="7"/>
    </row>
    <row r="1749" s="1" customFormat="1" ht="28.5" customHeight="1" spans="1:14">
      <c r="A1749" s="8">
        <v>40803</v>
      </c>
      <c r="B1749" s="9">
        <v>40822</v>
      </c>
      <c r="C1749" s="9" t="s">
        <v>36</v>
      </c>
      <c r="D1749" s="9">
        <v>2500</v>
      </c>
      <c r="E1749" s="9"/>
      <c r="F1749" s="9">
        <v>40804</v>
      </c>
      <c r="G1749" s="10" t="s">
        <v>1861</v>
      </c>
      <c r="H1749" s="10" t="s">
        <v>563</v>
      </c>
      <c r="I1749" s="10"/>
      <c r="J1749" s="9">
        <v>81167</v>
      </c>
      <c r="K1749" s="10" t="s">
        <v>1862</v>
      </c>
      <c r="L1749" s="10" t="s">
        <v>231</v>
      </c>
      <c r="M1749" s="10" t="s">
        <v>1842</v>
      </c>
      <c r="N1749" s="7"/>
    </row>
    <row r="1750" s="1" customFormat="1" ht="28.5" customHeight="1" spans="1:14">
      <c r="A1750" s="8">
        <v>40803</v>
      </c>
      <c r="B1750" s="9">
        <v>40823</v>
      </c>
      <c r="C1750" s="9" t="s">
        <v>36</v>
      </c>
      <c r="D1750" s="9">
        <v>2000</v>
      </c>
      <c r="E1750" s="9"/>
      <c r="F1750" s="9">
        <v>40804</v>
      </c>
      <c r="G1750" s="10" t="s">
        <v>1861</v>
      </c>
      <c r="H1750" s="10" t="s">
        <v>563</v>
      </c>
      <c r="I1750" s="10"/>
      <c r="J1750" s="9">
        <v>81168</v>
      </c>
      <c r="K1750" s="10" t="s">
        <v>1862</v>
      </c>
      <c r="L1750" s="10" t="s">
        <v>231</v>
      </c>
      <c r="M1750" s="10" t="s">
        <v>1842</v>
      </c>
      <c r="N1750" s="7"/>
    </row>
    <row r="1751" s="1" customFormat="1" ht="28.5" customHeight="1" spans="1:14">
      <c r="A1751" s="8">
        <v>40803</v>
      </c>
      <c r="B1751" s="9">
        <v>40824</v>
      </c>
      <c r="C1751" s="9" t="s">
        <v>36</v>
      </c>
      <c r="D1751" s="9">
        <v>1500</v>
      </c>
      <c r="E1751" s="9"/>
      <c r="F1751" s="9">
        <v>40804</v>
      </c>
      <c r="G1751" s="10" t="s">
        <v>1861</v>
      </c>
      <c r="H1751" s="10" t="s">
        <v>563</v>
      </c>
      <c r="I1751" s="10"/>
      <c r="J1751" s="9">
        <v>81169</v>
      </c>
      <c r="K1751" s="10" t="s">
        <v>1862</v>
      </c>
      <c r="L1751" s="10" t="s">
        <v>231</v>
      </c>
      <c r="M1751" s="10" t="s">
        <v>1842</v>
      </c>
      <c r="N1751" s="7"/>
    </row>
    <row r="1752" s="1" customFormat="1" ht="28.5" customHeight="1" spans="1:14">
      <c r="A1752" s="8">
        <v>40803</v>
      </c>
      <c r="B1752" s="9">
        <v>40825</v>
      </c>
      <c r="C1752" s="9" t="s">
        <v>36</v>
      </c>
      <c r="D1752" s="9">
        <v>1000</v>
      </c>
      <c r="E1752" s="9"/>
      <c r="F1752" s="9">
        <v>40804</v>
      </c>
      <c r="G1752" s="10" t="s">
        <v>1861</v>
      </c>
      <c r="H1752" s="10" t="s">
        <v>563</v>
      </c>
      <c r="I1752" s="10"/>
      <c r="J1752" s="9">
        <v>81170</v>
      </c>
      <c r="K1752" s="10" t="s">
        <v>1862</v>
      </c>
      <c r="L1752" s="10" t="s">
        <v>231</v>
      </c>
      <c r="M1752" s="10" t="s">
        <v>1842</v>
      </c>
      <c r="N1752" s="7"/>
    </row>
    <row r="1753" s="1" customFormat="1" ht="28.5" customHeight="1" spans="1:14">
      <c r="A1753" s="8"/>
      <c r="B1753" s="9"/>
      <c r="C1753" s="9" t="s">
        <v>1289</v>
      </c>
      <c r="D1753" s="9">
        <v>3000</v>
      </c>
      <c r="E1753" s="9"/>
      <c r="F1753" s="9"/>
      <c r="G1753" s="10" t="s">
        <v>2595</v>
      </c>
      <c r="H1753" s="10" t="s">
        <v>563</v>
      </c>
      <c r="I1753" s="10"/>
      <c r="J1753" s="9">
        <v>101171</v>
      </c>
      <c r="K1753" s="10" t="s">
        <v>349</v>
      </c>
      <c r="L1753" s="10" t="s">
        <v>248</v>
      </c>
      <c r="M1753" s="10" t="s">
        <v>1834</v>
      </c>
      <c r="N1753" s="7"/>
    </row>
    <row r="1754" s="1" customFormat="1" ht="28.5" customHeight="1" spans="1:14">
      <c r="A1754" s="8"/>
      <c r="B1754" s="9"/>
      <c r="C1754" s="9" t="s">
        <v>1289</v>
      </c>
      <c r="D1754" s="9">
        <v>2500</v>
      </c>
      <c r="E1754" s="9"/>
      <c r="F1754" s="9"/>
      <c r="G1754" s="10" t="s">
        <v>2595</v>
      </c>
      <c r="H1754" s="10" t="s">
        <v>563</v>
      </c>
      <c r="I1754" s="10"/>
      <c r="J1754" s="9">
        <v>101172</v>
      </c>
      <c r="K1754" s="10" t="s">
        <v>349</v>
      </c>
      <c r="L1754" s="10" t="s">
        <v>248</v>
      </c>
      <c r="M1754" s="10" t="s">
        <v>1834</v>
      </c>
      <c r="N1754" s="7"/>
    </row>
    <row r="1755" s="1" customFormat="1" ht="28.5" customHeight="1" spans="1:14">
      <c r="A1755" s="8"/>
      <c r="B1755" s="9"/>
      <c r="C1755" s="9" t="s">
        <v>1289</v>
      </c>
      <c r="D1755" s="9">
        <v>2000</v>
      </c>
      <c r="E1755" s="9"/>
      <c r="F1755" s="9"/>
      <c r="G1755" s="10" t="s">
        <v>2595</v>
      </c>
      <c r="H1755" s="10" t="s">
        <v>563</v>
      </c>
      <c r="I1755" s="10"/>
      <c r="J1755" s="9">
        <v>101173</v>
      </c>
      <c r="K1755" s="10" t="s">
        <v>349</v>
      </c>
      <c r="L1755" s="10" t="s">
        <v>248</v>
      </c>
      <c r="M1755" s="10" t="s">
        <v>1834</v>
      </c>
      <c r="N1755" s="7"/>
    </row>
    <row r="1756" s="1" customFormat="1" ht="28.5" customHeight="1" spans="1:14">
      <c r="A1756" s="8"/>
      <c r="B1756" s="9"/>
      <c r="C1756" s="9" t="s">
        <v>1289</v>
      </c>
      <c r="D1756" s="9">
        <v>1500</v>
      </c>
      <c r="E1756" s="9"/>
      <c r="F1756" s="9"/>
      <c r="G1756" s="10" t="s">
        <v>2595</v>
      </c>
      <c r="H1756" s="10" t="s">
        <v>563</v>
      </c>
      <c r="I1756" s="10"/>
      <c r="J1756" s="9">
        <v>101174</v>
      </c>
      <c r="K1756" s="10" t="s">
        <v>349</v>
      </c>
      <c r="L1756" s="10" t="s">
        <v>248</v>
      </c>
      <c r="M1756" s="10" t="s">
        <v>1834</v>
      </c>
      <c r="N1756" s="7"/>
    </row>
    <row r="1757" s="1" customFormat="1" ht="28.5" customHeight="1" spans="1:14">
      <c r="A1757" s="8"/>
      <c r="B1757" s="9"/>
      <c r="C1757" s="9" t="s">
        <v>1289</v>
      </c>
      <c r="D1757" s="9">
        <v>1000</v>
      </c>
      <c r="E1757" s="9"/>
      <c r="F1757" s="9"/>
      <c r="G1757" s="10" t="s">
        <v>2595</v>
      </c>
      <c r="H1757" s="10" t="s">
        <v>563</v>
      </c>
      <c r="I1757" s="10"/>
      <c r="J1757" s="9">
        <v>101175</v>
      </c>
      <c r="K1757" s="10" t="s">
        <v>349</v>
      </c>
      <c r="L1757" s="10" t="s">
        <v>248</v>
      </c>
      <c r="M1757" s="10" t="s">
        <v>1834</v>
      </c>
      <c r="N1757" s="7"/>
    </row>
    <row r="1758" s="1" customFormat="1" ht="28.5" customHeight="1" spans="1:14">
      <c r="A1758" s="8">
        <v>40802</v>
      </c>
      <c r="B1758" s="9">
        <v>40826</v>
      </c>
      <c r="C1758" s="9" t="s">
        <v>36</v>
      </c>
      <c r="D1758" s="9">
        <v>3000</v>
      </c>
      <c r="E1758" s="9"/>
      <c r="F1758" s="9">
        <v>40805</v>
      </c>
      <c r="G1758" s="10" t="s">
        <v>2298</v>
      </c>
      <c r="H1758" s="10" t="s">
        <v>563</v>
      </c>
      <c r="I1758" s="10"/>
      <c r="J1758" s="9">
        <v>11176</v>
      </c>
      <c r="K1758" s="10" t="s">
        <v>2299</v>
      </c>
      <c r="L1758" s="10" t="s">
        <v>313</v>
      </c>
      <c r="M1758" s="10" t="s">
        <v>1842</v>
      </c>
      <c r="N1758" s="7"/>
    </row>
    <row r="1759" s="1" customFormat="1" ht="28.5" customHeight="1" spans="1:14">
      <c r="A1759" s="8">
        <v>40802</v>
      </c>
      <c r="B1759" s="9">
        <v>40827</v>
      </c>
      <c r="C1759" s="9" t="s">
        <v>36</v>
      </c>
      <c r="D1759" s="9">
        <v>2500</v>
      </c>
      <c r="E1759" s="9"/>
      <c r="F1759" s="9">
        <v>40805</v>
      </c>
      <c r="G1759" s="10" t="s">
        <v>2336</v>
      </c>
      <c r="H1759" s="10" t="s">
        <v>563</v>
      </c>
      <c r="I1759" s="10"/>
      <c r="J1759" s="9">
        <v>11177</v>
      </c>
      <c r="K1759" s="10" t="s">
        <v>2337</v>
      </c>
      <c r="L1759" s="10" t="s">
        <v>313</v>
      </c>
      <c r="M1759" s="10" t="s">
        <v>1842</v>
      </c>
      <c r="N1759" s="7"/>
    </row>
    <row r="1760" s="1" customFormat="1" ht="28.5" customHeight="1" spans="1:14">
      <c r="A1760" s="8">
        <v>40802</v>
      </c>
      <c r="B1760" s="9">
        <v>40828</v>
      </c>
      <c r="C1760" s="9" t="s">
        <v>36</v>
      </c>
      <c r="D1760" s="9">
        <v>2000</v>
      </c>
      <c r="E1760" s="9"/>
      <c r="F1760" s="9">
        <v>40805</v>
      </c>
      <c r="G1760" s="10" t="s">
        <v>2338</v>
      </c>
      <c r="H1760" s="10" t="s">
        <v>563</v>
      </c>
      <c r="I1760" s="10"/>
      <c r="J1760" s="9">
        <v>11178</v>
      </c>
      <c r="K1760" s="10" t="s">
        <v>2339</v>
      </c>
      <c r="L1760" s="10" t="s">
        <v>313</v>
      </c>
      <c r="M1760" s="10" t="s">
        <v>1842</v>
      </c>
      <c r="N1760" s="7"/>
    </row>
    <row r="1761" s="1" customFormat="1" ht="28.5" customHeight="1" spans="1:14">
      <c r="A1761" s="8">
        <v>40802</v>
      </c>
      <c r="B1761" s="9">
        <v>40829</v>
      </c>
      <c r="C1761" s="9" t="s">
        <v>36</v>
      </c>
      <c r="D1761" s="9">
        <v>1500</v>
      </c>
      <c r="E1761" s="9"/>
      <c r="F1761" s="9">
        <v>40805</v>
      </c>
      <c r="G1761" s="10" t="s">
        <v>2340</v>
      </c>
      <c r="H1761" s="10" t="s">
        <v>563</v>
      </c>
      <c r="I1761" s="10"/>
      <c r="J1761" s="9">
        <v>11179</v>
      </c>
      <c r="K1761" s="10" t="s">
        <v>2341</v>
      </c>
      <c r="L1761" s="10" t="s">
        <v>313</v>
      </c>
      <c r="M1761" s="10" t="s">
        <v>1842</v>
      </c>
      <c r="N1761" s="7"/>
    </row>
    <row r="1762" s="1" customFormat="1" ht="28.5" customHeight="1" spans="1:14">
      <c r="A1762" s="8">
        <v>40802</v>
      </c>
      <c r="B1762" s="9">
        <v>40830</v>
      </c>
      <c r="C1762" s="9" t="s">
        <v>36</v>
      </c>
      <c r="D1762" s="9">
        <v>1000</v>
      </c>
      <c r="E1762" s="9"/>
      <c r="F1762" s="9">
        <v>40805</v>
      </c>
      <c r="G1762" s="10" t="s">
        <v>2342</v>
      </c>
      <c r="H1762" s="10" t="s">
        <v>563</v>
      </c>
      <c r="I1762" s="10"/>
      <c r="J1762" s="9">
        <v>11180</v>
      </c>
      <c r="K1762" s="10" t="s">
        <v>2343</v>
      </c>
      <c r="L1762" s="10" t="s">
        <v>313</v>
      </c>
      <c r="M1762" s="10" t="s">
        <v>1842</v>
      </c>
      <c r="N1762" s="7"/>
    </row>
    <row r="1763" s="1" customFormat="1" ht="28.5" customHeight="1" spans="1:14">
      <c r="A1763" s="8">
        <v>40801</v>
      </c>
      <c r="B1763" s="9">
        <v>40831</v>
      </c>
      <c r="C1763" s="9" t="s">
        <v>36</v>
      </c>
      <c r="D1763" s="9">
        <v>0</v>
      </c>
      <c r="E1763" s="9"/>
      <c r="F1763" s="9">
        <v>40806</v>
      </c>
      <c r="G1763" s="10" t="s">
        <v>1725</v>
      </c>
      <c r="H1763" s="10" t="s">
        <v>563</v>
      </c>
      <c r="I1763" s="10"/>
      <c r="J1763" s="9">
        <v>61181</v>
      </c>
      <c r="K1763" s="10" t="s">
        <v>2772</v>
      </c>
      <c r="L1763" s="10" t="s">
        <v>372</v>
      </c>
      <c r="M1763" s="10" t="s">
        <v>1842</v>
      </c>
      <c r="N1763" s="7"/>
    </row>
    <row r="1764" s="1" customFormat="1" ht="28.5" customHeight="1" spans="1:14">
      <c r="A1764" s="8">
        <v>40801</v>
      </c>
      <c r="B1764" s="9">
        <v>40832</v>
      </c>
      <c r="C1764" s="9" t="s">
        <v>36</v>
      </c>
      <c r="D1764" s="9">
        <v>0</v>
      </c>
      <c r="E1764" s="9"/>
      <c r="F1764" s="9">
        <v>40806</v>
      </c>
      <c r="G1764" s="10" t="s">
        <v>1727</v>
      </c>
      <c r="H1764" s="10" t="s">
        <v>563</v>
      </c>
      <c r="I1764" s="10"/>
      <c r="J1764" s="9">
        <v>61182</v>
      </c>
      <c r="K1764" s="10" t="s">
        <v>2773</v>
      </c>
      <c r="L1764" s="10" t="s">
        <v>372</v>
      </c>
      <c r="M1764" s="10" t="s">
        <v>1842</v>
      </c>
      <c r="N1764" s="7"/>
    </row>
    <row r="1765" s="1" customFormat="1" ht="28.5" customHeight="1" spans="1:14">
      <c r="A1765" s="8">
        <v>40801</v>
      </c>
      <c r="B1765" s="9">
        <v>40833</v>
      </c>
      <c r="C1765" s="9" t="s">
        <v>36</v>
      </c>
      <c r="D1765" s="9">
        <v>0</v>
      </c>
      <c r="E1765" s="9"/>
      <c r="F1765" s="9">
        <v>40806</v>
      </c>
      <c r="G1765" s="10" t="s">
        <v>1729</v>
      </c>
      <c r="H1765" s="10" t="s">
        <v>563</v>
      </c>
      <c r="I1765" s="10"/>
      <c r="J1765" s="9">
        <v>61183</v>
      </c>
      <c r="K1765" s="10" t="s">
        <v>2774</v>
      </c>
      <c r="L1765" s="10" t="s">
        <v>372</v>
      </c>
      <c r="M1765" s="10" t="s">
        <v>1842</v>
      </c>
      <c r="N1765" s="7"/>
    </row>
    <row r="1766" s="1" customFormat="1" ht="28.5" customHeight="1" spans="1:14">
      <c r="A1766" s="8">
        <v>40801</v>
      </c>
      <c r="B1766" s="9">
        <v>40834</v>
      </c>
      <c r="C1766" s="9" t="s">
        <v>36</v>
      </c>
      <c r="D1766" s="9">
        <v>0</v>
      </c>
      <c r="E1766" s="9"/>
      <c r="F1766" s="9">
        <v>40806</v>
      </c>
      <c r="G1766" s="10" t="s">
        <v>1731</v>
      </c>
      <c r="H1766" s="10" t="s">
        <v>563</v>
      </c>
      <c r="I1766" s="10"/>
      <c r="J1766" s="9">
        <v>61184</v>
      </c>
      <c r="K1766" s="10" t="s">
        <v>2775</v>
      </c>
      <c r="L1766" s="10" t="s">
        <v>372</v>
      </c>
      <c r="M1766" s="10" t="s">
        <v>1842</v>
      </c>
      <c r="N1766" s="7"/>
    </row>
    <row r="1767" s="1" customFormat="1" ht="28.5" customHeight="1" spans="1:14">
      <c r="A1767" s="8">
        <v>40801</v>
      </c>
      <c r="B1767" s="9">
        <v>40835</v>
      </c>
      <c r="C1767" s="9" t="s">
        <v>36</v>
      </c>
      <c r="D1767" s="9">
        <v>0</v>
      </c>
      <c r="E1767" s="9"/>
      <c r="F1767" s="9">
        <v>40806</v>
      </c>
      <c r="G1767" s="10" t="s">
        <v>1733</v>
      </c>
      <c r="H1767" s="10" t="s">
        <v>563</v>
      </c>
      <c r="I1767" s="10"/>
      <c r="J1767" s="9">
        <v>61185</v>
      </c>
      <c r="K1767" s="10" t="s">
        <v>2776</v>
      </c>
      <c r="L1767" s="10" t="s">
        <v>372</v>
      </c>
      <c r="M1767" s="10" t="s">
        <v>1842</v>
      </c>
      <c r="N1767" s="7"/>
    </row>
    <row r="1768" s="1" customFormat="1" ht="28.5" customHeight="1" spans="1:14">
      <c r="A1768" s="8">
        <v>40801</v>
      </c>
      <c r="B1768" s="9">
        <v>40836</v>
      </c>
      <c r="C1768" s="9" t="s">
        <v>36</v>
      </c>
      <c r="D1768" s="9">
        <v>3000</v>
      </c>
      <c r="E1768" s="9"/>
      <c r="F1768" s="9">
        <v>40807</v>
      </c>
      <c r="G1768" s="10" t="s">
        <v>1735</v>
      </c>
      <c r="H1768" s="10" t="s">
        <v>563</v>
      </c>
      <c r="I1768" s="10"/>
      <c r="J1768" s="9">
        <v>51186</v>
      </c>
      <c r="K1768" s="10" t="s">
        <v>2745</v>
      </c>
      <c r="L1768" s="10" t="s">
        <v>373</v>
      </c>
      <c r="M1768" s="10" t="s">
        <v>1842</v>
      </c>
      <c r="N1768" s="7"/>
    </row>
    <row r="1769" s="1" customFormat="1" ht="28.5" customHeight="1" spans="1:14">
      <c r="A1769" s="8">
        <v>40801</v>
      </c>
      <c r="B1769" s="9">
        <v>40837</v>
      </c>
      <c r="C1769" s="9" t="s">
        <v>36</v>
      </c>
      <c r="D1769" s="9">
        <v>2500</v>
      </c>
      <c r="E1769" s="9"/>
      <c r="F1769" s="9">
        <v>40807</v>
      </c>
      <c r="G1769" s="10" t="s">
        <v>2777</v>
      </c>
      <c r="H1769" s="10" t="s">
        <v>563</v>
      </c>
      <c r="I1769" s="10"/>
      <c r="J1769" s="9">
        <v>51187</v>
      </c>
      <c r="K1769" s="10" t="s">
        <v>2778</v>
      </c>
      <c r="L1769" s="10" t="s">
        <v>373</v>
      </c>
      <c r="M1769" s="10" t="s">
        <v>1842</v>
      </c>
      <c r="N1769" s="7"/>
    </row>
    <row r="1770" s="1" customFormat="1" ht="28.5" customHeight="1" spans="1:14">
      <c r="A1770" s="8">
        <v>40801</v>
      </c>
      <c r="B1770" s="9">
        <v>40838</v>
      </c>
      <c r="C1770" s="9" t="s">
        <v>36</v>
      </c>
      <c r="D1770" s="9">
        <v>2000</v>
      </c>
      <c r="E1770" s="9"/>
      <c r="F1770" s="9">
        <v>40807</v>
      </c>
      <c r="G1770" s="10" t="s">
        <v>2779</v>
      </c>
      <c r="H1770" s="10" t="s">
        <v>563</v>
      </c>
      <c r="I1770" s="10"/>
      <c r="J1770" s="9">
        <v>51188</v>
      </c>
      <c r="K1770" s="10" t="s">
        <v>2780</v>
      </c>
      <c r="L1770" s="10" t="s">
        <v>373</v>
      </c>
      <c r="M1770" s="10" t="s">
        <v>1842</v>
      </c>
      <c r="N1770" s="7"/>
    </row>
    <row r="1771" s="1" customFormat="1" ht="28.5" customHeight="1" spans="1:14">
      <c r="A1771" s="8">
        <v>40801</v>
      </c>
      <c r="B1771" s="9">
        <v>40839</v>
      </c>
      <c r="C1771" s="9" t="s">
        <v>36</v>
      </c>
      <c r="D1771" s="9">
        <v>1500</v>
      </c>
      <c r="E1771" s="9"/>
      <c r="F1771" s="9">
        <v>40807</v>
      </c>
      <c r="G1771" s="10" t="s">
        <v>1741</v>
      </c>
      <c r="H1771" s="10" t="s">
        <v>563</v>
      </c>
      <c r="I1771" s="10"/>
      <c r="J1771" s="9">
        <v>51189</v>
      </c>
      <c r="K1771" s="10" t="s">
        <v>2781</v>
      </c>
      <c r="L1771" s="10" t="s">
        <v>373</v>
      </c>
      <c r="M1771" s="10" t="s">
        <v>1842</v>
      </c>
      <c r="N1771" s="7"/>
    </row>
    <row r="1772" s="1" customFormat="1" ht="28.5" customHeight="1" spans="1:14">
      <c r="A1772" s="8">
        <v>40801</v>
      </c>
      <c r="B1772" s="9">
        <v>40840</v>
      </c>
      <c r="C1772" s="9" t="s">
        <v>36</v>
      </c>
      <c r="D1772" s="9">
        <v>1000</v>
      </c>
      <c r="E1772" s="9"/>
      <c r="F1772" s="9">
        <v>40807</v>
      </c>
      <c r="G1772" s="10" t="s">
        <v>1743</v>
      </c>
      <c r="H1772" s="10" t="s">
        <v>563</v>
      </c>
      <c r="I1772" s="10"/>
      <c r="J1772" s="9">
        <v>51190</v>
      </c>
      <c r="K1772" s="10" t="s">
        <v>2782</v>
      </c>
      <c r="L1772" s="10" t="s">
        <v>373</v>
      </c>
      <c r="M1772" s="10" t="s">
        <v>1842</v>
      </c>
      <c r="N1772" s="7"/>
    </row>
    <row r="1773" s="1" customFormat="1" ht="28.5" customHeight="1" spans="1:14">
      <c r="A1773" s="8">
        <v>40801</v>
      </c>
      <c r="B1773" s="9">
        <v>40841</v>
      </c>
      <c r="C1773" s="9" t="s">
        <v>36</v>
      </c>
      <c r="D1773" s="9">
        <v>3000</v>
      </c>
      <c r="E1773" s="9"/>
      <c r="F1773" s="9">
        <v>40808</v>
      </c>
      <c r="G1773" s="10" t="s">
        <v>2752</v>
      </c>
      <c r="H1773" s="10" t="s">
        <v>563</v>
      </c>
      <c r="I1773" s="10"/>
      <c r="J1773" s="9">
        <v>31191</v>
      </c>
      <c r="K1773" s="10" t="s">
        <v>2753</v>
      </c>
      <c r="L1773" s="10" t="s">
        <v>374</v>
      </c>
      <c r="M1773" s="10" t="s">
        <v>1842</v>
      </c>
      <c r="N1773" s="7"/>
    </row>
    <row r="1774" s="1" customFormat="1" ht="28.5" customHeight="1" spans="1:14">
      <c r="A1774" s="8">
        <v>40801</v>
      </c>
      <c r="B1774" s="9">
        <v>40842</v>
      </c>
      <c r="C1774" s="9" t="s">
        <v>36</v>
      </c>
      <c r="D1774" s="9">
        <v>2500</v>
      </c>
      <c r="E1774" s="9"/>
      <c r="F1774" s="9">
        <v>40808</v>
      </c>
      <c r="G1774" s="10" t="s">
        <v>2783</v>
      </c>
      <c r="H1774" s="10" t="s">
        <v>563</v>
      </c>
      <c r="I1774" s="10"/>
      <c r="J1774" s="9">
        <v>31192</v>
      </c>
      <c r="K1774" s="10" t="s">
        <v>2784</v>
      </c>
      <c r="L1774" s="10" t="s">
        <v>374</v>
      </c>
      <c r="M1774" s="10" t="s">
        <v>1842</v>
      </c>
      <c r="N1774" s="7"/>
    </row>
    <row r="1775" s="1" customFormat="1" ht="28.5" customHeight="1" spans="1:14">
      <c r="A1775" s="8">
        <v>40801</v>
      </c>
      <c r="B1775" s="9">
        <v>40843</v>
      </c>
      <c r="C1775" s="9" t="s">
        <v>36</v>
      </c>
      <c r="D1775" s="9">
        <v>2000</v>
      </c>
      <c r="E1775" s="9"/>
      <c r="F1775" s="9">
        <v>40808</v>
      </c>
      <c r="G1775" s="10" t="s">
        <v>2785</v>
      </c>
      <c r="H1775" s="10" t="s">
        <v>563</v>
      </c>
      <c r="I1775" s="10"/>
      <c r="J1775" s="9">
        <v>31193</v>
      </c>
      <c r="K1775" s="10" t="s">
        <v>2786</v>
      </c>
      <c r="L1775" s="10" t="s">
        <v>374</v>
      </c>
      <c r="M1775" s="10" t="s">
        <v>1842</v>
      </c>
      <c r="N1775" s="7"/>
    </row>
    <row r="1776" s="1" customFormat="1" ht="28.5" customHeight="1" spans="1:14">
      <c r="A1776" s="8">
        <v>40801</v>
      </c>
      <c r="B1776" s="9">
        <v>40844</v>
      </c>
      <c r="C1776" s="9" t="s">
        <v>36</v>
      </c>
      <c r="D1776" s="9">
        <v>1500</v>
      </c>
      <c r="E1776" s="9"/>
      <c r="F1776" s="9">
        <v>40808</v>
      </c>
      <c r="G1776" s="10" t="s">
        <v>2787</v>
      </c>
      <c r="H1776" s="10" t="s">
        <v>563</v>
      </c>
      <c r="I1776" s="10"/>
      <c r="J1776" s="9">
        <v>31194</v>
      </c>
      <c r="K1776" s="10" t="s">
        <v>2788</v>
      </c>
      <c r="L1776" s="10" t="s">
        <v>374</v>
      </c>
      <c r="M1776" s="10" t="s">
        <v>1842</v>
      </c>
      <c r="N1776" s="7"/>
    </row>
    <row r="1777" s="1" customFormat="1" ht="28.5" customHeight="1" spans="1:14">
      <c r="A1777" s="8">
        <v>40801</v>
      </c>
      <c r="B1777" s="9">
        <v>40845</v>
      </c>
      <c r="C1777" s="9" t="s">
        <v>36</v>
      </c>
      <c r="D1777" s="9">
        <v>1000</v>
      </c>
      <c r="E1777" s="9"/>
      <c r="F1777" s="9">
        <v>40808</v>
      </c>
      <c r="G1777" s="10" t="s">
        <v>2789</v>
      </c>
      <c r="H1777" s="10" t="s">
        <v>563</v>
      </c>
      <c r="I1777" s="10"/>
      <c r="J1777" s="9">
        <v>31195</v>
      </c>
      <c r="K1777" s="10" t="s">
        <v>2790</v>
      </c>
      <c r="L1777" s="10" t="s">
        <v>374</v>
      </c>
      <c r="M1777" s="10" t="s">
        <v>1842</v>
      </c>
      <c r="N1777" s="7"/>
    </row>
    <row r="1778" s="1" customFormat="1" ht="28.5" customHeight="1" spans="1:14">
      <c r="A1778" s="8">
        <v>40801</v>
      </c>
      <c r="B1778" s="9">
        <v>40846</v>
      </c>
      <c r="C1778" s="9" t="s">
        <v>36</v>
      </c>
      <c r="D1778" s="9">
        <v>3000</v>
      </c>
      <c r="E1778" s="9"/>
      <c r="F1778" s="9">
        <v>40809</v>
      </c>
      <c r="G1778" s="10" t="s">
        <v>2760</v>
      </c>
      <c r="H1778" s="10" t="s">
        <v>563</v>
      </c>
      <c r="I1778" s="10"/>
      <c r="J1778" s="9">
        <v>41196</v>
      </c>
      <c r="K1778" s="10" t="s">
        <v>2761</v>
      </c>
      <c r="L1778" s="10" t="s">
        <v>375</v>
      </c>
      <c r="M1778" s="10" t="s">
        <v>1842</v>
      </c>
      <c r="N1778" s="7"/>
    </row>
    <row r="1779" s="1" customFormat="1" ht="28.5" customHeight="1" spans="1:14">
      <c r="A1779" s="8">
        <v>40801</v>
      </c>
      <c r="B1779" s="9">
        <v>40847</v>
      </c>
      <c r="C1779" s="9" t="s">
        <v>36</v>
      </c>
      <c r="D1779" s="9">
        <v>2500</v>
      </c>
      <c r="E1779" s="9"/>
      <c r="F1779" s="9">
        <v>40809</v>
      </c>
      <c r="G1779" s="10" t="s">
        <v>2791</v>
      </c>
      <c r="H1779" s="10" t="s">
        <v>563</v>
      </c>
      <c r="I1779" s="10"/>
      <c r="J1779" s="9">
        <v>41197</v>
      </c>
      <c r="K1779" s="10" t="s">
        <v>2792</v>
      </c>
      <c r="L1779" s="10" t="s">
        <v>375</v>
      </c>
      <c r="M1779" s="10" t="s">
        <v>1842</v>
      </c>
      <c r="N1779" s="7"/>
    </row>
    <row r="1780" s="1" customFormat="1" ht="28.5" customHeight="1" spans="1:14">
      <c r="A1780" s="8">
        <v>40801</v>
      </c>
      <c r="B1780" s="9">
        <v>40848</v>
      </c>
      <c r="C1780" s="9" t="s">
        <v>36</v>
      </c>
      <c r="D1780" s="9">
        <v>2000</v>
      </c>
      <c r="E1780" s="9"/>
      <c r="F1780" s="9">
        <v>40809</v>
      </c>
      <c r="G1780" s="10" t="s">
        <v>2793</v>
      </c>
      <c r="H1780" s="10" t="s">
        <v>563</v>
      </c>
      <c r="I1780" s="10"/>
      <c r="J1780" s="9">
        <v>41198</v>
      </c>
      <c r="K1780" s="10" t="s">
        <v>2794</v>
      </c>
      <c r="L1780" s="10" t="s">
        <v>375</v>
      </c>
      <c r="M1780" s="10" t="s">
        <v>1842</v>
      </c>
      <c r="N1780" s="7"/>
    </row>
    <row r="1781" s="1" customFormat="1" ht="28.5" customHeight="1" spans="1:14">
      <c r="A1781" s="8">
        <v>40801</v>
      </c>
      <c r="B1781" s="9">
        <v>40849</v>
      </c>
      <c r="C1781" s="9" t="s">
        <v>36</v>
      </c>
      <c r="D1781" s="9">
        <v>1500</v>
      </c>
      <c r="E1781" s="9"/>
      <c r="F1781" s="9">
        <v>40809</v>
      </c>
      <c r="G1781" s="10" t="s">
        <v>2795</v>
      </c>
      <c r="H1781" s="10" t="s">
        <v>563</v>
      </c>
      <c r="I1781" s="10"/>
      <c r="J1781" s="9">
        <v>41199</v>
      </c>
      <c r="K1781" s="10" t="s">
        <v>2796</v>
      </c>
      <c r="L1781" s="10" t="s">
        <v>375</v>
      </c>
      <c r="M1781" s="10" t="s">
        <v>1842</v>
      </c>
      <c r="N1781" s="7"/>
    </row>
    <row r="1782" s="1" customFormat="1" ht="28.5" customHeight="1" spans="1:14">
      <c r="A1782" s="8">
        <v>40801</v>
      </c>
      <c r="B1782" s="9">
        <v>40850</v>
      </c>
      <c r="C1782" s="9" t="s">
        <v>36</v>
      </c>
      <c r="D1782" s="9">
        <v>1000</v>
      </c>
      <c r="E1782" s="9"/>
      <c r="F1782" s="9">
        <v>40809</v>
      </c>
      <c r="G1782" s="10" t="s">
        <v>2797</v>
      </c>
      <c r="H1782" s="10" t="s">
        <v>563</v>
      </c>
      <c r="I1782" s="10"/>
      <c r="J1782" s="9">
        <v>41200</v>
      </c>
      <c r="K1782" s="10" t="s">
        <v>2798</v>
      </c>
      <c r="L1782" s="10" t="s">
        <v>375</v>
      </c>
      <c r="M1782" s="10" t="s">
        <v>1842</v>
      </c>
      <c r="N1782" s="7"/>
    </row>
    <row r="1783" s="1" customFormat="1" ht="28.5" customHeight="1" spans="1:14">
      <c r="A1783" s="8"/>
      <c r="B1783" s="9"/>
      <c r="C1783" s="9" t="s">
        <v>1289</v>
      </c>
      <c r="D1783" s="9">
        <v>3000</v>
      </c>
      <c r="E1783" s="9"/>
      <c r="F1783" s="9"/>
      <c r="G1783" s="10" t="s">
        <v>2799</v>
      </c>
      <c r="H1783" s="10" t="s">
        <v>563</v>
      </c>
      <c r="I1783" s="10"/>
      <c r="J1783" s="9">
        <v>11201</v>
      </c>
      <c r="K1783" s="10" t="s">
        <v>2800</v>
      </c>
      <c r="L1783" s="10" t="s">
        <v>221</v>
      </c>
      <c r="M1783" s="10" t="s">
        <v>1834</v>
      </c>
      <c r="N1783" s="7"/>
    </row>
    <row r="1784" s="1" customFormat="1" ht="28.5" customHeight="1" spans="1:14">
      <c r="A1784" s="8"/>
      <c r="B1784" s="9"/>
      <c r="C1784" s="9" t="s">
        <v>1289</v>
      </c>
      <c r="D1784" s="9">
        <v>2500</v>
      </c>
      <c r="E1784" s="9"/>
      <c r="F1784" s="9"/>
      <c r="G1784" s="10" t="s">
        <v>2801</v>
      </c>
      <c r="H1784" s="10" t="s">
        <v>563</v>
      </c>
      <c r="I1784" s="10"/>
      <c r="J1784" s="9">
        <v>11202</v>
      </c>
      <c r="K1784" s="10" t="s">
        <v>2802</v>
      </c>
      <c r="L1784" s="10" t="s">
        <v>221</v>
      </c>
      <c r="M1784" s="10" t="s">
        <v>1834</v>
      </c>
      <c r="N1784" s="7"/>
    </row>
    <row r="1785" s="1" customFormat="1" ht="28.5" customHeight="1" spans="1:14">
      <c r="A1785" s="8"/>
      <c r="B1785" s="9"/>
      <c r="C1785" s="9" t="s">
        <v>1289</v>
      </c>
      <c r="D1785" s="9">
        <v>2000</v>
      </c>
      <c r="E1785" s="9"/>
      <c r="F1785" s="9"/>
      <c r="G1785" s="10" t="s">
        <v>2803</v>
      </c>
      <c r="H1785" s="10" t="s">
        <v>563</v>
      </c>
      <c r="I1785" s="10"/>
      <c r="J1785" s="9">
        <v>11203</v>
      </c>
      <c r="K1785" s="10" t="s">
        <v>2804</v>
      </c>
      <c r="L1785" s="10" t="s">
        <v>221</v>
      </c>
      <c r="M1785" s="10" t="s">
        <v>1834</v>
      </c>
      <c r="N1785" s="7"/>
    </row>
    <row r="1786" s="1" customFormat="1" ht="28.5" customHeight="1" spans="1:14">
      <c r="A1786" s="8"/>
      <c r="B1786" s="9"/>
      <c r="C1786" s="9" t="s">
        <v>1289</v>
      </c>
      <c r="D1786" s="9">
        <v>1500</v>
      </c>
      <c r="E1786" s="9"/>
      <c r="F1786" s="9"/>
      <c r="G1786" s="10" t="s">
        <v>2805</v>
      </c>
      <c r="H1786" s="10" t="s">
        <v>563</v>
      </c>
      <c r="I1786" s="10"/>
      <c r="J1786" s="9">
        <v>11204</v>
      </c>
      <c r="K1786" s="10" t="s">
        <v>2806</v>
      </c>
      <c r="L1786" s="10" t="s">
        <v>221</v>
      </c>
      <c r="M1786" s="10" t="s">
        <v>1834</v>
      </c>
      <c r="N1786" s="7"/>
    </row>
    <row r="1787" s="1" customFormat="1" ht="28.5" customHeight="1" spans="1:14">
      <c r="A1787" s="8"/>
      <c r="B1787" s="9"/>
      <c r="C1787" s="9" t="s">
        <v>1289</v>
      </c>
      <c r="D1787" s="9">
        <v>1000</v>
      </c>
      <c r="E1787" s="9"/>
      <c r="F1787" s="9"/>
      <c r="G1787" s="10" t="s">
        <v>2807</v>
      </c>
      <c r="H1787" s="10" t="s">
        <v>563</v>
      </c>
      <c r="I1787" s="10"/>
      <c r="J1787" s="9">
        <v>11205</v>
      </c>
      <c r="K1787" s="10" t="s">
        <v>2808</v>
      </c>
      <c r="L1787" s="10" t="s">
        <v>221</v>
      </c>
      <c r="M1787" s="10" t="s">
        <v>1834</v>
      </c>
      <c r="N1787" s="7"/>
    </row>
    <row r="1788" s="1" customFormat="1" ht="28.5" customHeight="1" spans="1:14">
      <c r="A1788" s="8">
        <v>50401</v>
      </c>
      <c r="B1788" s="9">
        <v>50401</v>
      </c>
      <c r="C1788" s="9" t="s">
        <v>32</v>
      </c>
      <c r="D1788" s="9">
        <v>0</v>
      </c>
      <c r="E1788" s="9"/>
      <c r="F1788" s="9">
        <v>50400</v>
      </c>
      <c r="G1788" s="10" t="s">
        <v>1261</v>
      </c>
      <c r="H1788" s="10" t="s">
        <v>563</v>
      </c>
      <c r="I1788" s="10"/>
      <c r="J1788" s="9">
        <v>61206</v>
      </c>
      <c r="K1788" s="10" t="s">
        <v>1841</v>
      </c>
      <c r="L1788" s="10" t="s">
        <v>218</v>
      </c>
      <c r="M1788" s="10" t="s">
        <v>1842</v>
      </c>
      <c r="N1788" s="7"/>
    </row>
    <row r="1789" s="1" customFormat="1" ht="28.5" customHeight="1" spans="1:14">
      <c r="A1789" s="8">
        <v>50401</v>
      </c>
      <c r="B1789" s="9">
        <v>50402</v>
      </c>
      <c r="C1789" s="9" t="s">
        <v>32</v>
      </c>
      <c r="D1789" s="9">
        <v>0</v>
      </c>
      <c r="E1789" s="9"/>
      <c r="F1789" s="9">
        <v>50400</v>
      </c>
      <c r="G1789" s="10" t="s">
        <v>1263</v>
      </c>
      <c r="H1789" s="10" t="s">
        <v>563</v>
      </c>
      <c r="I1789" s="10"/>
      <c r="J1789" s="9">
        <v>61207</v>
      </c>
      <c r="K1789" s="10" t="s">
        <v>1843</v>
      </c>
      <c r="L1789" s="10" t="s">
        <v>218</v>
      </c>
      <c r="M1789" s="10" t="s">
        <v>1842</v>
      </c>
      <c r="N1789" s="7"/>
    </row>
    <row r="1790" s="1" customFormat="1" ht="28.5" customHeight="1" spans="1:14">
      <c r="A1790" s="8">
        <v>50401</v>
      </c>
      <c r="B1790" s="9">
        <v>50403</v>
      </c>
      <c r="C1790" s="9" t="s">
        <v>32</v>
      </c>
      <c r="D1790" s="9">
        <v>0</v>
      </c>
      <c r="E1790" s="9"/>
      <c r="F1790" s="9">
        <v>50400</v>
      </c>
      <c r="G1790" s="10" t="s">
        <v>1265</v>
      </c>
      <c r="H1790" s="10" t="s">
        <v>563</v>
      </c>
      <c r="I1790" s="10"/>
      <c r="J1790" s="9">
        <v>61208</v>
      </c>
      <c r="K1790" s="10" t="s">
        <v>1844</v>
      </c>
      <c r="L1790" s="10" t="s">
        <v>218</v>
      </c>
      <c r="M1790" s="10" t="s">
        <v>1842</v>
      </c>
      <c r="N1790" s="7"/>
    </row>
    <row r="1791" s="1" customFormat="1" ht="28.5" customHeight="1" spans="1:14">
      <c r="A1791" s="8">
        <v>50401</v>
      </c>
      <c r="B1791" s="9">
        <v>50404</v>
      </c>
      <c r="C1791" s="9" t="s">
        <v>32</v>
      </c>
      <c r="D1791" s="9">
        <v>0</v>
      </c>
      <c r="E1791" s="9"/>
      <c r="F1791" s="9">
        <v>50400</v>
      </c>
      <c r="G1791" s="10" t="s">
        <v>1267</v>
      </c>
      <c r="H1791" s="10" t="s">
        <v>563</v>
      </c>
      <c r="I1791" s="10"/>
      <c r="J1791" s="9">
        <v>61209</v>
      </c>
      <c r="K1791" s="10" t="s">
        <v>1845</v>
      </c>
      <c r="L1791" s="10" t="s">
        <v>218</v>
      </c>
      <c r="M1791" s="10" t="s">
        <v>1842</v>
      </c>
      <c r="N1791" s="7"/>
    </row>
    <row r="1792" s="1" customFormat="1" ht="28.5" customHeight="1" spans="1:14">
      <c r="A1792" s="8">
        <v>50401</v>
      </c>
      <c r="B1792" s="9">
        <v>50405</v>
      </c>
      <c r="C1792" s="9" t="s">
        <v>32</v>
      </c>
      <c r="D1792" s="9">
        <v>0</v>
      </c>
      <c r="E1792" s="9"/>
      <c r="F1792" s="9">
        <v>50400</v>
      </c>
      <c r="G1792" s="10" t="s">
        <v>1269</v>
      </c>
      <c r="H1792" s="10" t="s">
        <v>563</v>
      </c>
      <c r="I1792" s="10"/>
      <c r="J1792" s="9">
        <v>61210</v>
      </c>
      <c r="K1792" s="10" t="s">
        <v>1846</v>
      </c>
      <c r="L1792" s="10" t="s">
        <v>218</v>
      </c>
      <c r="M1792" s="10" t="s">
        <v>1842</v>
      </c>
      <c r="N1792" s="7"/>
    </row>
    <row r="1793" s="1" customFormat="1" ht="28.5" customHeight="1" spans="1:14">
      <c r="A1793" s="8">
        <v>50401</v>
      </c>
      <c r="B1793" s="9">
        <v>50406</v>
      </c>
      <c r="C1793" s="9" t="s">
        <v>32</v>
      </c>
      <c r="D1793" s="9">
        <v>3000</v>
      </c>
      <c r="E1793" s="9"/>
      <c r="F1793" s="9">
        <v>50401</v>
      </c>
      <c r="G1793" s="10" t="s">
        <v>1847</v>
      </c>
      <c r="H1793" s="10" t="s">
        <v>563</v>
      </c>
      <c r="I1793" s="10"/>
      <c r="J1793" s="9">
        <v>21211</v>
      </c>
      <c r="K1793" s="10" t="s">
        <v>1848</v>
      </c>
      <c r="L1793" s="10" t="s">
        <v>221</v>
      </c>
      <c r="M1793" s="10" t="s">
        <v>1842</v>
      </c>
      <c r="N1793" s="7"/>
    </row>
    <row r="1794" s="1" customFormat="1" ht="28.5" customHeight="1" spans="1:14">
      <c r="A1794" s="8">
        <v>50401</v>
      </c>
      <c r="B1794" s="9">
        <v>50407</v>
      </c>
      <c r="C1794" s="9" t="s">
        <v>32</v>
      </c>
      <c r="D1794" s="9">
        <v>2500</v>
      </c>
      <c r="E1794" s="9"/>
      <c r="F1794" s="9">
        <v>50401</v>
      </c>
      <c r="G1794" s="10" t="s">
        <v>1849</v>
      </c>
      <c r="H1794" s="10" t="s">
        <v>563</v>
      </c>
      <c r="I1794" s="10"/>
      <c r="J1794" s="9">
        <v>21212</v>
      </c>
      <c r="K1794" s="10" t="s">
        <v>1850</v>
      </c>
      <c r="L1794" s="10" t="s">
        <v>221</v>
      </c>
      <c r="M1794" s="10" t="s">
        <v>1842</v>
      </c>
      <c r="N1794" s="7"/>
    </row>
    <row r="1795" s="1" customFormat="1" ht="28.5" customHeight="1" spans="1:14">
      <c r="A1795" s="8">
        <v>50401</v>
      </c>
      <c r="B1795" s="9">
        <v>50408</v>
      </c>
      <c r="C1795" s="9" t="s">
        <v>32</v>
      </c>
      <c r="D1795" s="9">
        <v>2000</v>
      </c>
      <c r="E1795" s="9"/>
      <c r="F1795" s="9">
        <v>50401</v>
      </c>
      <c r="G1795" s="10" t="s">
        <v>1851</v>
      </c>
      <c r="H1795" s="10" t="s">
        <v>563</v>
      </c>
      <c r="I1795" s="10"/>
      <c r="J1795" s="9">
        <v>21213</v>
      </c>
      <c r="K1795" s="10" t="s">
        <v>1852</v>
      </c>
      <c r="L1795" s="10" t="s">
        <v>221</v>
      </c>
      <c r="M1795" s="10" t="s">
        <v>1842</v>
      </c>
      <c r="N1795" s="7"/>
    </row>
    <row r="1796" s="1" customFormat="1" ht="28.5" customHeight="1" spans="1:14">
      <c r="A1796" s="8">
        <v>50401</v>
      </c>
      <c r="B1796" s="9">
        <v>50409</v>
      </c>
      <c r="C1796" s="9" t="s">
        <v>32</v>
      </c>
      <c r="D1796" s="9">
        <v>1500</v>
      </c>
      <c r="E1796" s="9"/>
      <c r="F1796" s="9">
        <v>50401</v>
      </c>
      <c r="G1796" s="10" t="s">
        <v>1853</v>
      </c>
      <c r="H1796" s="10" t="s">
        <v>563</v>
      </c>
      <c r="I1796" s="10"/>
      <c r="J1796" s="9">
        <v>21214</v>
      </c>
      <c r="K1796" s="10" t="s">
        <v>1854</v>
      </c>
      <c r="L1796" s="10" t="s">
        <v>221</v>
      </c>
      <c r="M1796" s="10" t="s">
        <v>1842</v>
      </c>
      <c r="N1796" s="7"/>
    </row>
    <row r="1797" s="1" customFormat="1" ht="28.5" customHeight="1" spans="1:14">
      <c r="A1797" s="8">
        <v>50401</v>
      </c>
      <c r="B1797" s="9">
        <v>50410</v>
      </c>
      <c r="C1797" s="9" t="s">
        <v>32</v>
      </c>
      <c r="D1797" s="9">
        <v>1000</v>
      </c>
      <c r="E1797" s="9"/>
      <c r="F1797" s="9">
        <v>50401</v>
      </c>
      <c r="G1797" s="10" t="s">
        <v>1855</v>
      </c>
      <c r="H1797" s="10" t="s">
        <v>563</v>
      </c>
      <c r="I1797" s="10"/>
      <c r="J1797" s="9">
        <v>21215</v>
      </c>
      <c r="K1797" s="10" t="s">
        <v>1856</v>
      </c>
      <c r="L1797" s="10" t="s">
        <v>221</v>
      </c>
      <c r="M1797" s="10" t="s">
        <v>1842</v>
      </c>
      <c r="N1797" s="7"/>
    </row>
    <row r="1798" s="1" customFormat="1" ht="28.5" customHeight="1" spans="1:14">
      <c r="A1798" s="8"/>
      <c r="B1798" s="9"/>
      <c r="C1798" s="9" t="s">
        <v>1289</v>
      </c>
      <c r="D1798" s="9">
        <v>3000</v>
      </c>
      <c r="E1798" s="9"/>
      <c r="F1798" s="9"/>
      <c r="G1798" s="10" t="s">
        <v>1857</v>
      </c>
      <c r="H1798" s="10" t="s">
        <v>563</v>
      </c>
      <c r="I1798" s="10"/>
      <c r="J1798" s="9">
        <v>91216</v>
      </c>
      <c r="K1798" s="10" t="s">
        <v>1858</v>
      </c>
      <c r="L1798" s="10" t="s">
        <v>224</v>
      </c>
      <c r="M1798" s="10" t="s">
        <v>1834</v>
      </c>
      <c r="N1798" s="7"/>
    </row>
    <row r="1799" s="1" customFormat="1" ht="28.5" customHeight="1" spans="1:14">
      <c r="A1799" s="8"/>
      <c r="B1799" s="9"/>
      <c r="C1799" s="9" t="s">
        <v>1289</v>
      </c>
      <c r="D1799" s="9">
        <v>2500</v>
      </c>
      <c r="E1799" s="9"/>
      <c r="F1799" s="9"/>
      <c r="G1799" s="10" t="s">
        <v>1857</v>
      </c>
      <c r="H1799" s="10" t="s">
        <v>563</v>
      </c>
      <c r="I1799" s="10"/>
      <c r="J1799" s="9">
        <v>91217</v>
      </c>
      <c r="K1799" s="10" t="s">
        <v>1858</v>
      </c>
      <c r="L1799" s="10" t="s">
        <v>224</v>
      </c>
      <c r="M1799" s="10" t="s">
        <v>1834</v>
      </c>
      <c r="N1799" s="7"/>
    </row>
    <row r="1800" s="1" customFormat="1" ht="28.5" customHeight="1" spans="1:14">
      <c r="A1800" s="8"/>
      <c r="B1800" s="9"/>
      <c r="C1800" s="9" t="s">
        <v>1289</v>
      </c>
      <c r="D1800" s="9">
        <v>2000</v>
      </c>
      <c r="E1800" s="9"/>
      <c r="F1800" s="9"/>
      <c r="G1800" s="10" t="s">
        <v>1857</v>
      </c>
      <c r="H1800" s="10" t="s">
        <v>563</v>
      </c>
      <c r="I1800" s="10"/>
      <c r="J1800" s="9">
        <v>91218</v>
      </c>
      <c r="K1800" s="10" t="s">
        <v>1858</v>
      </c>
      <c r="L1800" s="10" t="s">
        <v>224</v>
      </c>
      <c r="M1800" s="10" t="s">
        <v>1834</v>
      </c>
      <c r="N1800" s="7"/>
    </row>
    <row r="1801" s="1" customFormat="1" ht="28.5" customHeight="1" spans="1:14">
      <c r="A1801" s="8"/>
      <c r="B1801" s="9"/>
      <c r="C1801" s="9" t="s">
        <v>1289</v>
      </c>
      <c r="D1801" s="9">
        <v>1500</v>
      </c>
      <c r="E1801" s="9"/>
      <c r="F1801" s="9"/>
      <c r="G1801" s="10" t="s">
        <v>1857</v>
      </c>
      <c r="H1801" s="10" t="s">
        <v>563</v>
      </c>
      <c r="I1801" s="10"/>
      <c r="J1801" s="9">
        <v>91219</v>
      </c>
      <c r="K1801" s="10" t="s">
        <v>1858</v>
      </c>
      <c r="L1801" s="10" t="s">
        <v>224</v>
      </c>
      <c r="M1801" s="10" t="s">
        <v>1834</v>
      </c>
      <c r="N1801" s="7"/>
    </row>
    <row r="1802" s="1" customFormat="1" ht="28.5" customHeight="1" spans="1:14">
      <c r="A1802" s="8"/>
      <c r="B1802" s="9"/>
      <c r="C1802" s="9" t="s">
        <v>1289</v>
      </c>
      <c r="D1802" s="9">
        <v>1000</v>
      </c>
      <c r="E1802" s="9"/>
      <c r="F1802" s="9"/>
      <c r="G1802" s="10" t="s">
        <v>1857</v>
      </c>
      <c r="H1802" s="10" t="s">
        <v>563</v>
      </c>
      <c r="I1802" s="10"/>
      <c r="J1802" s="9">
        <v>91220</v>
      </c>
      <c r="K1802" s="10" t="s">
        <v>1858</v>
      </c>
      <c r="L1802" s="10" t="s">
        <v>224</v>
      </c>
      <c r="M1802" s="10" t="s">
        <v>1834</v>
      </c>
      <c r="N1802" s="7"/>
    </row>
    <row r="1803" s="1" customFormat="1" ht="28.5" customHeight="1" spans="1:14">
      <c r="A1803" s="8"/>
      <c r="B1803" s="9"/>
      <c r="C1803" s="9" t="s">
        <v>1289</v>
      </c>
      <c r="D1803" s="9">
        <v>3000</v>
      </c>
      <c r="E1803" s="9"/>
      <c r="F1803" s="9"/>
      <c r="G1803" s="10" t="s">
        <v>1859</v>
      </c>
      <c r="H1803" s="10" t="s">
        <v>563</v>
      </c>
      <c r="I1803" s="10"/>
      <c r="J1803" s="9">
        <v>71221</v>
      </c>
      <c r="K1803" s="10" t="s">
        <v>1860</v>
      </c>
      <c r="L1803" s="10" t="s">
        <v>228</v>
      </c>
      <c r="M1803" s="10" t="s">
        <v>1834</v>
      </c>
      <c r="N1803" s="7"/>
    </row>
    <row r="1804" s="1" customFormat="1" ht="28.5" customHeight="1" spans="1:14">
      <c r="A1804" s="8"/>
      <c r="B1804" s="9"/>
      <c r="C1804" s="9" t="s">
        <v>1289</v>
      </c>
      <c r="D1804" s="9">
        <v>2500</v>
      </c>
      <c r="E1804" s="9"/>
      <c r="F1804" s="9"/>
      <c r="G1804" s="10" t="s">
        <v>1859</v>
      </c>
      <c r="H1804" s="10" t="s">
        <v>563</v>
      </c>
      <c r="I1804" s="10"/>
      <c r="J1804" s="9">
        <v>71222</v>
      </c>
      <c r="K1804" s="10" t="s">
        <v>1860</v>
      </c>
      <c r="L1804" s="10" t="s">
        <v>228</v>
      </c>
      <c r="M1804" s="10" t="s">
        <v>1834</v>
      </c>
      <c r="N1804" s="7"/>
    </row>
    <row r="1805" s="1" customFormat="1" ht="28.5" customHeight="1" spans="1:14">
      <c r="A1805" s="8"/>
      <c r="B1805" s="9"/>
      <c r="C1805" s="9" t="s">
        <v>1289</v>
      </c>
      <c r="D1805" s="9">
        <v>2000</v>
      </c>
      <c r="E1805" s="9"/>
      <c r="F1805" s="9"/>
      <c r="G1805" s="10" t="s">
        <v>1859</v>
      </c>
      <c r="H1805" s="10" t="s">
        <v>563</v>
      </c>
      <c r="I1805" s="10"/>
      <c r="J1805" s="9">
        <v>71223</v>
      </c>
      <c r="K1805" s="10" t="s">
        <v>1860</v>
      </c>
      <c r="L1805" s="10" t="s">
        <v>228</v>
      </c>
      <c r="M1805" s="10" t="s">
        <v>1834</v>
      </c>
      <c r="N1805" s="7"/>
    </row>
    <row r="1806" s="1" customFormat="1" ht="28.5" customHeight="1" spans="1:14">
      <c r="A1806" s="8"/>
      <c r="B1806" s="9"/>
      <c r="C1806" s="9" t="s">
        <v>1289</v>
      </c>
      <c r="D1806" s="9">
        <v>1500</v>
      </c>
      <c r="E1806" s="9"/>
      <c r="F1806" s="9"/>
      <c r="G1806" s="10" t="s">
        <v>1859</v>
      </c>
      <c r="H1806" s="10" t="s">
        <v>563</v>
      </c>
      <c r="I1806" s="10"/>
      <c r="J1806" s="9">
        <v>71224</v>
      </c>
      <c r="K1806" s="10" t="s">
        <v>1860</v>
      </c>
      <c r="L1806" s="10" t="s">
        <v>228</v>
      </c>
      <c r="M1806" s="10" t="s">
        <v>1834</v>
      </c>
      <c r="N1806" s="7"/>
    </row>
    <row r="1807" s="1" customFormat="1" ht="28.5" customHeight="1" spans="1:14">
      <c r="A1807" s="8"/>
      <c r="B1807" s="9"/>
      <c r="C1807" s="9" t="s">
        <v>1289</v>
      </c>
      <c r="D1807" s="9">
        <v>1000</v>
      </c>
      <c r="E1807" s="9"/>
      <c r="F1807" s="9"/>
      <c r="G1807" s="10" t="s">
        <v>1859</v>
      </c>
      <c r="H1807" s="10" t="s">
        <v>563</v>
      </c>
      <c r="I1807" s="10"/>
      <c r="J1807" s="9">
        <v>71225</v>
      </c>
      <c r="K1807" s="10" t="s">
        <v>1860</v>
      </c>
      <c r="L1807" s="10" t="s">
        <v>228</v>
      </c>
      <c r="M1807" s="10" t="s">
        <v>1834</v>
      </c>
      <c r="N1807" s="7"/>
    </row>
    <row r="1808" s="1" customFormat="1" ht="28.5" customHeight="1" spans="1:14">
      <c r="A1808" s="8"/>
      <c r="B1808" s="9"/>
      <c r="C1808" s="9" t="s">
        <v>1289</v>
      </c>
      <c r="D1808" s="9">
        <v>3000</v>
      </c>
      <c r="E1808" s="9"/>
      <c r="F1808" s="9"/>
      <c r="G1808" s="10" t="s">
        <v>1861</v>
      </c>
      <c r="H1808" s="10" t="s">
        <v>563</v>
      </c>
      <c r="I1808" s="10"/>
      <c r="J1808" s="9">
        <v>81226</v>
      </c>
      <c r="K1808" s="10" t="s">
        <v>1862</v>
      </c>
      <c r="L1808" s="10" t="s">
        <v>231</v>
      </c>
      <c r="M1808" s="10" t="s">
        <v>1834</v>
      </c>
      <c r="N1808" s="7"/>
    </row>
    <row r="1809" s="1" customFormat="1" ht="28.5" customHeight="1" spans="1:14">
      <c r="A1809" s="8"/>
      <c r="B1809" s="9"/>
      <c r="C1809" s="9" t="s">
        <v>1289</v>
      </c>
      <c r="D1809" s="9">
        <v>2500</v>
      </c>
      <c r="E1809" s="9"/>
      <c r="F1809" s="9"/>
      <c r="G1809" s="10" t="s">
        <v>1861</v>
      </c>
      <c r="H1809" s="10" t="s">
        <v>563</v>
      </c>
      <c r="I1809" s="10"/>
      <c r="J1809" s="9">
        <v>81227</v>
      </c>
      <c r="K1809" s="10" t="s">
        <v>1862</v>
      </c>
      <c r="L1809" s="10" t="s">
        <v>231</v>
      </c>
      <c r="M1809" s="10" t="s">
        <v>1834</v>
      </c>
      <c r="N1809" s="7"/>
    </row>
    <row r="1810" s="1" customFormat="1" ht="28.5" customHeight="1" spans="1:14">
      <c r="A1810" s="8"/>
      <c r="B1810" s="9"/>
      <c r="C1810" s="9" t="s">
        <v>1289</v>
      </c>
      <c r="D1810" s="9">
        <v>2000</v>
      </c>
      <c r="E1810" s="9"/>
      <c r="F1810" s="9"/>
      <c r="G1810" s="10" t="s">
        <v>1861</v>
      </c>
      <c r="H1810" s="10" t="s">
        <v>563</v>
      </c>
      <c r="I1810" s="10"/>
      <c r="J1810" s="9">
        <v>81228</v>
      </c>
      <c r="K1810" s="10" t="s">
        <v>1862</v>
      </c>
      <c r="L1810" s="10" t="s">
        <v>231</v>
      </c>
      <c r="M1810" s="10" t="s">
        <v>1834</v>
      </c>
      <c r="N1810" s="7"/>
    </row>
    <row r="1811" s="1" customFormat="1" ht="28.5" customHeight="1" spans="1:14">
      <c r="A1811" s="8"/>
      <c r="B1811" s="9"/>
      <c r="C1811" s="9" t="s">
        <v>1289</v>
      </c>
      <c r="D1811" s="9">
        <v>1500</v>
      </c>
      <c r="E1811" s="9"/>
      <c r="F1811" s="9"/>
      <c r="G1811" s="10" t="s">
        <v>1861</v>
      </c>
      <c r="H1811" s="10" t="s">
        <v>563</v>
      </c>
      <c r="I1811" s="10"/>
      <c r="J1811" s="9">
        <v>81229</v>
      </c>
      <c r="K1811" s="10" t="s">
        <v>1862</v>
      </c>
      <c r="L1811" s="10" t="s">
        <v>231</v>
      </c>
      <c r="M1811" s="10" t="s">
        <v>1834</v>
      </c>
      <c r="N1811" s="7"/>
    </row>
    <row r="1812" s="1" customFormat="1" ht="28.5" customHeight="1" spans="1:14">
      <c r="A1812" s="8"/>
      <c r="B1812" s="9"/>
      <c r="C1812" s="9" t="s">
        <v>1289</v>
      </c>
      <c r="D1812" s="9">
        <v>1000</v>
      </c>
      <c r="E1812" s="9"/>
      <c r="F1812" s="9"/>
      <c r="G1812" s="10" t="s">
        <v>1861</v>
      </c>
      <c r="H1812" s="10" t="s">
        <v>563</v>
      </c>
      <c r="I1812" s="10"/>
      <c r="J1812" s="9">
        <v>81230</v>
      </c>
      <c r="K1812" s="10" t="s">
        <v>1862</v>
      </c>
      <c r="L1812" s="10" t="s">
        <v>231</v>
      </c>
      <c r="M1812" s="10" t="s">
        <v>1834</v>
      </c>
      <c r="N1812" s="7"/>
    </row>
    <row r="1813" s="1" customFormat="1" ht="28.5" customHeight="1" spans="1:14">
      <c r="A1813" s="8"/>
      <c r="B1813" s="9"/>
      <c r="C1813" s="9" t="s">
        <v>1289</v>
      </c>
      <c r="D1813" s="9">
        <v>3000</v>
      </c>
      <c r="E1813" s="9"/>
      <c r="F1813" s="9"/>
      <c r="G1813" s="10" t="s">
        <v>2809</v>
      </c>
      <c r="H1813" s="10" t="s">
        <v>563</v>
      </c>
      <c r="I1813" s="10"/>
      <c r="J1813" s="9">
        <v>101231</v>
      </c>
      <c r="K1813" s="10" t="s">
        <v>378</v>
      </c>
      <c r="L1813" s="10" t="s">
        <v>248</v>
      </c>
      <c r="M1813" s="10" t="s">
        <v>1834</v>
      </c>
      <c r="N1813" s="7"/>
    </row>
    <row r="1814" s="1" customFormat="1" ht="28.5" customHeight="1" spans="1:14">
      <c r="A1814" s="8"/>
      <c r="B1814" s="9"/>
      <c r="C1814" s="9" t="s">
        <v>1289</v>
      </c>
      <c r="D1814" s="9">
        <v>2500</v>
      </c>
      <c r="E1814" s="9"/>
      <c r="F1814" s="9"/>
      <c r="G1814" s="10" t="s">
        <v>2809</v>
      </c>
      <c r="H1814" s="10" t="s">
        <v>563</v>
      </c>
      <c r="I1814" s="10"/>
      <c r="J1814" s="9">
        <v>101232</v>
      </c>
      <c r="K1814" s="10" t="s">
        <v>378</v>
      </c>
      <c r="L1814" s="10" t="s">
        <v>248</v>
      </c>
      <c r="M1814" s="10" t="s">
        <v>1834</v>
      </c>
      <c r="N1814" s="7"/>
    </row>
    <row r="1815" s="1" customFormat="1" ht="28.5" customHeight="1" spans="1:14">
      <c r="A1815" s="8"/>
      <c r="B1815" s="9"/>
      <c r="C1815" s="9" t="s">
        <v>1289</v>
      </c>
      <c r="D1815" s="9">
        <v>2000</v>
      </c>
      <c r="E1815" s="9"/>
      <c r="F1815" s="9"/>
      <c r="G1815" s="10" t="s">
        <v>2809</v>
      </c>
      <c r="H1815" s="10" t="s">
        <v>563</v>
      </c>
      <c r="I1815" s="10"/>
      <c r="J1815" s="9">
        <v>101233</v>
      </c>
      <c r="K1815" s="10" t="s">
        <v>378</v>
      </c>
      <c r="L1815" s="10" t="s">
        <v>248</v>
      </c>
      <c r="M1815" s="10" t="s">
        <v>1834</v>
      </c>
      <c r="N1815" s="7"/>
    </row>
    <row r="1816" s="1" customFormat="1" ht="28.5" customHeight="1" spans="1:14">
      <c r="A1816" s="8"/>
      <c r="B1816" s="9"/>
      <c r="C1816" s="9" t="s">
        <v>1289</v>
      </c>
      <c r="D1816" s="9">
        <v>1500</v>
      </c>
      <c r="E1816" s="9"/>
      <c r="F1816" s="9"/>
      <c r="G1816" s="10" t="s">
        <v>2809</v>
      </c>
      <c r="H1816" s="10" t="s">
        <v>563</v>
      </c>
      <c r="I1816" s="10"/>
      <c r="J1816" s="9">
        <v>101234</v>
      </c>
      <c r="K1816" s="10" t="s">
        <v>378</v>
      </c>
      <c r="L1816" s="10" t="s">
        <v>248</v>
      </c>
      <c r="M1816" s="10" t="s">
        <v>1834</v>
      </c>
      <c r="N1816" s="7"/>
    </row>
    <row r="1817" s="1" customFormat="1" ht="28.5" customHeight="1" spans="1:14">
      <c r="A1817" s="8"/>
      <c r="B1817" s="9"/>
      <c r="C1817" s="9" t="s">
        <v>1289</v>
      </c>
      <c r="D1817" s="9">
        <v>1000</v>
      </c>
      <c r="E1817" s="9"/>
      <c r="F1817" s="9"/>
      <c r="G1817" s="10" t="s">
        <v>2809</v>
      </c>
      <c r="H1817" s="10" t="s">
        <v>563</v>
      </c>
      <c r="I1817" s="10"/>
      <c r="J1817" s="9">
        <v>101235</v>
      </c>
      <c r="K1817" s="10" t="s">
        <v>378</v>
      </c>
      <c r="L1817" s="10" t="s">
        <v>248</v>
      </c>
      <c r="M1817" s="10" t="s">
        <v>1834</v>
      </c>
      <c r="N1817" s="7"/>
    </row>
    <row r="1818" s="1" customFormat="1" ht="28.5" customHeight="1" spans="1:14">
      <c r="A1818" s="8"/>
      <c r="B1818" s="9"/>
      <c r="C1818" s="9" t="s">
        <v>1289</v>
      </c>
      <c r="D1818" s="9">
        <v>3000</v>
      </c>
      <c r="E1818" s="9"/>
      <c r="F1818" s="9"/>
      <c r="G1818" s="10" t="s">
        <v>2810</v>
      </c>
      <c r="H1818" s="10" t="s">
        <v>563</v>
      </c>
      <c r="I1818" s="10"/>
      <c r="J1818" s="9">
        <v>11236</v>
      </c>
      <c r="K1818" s="10" t="s">
        <v>2811</v>
      </c>
      <c r="L1818" s="10" t="s">
        <v>379</v>
      </c>
      <c r="M1818" s="10" t="s">
        <v>1834</v>
      </c>
      <c r="N1818" s="7"/>
    </row>
    <row r="1819" s="1" customFormat="1" ht="28.5" customHeight="1" spans="1:14">
      <c r="A1819" s="8"/>
      <c r="B1819" s="9"/>
      <c r="C1819" s="9" t="s">
        <v>1289</v>
      </c>
      <c r="D1819" s="9">
        <v>2500</v>
      </c>
      <c r="E1819" s="9"/>
      <c r="F1819" s="9"/>
      <c r="G1819" s="10" t="s">
        <v>2812</v>
      </c>
      <c r="H1819" s="10" t="s">
        <v>563</v>
      </c>
      <c r="I1819" s="10"/>
      <c r="J1819" s="9">
        <v>11237</v>
      </c>
      <c r="K1819" s="10" t="s">
        <v>2813</v>
      </c>
      <c r="L1819" s="10" t="s">
        <v>379</v>
      </c>
      <c r="M1819" s="10" t="s">
        <v>1834</v>
      </c>
      <c r="N1819" s="7"/>
    </row>
    <row r="1820" s="1" customFormat="1" ht="28.5" customHeight="1" spans="1:14">
      <c r="A1820" s="8"/>
      <c r="B1820" s="9"/>
      <c r="C1820" s="9" t="s">
        <v>1289</v>
      </c>
      <c r="D1820" s="9">
        <v>2000</v>
      </c>
      <c r="E1820" s="9"/>
      <c r="F1820" s="9"/>
      <c r="G1820" s="10" t="s">
        <v>2814</v>
      </c>
      <c r="H1820" s="10" t="s">
        <v>563</v>
      </c>
      <c r="I1820" s="10"/>
      <c r="J1820" s="9">
        <v>11238</v>
      </c>
      <c r="K1820" s="10" t="s">
        <v>2815</v>
      </c>
      <c r="L1820" s="10" t="s">
        <v>379</v>
      </c>
      <c r="M1820" s="10" t="s">
        <v>1834</v>
      </c>
      <c r="N1820" s="7"/>
    </row>
    <row r="1821" s="1" customFormat="1" ht="28.5" customHeight="1" spans="1:14">
      <c r="A1821" s="8"/>
      <c r="B1821" s="9"/>
      <c r="C1821" s="9" t="s">
        <v>1289</v>
      </c>
      <c r="D1821" s="9">
        <v>1500</v>
      </c>
      <c r="E1821" s="9"/>
      <c r="F1821" s="9"/>
      <c r="G1821" s="10" t="s">
        <v>2816</v>
      </c>
      <c r="H1821" s="10" t="s">
        <v>563</v>
      </c>
      <c r="I1821" s="10"/>
      <c r="J1821" s="9">
        <v>11239</v>
      </c>
      <c r="K1821" s="10" t="s">
        <v>2817</v>
      </c>
      <c r="L1821" s="10" t="s">
        <v>379</v>
      </c>
      <c r="M1821" s="10" t="s">
        <v>1834</v>
      </c>
      <c r="N1821" s="7"/>
    </row>
    <row r="1822" s="1" customFormat="1" ht="28.5" customHeight="1" spans="1:14">
      <c r="A1822" s="8"/>
      <c r="B1822" s="9"/>
      <c r="C1822" s="9" t="s">
        <v>1289</v>
      </c>
      <c r="D1822" s="9">
        <v>1000</v>
      </c>
      <c r="E1822" s="9"/>
      <c r="F1822" s="9"/>
      <c r="G1822" s="10" t="s">
        <v>2818</v>
      </c>
      <c r="H1822" s="10" t="s">
        <v>563</v>
      </c>
      <c r="I1822" s="10"/>
      <c r="J1822" s="9">
        <v>11240</v>
      </c>
      <c r="K1822" s="10" t="s">
        <v>2819</v>
      </c>
      <c r="L1822" s="10" t="s">
        <v>379</v>
      </c>
      <c r="M1822" s="10" t="s">
        <v>1834</v>
      </c>
      <c r="N1822" s="7"/>
    </row>
    <row r="1823" s="1" customFormat="1" ht="28.5" customHeight="1" spans="1:14">
      <c r="A1823" s="8">
        <v>50401</v>
      </c>
      <c r="B1823" s="9">
        <v>50411</v>
      </c>
      <c r="C1823" s="9" t="s">
        <v>32</v>
      </c>
      <c r="D1823" s="9">
        <v>3000</v>
      </c>
      <c r="E1823" s="9"/>
      <c r="F1823" s="9">
        <v>50402</v>
      </c>
      <c r="G1823" s="10" t="s">
        <v>1755</v>
      </c>
      <c r="H1823" s="10" t="s">
        <v>563</v>
      </c>
      <c r="I1823" s="10"/>
      <c r="J1823" s="9">
        <v>51241</v>
      </c>
      <c r="K1823" s="10" t="s">
        <v>2820</v>
      </c>
      <c r="L1823" s="10" t="s">
        <v>382</v>
      </c>
      <c r="M1823" s="10" t="s">
        <v>1842</v>
      </c>
      <c r="N1823" s="7"/>
    </row>
    <row r="1824" s="1" customFormat="1" ht="28.5" customHeight="1" spans="1:14">
      <c r="A1824" s="8">
        <v>50401</v>
      </c>
      <c r="B1824" s="9">
        <v>50412</v>
      </c>
      <c r="C1824" s="9" t="s">
        <v>32</v>
      </c>
      <c r="D1824" s="9">
        <v>2500</v>
      </c>
      <c r="E1824" s="9"/>
      <c r="F1824" s="9">
        <v>50402</v>
      </c>
      <c r="G1824" s="10" t="s">
        <v>1757</v>
      </c>
      <c r="H1824" s="10" t="s">
        <v>563</v>
      </c>
      <c r="I1824" s="10"/>
      <c r="J1824" s="9">
        <v>51242</v>
      </c>
      <c r="K1824" s="10" t="s">
        <v>2821</v>
      </c>
      <c r="L1824" s="10" t="s">
        <v>382</v>
      </c>
      <c r="M1824" s="10" t="s">
        <v>1842</v>
      </c>
      <c r="N1824" s="7"/>
    </row>
    <row r="1825" s="1" customFormat="1" ht="28.5" customHeight="1" spans="1:14">
      <c r="A1825" s="8">
        <v>50401</v>
      </c>
      <c r="B1825" s="9">
        <v>50413</v>
      </c>
      <c r="C1825" s="9" t="s">
        <v>32</v>
      </c>
      <c r="D1825" s="9">
        <v>2000</v>
      </c>
      <c r="E1825" s="9"/>
      <c r="F1825" s="9">
        <v>50402</v>
      </c>
      <c r="G1825" s="10" t="s">
        <v>2822</v>
      </c>
      <c r="H1825" s="10" t="s">
        <v>563</v>
      </c>
      <c r="I1825" s="10"/>
      <c r="J1825" s="9">
        <v>51243</v>
      </c>
      <c r="K1825" s="10" t="s">
        <v>2823</v>
      </c>
      <c r="L1825" s="10" t="s">
        <v>382</v>
      </c>
      <c r="M1825" s="10" t="s">
        <v>1842</v>
      </c>
      <c r="N1825" s="7"/>
    </row>
    <row r="1826" s="1" customFormat="1" ht="28.5" customHeight="1" spans="1:14">
      <c r="A1826" s="8">
        <v>50401</v>
      </c>
      <c r="B1826" s="9">
        <v>50414</v>
      </c>
      <c r="C1826" s="9" t="s">
        <v>32</v>
      </c>
      <c r="D1826" s="9">
        <v>1500</v>
      </c>
      <c r="E1826" s="9"/>
      <c r="F1826" s="9">
        <v>50402</v>
      </c>
      <c r="G1826" s="10" t="s">
        <v>2824</v>
      </c>
      <c r="H1826" s="10" t="s">
        <v>563</v>
      </c>
      <c r="I1826" s="10"/>
      <c r="J1826" s="9">
        <v>51244</v>
      </c>
      <c r="K1826" s="10" t="s">
        <v>2825</v>
      </c>
      <c r="L1826" s="10" t="s">
        <v>382</v>
      </c>
      <c r="M1826" s="10" t="s">
        <v>1842</v>
      </c>
      <c r="N1826" s="7"/>
    </row>
    <row r="1827" s="1" customFormat="1" ht="28.5" customHeight="1" spans="1:14">
      <c r="A1827" s="8">
        <v>50401</v>
      </c>
      <c r="B1827" s="9">
        <v>50415</v>
      </c>
      <c r="C1827" s="9" t="s">
        <v>32</v>
      </c>
      <c r="D1827" s="9">
        <v>1000</v>
      </c>
      <c r="E1827" s="9"/>
      <c r="F1827" s="9">
        <v>50402</v>
      </c>
      <c r="G1827" s="10" t="s">
        <v>1765</v>
      </c>
      <c r="H1827" s="10" t="s">
        <v>563</v>
      </c>
      <c r="I1827" s="10"/>
      <c r="J1827" s="9">
        <v>51245</v>
      </c>
      <c r="K1827" s="10" t="s">
        <v>2826</v>
      </c>
      <c r="L1827" s="10" t="s">
        <v>382</v>
      </c>
      <c r="M1827" s="10" t="s">
        <v>1842</v>
      </c>
      <c r="N1827" s="7"/>
    </row>
    <row r="1828" s="1" customFormat="1" ht="28.5" customHeight="1" spans="1:14">
      <c r="A1828" s="8">
        <v>50401</v>
      </c>
      <c r="B1828" s="9">
        <v>50416</v>
      </c>
      <c r="C1828" s="9" t="s">
        <v>32</v>
      </c>
      <c r="D1828" s="9">
        <v>0</v>
      </c>
      <c r="E1828" s="9"/>
      <c r="F1828" s="9">
        <v>50403</v>
      </c>
      <c r="G1828" s="10" t="s">
        <v>2827</v>
      </c>
      <c r="H1828" s="10" t="s">
        <v>563</v>
      </c>
      <c r="I1828" s="10"/>
      <c r="J1828" s="9">
        <v>61246</v>
      </c>
      <c r="K1828" s="10" t="s">
        <v>2828</v>
      </c>
      <c r="L1828" s="10" t="s">
        <v>384</v>
      </c>
      <c r="M1828" s="10" t="s">
        <v>1842</v>
      </c>
      <c r="N1828" s="7"/>
    </row>
    <row r="1829" s="1" customFormat="1" ht="28.5" customHeight="1" spans="1:14">
      <c r="A1829" s="8">
        <v>50401</v>
      </c>
      <c r="B1829" s="9">
        <v>50417</v>
      </c>
      <c r="C1829" s="9" t="s">
        <v>32</v>
      </c>
      <c r="D1829" s="9">
        <v>0</v>
      </c>
      <c r="E1829" s="9"/>
      <c r="F1829" s="9">
        <v>50403</v>
      </c>
      <c r="G1829" s="10" t="s">
        <v>2829</v>
      </c>
      <c r="H1829" s="10" t="s">
        <v>563</v>
      </c>
      <c r="I1829" s="10"/>
      <c r="J1829" s="9">
        <v>61247</v>
      </c>
      <c r="K1829" s="10" t="s">
        <v>2830</v>
      </c>
      <c r="L1829" s="10" t="s">
        <v>384</v>
      </c>
      <c r="M1829" s="10" t="s">
        <v>1842</v>
      </c>
      <c r="N1829" s="7"/>
    </row>
    <row r="1830" s="1" customFormat="1" ht="28.5" customHeight="1" spans="1:14">
      <c r="A1830" s="8">
        <v>50401</v>
      </c>
      <c r="B1830" s="9">
        <v>50418</v>
      </c>
      <c r="C1830" s="9" t="s">
        <v>32</v>
      </c>
      <c r="D1830" s="9">
        <v>0</v>
      </c>
      <c r="E1830" s="9"/>
      <c r="F1830" s="9">
        <v>50403</v>
      </c>
      <c r="G1830" s="10" t="s">
        <v>2831</v>
      </c>
      <c r="H1830" s="10" t="s">
        <v>563</v>
      </c>
      <c r="I1830" s="10"/>
      <c r="J1830" s="9">
        <v>61248</v>
      </c>
      <c r="K1830" s="10" t="s">
        <v>2832</v>
      </c>
      <c r="L1830" s="10" t="s">
        <v>384</v>
      </c>
      <c r="M1830" s="10" t="s">
        <v>1842</v>
      </c>
      <c r="N1830" s="7"/>
    </row>
    <row r="1831" s="1" customFormat="1" ht="28.5" customHeight="1" spans="1:14">
      <c r="A1831" s="8">
        <v>50401</v>
      </c>
      <c r="B1831" s="9">
        <v>50419</v>
      </c>
      <c r="C1831" s="9" t="s">
        <v>32</v>
      </c>
      <c r="D1831" s="9">
        <v>0</v>
      </c>
      <c r="E1831" s="9"/>
      <c r="F1831" s="9">
        <v>50403</v>
      </c>
      <c r="G1831" s="10" t="s">
        <v>2833</v>
      </c>
      <c r="H1831" s="10" t="s">
        <v>563</v>
      </c>
      <c r="I1831" s="10"/>
      <c r="J1831" s="9">
        <v>61249</v>
      </c>
      <c r="K1831" s="10" t="s">
        <v>2834</v>
      </c>
      <c r="L1831" s="10" t="s">
        <v>384</v>
      </c>
      <c r="M1831" s="10" t="s">
        <v>1842</v>
      </c>
      <c r="N1831" s="7"/>
    </row>
    <row r="1832" s="1" customFormat="1" ht="28.5" customHeight="1" spans="1:14">
      <c r="A1832" s="8">
        <v>50401</v>
      </c>
      <c r="B1832" s="9">
        <v>50420</v>
      </c>
      <c r="C1832" s="9" t="s">
        <v>32</v>
      </c>
      <c r="D1832" s="9">
        <v>0</v>
      </c>
      <c r="E1832" s="9"/>
      <c r="F1832" s="9">
        <v>50403</v>
      </c>
      <c r="G1832" s="10" t="s">
        <v>2835</v>
      </c>
      <c r="H1832" s="10" t="s">
        <v>563</v>
      </c>
      <c r="I1832" s="10"/>
      <c r="J1832" s="9">
        <v>61250</v>
      </c>
      <c r="K1832" s="10" t="s">
        <v>2836</v>
      </c>
      <c r="L1832" s="10" t="s">
        <v>384</v>
      </c>
      <c r="M1832" s="10" t="s">
        <v>1842</v>
      </c>
      <c r="N1832" s="7"/>
    </row>
    <row r="1833" s="1" customFormat="1" ht="28.5" customHeight="1" spans="1:14">
      <c r="A1833" s="8"/>
      <c r="B1833" s="9"/>
      <c r="C1833" s="9" t="s">
        <v>1289</v>
      </c>
      <c r="D1833" s="9">
        <v>3000</v>
      </c>
      <c r="E1833" s="9"/>
      <c r="F1833" s="9"/>
      <c r="G1833" s="10" t="s">
        <v>2837</v>
      </c>
      <c r="H1833" s="10" t="s">
        <v>563</v>
      </c>
      <c r="I1833" s="10"/>
      <c r="J1833" s="9">
        <v>31251</v>
      </c>
      <c r="K1833" s="10" t="s">
        <v>2838</v>
      </c>
      <c r="L1833" s="10" t="s">
        <v>387</v>
      </c>
      <c r="M1833" s="10" t="s">
        <v>1834</v>
      </c>
      <c r="N1833" s="7"/>
    </row>
    <row r="1834" s="1" customFormat="1" ht="28.5" customHeight="1" spans="1:14">
      <c r="A1834" s="8"/>
      <c r="B1834" s="9"/>
      <c r="C1834" s="9" t="s">
        <v>1289</v>
      </c>
      <c r="D1834" s="9">
        <v>2500</v>
      </c>
      <c r="E1834" s="9"/>
      <c r="F1834" s="9"/>
      <c r="G1834" s="10" t="s">
        <v>2839</v>
      </c>
      <c r="H1834" s="10" t="s">
        <v>563</v>
      </c>
      <c r="I1834" s="10"/>
      <c r="J1834" s="9">
        <v>31252</v>
      </c>
      <c r="K1834" s="10" t="s">
        <v>2840</v>
      </c>
      <c r="L1834" s="10" t="s">
        <v>387</v>
      </c>
      <c r="M1834" s="10" t="s">
        <v>1834</v>
      </c>
      <c r="N1834" s="7"/>
    </row>
    <row r="1835" s="1" customFormat="1" ht="28.5" customHeight="1" spans="1:14">
      <c r="A1835" s="8"/>
      <c r="B1835" s="9"/>
      <c r="C1835" s="9" t="s">
        <v>1289</v>
      </c>
      <c r="D1835" s="9">
        <v>2000</v>
      </c>
      <c r="E1835" s="9"/>
      <c r="F1835" s="9"/>
      <c r="G1835" s="10" t="s">
        <v>2841</v>
      </c>
      <c r="H1835" s="10" t="s">
        <v>563</v>
      </c>
      <c r="I1835" s="10"/>
      <c r="J1835" s="9">
        <v>31253</v>
      </c>
      <c r="K1835" s="10" t="s">
        <v>2842</v>
      </c>
      <c r="L1835" s="10" t="s">
        <v>387</v>
      </c>
      <c r="M1835" s="10" t="s">
        <v>1834</v>
      </c>
      <c r="N1835" s="7"/>
    </row>
    <row r="1836" s="1" customFormat="1" ht="28.5" customHeight="1" spans="1:14">
      <c r="A1836" s="8"/>
      <c r="B1836" s="9"/>
      <c r="C1836" s="9" t="s">
        <v>1289</v>
      </c>
      <c r="D1836" s="9">
        <v>1500</v>
      </c>
      <c r="E1836" s="9"/>
      <c r="F1836" s="9"/>
      <c r="G1836" s="10" t="s">
        <v>2843</v>
      </c>
      <c r="H1836" s="10" t="s">
        <v>563</v>
      </c>
      <c r="I1836" s="10"/>
      <c r="J1836" s="9">
        <v>31254</v>
      </c>
      <c r="K1836" s="10" t="s">
        <v>2844</v>
      </c>
      <c r="L1836" s="10" t="s">
        <v>387</v>
      </c>
      <c r="M1836" s="10" t="s">
        <v>1834</v>
      </c>
      <c r="N1836" s="7"/>
    </row>
    <row r="1837" s="1" customFormat="1" ht="28.5" customHeight="1" spans="1:14">
      <c r="A1837" s="8"/>
      <c r="B1837" s="9"/>
      <c r="C1837" s="9" t="s">
        <v>1289</v>
      </c>
      <c r="D1837" s="9">
        <v>1000</v>
      </c>
      <c r="E1837" s="9"/>
      <c r="F1837" s="9"/>
      <c r="G1837" s="10" t="s">
        <v>2845</v>
      </c>
      <c r="H1837" s="10" t="s">
        <v>563</v>
      </c>
      <c r="I1837" s="10"/>
      <c r="J1837" s="9">
        <v>31255</v>
      </c>
      <c r="K1837" s="10" t="s">
        <v>2846</v>
      </c>
      <c r="L1837" s="10" t="s">
        <v>387</v>
      </c>
      <c r="M1837" s="10" t="s">
        <v>1834</v>
      </c>
      <c r="N1837" s="7"/>
    </row>
    <row r="1838" s="1" customFormat="1" ht="28.5" customHeight="1" spans="1:14">
      <c r="A1838" s="8">
        <v>50401</v>
      </c>
      <c r="B1838" s="9">
        <v>50421</v>
      </c>
      <c r="C1838" s="9" t="s">
        <v>32</v>
      </c>
      <c r="D1838" s="9">
        <v>3000</v>
      </c>
      <c r="E1838" s="9"/>
      <c r="F1838" s="9">
        <v>50404</v>
      </c>
      <c r="G1838" s="10" t="s">
        <v>2847</v>
      </c>
      <c r="H1838" s="10" t="s">
        <v>563</v>
      </c>
      <c r="I1838" s="10"/>
      <c r="J1838" s="9">
        <v>41256</v>
      </c>
      <c r="K1838" s="10" t="s">
        <v>2848</v>
      </c>
      <c r="L1838" s="10" t="s">
        <v>390</v>
      </c>
      <c r="M1838" s="10" t="s">
        <v>1842</v>
      </c>
      <c r="N1838" s="7"/>
    </row>
    <row r="1839" s="1" customFormat="1" ht="28.5" customHeight="1" spans="1:14">
      <c r="A1839" s="8">
        <v>50401</v>
      </c>
      <c r="B1839" s="9">
        <v>50422</v>
      </c>
      <c r="C1839" s="9" t="s">
        <v>32</v>
      </c>
      <c r="D1839" s="9">
        <v>2500</v>
      </c>
      <c r="E1839" s="9"/>
      <c r="F1839" s="9">
        <v>50404</v>
      </c>
      <c r="G1839" s="10" t="s">
        <v>2849</v>
      </c>
      <c r="H1839" s="10" t="s">
        <v>563</v>
      </c>
      <c r="I1839" s="10"/>
      <c r="J1839" s="9">
        <v>41257</v>
      </c>
      <c r="K1839" s="10" t="s">
        <v>2850</v>
      </c>
      <c r="L1839" s="10" t="s">
        <v>390</v>
      </c>
      <c r="M1839" s="10" t="s">
        <v>1842</v>
      </c>
      <c r="N1839" s="7"/>
    </row>
    <row r="1840" s="1" customFormat="1" ht="28.5" customHeight="1" spans="1:14">
      <c r="A1840" s="8">
        <v>50401</v>
      </c>
      <c r="B1840" s="9">
        <v>50423</v>
      </c>
      <c r="C1840" s="9" t="s">
        <v>32</v>
      </c>
      <c r="D1840" s="9">
        <v>2000</v>
      </c>
      <c r="E1840" s="9"/>
      <c r="F1840" s="9">
        <v>50404</v>
      </c>
      <c r="G1840" s="10" t="s">
        <v>2851</v>
      </c>
      <c r="H1840" s="10" t="s">
        <v>563</v>
      </c>
      <c r="I1840" s="10"/>
      <c r="J1840" s="9">
        <v>41258</v>
      </c>
      <c r="K1840" s="10" t="s">
        <v>2852</v>
      </c>
      <c r="L1840" s="10" t="s">
        <v>390</v>
      </c>
      <c r="M1840" s="10" t="s">
        <v>1842</v>
      </c>
      <c r="N1840" s="7"/>
    </row>
    <row r="1841" s="1" customFormat="1" ht="28.5" customHeight="1" spans="1:14">
      <c r="A1841" s="8">
        <v>50401</v>
      </c>
      <c r="B1841" s="9">
        <v>50424</v>
      </c>
      <c r="C1841" s="9" t="s">
        <v>32</v>
      </c>
      <c r="D1841" s="9">
        <v>1500</v>
      </c>
      <c r="E1841" s="9"/>
      <c r="F1841" s="9">
        <v>50404</v>
      </c>
      <c r="G1841" s="10" t="s">
        <v>2853</v>
      </c>
      <c r="H1841" s="10" t="s">
        <v>563</v>
      </c>
      <c r="I1841" s="10"/>
      <c r="J1841" s="9">
        <v>41259</v>
      </c>
      <c r="K1841" s="10" t="s">
        <v>2854</v>
      </c>
      <c r="L1841" s="10" t="s">
        <v>390</v>
      </c>
      <c r="M1841" s="10" t="s">
        <v>1842</v>
      </c>
      <c r="N1841" s="7"/>
    </row>
    <row r="1842" s="1" customFormat="1" ht="28.5" customHeight="1" spans="1:14">
      <c r="A1842" s="8">
        <v>50401</v>
      </c>
      <c r="B1842" s="9">
        <v>50425</v>
      </c>
      <c r="C1842" s="9" t="s">
        <v>32</v>
      </c>
      <c r="D1842" s="9">
        <v>1000</v>
      </c>
      <c r="E1842" s="9"/>
      <c r="F1842" s="9">
        <v>50404</v>
      </c>
      <c r="G1842" s="10" t="s">
        <v>2855</v>
      </c>
      <c r="H1842" s="10" t="s">
        <v>563</v>
      </c>
      <c r="I1842" s="10"/>
      <c r="J1842" s="9">
        <v>41260</v>
      </c>
      <c r="K1842" s="10" t="s">
        <v>2856</v>
      </c>
      <c r="L1842" s="10" t="s">
        <v>390</v>
      </c>
      <c r="M1842" s="10" t="s">
        <v>1842</v>
      </c>
      <c r="N1842" s="7"/>
    </row>
    <row r="1843" s="1" customFormat="1" ht="28.5" customHeight="1" spans="1:14">
      <c r="A1843" s="8"/>
      <c r="B1843" s="9"/>
      <c r="C1843" s="9" t="s">
        <v>1289</v>
      </c>
      <c r="D1843" s="9">
        <v>3000</v>
      </c>
      <c r="E1843" s="9"/>
      <c r="F1843" s="9"/>
      <c r="G1843" s="10" t="s">
        <v>2857</v>
      </c>
      <c r="H1843" s="10" t="s">
        <v>563</v>
      </c>
      <c r="I1843" s="10"/>
      <c r="J1843" s="9">
        <v>11261</v>
      </c>
      <c r="K1843" s="10" t="s">
        <v>2858</v>
      </c>
      <c r="L1843" s="10" t="s">
        <v>252</v>
      </c>
      <c r="M1843" s="10" t="s">
        <v>1834</v>
      </c>
      <c r="N1843" s="7"/>
    </row>
    <row r="1844" s="1" customFormat="1" ht="28.5" customHeight="1" spans="1:14">
      <c r="A1844" s="8"/>
      <c r="B1844" s="9"/>
      <c r="C1844" s="9" t="s">
        <v>1289</v>
      </c>
      <c r="D1844" s="9">
        <v>2500</v>
      </c>
      <c r="E1844" s="9"/>
      <c r="F1844" s="9"/>
      <c r="G1844" s="10" t="s">
        <v>2859</v>
      </c>
      <c r="H1844" s="10" t="s">
        <v>563</v>
      </c>
      <c r="I1844" s="10"/>
      <c r="J1844" s="9">
        <v>11262</v>
      </c>
      <c r="K1844" s="10" t="s">
        <v>2860</v>
      </c>
      <c r="L1844" s="10" t="s">
        <v>252</v>
      </c>
      <c r="M1844" s="10" t="s">
        <v>1834</v>
      </c>
      <c r="N1844" s="7"/>
    </row>
    <row r="1845" s="1" customFormat="1" ht="28.5" customHeight="1" spans="1:14">
      <c r="A1845" s="8"/>
      <c r="B1845" s="9"/>
      <c r="C1845" s="9" t="s">
        <v>1289</v>
      </c>
      <c r="D1845" s="9">
        <v>2000</v>
      </c>
      <c r="E1845" s="9"/>
      <c r="F1845" s="9"/>
      <c r="G1845" s="10" t="s">
        <v>2861</v>
      </c>
      <c r="H1845" s="10" t="s">
        <v>563</v>
      </c>
      <c r="I1845" s="10"/>
      <c r="J1845" s="9">
        <v>11263</v>
      </c>
      <c r="K1845" s="10" t="s">
        <v>2862</v>
      </c>
      <c r="L1845" s="10" t="s">
        <v>252</v>
      </c>
      <c r="M1845" s="10" t="s">
        <v>1834</v>
      </c>
      <c r="N1845" s="7"/>
    </row>
    <row r="1846" s="1" customFormat="1" ht="28.5" customHeight="1" spans="1:14">
      <c r="A1846" s="8"/>
      <c r="B1846" s="9"/>
      <c r="C1846" s="9" t="s">
        <v>1289</v>
      </c>
      <c r="D1846" s="9">
        <v>1500</v>
      </c>
      <c r="E1846" s="9"/>
      <c r="F1846" s="9"/>
      <c r="G1846" s="10" t="s">
        <v>2863</v>
      </c>
      <c r="H1846" s="10" t="s">
        <v>563</v>
      </c>
      <c r="I1846" s="10"/>
      <c r="J1846" s="9">
        <v>11264</v>
      </c>
      <c r="K1846" s="10" t="s">
        <v>2864</v>
      </c>
      <c r="L1846" s="10" t="s">
        <v>252</v>
      </c>
      <c r="M1846" s="10" t="s">
        <v>1834</v>
      </c>
      <c r="N1846" s="7"/>
    </row>
    <row r="1847" s="1" customFormat="1" ht="28.5" customHeight="1" spans="1:14">
      <c r="A1847" s="8"/>
      <c r="B1847" s="9"/>
      <c r="C1847" s="9" t="s">
        <v>1289</v>
      </c>
      <c r="D1847" s="9">
        <v>1000</v>
      </c>
      <c r="E1847" s="9"/>
      <c r="F1847" s="9"/>
      <c r="G1847" s="10" t="s">
        <v>2865</v>
      </c>
      <c r="H1847" s="10" t="s">
        <v>563</v>
      </c>
      <c r="I1847" s="10"/>
      <c r="J1847" s="9">
        <v>11265</v>
      </c>
      <c r="K1847" s="10" t="s">
        <v>2866</v>
      </c>
      <c r="L1847" s="10" t="s">
        <v>252</v>
      </c>
      <c r="M1847" s="10" t="s">
        <v>1834</v>
      </c>
      <c r="N1847" s="7"/>
    </row>
    <row r="1848" s="1" customFormat="1" ht="28.5" customHeight="1" spans="1:14">
      <c r="A1848" s="8">
        <v>50501</v>
      </c>
      <c r="B1848" s="9">
        <v>50501</v>
      </c>
      <c r="C1848" s="9" t="s">
        <v>33</v>
      </c>
      <c r="D1848" s="9">
        <v>0</v>
      </c>
      <c r="E1848" s="9"/>
      <c r="F1848" s="9">
        <v>50500</v>
      </c>
      <c r="G1848" s="10" t="s">
        <v>1313</v>
      </c>
      <c r="H1848" s="10" t="s">
        <v>563</v>
      </c>
      <c r="I1848" s="10"/>
      <c r="J1848" s="9">
        <v>61266</v>
      </c>
      <c r="K1848" s="10" t="s">
        <v>1916</v>
      </c>
      <c r="L1848" s="10" t="s">
        <v>251</v>
      </c>
      <c r="M1848" s="10" t="s">
        <v>1842</v>
      </c>
      <c r="N1848" s="7"/>
    </row>
    <row r="1849" s="1" customFormat="1" ht="28.5" customHeight="1" spans="1:14">
      <c r="A1849" s="8">
        <v>50501</v>
      </c>
      <c r="B1849" s="9">
        <v>50502</v>
      </c>
      <c r="C1849" s="9" t="s">
        <v>33</v>
      </c>
      <c r="D1849" s="9">
        <v>0</v>
      </c>
      <c r="E1849" s="9"/>
      <c r="F1849" s="9">
        <v>50500</v>
      </c>
      <c r="G1849" s="10" t="s">
        <v>1315</v>
      </c>
      <c r="H1849" s="10" t="s">
        <v>563</v>
      </c>
      <c r="I1849" s="10"/>
      <c r="J1849" s="9">
        <v>61267</v>
      </c>
      <c r="K1849" s="10" t="s">
        <v>1917</v>
      </c>
      <c r="L1849" s="10" t="s">
        <v>251</v>
      </c>
      <c r="M1849" s="10" t="s">
        <v>1842</v>
      </c>
      <c r="N1849" s="7"/>
    </row>
    <row r="1850" s="1" customFormat="1" ht="28.5" customHeight="1" spans="1:14">
      <c r="A1850" s="8">
        <v>50501</v>
      </c>
      <c r="B1850" s="9">
        <v>50503</v>
      </c>
      <c r="C1850" s="9" t="s">
        <v>33</v>
      </c>
      <c r="D1850" s="9">
        <v>0</v>
      </c>
      <c r="E1850" s="9"/>
      <c r="F1850" s="9">
        <v>50500</v>
      </c>
      <c r="G1850" s="10" t="s">
        <v>1317</v>
      </c>
      <c r="H1850" s="10" t="s">
        <v>563</v>
      </c>
      <c r="I1850" s="10"/>
      <c r="J1850" s="9">
        <v>61268</v>
      </c>
      <c r="K1850" s="10" t="s">
        <v>1918</v>
      </c>
      <c r="L1850" s="10" t="s">
        <v>251</v>
      </c>
      <c r="M1850" s="10" t="s">
        <v>1842</v>
      </c>
      <c r="N1850" s="7"/>
    </row>
    <row r="1851" s="1" customFormat="1" ht="28.5" customHeight="1" spans="1:14">
      <c r="A1851" s="8">
        <v>50501</v>
      </c>
      <c r="B1851" s="9">
        <v>50504</v>
      </c>
      <c r="C1851" s="9" t="s">
        <v>33</v>
      </c>
      <c r="D1851" s="9">
        <v>0</v>
      </c>
      <c r="E1851" s="9"/>
      <c r="F1851" s="9">
        <v>50500</v>
      </c>
      <c r="G1851" s="10" t="s">
        <v>1319</v>
      </c>
      <c r="H1851" s="10" t="s">
        <v>563</v>
      </c>
      <c r="I1851" s="10"/>
      <c r="J1851" s="9">
        <v>61269</v>
      </c>
      <c r="K1851" s="10" t="s">
        <v>1919</v>
      </c>
      <c r="L1851" s="10" t="s">
        <v>251</v>
      </c>
      <c r="M1851" s="10" t="s">
        <v>1842</v>
      </c>
      <c r="N1851" s="7"/>
    </row>
    <row r="1852" s="1" customFormat="1" ht="28.5" customHeight="1" spans="1:14">
      <c r="A1852" s="8">
        <v>50501</v>
      </c>
      <c r="B1852" s="9">
        <v>50505</v>
      </c>
      <c r="C1852" s="9" t="s">
        <v>33</v>
      </c>
      <c r="D1852" s="9">
        <v>0</v>
      </c>
      <c r="E1852" s="9"/>
      <c r="F1852" s="9">
        <v>50500</v>
      </c>
      <c r="G1852" s="10" t="s">
        <v>1321</v>
      </c>
      <c r="H1852" s="10" t="s">
        <v>563</v>
      </c>
      <c r="I1852" s="10"/>
      <c r="J1852" s="9">
        <v>61270</v>
      </c>
      <c r="K1852" s="10" t="s">
        <v>1920</v>
      </c>
      <c r="L1852" s="10" t="s">
        <v>251</v>
      </c>
      <c r="M1852" s="10" t="s">
        <v>1842</v>
      </c>
      <c r="N1852" s="7"/>
    </row>
    <row r="1853" s="1" customFormat="1" ht="28.5" customHeight="1" spans="1:14">
      <c r="A1853" s="8">
        <v>50501</v>
      </c>
      <c r="B1853" s="9">
        <v>50506</v>
      </c>
      <c r="C1853" s="9" t="s">
        <v>33</v>
      </c>
      <c r="D1853" s="9">
        <v>3000</v>
      </c>
      <c r="E1853" s="9"/>
      <c r="F1853" s="9">
        <v>50501</v>
      </c>
      <c r="G1853" s="10" t="s">
        <v>1921</v>
      </c>
      <c r="H1853" s="10" t="s">
        <v>563</v>
      </c>
      <c r="I1853" s="10"/>
      <c r="J1853" s="9">
        <v>21271</v>
      </c>
      <c r="K1853" s="10" t="s">
        <v>1922</v>
      </c>
      <c r="L1853" s="10" t="s">
        <v>252</v>
      </c>
      <c r="M1853" s="10" t="s">
        <v>1842</v>
      </c>
      <c r="N1853" s="7"/>
    </row>
    <row r="1854" s="1" customFormat="1" ht="28.5" customHeight="1" spans="1:14">
      <c r="A1854" s="8">
        <v>50501</v>
      </c>
      <c r="B1854" s="9">
        <v>50507</v>
      </c>
      <c r="C1854" s="9" t="s">
        <v>33</v>
      </c>
      <c r="D1854" s="9">
        <v>2500</v>
      </c>
      <c r="E1854" s="9"/>
      <c r="F1854" s="9">
        <v>50501</v>
      </c>
      <c r="G1854" s="10" t="s">
        <v>1923</v>
      </c>
      <c r="H1854" s="10" t="s">
        <v>563</v>
      </c>
      <c r="I1854" s="10"/>
      <c r="J1854" s="9">
        <v>21272</v>
      </c>
      <c r="K1854" s="10" t="s">
        <v>1924</v>
      </c>
      <c r="L1854" s="10" t="s">
        <v>252</v>
      </c>
      <c r="M1854" s="10" t="s">
        <v>1842</v>
      </c>
      <c r="N1854" s="7"/>
    </row>
    <row r="1855" s="1" customFormat="1" ht="28.5" customHeight="1" spans="1:14">
      <c r="A1855" s="8">
        <v>50501</v>
      </c>
      <c r="B1855" s="9">
        <v>50508</v>
      </c>
      <c r="C1855" s="9" t="s">
        <v>33</v>
      </c>
      <c r="D1855" s="9">
        <v>2000</v>
      </c>
      <c r="E1855" s="9"/>
      <c r="F1855" s="9">
        <v>50501</v>
      </c>
      <c r="G1855" s="10" t="s">
        <v>1925</v>
      </c>
      <c r="H1855" s="10" t="s">
        <v>563</v>
      </c>
      <c r="I1855" s="10"/>
      <c r="J1855" s="9">
        <v>21273</v>
      </c>
      <c r="K1855" s="10" t="s">
        <v>1926</v>
      </c>
      <c r="L1855" s="10" t="s">
        <v>252</v>
      </c>
      <c r="M1855" s="10" t="s">
        <v>1842</v>
      </c>
      <c r="N1855" s="7"/>
    </row>
    <row r="1856" s="1" customFormat="1" ht="28.5" customHeight="1" spans="1:14">
      <c r="A1856" s="8">
        <v>50501</v>
      </c>
      <c r="B1856" s="9">
        <v>50509</v>
      </c>
      <c r="C1856" s="9" t="s">
        <v>33</v>
      </c>
      <c r="D1856" s="9">
        <v>1500</v>
      </c>
      <c r="E1856" s="9"/>
      <c r="F1856" s="9">
        <v>50501</v>
      </c>
      <c r="G1856" s="10" t="s">
        <v>1927</v>
      </c>
      <c r="H1856" s="10" t="s">
        <v>563</v>
      </c>
      <c r="I1856" s="10"/>
      <c r="J1856" s="9">
        <v>21274</v>
      </c>
      <c r="K1856" s="10" t="s">
        <v>1928</v>
      </c>
      <c r="L1856" s="10" t="s">
        <v>252</v>
      </c>
      <c r="M1856" s="10" t="s">
        <v>1842</v>
      </c>
      <c r="N1856" s="7"/>
    </row>
    <row r="1857" s="1" customFormat="1" ht="28.5" customHeight="1" spans="1:14">
      <c r="A1857" s="8">
        <v>50501</v>
      </c>
      <c r="B1857" s="9">
        <v>50510</v>
      </c>
      <c r="C1857" s="9" t="s">
        <v>33</v>
      </c>
      <c r="D1857" s="9">
        <v>1000</v>
      </c>
      <c r="E1857" s="9"/>
      <c r="F1857" s="9">
        <v>50501</v>
      </c>
      <c r="G1857" s="10" t="s">
        <v>1929</v>
      </c>
      <c r="H1857" s="10" t="s">
        <v>563</v>
      </c>
      <c r="I1857" s="10"/>
      <c r="J1857" s="9">
        <v>21275</v>
      </c>
      <c r="K1857" s="10" t="s">
        <v>1930</v>
      </c>
      <c r="L1857" s="10" t="s">
        <v>252</v>
      </c>
      <c r="M1857" s="10" t="s">
        <v>1842</v>
      </c>
      <c r="N1857" s="7"/>
    </row>
    <row r="1858" s="1" customFormat="1" ht="28.5" customHeight="1" spans="1:14">
      <c r="A1858" s="8"/>
      <c r="B1858" s="9"/>
      <c r="C1858" s="9" t="s">
        <v>1289</v>
      </c>
      <c r="D1858" s="9">
        <v>3000</v>
      </c>
      <c r="E1858" s="9"/>
      <c r="F1858" s="9"/>
      <c r="G1858" s="10" t="s">
        <v>1857</v>
      </c>
      <c r="H1858" s="10" t="s">
        <v>563</v>
      </c>
      <c r="I1858" s="10"/>
      <c r="J1858" s="9">
        <v>91276</v>
      </c>
      <c r="K1858" s="10" t="s">
        <v>1858</v>
      </c>
      <c r="L1858" s="10" t="s">
        <v>224</v>
      </c>
      <c r="M1858" s="10" t="s">
        <v>1834</v>
      </c>
      <c r="N1858" s="7"/>
    </row>
    <row r="1859" s="1" customFormat="1" ht="28.5" customHeight="1" spans="1:14">
      <c r="A1859" s="8"/>
      <c r="B1859" s="9"/>
      <c r="C1859" s="9" t="s">
        <v>1289</v>
      </c>
      <c r="D1859" s="9">
        <v>2500</v>
      </c>
      <c r="E1859" s="9"/>
      <c r="F1859" s="9"/>
      <c r="G1859" s="10" t="s">
        <v>1857</v>
      </c>
      <c r="H1859" s="10" t="s">
        <v>563</v>
      </c>
      <c r="I1859" s="10"/>
      <c r="J1859" s="9">
        <v>91277</v>
      </c>
      <c r="K1859" s="10" t="s">
        <v>1858</v>
      </c>
      <c r="L1859" s="10" t="s">
        <v>224</v>
      </c>
      <c r="M1859" s="10" t="s">
        <v>1834</v>
      </c>
      <c r="N1859" s="7"/>
    </row>
    <row r="1860" s="1" customFormat="1" ht="28.5" customHeight="1" spans="1:14">
      <c r="A1860" s="8"/>
      <c r="B1860" s="9"/>
      <c r="C1860" s="9" t="s">
        <v>1289</v>
      </c>
      <c r="D1860" s="9">
        <v>2000</v>
      </c>
      <c r="E1860" s="9"/>
      <c r="F1860" s="9"/>
      <c r="G1860" s="10" t="s">
        <v>1857</v>
      </c>
      <c r="H1860" s="10" t="s">
        <v>563</v>
      </c>
      <c r="I1860" s="10"/>
      <c r="J1860" s="9">
        <v>91278</v>
      </c>
      <c r="K1860" s="10" t="s">
        <v>1858</v>
      </c>
      <c r="L1860" s="10" t="s">
        <v>224</v>
      </c>
      <c r="M1860" s="10" t="s">
        <v>1834</v>
      </c>
      <c r="N1860" s="7"/>
    </row>
    <row r="1861" s="1" customFormat="1" ht="28.5" customHeight="1" spans="1:14">
      <c r="A1861" s="8"/>
      <c r="B1861" s="9"/>
      <c r="C1861" s="9" t="s">
        <v>1289</v>
      </c>
      <c r="D1861" s="9">
        <v>1500</v>
      </c>
      <c r="E1861" s="9"/>
      <c r="F1861" s="9"/>
      <c r="G1861" s="10" t="s">
        <v>1857</v>
      </c>
      <c r="H1861" s="10" t="s">
        <v>563</v>
      </c>
      <c r="I1861" s="10"/>
      <c r="J1861" s="9">
        <v>91279</v>
      </c>
      <c r="K1861" s="10" t="s">
        <v>1858</v>
      </c>
      <c r="L1861" s="10" t="s">
        <v>224</v>
      </c>
      <c r="M1861" s="10" t="s">
        <v>1834</v>
      </c>
      <c r="N1861" s="7"/>
    </row>
    <row r="1862" s="1" customFormat="1" ht="28.5" customHeight="1" spans="1:14">
      <c r="A1862" s="8"/>
      <c r="B1862" s="9"/>
      <c r="C1862" s="9" t="s">
        <v>1289</v>
      </c>
      <c r="D1862" s="9">
        <v>1000</v>
      </c>
      <c r="E1862" s="9"/>
      <c r="F1862" s="9"/>
      <c r="G1862" s="10" t="s">
        <v>1857</v>
      </c>
      <c r="H1862" s="10" t="s">
        <v>563</v>
      </c>
      <c r="I1862" s="10"/>
      <c r="J1862" s="9">
        <v>91280</v>
      </c>
      <c r="K1862" s="10" t="s">
        <v>1858</v>
      </c>
      <c r="L1862" s="10" t="s">
        <v>224</v>
      </c>
      <c r="M1862" s="10" t="s">
        <v>1834</v>
      </c>
      <c r="N1862" s="7"/>
    </row>
    <row r="1863" s="1" customFormat="1" ht="28.5" customHeight="1" spans="1:14">
      <c r="A1863" s="8"/>
      <c r="B1863" s="9"/>
      <c r="C1863" s="9" t="s">
        <v>1289</v>
      </c>
      <c r="D1863" s="9">
        <v>3000</v>
      </c>
      <c r="E1863" s="9"/>
      <c r="F1863" s="9"/>
      <c r="G1863" s="10" t="s">
        <v>1859</v>
      </c>
      <c r="H1863" s="10" t="s">
        <v>563</v>
      </c>
      <c r="I1863" s="10"/>
      <c r="J1863" s="9">
        <v>71281</v>
      </c>
      <c r="K1863" s="10" t="s">
        <v>1860</v>
      </c>
      <c r="L1863" s="10" t="s">
        <v>228</v>
      </c>
      <c r="M1863" s="10" t="s">
        <v>1834</v>
      </c>
      <c r="N1863" s="7"/>
    </row>
    <row r="1864" s="1" customFormat="1" ht="28.5" customHeight="1" spans="1:14">
      <c r="A1864" s="8"/>
      <c r="B1864" s="9"/>
      <c r="C1864" s="9" t="s">
        <v>1289</v>
      </c>
      <c r="D1864" s="9">
        <v>2500</v>
      </c>
      <c r="E1864" s="9"/>
      <c r="F1864" s="9"/>
      <c r="G1864" s="10" t="s">
        <v>1859</v>
      </c>
      <c r="H1864" s="10" t="s">
        <v>563</v>
      </c>
      <c r="I1864" s="10"/>
      <c r="J1864" s="9">
        <v>71282</v>
      </c>
      <c r="K1864" s="10" t="s">
        <v>1860</v>
      </c>
      <c r="L1864" s="10" t="s">
        <v>228</v>
      </c>
      <c r="M1864" s="10" t="s">
        <v>1834</v>
      </c>
      <c r="N1864" s="7"/>
    </row>
    <row r="1865" s="1" customFormat="1" ht="28.5" customHeight="1" spans="1:14">
      <c r="A1865" s="8"/>
      <c r="B1865" s="9"/>
      <c r="C1865" s="9" t="s">
        <v>1289</v>
      </c>
      <c r="D1865" s="9">
        <v>2000</v>
      </c>
      <c r="E1865" s="9"/>
      <c r="F1865" s="9"/>
      <c r="G1865" s="10" t="s">
        <v>1859</v>
      </c>
      <c r="H1865" s="10" t="s">
        <v>563</v>
      </c>
      <c r="I1865" s="10"/>
      <c r="J1865" s="9">
        <v>71283</v>
      </c>
      <c r="K1865" s="10" t="s">
        <v>1860</v>
      </c>
      <c r="L1865" s="10" t="s">
        <v>228</v>
      </c>
      <c r="M1865" s="10" t="s">
        <v>1834</v>
      </c>
      <c r="N1865" s="7"/>
    </row>
    <row r="1866" s="1" customFormat="1" ht="28.5" customHeight="1" spans="1:14">
      <c r="A1866" s="8"/>
      <c r="B1866" s="9"/>
      <c r="C1866" s="9" t="s">
        <v>1289</v>
      </c>
      <c r="D1866" s="9">
        <v>1500</v>
      </c>
      <c r="E1866" s="9"/>
      <c r="F1866" s="9"/>
      <c r="G1866" s="10" t="s">
        <v>1859</v>
      </c>
      <c r="H1866" s="10" t="s">
        <v>563</v>
      </c>
      <c r="I1866" s="10"/>
      <c r="J1866" s="9">
        <v>71284</v>
      </c>
      <c r="K1866" s="10" t="s">
        <v>1860</v>
      </c>
      <c r="L1866" s="10" t="s">
        <v>228</v>
      </c>
      <c r="M1866" s="10" t="s">
        <v>1834</v>
      </c>
      <c r="N1866" s="7"/>
    </row>
    <row r="1867" s="1" customFormat="1" ht="28.5" customHeight="1" spans="1:14">
      <c r="A1867" s="8"/>
      <c r="B1867" s="9"/>
      <c r="C1867" s="9" t="s">
        <v>1289</v>
      </c>
      <c r="D1867" s="9">
        <v>1000</v>
      </c>
      <c r="E1867" s="9"/>
      <c r="F1867" s="9"/>
      <c r="G1867" s="10" t="s">
        <v>1859</v>
      </c>
      <c r="H1867" s="10" t="s">
        <v>563</v>
      </c>
      <c r="I1867" s="10"/>
      <c r="J1867" s="9">
        <v>71285</v>
      </c>
      <c r="K1867" s="10" t="s">
        <v>1860</v>
      </c>
      <c r="L1867" s="10" t="s">
        <v>228</v>
      </c>
      <c r="M1867" s="10" t="s">
        <v>1834</v>
      </c>
      <c r="N1867" s="7"/>
    </row>
    <row r="1868" s="1" customFormat="1" ht="28.5" customHeight="1" spans="1:14">
      <c r="A1868" s="8"/>
      <c r="B1868" s="9"/>
      <c r="C1868" s="9" t="s">
        <v>1289</v>
      </c>
      <c r="D1868" s="9">
        <v>3000</v>
      </c>
      <c r="E1868" s="9"/>
      <c r="F1868" s="9"/>
      <c r="G1868" s="10" t="s">
        <v>1861</v>
      </c>
      <c r="H1868" s="10" t="s">
        <v>563</v>
      </c>
      <c r="I1868" s="10"/>
      <c r="J1868" s="9">
        <v>81286</v>
      </c>
      <c r="K1868" s="10" t="s">
        <v>1862</v>
      </c>
      <c r="L1868" s="10" t="s">
        <v>231</v>
      </c>
      <c r="M1868" s="10" t="s">
        <v>1834</v>
      </c>
      <c r="N1868" s="7"/>
    </row>
    <row r="1869" s="1" customFormat="1" ht="28.5" customHeight="1" spans="1:14">
      <c r="A1869" s="8"/>
      <c r="B1869" s="9"/>
      <c r="C1869" s="9" t="s">
        <v>1289</v>
      </c>
      <c r="D1869" s="9">
        <v>2500</v>
      </c>
      <c r="E1869" s="9"/>
      <c r="F1869" s="9"/>
      <c r="G1869" s="10" t="s">
        <v>1861</v>
      </c>
      <c r="H1869" s="10" t="s">
        <v>563</v>
      </c>
      <c r="I1869" s="10"/>
      <c r="J1869" s="9">
        <v>81287</v>
      </c>
      <c r="K1869" s="10" t="s">
        <v>1862</v>
      </c>
      <c r="L1869" s="10" t="s">
        <v>231</v>
      </c>
      <c r="M1869" s="10" t="s">
        <v>1834</v>
      </c>
      <c r="N1869" s="7"/>
    </row>
    <row r="1870" s="1" customFormat="1" ht="28.5" customHeight="1" spans="1:14">
      <c r="A1870" s="8"/>
      <c r="B1870" s="9"/>
      <c r="C1870" s="9" t="s">
        <v>1289</v>
      </c>
      <c r="D1870" s="9">
        <v>2000</v>
      </c>
      <c r="E1870" s="9"/>
      <c r="F1870" s="9"/>
      <c r="G1870" s="10" t="s">
        <v>1861</v>
      </c>
      <c r="H1870" s="10" t="s">
        <v>563</v>
      </c>
      <c r="I1870" s="10"/>
      <c r="J1870" s="9">
        <v>81288</v>
      </c>
      <c r="K1870" s="10" t="s">
        <v>1862</v>
      </c>
      <c r="L1870" s="10" t="s">
        <v>231</v>
      </c>
      <c r="M1870" s="10" t="s">
        <v>1834</v>
      </c>
      <c r="N1870" s="7"/>
    </row>
    <row r="1871" s="1" customFormat="1" ht="28.5" customHeight="1" spans="1:14">
      <c r="A1871" s="8"/>
      <c r="B1871" s="9"/>
      <c r="C1871" s="9" t="s">
        <v>1289</v>
      </c>
      <c r="D1871" s="9">
        <v>1500</v>
      </c>
      <c r="E1871" s="9"/>
      <c r="F1871" s="9"/>
      <c r="G1871" s="10" t="s">
        <v>1861</v>
      </c>
      <c r="H1871" s="10" t="s">
        <v>563</v>
      </c>
      <c r="I1871" s="10"/>
      <c r="J1871" s="9">
        <v>81289</v>
      </c>
      <c r="K1871" s="10" t="s">
        <v>1862</v>
      </c>
      <c r="L1871" s="10" t="s">
        <v>231</v>
      </c>
      <c r="M1871" s="10" t="s">
        <v>1834</v>
      </c>
      <c r="N1871" s="7"/>
    </row>
    <row r="1872" s="1" customFormat="1" ht="28.5" customHeight="1" spans="1:14">
      <c r="A1872" s="8"/>
      <c r="B1872" s="9"/>
      <c r="C1872" s="9" t="s">
        <v>1289</v>
      </c>
      <c r="D1872" s="9">
        <v>1000</v>
      </c>
      <c r="E1872" s="9"/>
      <c r="F1872" s="9"/>
      <c r="G1872" s="10" t="s">
        <v>1861</v>
      </c>
      <c r="H1872" s="10" t="s">
        <v>563</v>
      </c>
      <c r="I1872" s="10"/>
      <c r="J1872" s="9">
        <v>81290</v>
      </c>
      <c r="K1872" s="10" t="s">
        <v>1862</v>
      </c>
      <c r="L1872" s="10" t="s">
        <v>231</v>
      </c>
      <c r="M1872" s="10" t="s">
        <v>1834</v>
      </c>
      <c r="N1872" s="7"/>
    </row>
    <row r="1873" s="1" customFormat="1" ht="28.5" customHeight="1" spans="1:14">
      <c r="A1873" s="8"/>
      <c r="B1873" s="9"/>
      <c r="C1873" s="9" t="s">
        <v>1289</v>
      </c>
      <c r="D1873" s="9">
        <v>3000</v>
      </c>
      <c r="E1873" s="9"/>
      <c r="F1873" s="9"/>
      <c r="G1873" s="10" t="s">
        <v>2809</v>
      </c>
      <c r="H1873" s="10" t="s">
        <v>563</v>
      </c>
      <c r="I1873" s="10"/>
      <c r="J1873" s="9">
        <v>101291</v>
      </c>
      <c r="K1873" s="10" t="s">
        <v>378</v>
      </c>
      <c r="L1873" s="10" t="s">
        <v>248</v>
      </c>
      <c r="M1873" s="10" t="s">
        <v>1834</v>
      </c>
      <c r="N1873" s="7"/>
    </row>
    <row r="1874" s="1" customFormat="1" ht="28.5" customHeight="1" spans="1:14">
      <c r="A1874" s="8"/>
      <c r="B1874" s="9"/>
      <c r="C1874" s="9" t="s">
        <v>1289</v>
      </c>
      <c r="D1874" s="9">
        <v>2500</v>
      </c>
      <c r="E1874" s="9"/>
      <c r="F1874" s="9"/>
      <c r="G1874" s="10" t="s">
        <v>2809</v>
      </c>
      <c r="H1874" s="10" t="s">
        <v>563</v>
      </c>
      <c r="I1874" s="10"/>
      <c r="J1874" s="9">
        <v>101292</v>
      </c>
      <c r="K1874" s="10" t="s">
        <v>378</v>
      </c>
      <c r="L1874" s="10" t="s">
        <v>248</v>
      </c>
      <c r="M1874" s="10" t="s">
        <v>1834</v>
      </c>
      <c r="N1874" s="7"/>
    </row>
    <row r="1875" s="1" customFormat="1" ht="28.5" customHeight="1" spans="1:14">
      <c r="A1875" s="8"/>
      <c r="B1875" s="9"/>
      <c r="C1875" s="9" t="s">
        <v>1289</v>
      </c>
      <c r="D1875" s="9">
        <v>2000</v>
      </c>
      <c r="E1875" s="9"/>
      <c r="F1875" s="9"/>
      <c r="G1875" s="10" t="s">
        <v>2809</v>
      </c>
      <c r="H1875" s="10" t="s">
        <v>563</v>
      </c>
      <c r="I1875" s="10"/>
      <c r="J1875" s="9">
        <v>101293</v>
      </c>
      <c r="K1875" s="10" t="s">
        <v>378</v>
      </c>
      <c r="L1875" s="10" t="s">
        <v>248</v>
      </c>
      <c r="M1875" s="10" t="s">
        <v>1834</v>
      </c>
      <c r="N1875" s="7"/>
    </row>
    <row r="1876" s="1" customFormat="1" ht="28.5" customHeight="1" spans="1:14">
      <c r="A1876" s="8"/>
      <c r="B1876" s="9"/>
      <c r="C1876" s="9" t="s">
        <v>1289</v>
      </c>
      <c r="D1876" s="9">
        <v>1500</v>
      </c>
      <c r="E1876" s="9"/>
      <c r="F1876" s="9"/>
      <c r="G1876" s="10" t="s">
        <v>2809</v>
      </c>
      <c r="H1876" s="10" t="s">
        <v>563</v>
      </c>
      <c r="I1876" s="10"/>
      <c r="J1876" s="9">
        <v>101294</v>
      </c>
      <c r="K1876" s="10" t="s">
        <v>378</v>
      </c>
      <c r="L1876" s="10" t="s">
        <v>248</v>
      </c>
      <c r="M1876" s="10" t="s">
        <v>1834</v>
      </c>
      <c r="N1876" s="7"/>
    </row>
    <row r="1877" s="1" customFormat="1" ht="28.5" customHeight="1" spans="1:14">
      <c r="A1877" s="8"/>
      <c r="B1877" s="9"/>
      <c r="C1877" s="9" t="s">
        <v>1289</v>
      </c>
      <c r="D1877" s="9">
        <v>1000</v>
      </c>
      <c r="E1877" s="9"/>
      <c r="F1877" s="9"/>
      <c r="G1877" s="10" t="s">
        <v>2809</v>
      </c>
      <c r="H1877" s="10" t="s">
        <v>563</v>
      </c>
      <c r="I1877" s="10"/>
      <c r="J1877" s="9">
        <v>101295</v>
      </c>
      <c r="K1877" s="10" t="s">
        <v>378</v>
      </c>
      <c r="L1877" s="10" t="s">
        <v>248</v>
      </c>
      <c r="M1877" s="10" t="s">
        <v>1834</v>
      </c>
      <c r="N1877" s="7"/>
    </row>
    <row r="1878" s="1" customFormat="1" ht="28.5" customHeight="1" spans="1:14">
      <c r="A1878" s="8"/>
      <c r="B1878" s="9"/>
      <c r="C1878" s="9" t="s">
        <v>1289</v>
      </c>
      <c r="D1878" s="9">
        <v>3000</v>
      </c>
      <c r="E1878" s="9"/>
      <c r="F1878" s="9"/>
      <c r="G1878" s="10" t="s">
        <v>2867</v>
      </c>
      <c r="H1878" s="10" t="s">
        <v>563</v>
      </c>
      <c r="I1878" s="10"/>
      <c r="J1878" s="9">
        <v>11296</v>
      </c>
      <c r="K1878" s="10" t="s">
        <v>2868</v>
      </c>
      <c r="L1878" s="10" t="s">
        <v>392</v>
      </c>
      <c r="M1878" s="10" t="s">
        <v>1834</v>
      </c>
      <c r="N1878" s="7"/>
    </row>
    <row r="1879" s="1" customFormat="1" ht="28.5" customHeight="1" spans="1:14">
      <c r="A1879" s="8"/>
      <c r="B1879" s="9"/>
      <c r="C1879" s="9" t="s">
        <v>1289</v>
      </c>
      <c r="D1879" s="9">
        <v>2500</v>
      </c>
      <c r="E1879" s="9"/>
      <c r="F1879" s="9"/>
      <c r="G1879" s="10" t="s">
        <v>2869</v>
      </c>
      <c r="H1879" s="10" t="s">
        <v>563</v>
      </c>
      <c r="I1879" s="10"/>
      <c r="J1879" s="9">
        <v>11297</v>
      </c>
      <c r="K1879" s="10" t="s">
        <v>2870</v>
      </c>
      <c r="L1879" s="10" t="s">
        <v>392</v>
      </c>
      <c r="M1879" s="10" t="s">
        <v>1834</v>
      </c>
      <c r="N1879" s="7"/>
    </row>
    <row r="1880" s="1" customFormat="1" ht="28.5" customHeight="1" spans="1:14">
      <c r="A1880" s="8"/>
      <c r="B1880" s="9"/>
      <c r="C1880" s="9" t="s">
        <v>1289</v>
      </c>
      <c r="D1880" s="9">
        <v>2000</v>
      </c>
      <c r="E1880" s="9"/>
      <c r="F1880" s="9"/>
      <c r="G1880" s="10" t="s">
        <v>2871</v>
      </c>
      <c r="H1880" s="10" t="s">
        <v>563</v>
      </c>
      <c r="I1880" s="10"/>
      <c r="J1880" s="9">
        <v>11298</v>
      </c>
      <c r="K1880" s="10" t="s">
        <v>2872</v>
      </c>
      <c r="L1880" s="10" t="s">
        <v>392</v>
      </c>
      <c r="M1880" s="10" t="s">
        <v>1834</v>
      </c>
      <c r="N1880" s="7"/>
    </row>
    <row r="1881" s="1" customFormat="1" ht="28.5" customHeight="1" spans="1:14">
      <c r="A1881" s="8"/>
      <c r="B1881" s="9"/>
      <c r="C1881" s="9" t="s">
        <v>1289</v>
      </c>
      <c r="D1881" s="9">
        <v>1500</v>
      </c>
      <c r="E1881" s="9"/>
      <c r="F1881" s="9"/>
      <c r="G1881" s="10" t="s">
        <v>2873</v>
      </c>
      <c r="H1881" s="10" t="s">
        <v>563</v>
      </c>
      <c r="I1881" s="10"/>
      <c r="J1881" s="9">
        <v>11299</v>
      </c>
      <c r="K1881" s="10" t="s">
        <v>2874</v>
      </c>
      <c r="L1881" s="10" t="s">
        <v>392</v>
      </c>
      <c r="M1881" s="10" t="s">
        <v>1834</v>
      </c>
      <c r="N1881" s="7"/>
    </row>
    <row r="1882" s="1" customFormat="1" ht="28.5" customHeight="1" spans="1:14">
      <c r="A1882" s="8"/>
      <c r="B1882" s="9"/>
      <c r="C1882" s="9" t="s">
        <v>1289</v>
      </c>
      <c r="D1882" s="9">
        <v>1000</v>
      </c>
      <c r="E1882" s="9"/>
      <c r="F1882" s="9"/>
      <c r="G1882" s="10" t="s">
        <v>2875</v>
      </c>
      <c r="H1882" s="10" t="s">
        <v>563</v>
      </c>
      <c r="I1882" s="10"/>
      <c r="J1882" s="9">
        <v>11300</v>
      </c>
      <c r="K1882" s="10" t="s">
        <v>2876</v>
      </c>
      <c r="L1882" s="10" t="s">
        <v>392</v>
      </c>
      <c r="M1882" s="10" t="s">
        <v>1834</v>
      </c>
      <c r="N1882" s="7"/>
    </row>
    <row r="1883" s="1" customFormat="1" ht="28.5" customHeight="1" spans="1:14">
      <c r="A1883" s="8">
        <v>50501</v>
      </c>
      <c r="B1883" s="9">
        <v>50511</v>
      </c>
      <c r="C1883" s="9" t="s">
        <v>33</v>
      </c>
      <c r="D1883" s="9">
        <v>3000</v>
      </c>
      <c r="E1883" s="9"/>
      <c r="F1883" s="9">
        <v>50502</v>
      </c>
      <c r="G1883" s="10" t="s">
        <v>1765</v>
      </c>
      <c r="H1883" s="10" t="s">
        <v>563</v>
      </c>
      <c r="I1883" s="10"/>
      <c r="J1883" s="9">
        <v>51301</v>
      </c>
      <c r="K1883" s="10" t="s">
        <v>2826</v>
      </c>
      <c r="L1883" s="10" t="s">
        <v>393</v>
      </c>
      <c r="M1883" s="10" t="s">
        <v>1842</v>
      </c>
      <c r="N1883" s="7"/>
    </row>
    <row r="1884" s="1" customFormat="1" ht="28.5" customHeight="1" spans="1:14">
      <c r="A1884" s="8">
        <v>50501</v>
      </c>
      <c r="B1884" s="9">
        <v>50512</v>
      </c>
      <c r="C1884" s="9" t="s">
        <v>33</v>
      </c>
      <c r="D1884" s="9">
        <v>2500</v>
      </c>
      <c r="E1884" s="9"/>
      <c r="F1884" s="9">
        <v>50502</v>
      </c>
      <c r="G1884" s="10" t="s">
        <v>1773</v>
      </c>
      <c r="H1884" s="10" t="s">
        <v>563</v>
      </c>
      <c r="I1884" s="10"/>
      <c r="J1884" s="9">
        <v>51302</v>
      </c>
      <c r="K1884" s="10" t="s">
        <v>2877</v>
      </c>
      <c r="L1884" s="10" t="s">
        <v>393</v>
      </c>
      <c r="M1884" s="10" t="s">
        <v>1842</v>
      </c>
      <c r="N1884" s="7"/>
    </row>
    <row r="1885" s="1" customFormat="1" ht="28.5" customHeight="1" spans="1:14">
      <c r="A1885" s="8">
        <v>50501</v>
      </c>
      <c r="B1885" s="9">
        <v>50513</v>
      </c>
      <c r="C1885" s="9" t="s">
        <v>33</v>
      </c>
      <c r="D1885" s="9">
        <v>2000</v>
      </c>
      <c r="E1885" s="9"/>
      <c r="F1885" s="9">
        <v>50502</v>
      </c>
      <c r="G1885" s="10" t="s">
        <v>2878</v>
      </c>
      <c r="H1885" s="10" t="s">
        <v>563</v>
      </c>
      <c r="I1885" s="10"/>
      <c r="J1885" s="9">
        <v>51303</v>
      </c>
      <c r="K1885" s="10" t="s">
        <v>2879</v>
      </c>
      <c r="L1885" s="10" t="s">
        <v>393</v>
      </c>
      <c r="M1885" s="10" t="s">
        <v>1842</v>
      </c>
      <c r="N1885" s="7"/>
    </row>
    <row r="1886" s="1" customFormat="1" ht="28.5" customHeight="1" spans="1:14">
      <c r="A1886" s="8">
        <v>50501</v>
      </c>
      <c r="B1886" s="9">
        <v>50514</v>
      </c>
      <c r="C1886" s="9" t="s">
        <v>33</v>
      </c>
      <c r="D1886" s="9">
        <v>1500</v>
      </c>
      <c r="E1886" s="9"/>
      <c r="F1886" s="9">
        <v>50502</v>
      </c>
      <c r="G1886" s="10" t="s">
        <v>2880</v>
      </c>
      <c r="H1886" s="10" t="s">
        <v>563</v>
      </c>
      <c r="I1886" s="10"/>
      <c r="J1886" s="9">
        <v>51304</v>
      </c>
      <c r="K1886" s="10" t="s">
        <v>2881</v>
      </c>
      <c r="L1886" s="10" t="s">
        <v>393</v>
      </c>
      <c r="M1886" s="10" t="s">
        <v>1842</v>
      </c>
      <c r="N1886" s="7"/>
    </row>
    <row r="1887" s="1" customFormat="1" ht="28.5" customHeight="1" spans="1:14">
      <c r="A1887" s="8">
        <v>50501</v>
      </c>
      <c r="B1887" s="9">
        <v>50515</v>
      </c>
      <c r="C1887" s="9" t="s">
        <v>33</v>
      </c>
      <c r="D1887" s="9">
        <v>1000</v>
      </c>
      <c r="E1887" s="9"/>
      <c r="F1887" s="9">
        <v>50502</v>
      </c>
      <c r="G1887" s="10" t="s">
        <v>1781</v>
      </c>
      <c r="H1887" s="10" t="s">
        <v>563</v>
      </c>
      <c r="I1887" s="10"/>
      <c r="J1887" s="9">
        <v>51305</v>
      </c>
      <c r="K1887" s="10" t="s">
        <v>2882</v>
      </c>
      <c r="L1887" s="10" t="s">
        <v>393</v>
      </c>
      <c r="M1887" s="10" t="s">
        <v>1842</v>
      </c>
      <c r="N1887" s="7"/>
    </row>
    <row r="1888" s="1" customFormat="1" ht="28.5" customHeight="1" spans="1:14">
      <c r="A1888" s="8">
        <v>50501</v>
      </c>
      <c r="B1888" s="9">
        <v>50516</v>
      </c>
      <c r="C1888" s="9" t="s">
        <v>33</v>
      </c>
      <c r="D1888" s="9">
        <v>0</v>
      </c>
      <c r="E1888" s="9"/>
      <c r="F1888" s="9">
        <v>50503</v>
      </c>
      <c r="G1888" s="10" t="s">
        <v>2883</v>
      </c>
      <c r="H1888" s="10" t="s">
        <v>563</v>
      </c>
      <c r="I1888" s="10"/>
      <c r="J1888" s="9">
        <v>61306</v>
      </c>
      <c r="K1888" s="10" t="s">
        <v>2884</v>
      </c>
      <c r="L1888" s="10" t="s">
        <v>394</v>
      </c>
      <c r="M1888" s="10" t="s">
        <v>1842</v>
      </c>
      <c r="N1888" s="7"/>
    </row>
    <row r="1889" s="1" customFormat="1" ht="28.5" customHeight="1" spans="1:14">
      <c r="A1889" s="8">
        <v>50501</v>
      </c>
      <c r="B1889" s="9">
        <v>50517</v>
      </c>
      <c r="C1889" s="9" t="s">
        <v>33</v>
      </c>
      <c r="D1889" s="9">
        <v>0</v>
      </c>
      <c r="E1889" s="9"/>
      <c r="F1889" s="9">
        <v>50503</v>
      </c>
      <c r="G1889" s="10" t="s">
        <v>2885</v>
      </c>
      <c r="H1889" s="10" t="s">
        <v>563</v>
      </c>
      <c r="I1889" s="10"/>
      <c r="J1889" s="9">
        <v>61307</v>
      </c>
      <c r="K1889" s="10" t="s">
        <v>2886</v>
      </c>
      <c r="L1889" s="10" t="s">
        <v>394</v>
      </c>
      <c r="M1889" s="10" t="s">
        <v>1842</v>
      </c>
      <c r="N1889" s="7"/>
    </row>
    <row r="1890" s="1" customFormat="1" ht="28.5" customHeight="1" spans="1:14">
      <c r="A1890" s="8">
        <v>50501</v>
      </c>
      <c r="B1890" s="9">
        <v>50518</v>
      </c>
      <c r="C1890" s="9" t="s">
        <v>33</v>
      </c>
      <c r="D1890" s="9">
        <v>0</v>
      </c>
      <c r="E1890" s="9"/>
      <c r="F1890" s="9">
        <v>50503</v>
      </c>
      <c r="G1890" s="10" t="s">
        <v>2887</v>
      </c>
      <c r="H1890" s="10" t="s">
        <v>563</v>
      </c>
      <c r="I1890" s="10"/>
      <c r="J1890" s="9">
        <v>61308</v>
      </c>
      <c r="K1890" s="10" t="s">
        <v>2888</v>
      </c>
      <c r="L1890" s="10" t="s">
        <v>394</v>
      </c>
      <c r="M1890" s="10" t="s">
        <v>1842</v>
      </c>
      <c r="N1890" s="7"/>
    </row>
    <row r="1891" s="1" customFormat="1" ht="28.5" customHeight="1" spans="1:14">
      <c r="A1891" s="8">
        <v>50501</v>
      </c>
      <c r="B1891" s="9">
        <v>50519</v>
      </c>
      <c r="C1891" s="9" t="s">
        <v>33</v>
      </c>
      <c r="D1891" s="9">
        <v>0</v>
      </c>
      <c r="E1891" s="9"/>
      <c r="F1891" s="9">
        <v>50503</v>
      </c>
      <c r="G1891" s="10" t="s">
        <v>2889</v>
      </c>
      <c r="H1891" s="10" t="s">
        <v>563</v>
      </c>
      <c r="I1891" s="10"/>
      <c r="J1891" s="9">
        <v>61309</v>
      </c>
      <c r="K1891" s="10" t="s">
        <v>2890</v>
      </c>
      <c r="L1891" s="10" t="s">
        <v>394</v>
      </c>
      <c r="M1891" s="10" t="s">
        <v>1842</v>
      </c>
      <c r="N1891" s="7"/>
    </row>
    <row r="1892" s="1" customFormat="1" ht="28.5" customHeight="1" spans="1:14">
      <c r="A1892" s="8">
        <v>50501</v>
      </c>
      <c r="B1892" s="9">
        <v>50520</v>
      </c>
      <c r="C1892" s="9" t="s">
        <v>33</v>
      </c>
      <c r="D1892" s="9">
        <v>0</v>
      </c>
      <c r="E1892" s="9"/>
      <c r="F1892" s="9">
        <v>50503</v>
      </c>
      <c r="G1892" s="10" t="s">
        <v>2891</v>
      </c>
      <c r="H1892" s="10" t="s">
        <v>563</v>
      </c>
      <c r="I1892" s="10"/>
      <c r="J1892" s="9">
        <v>61310</v>
      </c>
      <c r="K1892" s="10" t="s">
        <v>2892</v>
      </c>
      <c r="L1892" s="10" t="s">
        <v>394</v>
      </c>
      <c r="M1892" s="10" t="s">
        <v>1842</v>
      </c>
      <c r="N1892" s="7"/>
    </row>
    <row r="1893" s="1" customFormat="1" ht="28.5" customHeight="1" spans="1:14">
      <c r="A1893" s="8"/>
      <c r="B1893" s="9"/>
      <c r="C1893" s="9" t="s">
        <v>1289</v>
      </c>
      <c r="D1893" s="9">
        <v>3000</v>
      </c>
      <c r="E1893" s="9"/>
      <c r="F1893" s="9"/>
      <c r="G1893" s="10" t="s">
        <v>2893</v>
      </c>
      <c r="H1893" s="10" t="s">
        <v>563</v>
      </c>
      <c r="I1893" s="10"/>
      <c r="J1893" s="9">
        <v>31311</v>
      </c>
      <c r="K1893" s="10" t="s">
        <v>2894</v>
      </c>
      <c r="L1893" s="10" t="s">
        <v>395</v>
      </c>
      <c r="M1893" s="10" t="s">
        <v>1834</v>
      </c>
      <c r="N1893" s="7"/>
    </row>
    <row r="1894" s="1" customFormat="1" ht="28.5" customHeight="1" spans="1:14">
      <c r="A1894" s="8"/>
      <c r="B1894" s="9"/>
      <c r="C1894" s="9" t="s">
        <v>1289</v>
      </c>
      <c r="D1894" s="9">
        <v>2500</v>
      </c>
      <c r="E1894" s="9"/>
      <c r="F1894" s="9"/>
      <c r="G1894" s="10" t="s">
        <v>2895</v>
      </c>
      <c r="H1894" s="10" t="s">
        <v>563</v>
      </c>
      <c r="I1894" s="10"/>
      <c r="J1894" s="9">
        <v>31312</v>
      </c>
      <c r="K1894" s="10" t="s">
        <v>2896</v>
      </c>
      <c r="L1894" s="10" t="s">
        <v>395</v>
      </c>
      <c r="M1894" s="10" t="s">
        <v>1834</v>
      </c>
      <c r="N1894" s="7"/>
    </row>
    <row r="1895" s="1" customFormat="1" ht="28.5" customHeight="1" spans="1:14">
      <c r="A1895" s="8"/>
      <c r="B1895" s="9"/>
      <c r="C1895" s="9" t="s">
        <v>1289</v>
      </c>
      <c r="D1895" s="9">
        <v>2000</v>
      </c>
      <c r="E1895" s="9"/>
      <c r="F1895" s="9"/>
      <c r="G1895" s="10" t="s">
        <v>2897</v>
      </c>
      <c r="H1895" s="10" t="s">
        <v>563</v>
      </c>
      <c r="I1895" s="10"/>
      <c r="J1895" s="9">
        <v>31313</v>
      </c>
      <c r="K1895" s="10" t="s">
        <v>2898</v>
      </c>
      <c r="L1895" s="10" t="s">
        <v>395</v>
      </c>
      <c r="M1895" s="10" t="s">
        <v>1834</v>
      </c>
      <c r="N1895" s="7"/>
    </row>
    <row r="1896" s="1" customFormat="1" ht="28.5" customHeight="1" spans="1:14">
      <c r="A1896" s="8"/>
      <c r="B1896" s="9"/>
      <c r="C1896" s="9" t="s">
        <v>1289</v>
      </c>
      <c r="D1896" s="9">
        <v>1500</v>
      </c>
      <c r="E1896" s="9"/>
      <c r="F1896" s="9"/>
      <c r="G1896" s="10" t="s">
        <v>2899</v>
      </c>
      <c r="H1896" s="10" t="s">
        <v>563</v>
      </c>
      <c r="I1896" s="10"/>
      <c r="J1896" s="9">
        <v>31314</v>
      </c>
      <c r="K1896" s="10" t="s">
        <v>2900</v>
      </c>
      <c r="L1896" s="10" t="s">
        <v>395</v>
      </c>
      <c r="M1896" s="10" t="s">
        <v>1834</v>
      </c>
      <c r="N1896" s="7"/>
    </row>
    <row r="1897" s="1" customFormat="1" ht="28.5" customHeight="1" spans="1:14">
      <c r="A1897" s="8"/>
      <c r="B1897" s="9"/>
      <c r="C1897" s="9" t="s">
        <v>1289</v>
      </c>
      <c r="D1897" s="9">
        <v>1000</v>
      </c>
      <c r="E1897" s="9"/>
      <c r="F1897" s="9"/>
      <c r="G1897" s="10" t="s">
        <v>2901</v>
      </c>
      <c r="H1897" s="10" t="s">
        <v>563</v>
      </c>
      <c r="I1897" s="10"/>
      <c r="J1897" s="9">
        <v>31315</v>
      </c>
      <c r="K1897" s="10" t="s">
        <v>2902</v>
      </c>
      <c r="L1897" s="10" t="s">
        <v>395</v>
      </c>
      <c r="M1897" s="10" t="s">
        <v>1834</v>
      </c>
      <c r="N1897" s="7"/>
    </row>
    <row r="1898" s="1" customFormat="1" ht="28.5" customHeight="1" spans="1:14">
      <c r="A1898" s="8">
        <v>50501</v>
      </c>
      <c r="B1898" s="9">
        <v>50521</v>
      </c>
      <c r="C1898" s="9" t="s">
        <v>33</v>
      </c>
      <c r="D1898" s="9">
        <v>3000</v>
      </c>
      <c r="E1898" s="9"/>
      <c r="F1898" s="9">
        <v>50504</v>
      </c>
      <c r="G1898" s="10" t="s">
        <v>2855</v>
      </c>
      <c r="H1898" s="10" t="s">
        <v>563</v>
      </c>
      <c r="I1898" s="10"/>
      <c r="J1898" s="9">
        <v>41316</v>
      </c>
      <c r="K1898" s="10" t="s">
        <v>2856</v>
      </c>
      <c r="L1898" s="10" t="s">
        <v>396</v>
      </c>
      <c r="M1898" s="10" t="s">
        <v>1842</v>
      </c>
      <c r="N1898" s="7"/>
    </row>
    <row r="1899" s="1" customFormat="1" ht="28.5" customHeight="1" spans="1:14">
      <c r="A1899" s="8">
        <v>50501</v>
      </c>
      <c r="B1899" s="9">
        <v>50522</v>
      </c>
      <c r="C1899" s="9" t="s">
        <v>33</v>
      </c>
      <c r="D1899" s="9">
        <v>2500</v>
      </c>
      <c r="E1899" s="9"/>
      <c r="F1899" s="9">
        <v>50504</v>
      </c>
      <c r="G1899" s="10" t="s">
        <v>2903</v>
      </c>
      <c r="H1899" s="10" t="s">
        <v>563</v>
      </c>
      <c r="I1899" s="10"/>
      <c r="J1899" s="9">
        <v>41317</v>
      </c>
      <c r="K1899" s="10" t="s">
        <v>2904</v>
      </c>
      <c r="L1899" s="10" t="s">
        <v>396</v>
      </c>
      <c r="M1899" s="10" t="s">
        <v>1842</v>
      </c>
      <c r="N1899" s="7"/>
    </row>
    <row r="1900" s="1" customFormat="1" ht="28.5" customHeight="1" spans="1:14">
      <c r="A1900" s="8">
        <v>50501</v>
      </c>
      <c r="B1900" s="9">
        <v>50523</v>
      </c>
      <c r="C1900" s="9" t="s">
        <v>33</v>
      </c>
      <c r="D1900" s="9">
        <v>2000</v>
      </c>
      <c r="E1900" s="9"/>
      <c r="F1900" s="9">
        <v>50504</v>
      </c>
      <c r="G1900" s="10" t="s">
        <v>2905</v>
      </c>
      <c r="H1900" s="10" t="s">
        <v>563</v>
      </c>
      <c r="I1900" s="10"/>
      <c r="J1900" s="9">
        <v>41318</v>
      </c>
      <c r="K1900" s="10" t="s">
        <v>2906</v>
      </c>
      <c r="L1900" s="10" t="s">
        <v>396</v>
      </c>
      <c r="M1900" s="10" t="s">
        <v>1842</v>
      </c>
      <c r="N1900" s="7"/>
    </row>
    <row r="1901" s="1" customFormat="1" ht="28.5" customHeight="1" spans="1:14">
      <c r="A1901" s="8">
        <v>50501</v>
      </c>
      <c r="B1901" s="9">
        <v>50524</v>
      </c>
      <c r="C1901" s="9" t="s">
        <v>33</v>
      </c>
      <c r="D1901" s="9">
        <v>1500</v>
      </c>
      <c r="E1901" s="9"/>
      <c r="F1901" s="9">
        <v>50504</v>
      </c>
      <c r="G1901" s="10" t="s">
        <v>2907</v>
      </c>
      <c r="H1901" s="10" t="s">
        <v>563</v>
      </c>
      <c r="I1901" s="10"/>
      <c r="J1901" s="9">
        <v>41319</v>
      </c>
      <c r="K1901" s="10" t="s">
        <v>2908</v>
      </c>
      <c r="L1901" s="10" t="s">
        <v>396</v>
      </c>
      <c r="M1901" s="10" t="s">
        <v>1842</v>
      </c>
      <c r="N1901" s="7"/>
    </row>
    <row r="1902" s="1" customFormat="1" ht="28.5" customHeight="1" spans="1:14">
      <c r="A1902" s="8">
        <v>50501</v>
      </c>
      <c r="B1902" s="9">
        <v>50525</v>
      </c>
      <c r="C1902" s="9" t="s">
        <v>33</v>
      </c>
      <c r="D1902" s="9">
        <v>1000</v>
      </c>
      <c r="E1902" s="9"/>
      <c r="F1902" s="9">
        <v>50504</v>
      </c>
      <c r="G1902" s="10" t="s">
        <v>2909</v>
      </c>
      <c r="H1902" s="10" t="s">
        <v>563</v>
      </c>
      <c r="I1902" s="10"/>
      <c r="J1902" s="9">
        <v>41320</v>
      </c>
      <c r="K1902" s="10" t="s">
        <v>2910</v>
      </c>
      <c r="L1902" s="10" t="s">
        <v>396</v>
      </c>
      <c r="M1902" s="10" t="s">
        <v>1842</v>
      </c>
      <c r="N1902" s="7"/>
    </row>
    <row r="1903" s="1" customFormat="1" ht="28.5" customHeight="1" spans="1:14">
      <c r="A1903" s="8"/>
      <c r="B1903" s="9"/>
      <c r="C1903" s="9" t="s">
        <v>1289</v>
      </c>
      <c r="D1903" s="9">
        <v>3000</v>
      </c>
      <c r="E1903" s="9"/>
      <c r="F1903" s="9"/>
      <c r="G1903" s="10" t="s">
        <v>2332</v>
      </c>
      <c r="H1903" s="10" t="s">
        <v>563</v>
      </c>
      <c r="I1903" s="10"/>
      <c r="J1903" s="9">
        <v>11321</v>
      </c>
      <c r="K1903" s="10" t="s">
        <v>2333</v>
      </c>
      <c r="L1903" s="10" t="s">
        <v>260</v>
      </c>
      <c r="M1903" s="10" t="s">
        <v>1834</v>
      </c>
      <c r="N1903" s="7"/>
    </row>
    <row r="1904" s="1" customFormat="1" ht="28.5" customHeight="1" spans="1:14">
      <c r="A1904" s="8"/>
      <c r="B1904" s="9"/>
      <c r="C1904" s="9" t="s">
        <v>1289</v>
      </c>
      <c r="D1904" s="9">
        <v>2500</v>
      </c>
      <c r="E1904" s="9"/>
      <c r="F1904" s="9"/>
      <c r="G1904" s="10" t="s">
        <v>2911</v>
      </c>
      <c r="H1904" s="10" t="s">
        <v>563</v>
      </c>
      <c r="I1904" s="10"/>
      <c r="J1904" s="9">
        <v>11322</v>
      </c>
      <c r="K1904" s="10" t="s">
        <v>2912</v>
      </c>
      <c r="L1904" s="10" t="s">
        <v>260</v>
      </c>
      <c r="M1904" s="10" t="s">
        <v>1834</v>
      </c>
      <c r="N1904" s="7"/>
    </row>
    <row r="1905" s="1" customFormat="1" ht="28.5" customHeight="1" spans="1:14">
      <c r="A1905" s="8"/>
      <c r="B1905" s="9"/>
      <c r="C1905" s="9" t="s">
        <v>1289</v>
      </c>
      <c r="D1905" s="9">
        <v>2000</v>
      </c>
      <c r="E1905" s="9"/>
      <c r="F1905" s="9"/>
      <c r="G1905" s="10" t="s">
        <v>2913</v>
      </c>
      <c r="H1905" s="10" t="s">
        <v>563</v>
      </c>
      <c r="I1905" s="10"/>
      <c r="J1905" s="9">
        <v>11323</v>
      </c>
      <c r="K1905" s="10" t="s">
        <v>2914</v>
      </c>
      <c r="L1905" s="10" t="s">
        <v>260</v>
      </c>
      <c r="M1905" s="10" t="s">
        <v>1834</v>
      </c>
      <c r="N1905" s="7"/>
    </row>
    <row r="1906" s="1" customFormat="1" ht="28.5" customHeight="1" spans="1:14">
      <c r="A1906" s="8"/>
      <c r="B1906" s="9"/>
      <c r="C1906" s="9" t="s">
        <v>1289</v>
      </c>
      <c r="D1906" s="9">
        <v>1500</v>
      </c>
      <c r="E1906" s="9"/>
      <c r="F1906" s="9"/>
      <c r="G1906" s="10" t="s">
        <v>2915</v>
      </c>
      <c r="H1906" s="10" t="s">
        <v>563</v>
      </c>
      <c r="I1906" s="10"/>
      <c r="J1906" s="9">
        <v>11324</v>
      </c>
      <c r="K1906" s="10" t="s">
        <v>2916</v>
      </c>
      <c r="L1906" s="10" t="s">
        <v>260</v>
      </c>
      <c r="M1906" s="10" t="s">
        <v>1834</v>
      </c>
      <c r="N1906" s="7"/>
    </row>
    <row r="1907" s="1" customFormat="1" ht="28.5" customHeight="1" spans="1:14">
      <c r="A1907" s="8"/>
      <c r="B1907" s="9"/>
      <c r="C1907" s="9" t="s">
        <v>1289</v>
      </c>
      <c r="D1907" s="9">
        <v>1000</v>
      </c>
      <c r="E1907" s="9"/>
      <c r="F1907" s="9"/>
      <c r="G1907" s="10" t="s">
        <v>2917</v>
      </c>
      <c r="H1907" s="10" t="s">
        <v>563</v>
      </c>
      <c r="I1907" s="10"/>
      <c r="J1907" s="9">
        <v>11325</v>
      </c>
      <c r="K1907" s="10" t="s">
        <v>2918</v>
      </c>
      <c r="L1907" s="10" t="s">
        <v>260</v>
      </c>
      <c r="M1907" s="10" t="s">
        <v>1834</v>
      </c>
      <c r="N1907" s="7"/>
    </row>
    <row r="1908" s="1" customFormat="1" ht="28.5" customHeight="1" spans="1:14">
      <c r="A1908" s="8">
        <v>50601</v>
      </c>
      <c r="B1908" s="9">
        <v>50601</v>
      </c>
      <c r="C1908" s="9" t="s">
        <v>34</v>
      </c>
      <c r="D1908" s="9">
        <v>0</v>
      </c>
      <c r="E1908" s="9"/>
      <c r="F1908" s="9">
        <v>50600</v>
      </c>
      <c r="G1908" s="10" t="s">
        <v>1351</v>
      </c>
      <c r="H1908" s="10" t="s">
        <v>563</v>
      </c>
      <c r="I1908" s="10"/>
      <c r="J1908" s="9">
        <v>61326</v>
      </c>
      <c r="K1908" s="10" t="s">
        <v>1976</v>
      </c>
      <c r="L1908" s="10" t="s">
        <v>259</v>
      </c>
      <c r="M1908" s="10" t="s">
        <v>1842</v>
      </c>
      <c r="N1908" s="7"/>
    </row>
    <row r="1909" s="1" customFormat="1" ht="28.5" customHeight="1" spans="1:14">
      <c r="A1909" s="8">
        <v>50601</v>
      </c>
      <c r="B1909" s="9">
        <v>50602</v>
      </c>
      <c r="C1909" s="9" t="s">
        <v>34</v>
      </c>
      <c r="D1909" s="9">
        <v>0</v>
      </c>
      <c r="E1909" s="9"/>
      <c r="F1909" s="9">
        <v>50600</v>
      </c>
      <c r="G1909" s="10" t="s">
        <v>1353</v>
      </c>
      <c r="H1909" s="10" t="s">
        <v>563</v>
      </c>
      <c r="I1909" s="10"/>
      <c r="J1909" s="9">
        <v>61327</v>
      </c>
      <c r="K1909" s="10" t="s">
        <v>1977</v>
      </c>
      <c r="L1909" s="10" t="s">
        <v>259</v>
      </c>
      <c r="M1909" s="10" t="s">
        <v>1842</v>
      </c>
      <c r="N1909" s="7"/>
    </row>
    <row r="1910" s="1" customFormat="1" ht="28.5" customHeight="1" spans="1:14">
      <c r="A1910" s="8">
        <v>50601</v>
      </c>
      <c r="B1910" s="9">
        <v>50603</v>
      </c>
      <c r="C1910" s="9" t="s">
        <v>34</v>
      </c>
      <c r="D1910" s="9">
        <v>0</v>
      </c>
      <c r="E1910" s="9"/>
      <c r="F1910" s="9">
        <v>50600</v>
      </c>
      <c r="G1910" s="10" t="s">
        <v>1355</v>
      </c>
      <c r="H1910" s="10" t="s">
        <v>563</v>
      </c>
      <c r="I1910" s="10"/>
      <c r="J1910" s="9">
        <v>61328</v>
      </c>
      <c r="K1910" s="10" t="s">
        <v>1978</v>
      </c>
      <c r="L1910" s="10" t="s">
        <v>259</v>
      </c>
      <c r="M1910" s="10" t="s">
        <v>1842</v>
      </c>
      <c r="N1910" s="7"/>
    </row>
    <row r="1911" s="1" customFormat="1" ht="28.5" customHeight="1" spans="1:14">
      <c r="A1911" s="8">
        <v>50601</v>
      </c>
      <c r="B1911" s="9">
        <v>50604</v>
      </c>
      <c r="C1911" s="9" t="s">
        <v>34</v>
      </c>
      <c r="D1911" s="9">
        <v>0</v>
      </c>
      <c r="E1911" s="9"/>
      <c r="F1911" s="9">
        <v>50600</v>
      </c>
      <c r="G1911" s="10" t="s">
        <v>1357</v>
      </c>
      <c r="H1911" s="10" t="s">
        <v>563</v>
      </c>
      <c r="I1911" s="10"/>
      <c r="J1911" s="9">
        <v>61329</v>
      </c>
      <c r="K1911" s="10" t="s">
        <v>1979</v>
      </c>
      <c r="L1911" s="10" t="s">
        <v>259</v>
      </c>
      <c r="M1911" s="10" t="s">
        <v>1842</v>
      </c>
      <c r="N1911" s="7"/>
    </row>
    <row r="1912" s="1" customFormat="1" ht="28.5" customHeight="1" spans="1:14">
      <c r="A1912" s="8">
        <v>50601</v>
      </c>
      <c r="B1912" s="9">
        <v>50605</v>
      </c>
      <c r="C1912" s="9" t="s">
        <v>34</v>
      </c>
      <c r="D1912" s="9">
        <v>0</v>
      </c>
      <c r="E1912" s="9"/>
      <c r="F1912" s="9">
        <v>50600</v>
      </c>
      <c r="G1912" s="10" t="s">
        <v>1359</v>
      </c>
      <c r="H1912" s="10" t="s">
        <v>563</v>
      </c>
      <c r="I1912" s="10"/>
      <c r="J1912" s="9">
        <v>61330</v>
      </c>
      <c r="K1912" s="10" t="s">
        <v>1980</v>
      </c>
      <c r="L1912" s="10" t="s">
        <v>259</v>
      </c>
      <c r="M1912" s="10" t="s">
        <v>1842</v>
      </c>
      <c r="N1912" s="7"/>
    </row>
    <row r="1913" s="1" customFormat="1" ht="28.5" customHeight="1" spans="1:14">
      <c r="A1913" s="8">
        <v>50601</v>
      </c>
      <c r="B1913" s="9">
        <v>50606</v>
      </c>
      <c r="C1913" s="9" t="s">
        <v>34</v>
      </c>
      <c r="D1913" s="9">
        <v>3000</v>
      </c>
      <c r="E1913" s="9"/>
      <c r="F1913" s="9">
        <v>50601</v>
      </c>
      <c r="G1913" s="10" t="s">
        <v>1981</v>
      </c>
      <c r="H1913" s="10" t="s">
        <v>563</v>
      </c>
      <c r="I1913" s="10"/>
      <c r="J1913" s="9">
        <v>21331</v>
      </c>
      <c r="K1913" s="10" t="s">
        <v>1982</v>
      </c>
      <c r="L1913" s="10" t="s">
        <v>260</v>
      </c>
      <c r="M1913" s="10" t="s">
        <v>1842</v>
      </c>
      <c r="N1913" s="7"/>
    </row>
    <row r="1914" s="1" customFormat="1" ht="28.5" customHeight="1" spans="1:14">
      <c r="A1914" s="8">
        <v>50601</v>
      </c>
      <c r="B1914" s="9">
        <v>50607</v>
      </c>
      <c r="C1914" s="9" t="s">
        <v>34</v>
      </c>
      <c r="D1914" s="9">
        <v>2500</v>
      </c>
      <c r="E1914" s="9"/>
      <c r="F1914" s="9">
        <v>50601</v>
      </c>
      <c r="G1914" s="10" t="s">
        <v>1983</v>
      </c>
      <c r="H1914" s="10" t="s">
        <v>563</v>
      </c>
      <c r="I1914" s="10"/>
      <c r="J1914" s="9">
        <v>21332</v>
      </c>
      <c r="K1914" s="10" t="s">
        <v>1984</v>
      </c>
      <c r="L1914" s="10" t="s">
        <v>260</v>
      </c>
      <c r="M1914" s="10" t="s">
        <v>1842</v>
      </c>
      <c r="N1914" s="7"/>
    </row>
    <row r="1915" s="1" customFormat="1" ht="28.5" customHeight="1" spans="1:14">
      <c r="A1915" s="8">
        <v>50601</v>
      </c>
      <c r="B1915" s="9">
        <v>50608</v>
      </c>
      <c r="C1915" s="9" t="s">
        <v>34</v>
      </c>
      <c r="D1915" s="9">
        <v>2000</v>
      </c>
      <c r="E1915" s="9"/>
      <c r="F1915" s="9">
        <v>50601</v>
      </c>
      <c r="G1915" s="10" t="s">
        <v>1927</v>
      </c>
      <c r="H1915" s="10" t="s">
        <v>563</v>
      </c>
      <c r="I1915" s="10"/>
      <c r="J1915" s="9">
        <v>21333</v>
      </c>
      <c r="K1915" s="10" t="s">
        <v>1928</v>
      </c>
      <c r="L1915" s="10" t="s">
        <v>260</v>
      </c>
      <c r="M1915" s="10" t="s">
        <v>1842</v>
      </c>
      <c r="N1915" s="7"/>
    </row>
    <row r="1916" s="1" customFormat="1" ht="28.5" customHeight="1" spans="1:14">
      <c r="A1916" s="8">
        <v>50601</v>
      </c>
      <c r="B1916" s="9">
        <v>50609</v>
      </c>
      <c r="C1916" s="9" t="s">
        <v>34</v>
      </c>
      <c r="D1916" s="9">
        <v>1500</v>
      </c>
      <c r="E1916" s="9"/>
      <c r="F1916" s="9">
        <v>50601</v>
      </c>
      <c r="G1916" s="10" t="s">
        <v>1985</v>
      </c>
      <c r="H1916" s="10" t="s">
        <v>563</v>
      </c>
      <c r="I1916" s="10"/>
      <c r="J1916" s="9">
        <v>21334</v>
      </c>
      <c r="K1916" s="10" t="s">
        <v>1986</v>
      </c>
      <c r="L1916" s="10" t="s">
        <v>260</v>
      </c>
      <c r="M1916" s="10" t="s">
        <v>1842</v>
      </c>
      <c r="N1916" s="7"/>
    </row>
    <row r="1917" s="1" customFormat="1" ht="28.5" customHeight="1" spans="1:14">
      <c r="A1917" s="8">
        <v>50601</v>
      </c>
      <c r="B1917" s="9">
        <v>50610</v>
      </c>
      <c r="C1917" s="9" t="s">
        <v>34</v>
      </c>
      <c r="D1917" s="9">
        <v>1000</v>
      </c>
      <c r="E1917" s="9"/>
      <c r="F1917" s="9">
        <v>50601</v>
      </c>
      <c r="G1917" s="10" t="s">
        <v>1929</v>
      </c>
      <c r="H1917" s="10" t="s">
        <v>563</v>
      </c>
      <c r="I1917" s="10"/>
      <c r="J1917" s="9">
        <v>21335</v>
      </c>
      <c r="K1917" s="10" t="s">
        <v>1930</v>
      </c>
      <c r="L1917" s="10" t="s">
        <v>260</v>
      </c>
      <c r="M1917" s="10" t="s">
        <v>1842</v>
      </c>
      <c r="N1917" s="7"/>
    </row>
    <row r="1918" s="1" customFormat="1" ht="28.5" customHeight="1" spans="1:14">
      <c r="A1918" s="8"/>
      <c r="B1918" s="9"/>
      <c r="C1918" s="9" t="s">
        <v>1289</v>
      </c>
      <c r="D1918" s="9">
        <v>3000</v>
      </c>
      <c r="E1918" s="9"/>
      <c r="F1918" s="9"/>
      <c r="G1918" s="10" t="s">
        <v>1857</v>
      </c>
      <c r="H1918" s="10" t="s">
        <v>563</v>
      </c>
      <c r="I1918" s="10"/>
      <c r="J1918" s="9">
        <v>91336</v>
      </c>
      <c r="K1918" s="10" t="s">
        <v>1858</v>
      </c>
      <c r="L1918" s="10" t="s">
        <v>224</v>
      </c>
      <c r="M1918" s="10" t="s">
        <v>1834</v>
      </c>
      <c r="N1918" s="7"/>
    </row>
    <row r="1919" s="1" customFormat="1" ht="28.5" customHeight="1" spans="1:14">
      <c r="A1919" s="8"/>
      <c r="B1919" s="9"/>
      <c r="C1919" s="9" t="s">
        <v>1289</v>
      </c>
      <c r="D1919" s="9">
        <v>2500</v>
      </c>
      <c r="E1919" s="9"/>
      <c r="F1919" s="9"/>
      <c r="G1919" s="10" t="s">
        <v>1857</v>
      </c>
      <c r="H1919" s="10" t="s">
        <v>563</v>
      </c>
      <c r="I1919" s="10"/>
      <c r="J1919" s="9">
        <v>91337</v>
      </c>
      <c r="K1919" s="10" t="s">
        <v>1858</v>
      </c>
      <c r="L1919" s="10" t="s">
        <v>224</v>
      </c>
      <c r="M1919" s="10" t="s">
        <v>1834</v>
      </c>
      <c r="N1919" s="7"/>
    </row>
    <row r="1920" s="1" customFormat="1" ht="28.5" customHeight="1" spans="1:14">
      <c r="A1920" s="8"/>
      <c r="B1920" s="9"/>
      <c r="C1920" s="9" t="s">
        <v>1289</v>
      </c>
      <c r="D1920" s="9">
        <v>2000</v>
      </c>
      <c r="E1920" s="9"/>
      <c r="F1920" s="9"/>
      <c r="G1920" s="10" t="s">
        <v>1857</v>
      </c>
      <c r="H1920" s="10" t="s">
        <v>563</v>
      </c>
      <c r="I1920" s="10"/>
      <c r="J1920" s="9">
        <v>91338</v>
      </c>
      <c r="K1920" s="10" t="s">
        <v>1858</v>
      </c>
      <c r="L1920" s="10" t="s">
        <v>224</v>
      </c>
      <c r="M1920" s="10" t="s">
        <v>1834</v>
      </c>
      <c r="N1920" s="7"/>
    </row>
    <row r="1921" s="1" customFormat="1" ht="28.5" customHeight="1" spans="1:14">
      <c r="A1921" s="8"/>
      <c r="B1921" s="9"/>
      <c r="C1921" s="9" t="s">
        <v>1289</v>
      </c>
      <c r="D1921" s="9">
        <v>1500</v>
      </c>
      <c r="E1921" s="9"/>
      <c r="F1921" s="9"/>
      <c r="G1921" s="10" t="s">
        <v>1857</v>
      </c>
      <c r="H1921" s="10" t="s">
        <v>563</v>
      </c>
      <c r="I1921" s="10"/>
      <c r="J1921" s="9">
        <v>91339</v>
      </c>
      <c r="K1921" s="10" t="s">
        <v>1858</v>
      </c>
      <c r="L1921" s="10" t="s">
        <v>224</v>
      </c>
      <c r="M1921" s="10" t="s">
        <v>1834</v>
      </c>
      <c r="N1921" s="7"/>
    </row>
    <row r="1922" s="1" customFormat="1" ht="28.5" customHeight="1" spans="1:14">
      <c r="A1922" s="8"/>
      <c r="B1922" s="9"/>
      <c r="C1922" s="9" t="s">
        <v>1289</v>
      </c>
      <c r="D1922" s="9">
        <v>1000</v>
      </c>
      <c r="E1922" s="9"/>
      <c r="F1922" s="9"/>
      <c r="G1922" s="10" t="s">
        <v>1857</v>
      </c>
      <c r="H1922" s="10" t="s">
        <v>563</v>
      </c>
      <c r="I1922" s="10"/>
      <c r="J1922" s="9">
        <v>91340</v>
      </c>
      <c r="K1922" s="10" t="s">
        <v>1858</v>
      </c>
      <c r="L1922" s="10" t="s">
        <v>224</v>
      </c>
      <c r="M1922" s="10" t="s">
        <v>1834</v>
      </c>
      <c r="N1922" s="7"/>
    </row>
    <row r="1923" s="1" customFormat="1" ht="28.5" customHeight="1" spans="1:14">
      <c r="A1923" s="8"/>
      <c r="B1923" s="9"/>
      <c r="C1923" s="9" t="s">
        <v>1289</v>
      </c>
      <c r="D1923" s="9">
        <v>3000</v>
      </c>
      <c r="E1923" s="9"/>
      <c r="F1923" s="9"/>
      <c r="G1923" s="10" t="s">
        <v>1859</v>
      </c>
      <c r="H1923" s="10" t="s">
        <v>563</v>
      </c>
      <c r="I1923" s="10"/>
      <c r="J1923" s="9">
        <v>71341</v>
      </c>
      <c r="K1923" s="10" t="s">
        <v>1860</v>
      </c>
      <c r="L1923" s="10" t="s">
        <v>228</v>
      </c>
      <c r="M1923" s="10" t="s">
        <v>1834</v>
      </c>
      <c r="N1923" s="7"/>
    </row>
    <row r="1924" s="1" customFormat="1" ht="28.5" customHeight="1" spans="1:14">
      <c r="A1924" s="8"/>
      <c r="B1924" s="9"/>
      <c r="C1924" s="9" t="s">
        <v>1289</v>
      </c>
      <c r="D1924" s="9">
        <v>2500</v>
      </c>
      <c r="E1924" s="9"/>
      <c r="F1924" s="9"/>
      <c r="G1924" s="10" t="s">
        <v>1859</v>
      </c>
      <c r="H1924" s="10" t="s">
        <v>563</v>
      </c>
      <c r="I1924" s="10"/>
      <c r="J1924" s="9">
        <v>71342</v>
      </c>
      <c r="K1924" s="10" t="s">
        <v>1860</v>
      </c>
      <c r="L1924" s="10" t="s">
        <v>228</v>
      </c>
      <c r="M1924" s="10" t="s">
        <v>1834</v>
      </c>
      <c r="N1924" s="7"/>
    </row>
    <row r="1925" s="1" customFormat="1" ht="28.5" customHeight="1" spans="1:14">
      <c r="A1925" s="8"/>
      <c r="B1925" s="9"/>
      <c r="C1925" s="9" t="s">
        <v>1289</v>
      </c>
      <c r="D1925" s="9">
        <v>2000</v>
      </c>
      <c r="E1925" s="9"/>
      <c r="F1925" s="9"/>
      <c r="G1925" s="10" t="s">
        <v>1859</v>
      </c>
      <c r="H1925" s="10" t="s">
        <v>563</v>
      </c>
      <c r="I1925" s="10"/>
      <c r="J1925" s="9">
        <v>71343</v>
      </c>
      <c r="K1925" s="10" t="s">
        <v>1860</v>
      </c>
      <c r="L1925" s="10" t="s">
        <v>228</v>
      </c>
      <c r="M1925" s="10" t="s">
        <v>1834</v>
      </c>
      <c r="N1925" s="7"/>
    </row>
    <row r="1926" s="1" customFormat="1" ht="28.5" customHeight="1" spans="1:14">
      <c r="A1926" s="8"/>
      <c r="B1926" s="9"/>
      <c r="C1926" s="9" t="s">
        <v>1289</v>
      </c>
      <c r="D1926" s="9">
        <v>1500</v>
      </c>
      <c r="E1926" s="9"/>
      <c r="F1926" s="9"/>
      <c r="G1926" s="10" t="s">
        <v>1859</v>
      </c>
      <c r="H1926" s="10" t="s">
        <v>563</v>
      </c>
      <c r="I1926" s="10"/>
      <c r="J1926" s="9">
        <v>71344</v>
      </c>
      <c r="K1926" s="10" t="s">
        <v>1860</v>
      </c>
      <c r="L1926" s="10" t="s">
        <v>228</v>
      </c>
      <c r="M1926" s="10" t="s">
        <v>1834</v>
      </c>
      <c r="N1926" s="7"/>
    </row>
    <row r="1927" s="1" customFormat="1" ht="28.5" customHeight="1" spans="1:14">
      <c r="A1927" s="8"/>
      <c r="B1927" s="9"/>
      <c r="C1927" s="9" t="s">
        <v>1289</v>
      </c>
      <c r="D1927" s="9">
        <v>1000</v>
      </c>
      <c r="E1927" s="9"/>
      <c r="F1927" s="9"/>
      <c r="G1927" s="10" t="s">
        <v>1859</v>
      </c>
      <c r="H1927" s="10" t="s">
        <v>563</v>
      </c>
      <c r="I1927" s="10"/>
      <c r="J1927" s="9">
        <v>71345</v>
      </c>
      <c r="K1927" s="10" t="s">
        <v>1860</v>
      </c>
      <c r="L1927" s="10" t="s">
        <v>228</v>
      </c>
      <c r="M1927" s="10" t="s">
        <v>1834</v>
      </c>
      <c r="N1927" s="7"/>
    </row>
    <row r="1928" s="1" customFormat="1" ht="28.5" customHeight="1" spans="1:14">
      <c r="A1928" s="8"/>
      <c r="B1928" s="9"/>
      <c r="C1928" s="9" t="s">
        <v>1289</v>
      </c>
      <c r="D1928" s="9">
        <v>3000</v>
      </c>
      <c r="E1928" s="9"/>
      <c r="F1928" s="9"/>
      <c r="G1928" s="10" t="s">
        <v>1861</v>
      </c>
      <c r="H1928" s="10" t="s">
        <v>563</v>
      </c>
      <c r="I1928" s="10"/>
      <c r="J1928" s="9">
        <v>81346</v>
      </c>
      <c r="K1928" s="10" t="s">
        <v>1862</v>
      </c>
      <c r="L1928" s="10" t="s">
        <v>231</v>
      </c>
      <c r="M1928" s="10" t="s">
        <v>1834</v>
      </c>
      <c r="N1928" s="7"/>
    </row>
    <row r="1929" s="1" customFormat="1" ht="28.5" customHeight="1" spans="1:14">
      <c r="A1929" s="8"/>
      <c r="B1929" s="9"/>
      <c r="C1929" s="9" t="s">
        <v>1289</v>
      </c>
      <c r="D1929" s="9">
        <v>2500</v>
      </c>
      <c r="E1929" s="9"/>
      <c r="F1929" s="9"/>
      <c r="G1929" s="10" t="s">
        <v>1861</v>
      </c>
      <c r="H1929" s="10" t="s">
        <v>563</v>
      </c>
      <c r="I1929" s="10"/>
      <c r="J1929" s="9">
        <v>81347</v>
      </c>
      <c r="K1929" s="10" t="s">
        <v>1862</v>
      </c>
      <c r="L1929" s="10" t="s">
        <v>231</v>
      </c>
      <c r="M1929" s="10" t="s">
        <v>1834</v>
      </c>
      <c r="N1929" s="7"/>
    </row>
    <row r="1930" s="1" customFormat="1" ht="28.5" customHeight="1" spans="1:14">
      <c r="A1930" s="8"/>
      <c r="B1930" s="9"/>
      <c r="C1930" s="9" t="s">
        <v>1289</v>
      </c>
      <c r="D1930" s="9">
        <v>2000</v>
      </c>
      <c r="E1930" s="9"/>
      <c r="F1930" s="9"/>
      <c r="G1930" s="10" t="s">
        <v>1861</v>
      </c>
      <c r="H1930" s="10" t="s">
        <v>563</v>
      </c>
      <c r="I1930" s="10"/>
      <c r="J1930" s="9">
        <v>81348</v>
      </c>
      <c r="K1930" s="10" t="s">
        <v>1862</v>
      </c>
      <c r="L1930" s="10" t="s">
        <v>231</v>
      </c>
      <c r="M1930" s="10" t="s">
        <v>1834</v>
      </c>
      <c r="N1930" s="7"/>
    </row>
    <row r="1931" s="1" customFormat="1" ht="28.5" customHeight="1" spans="1:14">
      <c r="A1931" s="8"/>
      <c r="B1931" s="9"/>
      <c r="C1931" s="9" t="s">
        <v>1289</v>
      </c>
      <c r="D1931" s="9">
        <v>1500</v>
      </c>
      <c r="E1931" s="9"/>
      <c r="F1931" s="9"/>
      <c r="G1931" s="10" t="s">
        <v>1861</v>
      </c>
      <c r="H1931" s="10" t="s">
        <v>563</v>
      </c>
      <c r="I1931" s="10"/>
      <c r="J1931" s="9">
        <v>81349</v>
      </c>
      <c r="K1931" s="10" t="s">
        <v>1862</v>
      </c>
      <c r="L1931" s="10" t="s">
        <v>231</v>
      </c>
      <c r="M1931" s="10" t="s">
        <v>1834</v>
      </c>
      <c r="N1931" s="7"/>
    </row>
    <row r="1932" s="1" customFormat="1" ht="28.5" customHeight="1" spans="1:14">
      <c r="A1932" s="8"/>
      <c r="B1932" s="9"/>
      <c r="C1932" s="9" t="s">
        <v>1289</v>
      </c>
      <c r="D1932" s="9">
        <v>1000</v>
      </c>
      <c r="E1932" s="9"/>
      <c r="F1932" s="9"/>
      <c r="G1932" s="10" t="s">
        <v>1861</v>
      </c>
      <c r="H1932" s="10" t="s">
        <v>563</v>
      </c>
      <c r="I1932" s="10"/>
      <c r="J1932" s="9">
        <v>81350</v>
      </c>
      <c r="K1932" s="10" t="s">
        <v>1862</v>
      </c>
      <c r="L1932" s="10" t="s">
        <v>231</v>
      </c>
      <c r="M1932" s="10" t="s">
        <v>1834</v>
      </c>
      <c r="N1932" s="7"/>
    </row>
    <row r="1933" s="1" customFormat="1" ht="28.5" customHeight="1" spans="1:14">
      <c r="A1933" s="8"/>
      <c r="B1933" s="9"/>
      <c r="C1933" s="9" t="s">
        <v>1289</v>
      </c>
      <c r="D1933" s="9">
        <v>3000</v>
      </c>
      <c r="E1933" s="9"/>
      <c r="F1933" s="9"/>
      <c r="G1933" s="10" t="s">
        <v>2809</v>
      </c>
      <c r="H1933" s="10" t="s">
        <v>563</v>
      </c>
      <c r="I1933" s="10"/>
      <c r="J1933" s="9">
        <v>101351</v>
      </c>
      <c r="K1933" s="10" t="s">
        <v>378</v>
      </c>
      <c r="L1933" s="10" t="s">
        <v>248</v>
      </c>
      <c r="M1933" s="10" t="s">
        <v>1834</v>
      </c>
      <c r="N1933" s="7"/>
    </row>
    <row r="1934" s="1" customFormat="1" ht="28.5" customHeight="1" spans="1:14">
      <c r="A1934" s="8"/>
      <c r="B1934" s="9"/>
      <c r="C1934" s="9" t="s">
        <v>1289</v>
      </c>
      <c r="D1934" s="9">
        <v>2500</v>
      </c>
      <c r="E1934" s="9"/>
      <c r="F1934" s="9"/>
      <c r="G1934" s="10" t="s">
        <v>2809</v>
      </c>
      <c r="H1934" s="10" t="s">
        <v>563</v>
      </c>
      <c r="I1934" s="10"/>
      <c r="J1934" s="9">
        <v>101352</v>
      </c>
      <c r="K1934" s="10" t="s">
        <v>378</v>
      </c>
      <c r="L1934" s="10" t="s">
        <v>248</v>
      </c>
      <c r="M1934" s="10" t="s">
        <v>1834</v>
      </c>
      <c r="N1934" s="7"/>
    </row>
    <row r="1935" s="1" customFormat="1" ht="28.5" customHeight="1" spans="1:14">
      <c r="A1935" s="8"/>
      <c r="B1935" s="9"/>
      <c r="C1935" s="9" t="s">
        <v>1289</v>
      </c>
      <c r="D1935" s="9">
        <v>2000</v>
      </c>
      <c r="E1935" s="9"/>
      <c r="F1935" s="9"/>
      <c r="G1935" s="10" t="s">
        <v>2809</v>
      </c>
      <c r="H1935" s="10" t="s">
        <v>563</v>
      </c>
      <c r="I1935" s="10"/>
      <c r="J1935" s="9">
        <v>101353</v>
      </c>
      <c r="K1935" s="10" t="s">
        <v>378</v>
      </c>
      <c r="L1935" s="10" t="s">
        <v>248</v>
      </c>
      <c r="M1935" s="10" t="s">
        <v>1834</v>
      </c>
      <c r="N1935" s="7"/>
    </row>
    <row r="1936" s="1" customFormat="1" ht="28.5" customHeight="1" spans="1:14">
      <c r="A1936" s="8"/>
      <c r="B1936" s="9"/>
      <c r="C1936" s="9" t="s">
        <v>1289</v>
      </c>
      <c r="D1936" s="9">
        <v>1500</v>
      </c>
      <c r="E1936" s="9"/>
      <c r="F1936" s="9"/>
      <c r="G1936" s="10" t="s">
        <v>2809</v>
      </c>
      <c r="H1936" s="10" t="s">
        <v>563</v>
      </c>
      <c r="I1936" s="10"/>
      <c r="J1936" s="9">
        <v>101354</v>
      </c>
      <c r="K1936" s="10" t="s">
        <v>378</v>
      </c>
      <c r="L1936" s="10" t="s">
        <v>248</v>
      </c>
      <c r="M1936" s="10" t="s">
        <v>1834</v>
      </c>
      <c r="N1936" s="7"/>
    </row>
    <row r="1937" s="1" customFormat="1" ht="28.5" customHeight="1" spans="1:14">
      <c r="A1937" s="8"/>
      <c r="B1937" s="9"/>
      <c r="C1937" s="9" t="s">
        <v>1289</v>
      </c>
      <c r="D1937" s="9">
        <v>1000</v>
      </c>
      <c r="E1937" s="9"/>
      <c r="F1937" s="9"/>
      <c r="G1937" s="10" t="s">
        <v>2809</v>
      </c>
      <c r="H1937" s="10" t="s">
        <v>563</v>
      </c>
      <c r="I1937" s="10"/>
      <c r="J1937" s="9">
        <v>101355</v>
      </c>
      <c r="K1937" s="10" t="s">
        <v>378</v>
      </c>
      <c r="L1937" s="10" t="s">
        <v>248</v>
      </c>
      <c r="M1937" s="10" t="s">
        <v>1834</v>
      </c>
      <c r="N1937" s="7"/>
    </row>
    <row r="1938" s="1" customFormat="1" ht="28.5" customHeight="1" spans="1:14">
      <c r="A1938" s="8">
        <v>50602</v>
      </c>
      <c r="B1938" s="9">
        <v>50611</v>
      </c>
      <c r="C1938" s="9" t="s">
        <v>34</v>
      </c>
      <c r="D1938" s="9">
        <v>3000</v>
      </c>
      <c r="E1938" s="9"/>
      <c r="F1938" s="9">
        <v>50602</v>
      </c>
      <c r="G1938" s="10" t="s">
        <v>2919</v>
      </c>
      <c r="H1938" s="10" t="s">
        <v>563</v>
      </c>
      <c r="I1938" s="10"/>
      <c r="J1938" s="9">
        <v>11356</v>
      </c>
      <c r="K1938" s="10" t="s">
        <v>2920</v>
      </c>
      <c r="L1938" s="10" t="s">
        <v>397</v>
      </c>
      <c r="M1938" s="10" t="s">
        <v>1842</v>
      </c>
      <c r="N1938" s="7"/>
    </row>
    <row r="1939" s="1" customFormat="1" ht="28.5" customHeight="1" spans="1:14">
      <c r="A1939" s="8">
        <v>50602</v>
      </c>
      <c r="B1939" s="9">
        <v>50612</v>
      </c>
      <c r="C1939" s="9" t="s">
        <v>34</v>
      </c>
      <c r="D1939" s="9">
        <v>2500</v>
      </c>
      <c r="E1939" s="9"/>
      <c r="F1939" s="9">
        <v>50602</v>
      </c>
      <c r="G1939" s="10" t="s">
        <v>2921</v>
      </c>
      <c r="H1939" s="10" t="s">
        <v>563</v>
      </c>
      <c r="I1939" s="10"/>
      <c r="J1939" s="9">
        <v>11357</v>
      </c>
      <c r="K1939" s="10" t="s">
        <v>2922</v>
      </c>
      <c r="L1939" s="10" t="s">
        <v>397</v>
      </c>
      <c r="M1939" s="10" t="s">
        <v>1842</v>
      </c>
      <c r="N1939" s="7"/>
    </row>
    <row r="1940" s="1" customFormat="1" ht="28.5" customHeight="1" spans="1:14">
      <c r="A1940" s="8">
        <v>50602</v>
      </c>
      <c r="B1940" s="9">
        <v>50613</v>
      </c>
      <c r="C1940" s="9" t="s">
        <v>34</v>
      </c>
      <c r="D1940" s="9">
        <v>2000</v>
      </c>
      <c r="E1940" s="9"/>
      <c r="F1940" s="9">
        <v>50602</v>
      </c>
      <c r="G1940" s="10" t="s">
        <v>1787</v>
      </c>
      <c r="H1940" s="10" t="s">
        <v>563</v>
      </c>
      <c r="I1940" s="10"/>
      <c r="J1940" s="9">
        <v>11358</v>
      </c>
      <c r="K1940" s="10" t="s">
        <v>1788</v>
      </c>
      <c r="L1940" s="10" t="s">
        <v>397</v>
      </c>
      <c r="M1940" s="10" t="s">
        <v>1842</v>
      </c>
      <c r="N1940" s="7"/>
    </row>
    <row r="1941" s="1" customFormat="1" ht="28.5" customHeight="1" spans="1:14">
      <c r="A1941" s="8">
        <v>50602</v>
      </c>
      <c r="B1941" s="9">
        <v>50614</v>
      </c>
      <c r="C1941" s="9" t="s">
        <v>34</v>
      </c>
      <c r="D1941" s="9">
        <v>1500</v>
      </c>
      <c r="E1941" s="9"/>
      <c r="F1941" s="9">
        <v>50602</v>
      </c>
      <c r="G1941" s="10" t="s">
        <v>2923</v>
      </c>
      <c r="H1941" s="10" t="s">
        <v>563</v>
      </c>
      <c r="I1941" s="10"/>
      <c r="J1941" s="9">
        <v>11359</v>
      </c>
      <c r="K1941" s="10" t="s">
        <v>2924</v>
      </c>
      <c r="L1941" s="10" t="s">
        <v>397</v>
      </c>
      <c r="M1941" s="10" t="s">
        <v>1842</v>
      </c>
      <c r="N1941" s="7"/>
    </row>
    <row r="1942" s="1" customFormat="1" ht="28.5" customHeight="1" spans="1:14">
      <c r="A1942" s="8">
        <v>50602</v>
      </c>
      <c r="B1942" s="9">
        <v>50615</v>
      </c>
      <c r="C1942" s="9" t="s">
        <v>34</v>
      </c>
      <c r="D1942" s="9">
        <v>1000</v>
      </c>
      <c r="E1942" s="9"/>
      <c r="F1942" s="9">
        <v>50602</v>
      </c>
      <c r="G1942" s="10" t="s">
        <v>1805</v>
      </c>
      <c r="H1942" s="10" t="s">
        <v>563</v>
      </c>
      <c r="I1942" s="10"/>
      <c r="J1942" s="9">
        <v>11360</v>
      </c>
      <c r="K1942" s="10" t="s">
        <v>1806</v>
      </c>
      <c r="L1942" s="10" t="s">
        <v>397</v>
      </c>
      <c r="M1942" s="10" t="s">
        <v>1842</v>
      </c>
      <c r="N1942" s="7"/>
    </row>
    <row r="1943" s="1" customFormat="1" ht="28.5" customHeight="1" spans="1:14">
      <c r="A1943" s="8">
        <v>50601</v>
      </c>
      <c r="B1943" s="9">
        <v>50616</v>
      </c>
      <c r="C1943" s="9" t="s">
        <v>34</v>
      </c>
      <c r="D1943" s="9">
        <v>3000</v>
      </c>
      <c r="E1943" s="9"/>
      <c r="F1943" s="9">
        <v>50603</v>
      </c>
      <c r="G1943" s="10" t="s">
        <v>1781</v>
      </c>
      <c r="H1943" s="10" t="s">
        <v>563</v>
      </c>
      <c r="I1943" s="10"/>
      <c r="J1943" s="9">
        <v>51361</v>
      </c>
      <c r="K1943" s="10" t="s">
        <v>2882</v>
      </c>
      <c r="L1943" s="10" t="s">
        <v>398</v>
      </c>
      <c r="M1943" s="10" t="s">
        <v>1842</v>
      </c>
      <c r="N1943" s="7"/>
    </row>
    <row r="1944" s="1" customFormat="1" ht="28.5" customHeight="1" spans="1:14">
      <c r="A1944" s="8">
        <v>50601</v>
      </c>
      <c r="B1944" s="9">
        <v>50617</v>
      </c>
      <c r="C1944" s="9" t="s">
        <v>34</v>
      </c>
      <c r="D1944" s="9">
        <v>2500</v>
      </c>
      <c r="E1944" s="9"/>
      <c r="F1944" s="9">
        <v>50603</v>
      </c>
      <c r="G1944" s="10" t="s">
        <v>1793</v>
      </c>
      <c r="H1944" s="10" t="s">
        <v>563</v>
      </c>
      <c r="I1944" s="10"/>
      <c r="J1944" s="9">
        <v>51362</v>
      </c>
      <c r="K1944" s="10" t="s">
        <v>2925</v>
      </c>
      <c r="L1944" s="10" t="s">
        <v>398</v>
      </c>
      <c r="M1944" s="10" t="s">
        <v>1842</v>
      </c>
      <c r="N1944" s="7"/>
    </row>
    <row r="1945" s="1" customFormat="1" ht="28.5" customHeight="1" spans="1:14">
      <c r="A1945" s="8">
        <v>50601</v>
      </c>
      <c r="B1945" s="9">
        <v>50618</v>
      </c>
      <c r="C1945" s="9" t="s">
        <v>34</v>
      </c>
      <c r="D1945" s="9">
        <v>2000</v>
      </c>
      <c r="E1945" s="9"/>
      <c r="F1945" s="9">
        <v>50603</v>
      </c>
      <c r="G1945" s="10" t="s">
        <v>2926</v>
      </c>
      <c r="H1945" s="10" t="s">
        <v>563</v>
      </c>
      <c r="I1945" s="10"/>
      <c r="J1945" s="9">
        <v>51363</v>
      </c>
      <c r="K1945" s="10" t="s">
        <v>2927</v>
      </c>
      <c r="L1945" s="10" t="s">
        <v>398</v>
      </c>
      <c r="M1945" s="10" t="s">
        <v>1842</v>
      </c>
      <c r="N1945" s="7"/>
    </row>
    <row r="1946" s="1" customFormat="1" ht="28.5" customHeight="1" spans="1:14">
      <c r="A1946" s="8">
        <v>50601</v>
      </c>
      <c r="B1946" s="9">
        <v>50619</v>
      </c>
      <c r="C1946" s="9" t="s">
        <v>34</v>
      </c>
      <c r="D1946" s="9">
        <v>1500</v>
      </c>
      <c r="E1946" s="9"/>
      <c r="F1946" s="9">
        <v>50603</v>
      </c>
      <c r="G1946" s="10" t="s">
        <v>2928</v>
      </c>
      <c r="H1946" s="10" t="s">
        <v>563</v>
      </c>
      <c r="I1946" s="10"/>
      <c r="J1946" s="9">
        <v>51364</v>
      </c>
      <c r="K1946" s="10" t="s">
        <v>2929</v>
      </c>
      <c r="L1946" s="10" t="s">
        <v>398</v>
      </c>
      <c r="M1946" s="10" t="s">
        <v>1842</v>
      </c>
      <c r="N1946" s="7"/>
    </row>
    <row r="1947" s="1" customFormat="1" ht="28.5" customHeight="1" spans="1:14">
      <c r="A1947" s="8">
        <v>50601</v>
      </c>
      <c r="B1947" s="9">
        <v>50620</v>
      </c>
      <c r="C1947" s="9" t="s">
        <v>34</v>
      </c>
      <c r="D1947" s="9">
        <v>1000</v>
      </c>
      <c r="E1947" s="9"/>
      <c r="F1947" s="9">
        <v>50603</v>
      </c>
      <c r="G1947" s="10" t="s">
        <v>1801</v>
      </c>
      <c r="H1947" s="10" t="s">
        <v>563</v>
      </c>
      <c r="I1947" s="10"/>
      <c r="J1947" s="9">
        <v>51365</v>
      </c>
      <c r="K1947" s="10" t="s">
        <v>2930</v>
      </c>
      <c r="L1947" s="10" t="s">
        <v>398</v>
      </c>
      <c r="M1947" s="10" t="s">
        <v>1842</v>
      </c>
      <c r="N1947" s="7"/>
    </row>
    <row r="1948" s="1" customFormat="1" ht="28.5" customHeight="1" spans="1:14">
      <c r="A1948" s="8">
        <v>50601</v>
      </c>
      <c r="B1948" s="9">
        <v>50621</v>
      </c>
      <c r="C1948" s="9" t="s">
        <v>34</v>
      </c>
      <c r="D1948" s="9">
        <v>0</v>
      </c>
      <c r="E1948" s="9"/>
      <c r="F1948" s="9">
        <v>50604</v>
      </c>
      <c r="G1948" s="10" t="s">
        <v>2931</v>
      </c>
      <c r="H1948" s="10" t="s">
        <v>563</v>
      </c>
      <c r="I1948" s="10"/>
      <c r="J1948" s="9">
        <v>61366</v>
      </c>
      <c r="K1948" s="10" t="s">
        <v>2932</v>
      </c>
      <c r="L1948" s="10" t="s">
        <v>399</v>
      </c>
      <c r="M1948" s="10" t="s">
        <v>1842</v>
      </c>
      <c r="N1948" s="7"/>
    </row>
    <row r="1949" s="1" customFormat="1" ht="28.5" customHeight="1" spans="1:14">
      <c r="A1949" s="8">
        <v>50601</v>
      </c>
      <c r="B1949" s="9">
        <v>50622</v>
      </c>
      <c r="C1949" s="9" t="s">
        <v>34</v>
      </c>
      <c r="D1949" s="9">
        <v>0</v>
      </c>
      <c r="E1949" s="9"/>
      <c r="F1949" s="9">
        <v>50604</v>
      </c>
      <c r="G1949" s="10" t="s">
        <v>2933</v>
      </c>
      <c r="H1949" s="10" t="s">
        <v>563</v>
      </c>
      <c r="I1949" s="10"/>
      <c r="J1949" s="9">
        <v>61367</v>
      </c>
      <c r="K1949" s="10" t="s">
        <v>2934</v>
      </c>
      <c r="L1949" s="10" t="s">
        <v>399</v>
      </c>
      <c r="M1949" s="10" t="s">
        <v>1842</v>
      </c>
      <c r="N1949" s="7"/>
    </row>
    <row r="1950" s="1" customFormat="1" ht="28.5" customHeight="1" spans="1:14">
      <c r="A1950" s="8">
        <v>50601</v>
      </c>
      <c r="B1950" s="9">
        <v>50623</v>
      </c>
      <c r="C1950" s="9" t="s">
        <v>34</v>
      </c>
      <c r="D1950" s="9">
        <v>0</v>
      </c>
      <c r="E1950" s="9"/>
      <c r="F1950" s="9">
        <v>50604</v>
      </c>
      <c r="G1950" s="10" t="s">
        <v>2935</v>
      </c>
      <c r="H1950" s="10" t="s">
        <v>563</v>
      </c>
      <c r="I1950" s="10"/>
      <c r="J1950" s="9">
        <v>61368</v>
      </c>
      <c r="K1950" s="10" t="s">
        <v>2936</v>
      </c>
      <c r="L1950" s="10" t="s">
        <v>399</v>
      </c>
      <c r="M1950" s="10" t="s">
        <v>1842</v>
      </c>
      <c r="N1950" s="7"/>
    </row>
    <row r="1951" s="1" customFormat="1" ht="28.5" customHeight="1" spans="1:14">
      <c r="A1951" s="8">
        <v>50601</v>
      </c>
      <c r="B1951" s="9">
        <v>50624</v>
      </c>
      <c r="C1951" s="9" t="s">
        <v>34</v>
      </c>
      <c r="D1951" s="9">
        <v>0</v>
      </c>
      <c r="E1951" s="9"/>
      <c r="F1951" s="9">
        <v>50604</v>
      </c>
      <c r="G1951" s="10" t="s">
        <v>2937</v>
      </c>
      <c r="H1951" s="10" t="s">
        <v>563</v>
      </c>
      <c r="I1951" s="10"/>
      <c r="J1951" s="9">
        <v>61369</v>
      </c>
      <c r="K1951" s="10" t="s">
        <v>2938</v>
      </c>
      <c r="L1951" s="10" t="s">
        <v>399</v>
      </c>
      <c r="M1951" s="10" t="s">
        <v>1842</v>
      </c>
      <c r="N1951" s="7"/>
    </row>
    <row r="1952" s="1" customFormat="1" ht="28.5" customHeight="1" spans="1:14">
      <c r="A1952" s="8">
        <v>50601</v>
      </c>
      <c r="B1952" s="9">
        <v>50625</v>
      </c>
      <c r="C1952" s="9" t="s">
        <v>34</v>
      </c>
      <c r="D1952" s="9">
        <v>0</v>
      </c>
      <c r="E1952" s="9"/>
      <c r="F1952" s="9">
        <v>50604</v>
      </c>
      <c r="G1952" s="10" t="s">
        <v>2939</v>
      </c>
      <c r="H1952" s="10" t="s">
        <v>563</v>
      </c>
      <c r="I1952" s="10"/>
      <c r="J1952" s="9">
        <v>61370</v>
      </c>
      <c r="K1952" s="10" t="s">
        <v>2940</v>
      </c>
      <c r="L1952" s="10" t="s">
        <v>399</v>
      </c>
      <c r="M1952" s="10" t="s">
        <v>1842</v>
      </c>
      <c r="N1952" s="7"/>
    </row>
    <row r="1953" s="1" customFormat="1" ht="28.5" customHeight="1" spans="1:14">
      <c r="A1953" s="8">
        <v>50601</v>
      </c>
      <c r="B1953" s="9">
        <v>50626</v>
      </c>
      <c r="C1953" s="9" t="s">
        <v>34</v>
      </c>
      <c r="D1953" s="9">
        <v>3000</v>
      </c>
      <c r="E1953" s="9"/>
      <c r="F1953" s="9">
        <v>50605</v>
      </c>
      <c r="G1953" s="10" t="s">
        <v>2941</v>
      </c>
      <c r="H1953" s="10" t="s">
        <v>563</v>
      </c>
      <c r="I1953" s="10"/>
      <c r="J1953" s="9">
        <v>31371</v>
      </c>
      <c r="K1953" s="10" t="s">
        <v>2942</v>
      </c>
      <c r="L1953" s="10" t="s">
        <v>400</v>
      </c>
      <c r="M1953" s="10" t="s">
        <v>1842</v>
      </c>
      <c r="N1953" s="7"/>
    </row>
    <row r="1954" s="1" customFormat="1" ht="28.5" customHeight="1" spans="1:14">
      <c r="A1954" s="8">
        <v>50601</v>
      </c>
      <c r="B1954" s="9">
        <v>50627</v>
      </c>
      <c r="C1954" s="9" t="s">
        <v>34</v>
      </c>
      <c r="D1954" s="9">
        <v>2500</v>
      </c>
      <c r="E1954" s="9"/>
      <c r="F1954" s="9">
        <v>50605</v>
      </c>
      <c r="G1954" s="10" t="s">
        <v>2943</v>
      </c>
      <c r="H1954" s="10" t="s">
        <v>563</v>
      </c>
      <c r="I1954" s="10"/>
      <c r="J1954" s="9">
        <v>31372</v>
      </c>
      <c r="K1954" s="10" t="s">
        <v>2944</v>
      </c>
      <c r="L1954" s="10" t="s">
        <v>400</v>
      </c>
      <c r="M1954" s="10" t="s">
        <v>1842</v>
      </c>
      <c r="N1954" s="7"/>
    </row>
    <row r="1955" s="1" customFormat="1" ht="28.5" customHeight="1" spans="1:14">
      <c r="A1955" s="8">
        <v>50601</v>
      </c>
      <c r="B1955" s="9">
        <v>50628</v>
      </c>
      <c r="C1955" s="9" t="s">
        <v>34</v>
      </c>
      <c r="D1955" s="9">
        <v>2000</v>
      </c>
      <c r="E1955" s="9"/>
      <c r="F1955" s="9">
        <v>50605</v>
      </c>
      <c r="G1955" s="10" t="s">
        <v>2945</v>
      </c>
      <c r="H1955" s="10" t="s">
        <v>563</v>
      </c>
      <c r="I1955" s="10"/>
      <c r="J1955" s="9">
        <v>31373</v>
      </c>
      <c r="K1955" s="10" t="s">
        <v>2946</v>
      </c>
      <c r="L1955" s="10" t="s">
        <v>400</v>
      </c>
      <c r="M1955" s="10" t="s">
        <v>1842</v>
      </c>
      <c r="N1955" s="7"/>
    </row>
    <row r="1956" s="1" customFormat="1" ht="28.5" customHeight="1" spans="1:14">
      <c r="A1956" s="8">
        <v>50601</v>
      </c>
      <c r="B1956" s="9">
        <v>50629</v>
      </c>
      <c r="C1956" s="9" t="s">
        <v>34</v>
      </c>
      <c r="D1956" s="9">
        <v>1500</v>
      </c>
      <c r="E1956" s="9"/>
      <c r="F1956" s="9">
        <v>50605</v>
      </c>
      <c r="G1956" s="10" t="s">
        <v>2947</v>
      </c>
      <c r="H1956" s="10" t="s">
        <v>563</v>
      </c>
      <c r="I1956" s="10"/>
      <c r="J1956" s="9">
        <v>31374</v>
      </c>
      <c r="K1956" s="10" t="s">
        <v>2948</v>
      </c>
      <c r="L1956" s="10" t="s">
        <v>400</v>
      </c>
      <c r="M1956" s="10" t="s">
        <v>1842</v>
      </c>
      <c r="N1956" s="7"/>
    </row>
    <row r="1957" s="1" customFormat="1" ht="28.5" customHeight="1" spans="1:14">
      <c r="A1957" s="8">
        <v>50601</v>
      </c>
      <c r="B1957" s="9">
        <v>50630</v>
      </c>
      <c r="C1957" s="9" t="s">
        <v>34</v>
      </c>
      <c r="D1957" s="9">
        <v>1000</v>
      </c>
      <c r="E1957" s="9"/>
      <c r="F1957" s="9">
        <v>50605</v>
      </c>
      <c r="G1957" s="10" t="s">
        <v>2949</v>
      </c>
      <c r="H1957" s="10" t="s">
        <v>563</v>
      </c>
      <c r="I1957" s="10"/>
      <c r="J1957" s="9">
        <v>31375</v>
      </c>
      <c r="K1957" s="10" t="s">
        <v>2950</v>
      </c>
      <c r="L1957" s="10" t="s">
        <v>400</v>
      </c>
      <c r="M1957" s="10" t="s">
        <v>1842</v>
      </c>
      <c r="N1957" s="7"/>
    </row>
    <row r="1958" s="1" customFormat="1" ht="28.5" customHeight="1" spans="1:14">
      <c r="A1958" s="8">
        <v>50601</v>
      </c>
      <c r="B1958" s="9">
        <v>50631</v>
      </c>
      <c r="C1958" s="9" t="s">
        <v>34</v>
      </c>
      <c r="D1958" s="9">
        <v>3000</v>
      </c>
      <c r="E1958" s="9"/>
      <c r="F1958" s="9">
        <v>50606</v>
      </c>
      <c r="G1958" s="10" t="s">
        <v>2909</v>
      </c>
      <c r="H1958" s="10" t="s">
        <v>563</v>
      </c>
      <c r="I1958" s="10"/>
      <c r="J1958" s="9">
        <v>41376</v>
      </c>
      <c r="K1958" s="10" t="s">
        <v>2910</v>
      </c>
      <c r="L1958" s="10" t="s">
        <v>401</v>
      </c>
      <c r="M1958" s="10" t="s">
        <v>1842</v>
      </c>
      <c r="N1958" s="7"/>
    </row>
    <row r="1959" s="1" customFormat="1" ht="28.5" customHeight="1" spans="1:14">
      <c r="A1959" s="8">
        <v>50601</v>
      </c>
      <c r="B1959" s="9">
        <v>50632</v>
      </c>
      <c r="C1959" s="9" t="s">
        <v>34</v>
      </c>
      <c r="D1959" s="9">
        <v>2500</v>
      </c>
      <c r="E1959" s="9"/>
      <c r="F1959" s="9">
        <v>50606</v>
      </c>
      <c r="G1959" s="10" t="s">
        <v>2951</v>
      </c>
      <c r="H1959" s="10" t="s">
        <v>563</v>
      </c>
      <c r="I1959" s="10"/>
      <c r="J1959" s="9">
        <v>41377</v>
      </c>
      <c r="K1959" s="10" t="s">
        <v>2952</v>
      </c>
      <c r="L1959" s="10" t="s">
        <v>401</v>
      </c>
      <c r="M1959" s="10" t="s">
        <v>1842</v>
      </c>
      <c r="N1959" s="7"/>
    </row>
    <row r="1960" s="1" customFormat="1" ht="28.5" customHeight="1" spans="1:14">
      <c r="A1960" s="8">
        <v>50601</v>
      </c>
      <c r="B1960" s="9">
        <v>50633</v>
      </c>
      <c r="C1960" s="9" t="s">
        <v>34</v>
      </c>
      <c r="D1960" s="9">
        <v>2000</v>
      </c>
      <c r="E1960" s="9"/>
      <c r="F1960" s="9">
        <v>50606</v>
      </c>
      <c r="G1960" s="10" t="s">
        <v>2953</v>
      </c>
      <c r="H1960" s="10" t="s">
        <v>563</v>
      </c>
      <c r="I1960" s="10"/>
      <c r="J1960" s="9">
        <v>41378</v>
      </c>
      <c r="K1960" s="10" t="s">
        <v>2954</v>
      </c>
      <c r="L1960" s="10" t="s">
        <v>401</v>
      </c>
      <c r="M1960" s="10" t="s">
        <v>1842</v>
      </c>
      <c r="N1960" s="7"/>
    </row>
    <row r="1961" s="1" customFormat="1" ht="28.5" customHeight="1" spans="1:14">
      <c r="A1961" s="8">
        <v>50601</v>
      </c>
      <c r="B1961" s="9">
        <v>50634</v>
      </c>
      <c r="C1961" s="9" t="s">
        <v>34</v>
      </c>
      <c r="D1961" s="9">
        <v>1500</v>
      </c>
      <c r="E1961" s="9"/>
      <c r="F1961" s="9">
        <v>50606</v>
      </c>
      <c r="G1961" s="10" t="s">
        <v>2955</v>
      </c>
      <c r="H1961" s="10" t="s">
        <v>563</v>
      </c>
      <c r="I1961" s="10"/>
      <c r="J1961" s="9">
        <v>41379</v>
      </c>
      <c r="K1961" s="10" t="s">
        <v>2956</v>
      </c>
      <c r="L1961" s="10" t="s">
        <v>401</v>
      </c>
      <c r="M1961" s="10" t="s">
        <v>1842</v>
      </c>
      <c r="N1961" s="7"/>
    </row>
    <row r="1962" s="1" customFormat="1" ht="28.5" customHeight="1" spans="1:14">
      <c r="A1962" s="8">
        <v>50601</v>
      </c>
      <c r="B1962" s="9">
        <v>50635</v>
      </c>
      <c r="C1962" s="9" t="s">
        <v>34</v>
      </c>
      <c r="D1962" s="9">
        <v>1000</v>
      </c>
      <c r="E1962" s="9"/>
      <c r="F1962" s="9">
        <v>50606</v>
      </c>
      <c r="G1962" s="10" t="s">
        <v>2957</v>
      </c>
      <c r="H1962" s="10" t="s">
        <v>563</v>
      </c>
      <c r="I1962" s="10"/>
      <c r="J1962" s="9">
        <v>41380</v>
      </c>
      <c r="K1962" s="10" t="s">
        <v>2958</v>
      </c>
      <c r="L1962" s="10" t="s">
        <v>401</v>
      </c>
      <c r="M1962" s="10" t="s">
        <v>1842</v>
      </c>
      <c r="N1962" s="7"/>
    </row>
    <row r="1963" s="1" customFormat="1" ht="28.5" customHeight="1" spans="1:14">
      <c r="A1963" s="8"/>
      <c r="B1963" s="9"/>
      <c r="C1963" s="9" t="s">
        <v>1289</v>
      </c>
      <c r="D1963" s="9">
        <v>3000</v>
      </c>
      <c r="E1963" s="9"/>
      <c r="F1963" s="9"/>
      <c r="G1963" s="10" t="s">
        <v>2959</v>
      </c>
      <c r="H1963" s="10" t="s">
        <v>563</v>
      </c>
      <c r="I1963" s="10"/>
      <c r="J1963" s="9">
        <v>11381</v>
      </c>
      <c r="K1963" s="10" t="s">
        <v>2960</v>
      </c>
      <c r="L1963" s="10" t="s">
        <v>268</v>
      </c>
      <c r="M1963" s="10" t="s">
        <v>1834</v>
      </c>
      <c r="N1963" s="7"/>
    </row>
    <row r="1964" s="1" customFormat="1" ht="28.5" customHeight="1" spans="1:14">
      <c r="A1964" s="8"/>
      <c r="B1964" s="9"/>
      <c r="C1964" s="9" t="s">
        <v>1289</v>
      </c>
      <c r="D1964" s="9">
        <v>2500</v>
      </c>
      <c r="E1964" s="9"/>
      <c r="F1964" s="9"/>
      <c r="G1964" s="10" t="s">
        <v>2961</v>
      </c>
      <c r="H1964" s="10" t="s">
        <v>563</v>
      </c>
      <c r="I1964" s="10"/>
      <c r="J1964" s="9">
        <v>11382</v>
      </c>
      <c r="K1964" s="10" t="s">
        <v>2962</v>
      </c>
      <c r="L1964" s="10" t="s">
        <v>268</v>
      </c>
      <c r="M1964" s="10" t="s">
        <v>1834</v>
      </c>
      <c r="N1964" s="7"/>
    </row>
    <row r="1965" s="1" customFormat="1" ht="28.5" customHeight="1" spans="1:14">
      <c r="A1965" s="8"/>
      <c r="B1965" s="9"/>
      <c r="C1965" s="9" t="s">
        <v>1289</v>
      </c>
      <c r="D1965" s="9">
        <v>2000</v>
      </c>
      <c r="E1965" s="9"/>
      <c r="F1965" s="9"/>
      <c r="G1965" s="10" t="s">
        <v>2963</v>
      </c>
      <c r="H1965" s="10" t="s">
        <v>563</v>
      </c>
      <c r="I1965" s="10"/>
      <c r="J1965" s="9">
        <v>11383</v>
      </c>
      <c r="K1965" s="10" t="s">
        <v>2964</v>
      </c>
      <c r="L1965" s="10" t="s">
        <v>268</v>
      </c>
      <c r="M1965" s="10" t="s">
        <v>1834</v>
      </c>
      <c r="N1965" s="7"/>
    </row>
    <row r="1966" s="1" customFormat="1" ht="28.5" customHeight="1" spans="1:14">
      <c r="A1966" s="8"/>
      <c r="B1966" s="9"/>
      <c r="C1966" s="9" t="s">
        <v>1289</v>
      </c>
      <c r="D1966" s="9">
        <v>1500</v>
      </c>
      <c r="E1966" s="9"/>
      <c r="F1966" s="9"/>
      <c r="G1966" s="10" t="s">
        <v>2965</v>
      </c>
      <c r="H1966" s="10" t="s">
        <v>563</v>
      </c>
      <c r="I1966" s="10"/>
      <c r="J1966" s="9">
        <v>11384</v>
      </c>
      <c r="K1966" s="10" t="s">
        <v>2966</v>
      </c>
      <c r="L1966" s="10" t="s">
        <v>268</v>
      </c>
      <c r="M1966" s="10" t="s">
        <v>1834</v>
      </c>
      <c r="N1966" s="7"/>
    </row>
    <row r="1967" s="1" customFormat="1" ht="28.5" customHeight="1" spans="1:14">
      <c r="A1967" s="8"/>
      <c r="B1967" s="9"/>
      <c r="C1967" s="9" t="s">
        <v>1289</v>
      </c>
      <c r="D1967" s="9">
        <v>1000</v>
      </c>
      <c r="E1967" s="9"/>
      <c r="F1967" s="9"/>
      <c r="G1967" s="10" t="s">
        <v>2967</v>
      </c>
      <c r="H1967" s="10" t="s">
        <v>563</v>
      </c>
      <c r="I1967" s="10"/>
      <c r="J1967" s="9">
        <v>11385</v>
      </c>
      <c r="K1967" s="10" t="s">
        <v>2968</v>
      </c>
      <c r="L1967" s="10" t="s">
        <v>268</v>
      </c>
      <c r="M1967" s="10" t="s">
        <v>1834</v>
      </c>
      <c r="N1967" s="7"/>
    </row>
    <row r="1968" s="1" customFormat="1" ht="28.5" customHeight="1" spans="1:14">
      <c r="A1968" s="8">
        <v>50701</v>
      </c>
      <c r="B1968" s="9">
        <v>50701</v>
      </c>
      <c r="C1968" s="9" t="s">
        <v>35</v>
      </c>
      <c r="D1968" s="9">
        <v>0</v>
      </c>
      <c r="E1968" s="9"/>
      <c r="F1968" s="9">
        <v>50700</v>
      </c>
      <c r="G1968" s="10" t="s">
        <v>1396</v>
      </c>
      <c r="H1968" s="10" t="s">
        <v>563</v>
      </c>
      <c r="I1968" s="10"/>
      <c r="J1968" s="9">
        <v>61386</v>
      </c>
      <c r="K1968" s="10" t="s">
        <v>2036</v>
      </c>
      <c r="L1968" s="10" t="s">
        <v>267</v>
      </c>
      <c r="M1968" s="10" t="s">
        <v>1842</v>
      </c>
      <c r="N1968" s="7"/>
    </row>
    <row r="1969" s="1" customFormat="1" ht="28.5" customHeight="1" spans="1:14">
      <c r="A1969" s="8">
        <v>50701</v>
      </c>
      <c r="B1969" s="9">
        <v>50702</v>
      </c>
      <c r="C1969" s="9" t="s">
        <v>35</v>
      </c>
      <c r="D1969" s="9">
        <v>0</v>
      </c>
      <c r="E1969" s="9"/>
      <c r="F1969" s="9">
        <v>50700</v>
      </c>
      <c r="G1969" s="10" t="s">
        <v>1398</v>
      </c>
      <c r="H1969" s="10" t="s">
        <v>563</v>
      </c>
      <c r="I1969" s="10"/>
      <c r="J1969" s="9">
        <v>61387</v>
      </c>
      <c r="K1969" s="10" t="s">
        <v>2037</v>
      </c>
      <c r="L1969" s="10" t="s">
        <v>267</v>
      </c>
      <c r="M1969" s="10" t="s">
        <v>1842</v>
      </c>
      <c r="N1969" s="7"/>
    </row>
    <row r="1970" s="1" customFormat="1" ht="28.5" customHeight="1" spans="1:14">
      <c r="A1970" s="8">
        <v>50701</v>
      </c>
      <c r="B1970" s="9">
        <v>50703</v>
      </c>
      <c r="C1970" s="9" t="s">
        <v>35</v>
      </c>
      <c r="D1970" s="9">
        <v>0</v>
      </c>
      <c r="E1970" s="9"/>
      <c r="F1970" s="9">
        <v>50700</v>
      </c>
      <c r="G1970" s="10" t="s">
        <v>1400</v>
      </c>
      <c r="H1970" s="10" t="s">
        <v>563</v>
      </c>
      <c r="I1970" s="10"/>
      <c r="J1970" s="9">
        <v>61388</v>
      </c>
      <c r="K1970" s="10" t="s">
        <v>2038</v>
      </c>
      <c r="L1970" s="10" t="s">
        <v>267</v>
      </c>
      <c r="M1970" s="10" t="s">
        <v>1842</v>
      </c>
      <c r="N1970" s="7"/>
    </row>
    <row r="1971" s="1" customFormat="1" ht="28.5" customHeight="1" spans="1:14">
      <c r="A1971" s="8">
        <v>50701</v>
      </c>
      <c r="B1971" s="9">
        <v>50704</v>
      </c>
      <c r="C1971" s="9" t="s">
        <v>35</v>
      </c>
      <c r="D1971" s="9">
        <v>0</v>
      </c>
      <c r="E1971" s="9"/>
      <c r="F1971" s="9">
        <v>50700</v>
      </c>
      <c r="G1971" s="10" t="s">
        <v>1402</v>
      </c>
      <c r="H1971" s="10" t="s">
        <v>563</v>
      </c>
      <c r="I1971" s="10"/>
      <c r="J1971" s="9">
        <v>61389</v>
      </c>
      <c r="K1971" s="10" t="s">
        <v>2039</v>
      </c>
      <c r="L1971" s="10" t="s">
        <v>267</v>
      </c>
      <c r="M1971" s="10" t="s">
        <v>1842</v>
      </c>
      <c r="N1971" s="7"/>
    </row>
    <row r="1972" s="1" customFormat="1" ht="28.5" customHeight="1" spans="1:14">
      <c r="A1972" s="8">
        <v>50701</v>
      </c>
      <c r="B1972" s="9">
        <v>50705</v>
      </c>
      <c r="C1972" s="9" t="s">
        <v>35</v>
      </c>
      <c r="D1972" s="9">
        <v>0</v>
      </c>
      <c r="E1972" s="9"/>
      <c r="F1972" s="9">
        <v>50700</v>
      </c>
      <c r="G1972" s="10" t="s">
        <v>1404</v>
      </c>
      <c r="H1972" s="10" t="s">
        <v>563</v>
      </c>
      <c r="I1972" s="10"/>
      <c r="J1972" s="9">
        <v>61390</v>
      </c>
      <c r="K1972" s="10" t="s">
        <v>2040</v>
      </c>
      <c r="L1972" s="10" t="s">
        <v>267</v>
      </c>
      <c r="M1972" s="10" t="s">
        <v>1842</v>
      </c>
      <c r="N1972" s="7"/>
    </row>
    <row r="1973" s="1" customFormat="1" ht="28.5" customHeight="1" spans="1:14">
      <c r="A1973" s="8">
        <v>50701</v>
      </c>
      <c r="B1973" s="9">
        <v>50706</v>
      </c>
      <c r="C1973" s="9" t="s">
        <v>35</v>
      </c>
      <c r="D1973" s="9">
        <v>3000</v>
      </c>
      <c r="E1973" s="9"/>
      <c r="F1973" s="9">
        <v>50701</v>
      </c>
      <c r="G1973" s="10" t="s">
        <v>1929</v>
      </c>
      <c r="H1973" s="10" t="s">
        <v>563</v>
      </c>
      <c r="I1973" s="10"/>
      <c r="J1973" s="9">
        <v>21391</v>
      </c>
      <c r="K1973" s="10" t="s">
        <v>1930</v>
      </c>
      <c r="L1973" s="10" t="s">
        <v>268</v>
      </c>
      <c r="M1973" s="10" t="s">
        <v>1842</v>
      </c>
      <c r="N1973" s="7"/>
    </row>
    <row r="1974" s="1" customFormat="1" ht="28.5" customHeight="1" spans="1:14">
      <c r="A1974" s="8">
        <v>50701</v>
      </c>
      <c r="B1974" s="9">
        <v>50707</v>
      </c>
      <c r="C1974" s="9" t="s">
        <v>35</v>
      </c>
      <c r="D1974" s="9">
        <v>2500</v>
      </c>
      <c r="E1974" s="9"/>
      <c r="F1974" s="9">
        <v>50701</v>
      </c>
      <c r="G1974" s="10" t="s">
        <v>2041</v>
      </c>
      <c r="H1974" s="10" t="s">
        <v>563</v>
      </c>
      <c r="I1974" s="10"/>
      <c r="J1974" s="9">
        <v>21392</v>
      </c>
      <c r="K1974" s="10" t="s">
        <v>2042</v>
      </c>
      <c r="L1974" s="10" t="s">
        <v>268</v>
      </c>
      <c r="M1974" s="10" t="s">
        <v>1842</v>
      </c>
      <c r="N1974" s="7"/>
    </row>
    <row r="1975" s="1" customFormat="1" ht="28.5" customHeight="1" spans="1:14">
      <c r="A1975" s="8">
        <v>50701</v>
      </c>
      <c r="B1975" s="9">
        <v>50708</v>
      </c>
      <c r="C1975" s="9" t="s">
        <v>35</v>
      </c>
      <c r="D1975" s="9">
        <v>2000</v>
      </c>
      <c r="E1975" s="9"/>
      <c r="F1975" s="9">
        <v>50701</v>
      </c>
      <c r="G1975" s="10" t="s">
        <v>2043</v>
      </c>
      <c r="H1975" s="10" t="s">
        <v>563</v>
      </c>
      <c r="I1975" s="10"/>
      <c r="J1975" s="9">
        <v>21393</v>
      </c>
      <c r="K1975" s="10" t="s">
        <v>2044</v>
      </c>
      <c r="L1975" s="10" t="s">
        <v>268</v>
      </c>
      <c r="M1975" s="10" t="s">
        <v>1842</v>
      </c>
      <c r="N1975" s="7"/>
    </row>
    <row r="1976" s="1" customFormat="1" ht="28.5" customHeight="1" spans="1:14">
      <c r="A1976" s="8">
        <v>50701</v>
      </c>
      <c r="B1976" s="9">
        <v>50709</v>
      </c>
      <c r="C1976" s="9" t="s">
        <v>35</v>
      </c>
      <c r="D1976" s="9">
        <v>1500</v>
      </c>
      <c r="E1976" s="9"/>
      <c r="F1976" s="9">
        <v>50701</v>
      </c>
      <c r="G1976" s="10" t="s">
        <v>2045</v>
      </c>
      <c r="H1976" s="10" t="s">
        <v>563</v>
      </c>
      <c r="I1976" s="10"/>
      <c r="J1976" s="9">
        <v>21394</v>
      </c>
      <c r="K1976" s="10" t="s">
        <v>2046</v>
      </c>
      <c r="L1976" s="10" t="s">
        <v>268</v>
      </c>
      <c r="M1976" s="10" t="s">
        <v>1842</v>
      </c>
      <c r="N1976" s="7"/>
    </row>
    <row r="1977" s="1" customFormat="1" ht="28.5" customHeight="1" spans="1:14">
      <c r="A1977" s="8">
        <v>50701</v>
      </c>
      <c r="B1977" s="9">
        <v>50710</v>
      </c>
      <c r="C1977" s="9" t="s">
        <v>35</v>
      </c>
      <c r="D1977" s="9">
        <v>1000</v>
      </c>
      <c r="E1977" s="9"/>
      <c r="F1977" s="9">
        <v>50701</v>
      </c>
      <c r="G1977" s="10" t="s">
        <v>2047</v>
      </c>
      <c r="H1977" s="10" t="s">
        <v>563</v>
      </c>
      <c r="I1977" s="10"/>
      <c r="J1977" s="9">
        <v>21395</v>
      </c>
      <c r="K1977" s="10" t="s">
        <v>2048</v>
      </c>
      <c r="L1977" s="10" t="s">
        <v>268</v>
      </c>
      <c r="M1977" s="10" t="s">
        <v>1842</v>
      </c>
      <c r="N1977" s="7"/>
    </row>
    <row r="1978" s="1" customFormat="1" ht="28.5" customHeight="1" spans="1:14">
      <c r="A1978" s="8">
        <v>50703</v>
      </c>
      <c r="B1978" s="9">
        <v>50711</v>
      </c>
      <c r="C1978" s="9" t="s">
        <v>35</v>
      </c>
      <c r="D1978" s="9">
        <v>3000</v>
      </c>
      <c r="E1978" s="9"/>
      <c r="F1978" s="9">
        <v>50702</v>
      </c>
      <c r="G1978" s="10" t="s">
        <v>1857</v>
      </c>
      <c r="H1978" s="10" t="s">
        <v>563</v>
      </c>
      <c r="I1978" s="10"/>
      <c r="J1978" s="9">
        <v>91396</v>
      </c>
      <c r="K1978" s="10" t="s">
        <v>1858</v>
      </c>
      <c r="L1978" s="10" t="s">
        <v>224</v>
      </c>
      <c r="M1978" s="10" t="s">
        <v>1842</v>
      </c>
      <c r="N1978" s="7"/>
    </row>
    <row r="1979" s="1" customFormat="1" ht="28.5" customHeight="1" spans="1:14">
      <c r="A1979" s="8">
        <v>50703</v>
      </c>
      <c r="B1979" s="9">
        <v>50712</v>
      </c>
      <c r="C1979" s="9" t="s">
        <v>35</v>
      </c>
      <c r="D1979" s="9">
        <v>2500</v>
      </c>
      <c r="E1979" s="9"/>
      <c r="F1979" s="9">
        <v>50702</v>
      </c>
      <c r="G1979" s="10" t="s">
        <v>1857</v>
      </c>
      <c r="H1979" s="10" t="s">
        <v>563</v>
      </c>
      <c r="I1979" s="10"/>
      <c r="J1979" s="9">
        <v>91397</v>
      </c>
      <c r="K1979" s="10" t="s">
        <v>1858</v>
      </c>
      <c r="L1979" s="10" t="s">
        <v>224</v>
      </c>
      <c r="M1979" s="10" t="s">
        <v>1842</v>
      </c>
      <c r="N1979" s="7"/>
    </row>
    <row r="1980" s="1" customFormat="1" ht="28.5" customHeight="1" spans="1:14">
      <c r="A1980" s="8">
        <v>50703</v>
      </c>
      <c r="B1980" s="9">
        <v>50713</v>
      </c>
      <c r="C1980" s="9" t="s">
        <v>35</v>
      </c>
      <c r="D1980" s="9">
        <v>2000</v>
      </c>
      <c r="E1980" s="9"/>
      <c r="F1980" s="9">
        <v>50702</v>
      </c>
      <c r="G1980" s="10" t="s">
        <v>1857</v>
      </c>
      <c r="H1980" s="10" t="s">
        <v>563</v>
      </c>
      <c r="I1980" s="10"/>
      <c r="J1980" s="9">
        <v>91398</v>
      </c>
      <c r="K1980" s="10" t="s">
        <v>1858</v>
      </c>
      <c r="L1980" s="10" t="s">
        <v>224</v>
      </c>
      <c r="M1980" s="10" t="s">
        <v>1842</v>
      </c>
      <c r="N1980" s="7"/>
    </row>
    <row r="1981" s="1" customFormat="1" ht="28.5" customHeight="1" spans="1:14">
      <c r="A1981" s="8">
        <v>50703</v>
      </c>
      <c r="B1981" s="9">
        <v>50714</v>
      </c>
      <c r="C1981" s="9" t="s">
        <v>35</v>
      </c>
      <c r="D1981" s="9">
        <v>1500</v>
      </c>
      <c r="E1981" s="9"/>
      <c r="F1981" s="9">
        <v>50702</v>
      </c>
      <c r="G1981" s="10" t="s">
        <v>1857</v>
      </c>
      <c r="H1981" s="10" t="s">
        <v>563</v>
      </c>
      <c r="I1981" s="10"/>
      <c r="J1981" s="9">
        <v>91399</v>
      </c>
      <c r="K1981" s="10" t="s">
        <v>1858</v>
      </c>
      <c r="L1981" s="10" t="s">
        <v>224</v>
      </c>
      <c r="M1981" s="10" t="s">
        <v>1842</v>
      </c>
      <c r="N1981" s="7"/>
    </row>
    <row r="1982" s="1" customFormat="1" ht="28.5" customHeight="1" spans="1:14">
      <c r="A1982" s="8">
        <v>50703</v>
      </c>
      <c r="B1982" s="9">
        <v>50715</v>
      </c>
      <c r="C1982" s="9" t="s">
        <v>35</v>
      </c>
      <c r="D1982" s="9">
        <v>1000</v>
      </c>
      <c r="E1982" s="9"/>
      <c r="F1982" s="9">
        <v>50702</v>
      </c>
      <c r="G1982" s="10" t="s">
        <v>1857</v>
      </c>
      <c r="H1982" s="10" t="s">
        <v>563</v>
      </c>
      <c r="I1982" s="10"/>
      <c r="J1982" s="9">
        <v>91400</v>
      </c>
      <c r="K1982" s="10" t="s">
        <v>1858</v>
      </c>
      <c r="L1982" s="10" t="s">
        <v>224</v>
      </c>
      <c r="M1982" s="10" t="s">
        <v>1842</v>
      </c>
      <c r="N1982" s="7"/>
    </row>
    <row r="1983" s="1" customFormat="1" ht="28.5" customHeight="1" spans="1:14">
      <c r="A1983" s="8">
        <v>50703</v>
      </c>
      <c r="B1983" s="9">
        <v>50716</v>
      </c>
      <c r="C1983" s="9" t="s">
        <v>35</v>
      </c>
      <c r="D1983" s="9">
        <v>3000</v>
      </c>
      <c r="E1983" s="9"/>
      <c r="F1983" s="9">
        <v>50703</v>
      </c>
      <c r="G1983" s="10" t="s">
        <v>1859</v>
      </c>
      <c r="H1983" s="10" t="s">
        <v>563</v>
      </c>
      <c r="I1983" s="10"/>
      <c r="J1983" s="9">
        <v>71401</v>
      </c>
      <c r="K1983" s="10" t="s">
        <v>1860</v>
      </c>
      <c r="L1983" s="10" t="s">
        <v>228</v>
      </c>
      <c r="M1983" s="10" t="s">
        <v>1842</v>
      </c>
      <c r="N1983" s="7"/>
    </row>
    <row r="1984" s="1" customFormat="1" ht="28.5" customHeight="1" spans="1:14">
      <c r="A1984" s="8">
        <v>50703</v>
      </c>
      <c r="B1984" s="9">
        <v>50717</v>
      </c>
      <c r="C1984" s="9" t="s">
        <v>35</v>
      </c>
      <c r="D1984" s="9">
        <v>2500</v>
      </c>
      <c r="E1984" s="9"/>
      <c r="F1984" s="9">
        <v>50703</v>
      </c>
      <c r="G1984" s="10" t="s">
        <v>1859</v>
      </c>
      <c r="H1984" s="10" t="s">
        <v>563</v>
      </c>
      <c r="I1984" s="10"/>
      <c r="J1984" s="9">
        <v>71402</v>
      </c>
      <c r="K1984" s="10" t="s">
        <v>1860</v>
      </c>
      <c r="L1984" s="10" t="s">
        <v>228</v>
      </c>
      <c r="M1984" s="10" t="s">
        <v>1842</v>
      </c>
      <c r="N1984" s="7"/>
    </row>
    <row r="1985" s="1" customFormat="1" ht="28.5" customHeight="1" spans="1:14">
      <c r="A1985" s="8">
        <v>50703</v>
      </c>
      <c r="B1985" s="9">
        <v>50718</v>
      </c>
      <c r="C1985" s="9" t="s">
        <v>35</v>
      </c>
      <c r="D1985" s="9">
        <v>2000</v>
      </c>
      <c r="E1985" s="9"/>
      <c r="F1985" s="9">
        <v>50703</v>
      </c>
      <c r="G1985" s="10" t="s">
        <v>1859</v>
      </c>
      <c r="H1985" s="10" t="s">
        <v>563</v>
      </c>
      <c r="I1985" s="10"/>
      <c r="J1985" s="9">
        <v>71403</v>
      </c>
      <c r="K1985" s="10" t="s">
        <v>1860</v>
      </c>
      <c r="L1985" s="10" t="s">
        <v>228</v>
      </c>
      <c r="M1985" s="10" t="s">
        <v>1842</v>
      </c>
      <c r="N1985" s="7"/>
    </row>
    <row r="1986" s="1" customFormat="1" ht="28.5" customHeight="1" spans="1:14">
      <c r="A1986" s="8">
        <v>50703</v>
      </c>
      <c r="B1986" s="9">
        <v>50719</v>
      </c>
      <c r="C1986" s="9" t="s">
        <v>35</v>
      </c>
      <c r="D1986" s="9">
        <v>1500</v>
      </c>
      <c r="E1986" s="9"/>
      <c r="F1986" s="9">
        <v>50703</v>
      </c>
      <c r="G1986" s="10" t="s">
        <v>1859</v>
      </c>
      <c r="H1986" s="10" t="s">
        <v>563</v>
      </c>
      <c r="I1986" s="10"/>
      <c r="J1986" s="9">
        <v>71404</v>
      </c>
      <c r="K1986" s="10" t="s">
        <v>1860</v>
      </c>
      <c r="L1986" s="10" t="s">
        <v>228</v>
      </c>
      <c r="M1986" s="10" t="s">
        <v>1842</v>
      </c>
      <c r="N1986" s="7"/>
    </row>
    <row r="1987" s="1" customFormat="1" ht="28.5" customHeight="1" spans="1:14">
      <c r="A1987" s="8">
        <v>50703</v>
      </c>
      <c r="B1987" s="9">
        <v>50720</v>
      </c>
      <c r="C1987" s="9" t="s">
        <v>35</v>
      </c>
      <c r="D1987" s="9">
        <v>1000</v>
      </c>
      <c r="E1987" s="9"/>
      <c r="F1987" s="9">
        <v>50703</v>
      </c>
      <c r="G1987" s="10" t="s">
        <v>1859</v>
      </c>
      <c r="H1987" s="10" t="s">
        <v>563</v>
      </c>
      <c r="I1987" s="10"/>
      <c r="J1987" s="9">
        <v>71405</v>
      </c>
      <c r="K1987" s="10" t="s">
        <v>1860</v>
      </c>
      <c r="L1987" s="10" t="s">
        <v>228</v>
      </c>
      <c r="M1987" s="10" t="s">
        <v>1842</v>
      </c>
      <c r="N1987" s="7"/>
    </row>
    <row r="1988" s="1" customFormat="1" ht="28.5" customHeight="1" spans="1:14">
      <c r="A1988" s="8"/>
      <c r="B1988" s="9"/>
      <c r="C1988" s="9" t="s">
        <v>1289</v>
      </c>
      <c r="D1988" s="9">
        <v>3000</v>
      </c>
      <c r="E1988" s="9"/>
      <c r="F1988" s="9"/>
      <c r="G1988" s="10" t="s">
        <v>1861</v>
      </c>
      <c r="H1988" s="10" t="s">
        <v>563</v>
      </c>
      <c r="I1988" s="10"/>
      <c r="J1988" s="9">
        <v>81406</v>
      </c>
      <c r="K1988" s="10" t="s">
        <v>1862</v>
      </c>
      <c r="L1988" s="10" t="s">
        <v>231</v>
      </c>
      <c r="M1988" s="10" t="s">
        <v>1834</v>
      </c>
      <c r="N1988" s="7"/>
    </row>
    <row r="1989" s="1" customFormat="1" ht="28.5" customHeight="1" spans="1:14">
      <c r="A1989" s="8"/>
      <c r="B1989" s="9"/>
      <c r="C1989" s="9" t="s">
        <v>1289</v>
      </c>
      <c r="D1989" s="9">
        <v>2500</v>
      </c>
      <c r="E1989" s="9"/>
      <c r="F1989" s="9"/>
      <c r="G1989" s="10" t="s">
        <v>1861</v>
      </c>
      <c r="H1989" s="10" t="s">
        <v>563</v>
      </c>
      <c r="I1989" s="10"/>
      <c r="J1989" s="9">
        <v>81407</v>
      </c>
      <c r="K1989" s="10" t="s">
        <v>1862</v>
      </c>
      <c r="L1989" s="10" t="s">
        <v>231</v>
      </c>
      <c r="M1989" s="10" t="s">
        <v>1834</v>
      </c>
      <c r="N1989" s="7"/>
    </row>
    <row r="1990" s="1" customFormat="1" ht="28.5" customHeight="1" spans="1:14">
      <c r="A1990" s="8"/>
      <c r="B1990" s="9"/>
      <c r="C1990" s="9" t="s">
        <v>1289</v>
      </c>
      <c r="D1990" s="9">
        <v>2000</v>
      </c>
      <c r="E1990" s="9"/>
      <c r="F1990" s="9"/>
      <c r="G1990" s="10" t="s">
        <v>1861</v>
      </c>
      <c r="H1990" s="10" t="s">
        <v>563</v>
      </c>
      <c r="I1990" s="10"/>
      <c r="J1990" s="9">
        <v>81408</v>
      </c>
      <c r="K1990" s="10" t="s">
        <v>1862</v>
      </c>
      <c r="L1990" s="10" t="s">
        <v>231</v>
      </c>
      <c r="M1990" s="10" t="s">
        <v>1834</v>
      </c>
      <c r="N1990" s="7"/>
    </row>
    <row r="1991" s="1" customFormat="1" ht="28.5" customHeight="1" spans="1:14">
      <c r="A1991" s="8"/>
      <c r="B1991" s="9"/>
      <c r="C1991" s="9" t="s">
        <v>1289</v>
      </c>
      <c r="D1991" s="9">
        <v>1500</v>
      </c>
      <c r="E1991" s="9"/>
      <c r="F1991" s="9"/>
      <c r="G1991" s="10" t="s">
        <v>1861</v>
      </c>
      <c r="H1991" s="10" t="s">
        <v>563</v>
      </c>
      <c r="I1991" s="10"/>
      <c r="J1991" s="9">
        <v>81409</v>
      </c>
      <c r="K1991" s="10" t="s">
        <v>1862</v>
      </c>
      <c r="L1991" s="10" t="s">
        <v>231</v>
      </c>
      <c r="M1991" s="10" t="s">
        <v>1834</v>
      </c>
      <c r="N1991" s="7"/>
    </row>
    <row r="1992" s="1" customFormat="1" ht="28.5" customHeight="1" spans="1:14">
      <c r="A1992" s="8"/>
      <c r="B1992" s="9"/>
      <c r="C1992" s="9" t="s">
        <v>1289</v>
      </c>
      <c r="D1992" s="9">
        <v>1000</v>
      </c>
      <c r="E1992" s="9"/>
      <c r="F1992" s="9"/>
      <c r="G1992" s="10" t="s">
        <v>1861</v>
      </c>
      <c r="H1992" s="10" t="s">
        <v>563</v>
      </c>
      <c r="I1992" s="10"/>
      <c r="J1992" s="9">
        <v>81410</v>
      </c>
      <c r="K1992" s="10" t="s">
        <v>1862</v>
      </c>
      <c r="L1992" s="10" t="s">
        <v>231</v>
      </c>
      <c r="M1992" s="10" t="s">
        <v>1834</v>
      </c>
      <c r="N1992" s="7"/>
    </row>
    <row r="1993" s="1" customFormat="1" ht="28.5" customHeight="1" spans="1:14">
      <c r="A1993" s="8"/>
      <c r="B1993" s="9"/>
      <c r="C1993" s="9" t="s">
        <v>1289</v>
      </c>
      <c r="D1993" s="9">
        <v>3000</v>
      </c>
      <c r="E1993" s="9"/>
      <c r="F1993" s="9"/>
      <c r="G1993" s="10" t="s">
        <v>2809</v>
      </c>
      <c r="H1993" s="10" t="s">
        <v>563</v>
      </c>
      <c r="I1993" s="10"/>
      <c r="J1993" s="9">
        <v>101411</v>
      </c>
      <c r="K1993" s="10" t="s">
        <v>378</v>
      </c>
      <c r="L1993" s="10" t="s">
        <v>248</v>
      </c>
      <c r="M1993" s="10" t="s">
        <v>1834</v>
      </c>
      <c r="N1993" s="7"/>
    </row>
    <row r="1994" s="1" customFormat="1" ht="28.5" customHeight="1" spans="1:14">
      <c r="A1994" s="8"/>
      <c r="B1994" s="9"/>
      <c r="C1994" s="9" t="s">
        <v>1289</v>
      </c>
      <c r="D1994" s="9">
        <v>2500</v>
      </c>
      <c r="E1994" s="9"/>
      <c r="F1994" s="9"/>
      <c r="G1994" s="10" t="s">
        <v>2809</v>
      </c>
      <c r="H1994" s="10" t="s">
        <v>563</v>
      </c>
      <c r="I1994" s="10"/>
      <c r="J1994" s="9">
        <v>101412</v>
      </c>
      <c r="K1994" s="10" t="s">
        <v>378</v>
      </c>
      <c r="L1994" s="10" t="s">
        <v>248</v>
      </c>
      <c r="M1994" s="10" t="s">
        <v>1834</v>
      </c>
      <c r="N1994" s="7"/>
    </row>
    <row r="1995" s="1" customFormat="1" ht="28.5" customHeight="1" spans="1:14">
      <c r="A1995" s="8"/>
      <c r="B1995" s="9"/>
      <c r="C1995" s="9" t="s">
        <v>1289</v>
      </c>
      <c r="D1995" s="9">
        <v>2000</v>
      </c>
      <c r="E1995" s="9"/>
      <c r="F1995" s="9"/>
      <c r="G1995" s="10" t="s">
        <v>2809</v>
      </c>
      <c r="H1995" s="10" t="s">
        <v>563</v>
      </c>
      <c r="I1995" s="10"/>
      <c r="J1995" s="9">
        <v>101413</v>
      </c>
      <c r="K1995" s="10" t="s">
        <v>378</v>
      </c>
      <c r="L1995" s="10" t="s">
        <v>248</v>
      </c>
      <c r="M1995" s="10" t="s">
        <v>1834</v>
      </c>
      <c r="N1995" s="7"/>
    </row>
    <row r="1996" s="1" customFormat="1" ht="28.5" customHeight="1" spans="1:14">
      <c r="A1996" s="8"/>
      <c r="B1996" s="9"/>
      <c r="C1996" s="9" t="s">
        <v>1289</v>
      </c>
      <c r="D1996" s="9">
        <v>1500</v>
      </c>
      <c r="E1996" s="9"/>
      <c r="F1996" s="9"/>
      <c r="G1996" s="10" t="s">
        <v>2809</v>
      </c>
      <c r="H1996" s="10" t="s">
        <v>563</v>
      </c>
      <c r="I1996" s="10"/>
      <c r="J1996" s="9">
        <v>101414</v>
      </c>
      <c r="K1996" s="10" t="s">
        <v>378</v>
      </c>
      <c r="L1996" s="10" t="s">
        <v>248</v>
      </c>
      <c r="M1996" s="10" t="s">
        <v>1834</v>
      </c>
      <c r="N1996" s="7"/>
    </row>
    <row r="1997" s="1" customFormat="1" ht="28.5" customHeight="1" spans="1:14">
      <c r="A1997" s="8"/>
      <c r="B1997" s="9"/>
      <c r="C1997" s="9" t="s">
        <v>1289</v>
      </c>
      <c r="D1997" s="9">
        <v>1000</v>
      </c>
      <c r="E1997" s="9"/>
      <c r="F1997" s="9"/>
      <c r="G1997" s="10" t="s">
        <v>2809</v>
      </c>
      <c r="H1997" s="10" t="s">
        <v>563</v>
      </c>
      <c r="I1997" s="10"/>
      <c r="J1997" s="9">
        <v>101415</v>
      </c>
      <c r="K1997" s="10" t="s">
        <v>378</v>
      </c>
      <c r="L1997" s="10" t="s">
        <v>248</v>
      </c>
      <c r="M1997" s="10" t="s">
        <v>1834</v>
      </c>
      <c r="N1997" s="7"/>
    </row>
    <row r="1998" s="1" customFormat="1" ht="28.5" customHeight="1" spans="1:14">
      <c r="A1998" s="8">
        <v>50702</v>
      </c>
      <c r="B1998" s="9">
        <v>50721</v>
      </c>
      <c r="C1998" s="9" t="s">
        <v>35</v>
      </c>
      <c r="D1998" s="9">
        <v>3000</v>
      </c>
      <c r="E1998" s="9"/>
      <c r="F1998" s="9">
        <v>50704</v>
      </c>
      <c r="G1998" s="10" t="s">
        <v>1805</v>
      </c>
      <c r="H1998" s="10" t="s">
        <v>563</v>
      </c>
      <c r="I1998" s="10"/>
      <c r="J1998" s="9">
        <v>11416</v>
      </c>
      <c r="K1998" s="10" t="s">
        <v>1806</v>
      </c>
      <c r="L1998" s="10" t="s">
        <v>402</v>
      </c>
      <c r="M1998" s="10" t="s">
        <v>1842</v>
      </c>
      <c r="N1998" s="7"/>
    </row>
    <row r="1999" s="1" customFormat="1" ht="28.5" customHeight="1" spans="1:14">
      <c r="A1999" s="8">
        <v>50702</v>
      </c>
      <c r="B1999" s="9">
        <v>50722</v>
      </c>
      <c r="C1999" s="9" t="s">
        <v>35</v>
      </c>
      <c r="D1999" s="9">
        <v>2500</v>
      </c>
      <c r="E1999" s="9"/>
      <c r="F1999" s="9">
        <v>50704</v>
      </c>
      <c r="G1999" s="10" t="s">
        <v>2969</v>
      </c>
      <c r="H1999" s="10" t="s">
        <v>563</v>
      </c>
      <c r="I1999" s="10"/>
      <c r="J1999" s="9">
        <v>11417</v>
      </c>
      <c r="K1999" s="10" t="s">
        <v>2970</v>
      </c>
      <c r="L1999" s="10" t="s">
        <v>402</v>
      </c>
      <c r="M1999" s="10" t="s">
        <v>1842</v>
      </c>
      <c r="N1999" s="7"/>
    </row>
    <row r="2000" s="1" customFormat="1" ht="28.5" customHeight="1" spans="1:14">
      <c r="A2000" s="8">
        <v>50702</v>
      </c>
      <c r="B2000" s="9">
        <v>50723</v>
      </c>
      <c r="C2000" s="9" t="s">
        <v>35</v>
      </c>
      <c r="D2000" s="9">
        <v>2000</v>
      </c>
      <c r="E2000" s="9"/>
      <c r="F2000" s="9">
        <v>50704</v>
      </c>
      <c r="G2000" s="10" t="s">
        <v>1813</v>
      </c>
      <c r="H2000" s="10" t="s">
        <v>563</v>
      </c>
      <c r="I2000" s="10"/>
      <c r="J2000" s="9">
        <v>11418</v>
      </c>
      <c r="K2000" s="10" t="s">
        <v>1814</v>
      </c>
      <c r="L2000" s="10" t="s">
        <v>402</v>
      </c>
      <c r="M2000" s="10" t="s">
        <v>1842</v>
      </c>
      <c r="N2000" s="7"/>
    </row>
    <row r="2001" s="1" customFormat="1" ht="28.5" customHeight="1" spans="1:14">
      <c r="A2001" s="8">
        <v>50702</v>
      </c>
      <c r="B2001" s="9">
        <v>50724</v>
      </c>
      <c r="C2001" s="9" t="s">
        <v>35</v>
      </c>
      <c r="D2001" s="9">
        <v>1500</v>
      </c>
      <c r="E2001" s="9"/>
      <c r="F2001" s="9">
        <v>50704</v>
      </c>
      <c r="G2001" s="10" t="s">
        <v>2971</v>
      </c>
      <c r="H2001" s="10" t="s">
        <v>563</v>
      </c>
      <c r="I2001" s="10"/>
      <c r="J2001" s="9">
        <v>11419</v>
      </c>
      <c r="K2001" s="10" t="s">
        <v>2972</v>
      </c>
      <c r="L2001" s="10" t="s">
        <v>402</v>
      </c>
      <c r="M2001" s="10" t="s">
        <v>1842</v>
      </c>
      <c r="N2001" s="7"/>
    </row>
    <row r="2002" s="1" customFormat="1" ht="28.5" customHeight="1" spans="1:14">
      <c r="A2002" s="8">
        <v>50702</v>
      </c>
      <c r="B2002" s="9">
        <v>50725</v>
      </c>
      <c r="C2002" s="9" t="s">
        <v>35</v>
      </c>
      <c r="D2002" s="9">
        <v>1000</v>
      </c>
      <c r="E2002" s="9"/>
      <c r="F2002" s="9">
        <v>50704</v>
      </c>
      <c r="G2002" s="10" t="s">
        <v>2973</v>
      </c>
      <c r="H2002" s="10" t="s">
        <v>563</v>
      </c>
      <c r="I2002" s="10"/>
      <c r="J2002" s="9">
        <v>11420</v>
      </c>
      <c r="K2002" s="10" t="s">
        <v>2974</v>
      </c>
      <c r="L2002" s="10" t="s">
        <v>402</v>
      </c>
      <c r="M2002" s="10" t="s">
        <v>1842</v>
      </c>
      <c r="N2002" s="7"/>
    </row>
    <row r="2003" s="1" customFormat="1" ht="28.5" customHeight="1" spans="1:14">
      <c r="A2003" s="8">
        <v>50701</v>
      </c>
      <c r="B2003" s="9">
        <v>50726</v>
      </c>
      <c r="C2003" s="9" t="s">
        <v>35</v>
      </c>
      <c r="D2003" s="9">
        <v>3000</v>
      </c>
      <c r="E2003" s="9"/>
      <c r="F2003" s="9">
        <v>50705</v>
      </c>
      <c r="G2003" s="10" t="s">
        <v>1809</v>
      </c>
      <c r="H2003" s="10" t="s">
        <v>563</v>
      </c>
      <c r="I2003" s="10"/>
      <c r="J2003" s="9">
        <v>51421</v>
      </c>
      <c r="K2003" s="10" t="s">
        <v>2975</v>
      </c>
      <c r="L2003" s="10" t="s">
        <v>403</v>
      </c>
      <c r="M2003" s="10" t="s">
        <v>1842</v>
      </c>
      <c r="N2003" s="7"/>
    </row>
    <row r="2004" s="1" customFormat="1" ht="28.5" customHeight="1" spans="1:14">
      <c r="A2004" s="8">
        <v>50701</v>
      </c>
      <c r="B2004" s="9">
        <v>50727</v>
      </c>
      <c r="C2004" s="9" t="s">
        <v>35</v>
      </c>
      <c r="D2004" s="9">
        <v>2500</v>
      </c>
      <c r="E2004" s="9"/>
      <c r="F2004" s="9">
        <v>50705</v>
      </c>
      <c r="G2004" s="10" t="s">
        <v>2928</v>
      </c>
      <c r="H2004" s="10" t="s">
        <v>563</v>
      </c>
      <c r="I2004" s="10"/>
      <c r="J2004" s="9">
        <v>51422</v>
      </c>
      <c r="K2004" s="10" t="s">
        <v>2929</v>
      </c>
      <c r="L2004" s="10" t="s">
        <v>403</v>
      </c>
      <c r="M2004" s="10" t="s">
        <v>1842</v>
      </c>
      <c r="N2004" s="7"/>
    </row>
    <row r="2005" s="1" customFormat="1" ht="28.5" customHeight="1" spans="1:14">
      <c r="A2005" s="8">
        <v>50701</v>
      </c>
      <c r="B2005" s="9">
        <v>50728</v>
      </c>
      <c r="C2005" s="9" t="s">
        <v>35</v>
      </c>
      <c r="D2005" s="9">
        <v>2000</v>
      </c>
      <c r="E2005" s="9"/>
      <c r="F2005" s="9">
        <v>50705</v>
      </c>
      <c r="G2005" s="10" t="s">
        <v>2976</v>
      </c>
      <c r="H2005" s="10" t="s">
        <v>563</v>
      </c>
      <c r="I2005" s="10"/>
      <c r="J2005" s="9">
        <v>51423</v>
      </c>
      <c r="K2005" s="10" t="s">
        <v>2977</v>
      </c>
      <c r="L2005" s="10" t="s">
        <v>403</v>
      </c>
      <c r="M2005" s="10" t="s">
        <v>1842</v>
      </c>
      <c r="N2005" s="7"/>
    </row>
    <row r="2006" s="1" customFormat="1" ht="28.5" customHeight="1" spans="1:14">
      <c r="A2006" s="8">
        <v>50701</v>
      </c>
      <c r="B2006" s="9">
        <v>50729</v>
      </c>
      <c r="C2006" s="9" t="s">
        <v>35</v>
      </c>
      <c r="D2006" s="9">
        <v>1500</v>
      </c>
      <c r="E2006" s="9"/>
      <c r="F2006" s="9">
        <v>50705</v>
      </c>
      <c r="G2006" s="10" t="s">
        <v>1811</v>
      </c>
      <c r="H2006" s="10" t="s">
        <v>563</v>
      </c>
      <c r="I2006" s="10"/>
      <c r="J2006" s="9">
        <v>51424</v>
      </c>
      <c r="K2006" s="10" t="s">
        <v>2978</v>
      </c>
      <c r="L2006" s="10" t="s">
        <v>403</v>
      </c>
      <c r="M2006" s="10" t="s">
        <v>1842</v>
      </c>
      <c r="N2006" s="7"/>
    </row>
    <row r="2007" s="1" customFormat="1" ht="28.5" customHeight="1" spans="1:14">
      <c r="A2007" s="8">
        <v>50701</v>
      </c>
      <c r="B2007" s="9">
        <v>50730</v>
      </c>
      <c r="C2007" s="9" t="s">
        <v>35</v>
      </c>
      <c r="D2007" s="9">
        <v>1000</v>
      </c>
      <c r="E2007" s="9"/>
      <c r="F2007" s="9">
        <v>50705</v>
      </c>
      <c r="G2007" s="10" t="s">
        <v>1823</v>
      </c>
      <c r="H2007" s="10" t="s">
        <v>563</v>
      </c>
      <c r="I2007" s="10"/>
      <c r="J2007" s="9">
        <v>51425</v>
      </c>
      <c r="K2007" s="10" t="s">
        <v>2979</v>
      </c>
      <c r="L2007" s="10" t="s">
        <v>403</v>
      </c>
      <c r="M2007" s="10" t="s">
        <v>1842</v>
      </c>
      <c r="N2007" s="7"/>
    </row>
    <row r="2008" s="1" customFormat="1" ht="28.5" customHeight="1" spans="1:14">
      <c r="A2008" s="8">
        <v>50701</v>
      </c>
      <c r="B2008" s="9">
        <v>50731</v>
      </c>
      <c r="C2008" s="9" t="s">
        <v>35</v>
      </c>
      <c r="D2008" s="9">
        <v>0</v>
      </c>
      <c r="E2008" s="9"/>
      <c r="F2008" s="9">
        <v>50706</v>
      </c>
      <c r="G2008" s="10" t="s">
        <v>2980</v>
      </c>
      <c r="H2008" s="10" t="s">
        <v>563</v>
      </c>
      <c r="I2008" s="10"/>
      <c r="J2008" s="9">
        <v>61426</v>
      </c>
      <c r="K2008" s="10" t="s">
        <v>2981</v>
      </c>
      <c r="L2008" s="10" t="s">
        <v>404</v>
      </c>
      <c r="M2008" s="10" t="s">
        <v>1842</v>
      </c>
      <c r="N2008" s="7"/>
    </row>
    <row r="2009" s="1" customFormat="1" ht="28.5" customHeight="1" spans="1:14">
      <c r="A2009" s="8">
        <v>50701</v>
      </c>
      <c r="B2009" s="9">
        <v>50732</v>
      </c>
      <c r="C2009" s="9" t="s">
        <v>35</v>
      </c>
      <c r="D2009" s="9">
        <v>0</v>
      </c>
      <c r="E2009" s="9"/>
      <c r="F2009" s="9">
        <v>50706</v>
      </c>
      <c r="G2009" s="10" t="s">
        <v>2982</v>
      </c>
      <c r="H2009" s="10" t="s">
        <v>563</v>
      </c>
      <c r="I2009" s="10"/>
      <c r="J2009" s="9">
        <v>61427</v>
      </c>
      <c r="K2009" s="10" t="s">
        <v>2983</v>
      </c>
      <c r="L2009" s="10" t="s">
        <v>404</v>
      </c>
      <c r="M2009" s="10" t="s">
        <v>1842</v>
      </c>
      <c r="N2009" s="7"/>
    </row>
    <row r="2010" s="1" customFormat="1" ht="28.5" customHeight="1" spans="1:14">
      <c r="A2010" s="8">
        <v>50701</v>
      </c>
      <c r="B2010" s="9">
        <v>50733</v>
      </c>
      <c r="C2010" s="9" t="s">
        <v>35</v>
      </c>
      <c r="D2010" s="9">
        <v>0</v>
      </c>
      <c r="E2010" s="9"/>
      <c r="F2010" s="9">
        <v>50706</v>
      </c>
      <c r="G2010" s="10" t="s">
        <v>2984</v>
      </c>
      <c r="H2010" s="10" t="s">
        <v>563</v>
      </c>
      <c r="I2010" s="10"/>
      <c r="J2010" s="9">
        <v>61428</v>
      </c>
      <c r="K2010" s="10" t="s">
        <v>2985</v>
      </c>
      <c r="L2010" s="10" t="s">
        <v>404</v>
      </c>
      <c r="M2010" s="10" t="s">
        <v>1842</v>
      </c>
      <c r="N2010" s="7"/>
    </row>
    <row r="2011" s="1" customFormat="1" ht="28.5" customHeight="1" spans="1:14">
      <c r="A2011" s="8">
        <v>50701</v>
      </c>
      <c r="B2011" s="9">
        <v>50734</v>
      </c>
      <c r="C2011" s="9" t="s">
        <v>35</v>
      </c>
      <c r="D2011" s="9">
        <v>0</v>
      </c>
      <c r="E2011" s="9"/>
      <c r="F2011" s="9">
        <v>50706</v>
      </c>
      <c r="G2011" s="10" t="s">
        <v>2986</v>
      </c>
      <c r="H2011" s="10" t="s">
        <v>563</v>
      </c>
      <c r="I2011" s="10"/>
      <c r="J2011" s="9">
        <v>61429</v>
      </c>
      <c r="K2011" s="10" t="s">
        <v>2987</v>
      </c>
      <c r="L2011" s="10" t="s">
        <v>404</v>
      </c>
      <c r="M2011" s="10" t="s">
        <v>1842</v>
      </c>
      <c r="N2011" s="7"/>
    </row>
    <row r="2012" s="1" customFormat="1" ht="28.5" customHeight="1" spans="1:14">
      <c r="A2012" s="8">
        <v>50701</v>
      </c>
      <c r="B2012" s="9">
        <v>50735</v>
      </c>
      <c r="C2012" s="9" t="s">
        <v>35</v>
      </c>
      <c r="D2012" s="9">
        <v>0</v>
      </c>
      <c r="E2012" s="9"/>
      <c r="F2012" s="9">
        <v>50706</v>
      </c>
      <c r="G2012" s="10" t="s">
        <v>2988</v>
      </c>
      <c r="H2012" s="10" t="s">
        <v>563</v>
      </c>
      <c r="I2012" s="10"/>
      <c r="J2012" s="9">
        <v>61430</v>
      </c>
      <c r="K2012" s="10" t="s">
        <v>2989</v>
      </c>
      <c r="L2012" s="10" t="s">
        <v>404</v>
      </c>
      <c r="M2012" s="10" t="s">
        <v>1842</v>
      </c>
      <c r="N2012" s="7"/>
    </row>
    <row r="2013" s="1" customFormat="1" ht="28.5" customHeight="1" spans="1:14">
      <c r="A2013" s="8">
        <v>50701</v>
      </c>
      <c r="B2013" s="9">
        <v>50736</v>
      </c>
      <c r="C2013" s="9" t="s">
        <v>35</v>
      </c>
      <c r="D2013" s="9">
        <v>3000</v>
      </c>
      <c r="E2013" s="9"/>
      <c r="F2013" s="9">
        <v>50707</v>
      </c>
      <c r="G2013" s="10" t="s">
        <v>2949</v>
      </c>
      <c r="H2013" s="10" t="s">
        <v>563</v>
      </c>
      <c r="I2013" s="10"/>
      <c r="J2013" s="9">
        <v>31431</v>
      </c>
      <c r="K2013" s="10" t="s">
        <v>2950</v>
      </c>
      <c r="L2013" s="10" t="s">
        <v>405</v>
      </c>
      <c r="M2013" s="10" t="s">
        <v>1842</v>
      </c>
      <c r="N2013" s="7"/>
    </row>
    <row r="2014" s="1" customFormat="1" ht="28.5" customHeight="1" spans="1:14">
      <c r="A2014" s="8">
        <v>50701</v>
      </c>
      <c r="B2014" s="9">
        <v>50737</v>
      </c>
      <c r="C2014" s="9" t="s">
        <v>35</v>
      </c>
      <c r="D2014" s="9">
        <v>2500</v>
      </c>
      <c r="E2014" s="9"/>
      <c r="F2014" s="9">
        <v>50707</v>
      </c>
      <c r="G2014" s="10" t="s">
        <v>2990</v>
      </c>
      <c r="H2014" s="10" t="s">
        <v>563</v>
      </c>
      <c r="I2014" s="10"/>
      <c r="J2014" s="9">
        <v>31432</v>
      </c>
      <c r="K2014" s="10" t="s">
        <v>2991</v>
      </c>
      <c r="L2014" s="10" t="s">
        <v>405</v>
      </c>
      <c r="M2014" s="10" t="s">
        <v>1842</v>
      </c>
      <c r="N2014" s="7"/>
    </row>
    <row r="2015" s="1" customFormat="1" ht="28.5" customHeight="1" spans="1:14">
      <c r="A2015" s="8">
        <v>50701</v>
      </c>
      <c r="B2015" s="9">
        <v>50738</v>
      </c>
      <c r="C2015" s="9" t="s">
        <v>35</v>
      </c>
      <c r="D2015" s="9">
        <v>2000</v>
      </c>
      <c r="E2015" s="9"/>
      <c r="F2015" s="9">
        <v>50707</v>
      </c>
      <c r="G2015" s="10" t="s">
        <v>2992</v>
      </c>
      <c r="H2015" s="10" t="s">
        <v>563</v>
      </c>
      <c r="I2015" s="10"/>
      <c r="J2015" s="9">
        <v>31433</v>
      </c>
      <c r="K2015" s="10" t="s">
        <v>2993</v>
      </c>
      <c r="L2015" s="10" t="s">
        <v>405</v>
      </c>
      <c r="M2015" s="10" t="s">
        <v>1842</v>
      </c>
      <c r="N2015" s="7"/>
    </row>
    <row r="2016" s="1" customFormat="1" ht="28.5" customHeight="1" spans="1:14">
      <c r="A2016" s="8">
        <v>50701</v>
      </c>
      <c r="B2016" s="9">
        <v>50739</v>
      </c>
      <c r="C2016" s="9" t="s">
        <v>35</v>
      </c>
      <c r="D2016" s="9">
        <v>1500</v>
      </c>
      <c r="E2016" s="9"/>
      <c r="F2016" s="9">
        <v>50707</v>
      </c>
      <c r="G2016" s="10" t="s">
        <v>2994</v>
      </c>
      <c r="H2016" s="10" t="s">
        <v>563</v>
      </c>
      <c r="I2016" s="10"/>
      <c r="J2016" s="9">
        <v>31434</v>
      </c>
      <c r="K2016" s="10" t="s">
        <v>2995</v>
      </c>
      <c r="L2016" s="10" t="s">
        <v>405</v>
      </c>
      <c r="M2016" s="10" t="s">
        <v>1842</v>
      </c>
      <c r="N2016" s="7"/>
    </row>
    <row r="2017" s="1" customFormat="1" ht="28.5" customHeight="1" spans="1:14">
      <c r="A2017" s="8">
        <v>50701</v>
      </c>
      <c r="B2017" s="9">
        <v>50740</v>
      </c>
      <c r="C2017" s="9" t="s">
        <v>35</v>
      </c>
      <c r="D2017" s="9">
        <v>1000</v>
      </c>
      <c r="E2017" s="9"/>
      <c r="F2017" s="9">
        <v>50707</v>
      </c>
      <c r="G2017" s="10" t="s">
        <v>2996</v>
      </c>
      <c r="H2017" s="10" t="s">
        <v>563</v>
      </c>
      <c r="I2017" s="10"/>
      <c r="J2017" s="9">
        <v>31435</v>
      </c>
      <c r="K2017" s="10" t="s">
        <v>2997</v>
      </c>
      <c r="L2017" s="10" t="s">
        <v>405</v>
      </c>
      <c r="M2017" s="10" t="s">
        <v>1842</v>
      </c>
      <c r="N2017" s="7"/>
    </row>
    <row r="2018" s="1" customFormat="1" ht="28.5" customHeight="1" spans="1:14">
      <c r="A2018" s="8">
        <v>50701</v>
      </c>
      <c r="B2018" s="9">
        <v>50741</v>
      </c>
      <c r="C2018" s="9" t="s">
        <v>35</v>
      </c>
      <c r="D2018" s="9">
        <v>3000</v>
      </c>
      <c r="E2018" s="9"/>
      <c r="F2018" s="9">
        <v>50708</v>
      </c>
      <c r="G2018" s="10" t="s">
        <v>2957</v>
      </c>
      <c r="H2018" s="10" t="s">
        <v>563</v>
      </c>
      <c r="I2018" s="10"/>
      <c r="J2018" s="9">
        <v>41436</v>
      </c>
      <c r="K2018" s="10" t="s">
        <v>2958</v>
      </c>
      <c r="L2018" s="10" t="s">
        <v>406</v>
      </c>
      <c r="M2018" s="10" t="s">
        <v>1842</v>
      </c>
      <c r="N2018" s="7"/>
    </row>
    <row r="2019" s="1" customFormat="1" ht="28.5" customHeight="1" spans="1:14">
      <c r="A2019" s="8">
        <v>50701</v>
      </c>
      <c r="B2019" s="9">
        <v>50742</v>
      </c>
      <c r="C2019" s="9" t="s">
        <v>35</v>
      </c>
      <c r="D2019" s="9">
        <v>2500</v>
      </c>
      <c r="E2019" s="9"/>
      <c r="F2019" s="9">
        <v>50708</v>
      </c>
      <c r="G2019" s="10" t="s">
        <v>2998</v>
      </c>
      <c r="H2019" s="10" t="s">
        <v>563</v>
      </c>
      <c r="I2019" s="10"/>
      <c r="J2019" s="9">
        <v>41437</v>
      </c>
      <c r="K2019" s="10" t="s">
        <v>2999</v>
      </c>
      <c r="L2019" s="10" t="s">
        <v>406</v>
      </c>
      <c r="M2019" s="10" t="s">
        <v>1842</v>
      </c>
      <c r="N2019" s="7"/>
    </row>
    <row r="2020" s="1" customFormat="1" ht="28.5" customHeight="1" spans="1:14">
      <c r="A2020" s="8">
        <v>50701</v>
      </c>
      <c r="B2020" s="9">
        <v>50743</v>
      </c>
      <c r="C2020" s="9" t="s">
        <v>35</v>
      </c>
      <c r="D2020" s="9">
        <v>2000</v>
      </c>
      <c r="E2020" s="9"/>
      <c r="F2020" s="9">
        <v>50708</v>
      </c>
      <c r="G2020" s="10" t="s">
        <v>3000</v>
      </c>
      <c r="H2020" s="10" t="s">
        <v>563</v>
      </c>
      <c r="I2020" s="10"/>
      <c r="J2020" s="9">
        <v>41438</v>
      </c>
      <c r="K2020" s="10" t="s">
        <v>3001</v>
      </c>
      <c r="L2020" s="10" t="s">
        <v>406</v>
      </c>
      <c r="M2020" s="10" t="s">
        <v>1842</v>
      </c>
      <c r="N2020" s="7"/>
    </row>
    <row r="2021" s="1" customFormat="1" ht="28.5" customHeight="1" spans="1:14">
      <c r="A2021" s="8">
        <v>50701</v>
      </c>
      <c r="B2021" s="9">
        <v>50744</v>
      </c>
      <c r="C2021" s="9" t="s">
        <v>35</v>
      </c>
      <c r="D2021" s="9">
        <v>1500</v>
      </c>
      <c r="E2021" s="9"/>
      <c r="F2021" s="9">
        <v>50708</v>
      </c>
      <c r="G2021" s="10" t="s">
        <v>3002</v>
      </c>
      <c r="H2021" s="10" t="s">
        <v>563</v>
      </c>
      <c r="I2021" s="10"/>
      <c r="J2021" s="9">
        <v>41439</v>
      </c>
      <c r="K2021" s="10" t="s">
        <v>3003</v>
      </c>
      <c r="L2021" s="10" t="s">
        <v>406</v>
      </c>
      <c r="M2021" s="10" t="s">
        <v>1842</v>
      </c>
      <c r="N2021" s="7"/>
    </row>
    <row r="2022" s="1" customFormat="1" ht="28.5" customHeight="1" spans="1:14">
      <c r="A2022" s="8">
        <v>50701</v>
      </c>
      <c r="B2022" s="9">
        <v>50745</v>
      </c>
      <c r="C2022" s="9" t="s">
        <v>35</v>
      </c>
      <c r="D2022" s="9">
        <v>1000</v>
      </c>
      <c r="E2022" s="9"/>
      <c r="F2022" s="9">
        <v>50708</v>
      </c>
      <c r="G2022" s="10" t="s">
        <v>3004</v>
      </c>
      <c r="H2022" s="10" t="s">
        <v>563</v>
      </c>
      <c r="I2022" s="10"/>
      <c r="J2022" s="9">
        <v>41440</v>
      </c>
      <c r="K2022" s="10" t="s">
        <v>3005</v>
      </c>
      <c r="L2022" s="10" t="s">
        <v>406</v>
      </c>
      <c r="M2022" s="10" t="s">
        <v>1842</v>
      </c>
      <c r="N2022" s="7"/>
    </row>
    <row r="2023" s="1" customFormat="1" ht="28.5" customHeight="1" spans="1:14">
      <c r="A2023" s="8"/>
      <c r="B2023" s="9"/>
      <c r="C2023" s="9" t="s">
        <v>1289</v>
      </c>
      <c r="D2023" s="9">
        <v>3000</v>
      </c>
      <c r="E2023" s="9"/>
      <c r="F2023" s="9"/>
      <c r="G2023" s="10" t="s">
        <v>3006</v>
      </c>
      <c r="H2023" s="10" t="s">
        <v>563</v>
      </c>
      <c r="I2023" s="10"/>
      <c r="J2023" s="9">
        <v>11441</v>
      </c>
      <c r="K2023" s="10" t="s">
        <v>3007</v>
      </c>
      <c r="L2023" s="10" t="s">
        <v>276</v>
      </c>
      <c r="M2023" s="10" t="s">
        <v>1834</v>
      </c>
      <c r="N2023" s="7"/>
    </row>
    <row r="2024" s="1" customFormat="1" ht="28.5" customHeight="1" spans="1:14">
      <c r="A2024" s="8"/>
      <c r="B2024" s="9"/>
      <c r="C2024" s="9" t="s">
        <v>1289</v>
      </c>
      <c r="D2024" s="9">
        <v>2500</v>
      </c>
      <c r="E2024" s="9"/>
      <c r="F2024" s="9"/>
      <c r="G2024" s="10" t="s">
        <v>3008</v>
      </c>
      <c r="H2024" s="10" t="s">
        <v>563</v>
      </c>
      <c r="I2024" s="10"/>
      <c r="J2024" s="9">
        <v>11442</v>
      </c>
      <c r="K2024" s="10" t="s">
        <v>3009</v>
      </c>
      <c r="L2024" s="10" t="s">
        <v>276</v>
      </c>
      <c r="M2024" s="10" t="s">
        <v>1834</v>
      </c>
      <c r="N2024" s="7"/>
    </row>
    <row r="2025" s="1" customFormat="1" ht="28.5" customHeight="1" spans="1:14">
      <c r="A2025" s="8"/>
      <c r="B2025" s="9"/>
      <c r="C2025" s="9" t="s">
        <v>1289</v>
      </c>
      <c r="D2025" s="9">
        <v>2000</v>
      </c>
      <c r="E2025" s="9"/>
      <c r="F2025" s="9"/>
      <c r="G2025" s="10" t="s">
        <v>3010</v>
      </c>
      <c r="H2025" s="10" t="s">
        <v>563</v>
      </c>
      <c r="I2025" s="10"/>
      <c r="J2025" s="9">
        <v>11443</v>
      </c>
      <c r="K2025" s="10" t="s">
        <v>3011</v>
      </c>
      <c r="L2025" s="10" t="s">
        <v>276</v>
      </c>
      <c r="M2025" s="10" t="s">
        <v>1834</v>
      </c>
      <c r="N2025" s="7"/>
    </row>
    <row r="2026" s="1" customFormat="1" ht="28.5" customHeight="1" spans="1:14">
      <c r="A2026" s="8"/>
      <c r="B2026" s="9"/>
      <c r="C2026" s="9" t="s">
        <v>1289</v>
      </c>
      <c r="D2026" s="9">
        <v>1500</v>
      </c>
      <c r="E2026" s="9"/>
      <c r="F2026" s="9"/>
      <c r="G2026" s="10" t="s">
        <v>3012</v>
      </c>
      <c r="H2026" s="10" t="s">
        <v>563</v>
      </c>
      <c r="I2026" s="10"/>
      <c r="J2026" s="9">
        <v>11444</v>
      </c>
      <c r="K2026" s="10" t="s">
        <v>3013</v>
      </c>
      <c r="L2026" s="10" t="s">
        <v>276</v>
      </c>
      <c r="M2026" s="10" t="s">
        <v>1834</v>
      </c>
      <c r="N2026" s="7"/>
    </row>
    <row r="2027" s="1" customFormat="1" ht="28.5" customHeight="1" spans="1:14">
      <c r="A2027" s="8"/>
      <c r="B2027" s="9"/>
      <c r="C2027" s="9" t="s">
        <v>1289</v>
      </c>
      <c r="D2027" s="9">
        <v>1000</v>
      </c>
      <c r="E2027" s="9"/>
      <c r="F2027" s="9"/>
      <c r="G2027" s="10" t="s">
        <v>3014</v>
      </c>
      <c r="H2027" s="10" t="s">
        <v>563</v>
      </c>
      <c r="I2027" s="10"/>
      <c r="J2027" s="9">
        <v>11445</v>
      </c>
      <c r="K2027" s="10" t="s">
        <v>3015</v>
      </c>
      <c r="L2027" s="10" t="s">
        <v>276</v>
      </c>
      <c r="M2027" s="10" t="s">
        <v>1834</v>
      </c>
      <c r="N2027" s="7"/>
    </row>
    <row r="2028" s="1" customFormat="1" ht="28.5" customHeight="1" spans="1:14">
      <c r="A2028" s="8">
        <v>50801</v>
      </c>
      <c r="B2028" s="9">
        <v>50801</v>
      </c>
      <c r="C2028" s="9" t="s">
        <v>36</v>
      </c>
      <c r="D2028" s="9">
        <v>0</v>
      </c>
      <c r="E2028" s="9"/>
      <c r="F2028" s="9">
        <v>50800</v>
      </c>
      <c r="G2028" s="10" t="s">
        <v>1432</v>
      </c>
      <c r="H2028" s="10" t="s">
        <v>563</v>
      </c>
      <c r="I2028" s="10"/>
      <c r="J2028" s="9">
        <v>61446</v>
      </c>
      <c r="K2028" s="10" t="s">
        <v>2093</v>
      </c>
      <c r="L2028" s="10" t="s">
        <v>275</v>
      </c>
      <c r="M2028" s="10" t="s">
        <v>1842</v>
      </c>
      <c r="N2028" s="7"/>
    </row>
    <row r="2029" s="1" customFormat="1" ht="28.5" customHeight="1" spans="1:14">
      <c r="A2029" s="8">
        <v>50801</v>
      </c>
      <c r="B2029" s="9">
        <v>50802</v>
      </c>
      <c r="C2029" s="9" t="s">
        <v>36</v>
      </c>
      <c r="D2029" s="9">
        <v>0</v>
      </c>
      <c r="E2029" s="9"/>
      <c r="F2029" s="9">
        <v>50800</v>
      </c>
      <c r="G2029" s="10" t="s">
        <v>1434</v>
      </c>
      <c r="H2029" s="10" t="s">
        <v>563</v>
      </c>
      <c r="I2029" s="10"/>
      <c r="J2029" s="9">
        <v>61447</v>
      </c>
      <c r="K2029" s="10" t="s">
        <v>2094</v>
      </c>
      <c r="L2029" s="10" t="s">
        <v>275</v>
      </c>
      <c r="M2029" s="10" t="s">
        <v>1842</v>
      </c>
      <c r="N2029" s="7"/>
    </row>
    <row r="2030" s="1" customFormat="1" ht="28.5" customHeight="1" spans="1:14">
      <c r="A2030" s="8">
        <v>50801</v>
      </c>
      <c r="B2030" s="9">
        <v>50803</v>
      </c>
      <c r="C2030" s="9" t="s">
        <v>36</v>
      </c>
      <c r="D2030" s="9">
        <v>0</v>
      </c>
      <c r="E2030" s="9"/>
      <c r="F2030" s="9">
        <v>50800</v>
      </c>
      <c r="G2030" s="10" t="s">
        <v>1436</v>
      </c>
      <c r="H2030" s="10" t="s">
        <v>563</v>
      </c>
      <c r="I2030" s="10"/>
      <c r="J2030" s="9">
        <v>61448</v>
      </c>
      <c r="K2030" s="10" t="s">
        <v>2095</v>
      </c>
      <c r="L2030" s="10" t="s">
        <v>275</v>
      </c>
      <c r="M2030" s="10" t="s">
        <v>1842</v>
      </c>
      <c r="N2030" s="7"/>
    </row>
    <row r="2031" s="1" customFormat="1" ht="28.5" customHeight="1" spans="1:14">
      <c r="A2031" s="8">
        <v>50801</v>
      </c>
      <c r="B2031" s="9">
        <v>50804</v>
      </c>
      <c r="C2031" s="9" t="s">
        <v>36</v>
      </c>
      <c r="D2031" s="9">
        <v>0</v>
      </c>
      <c r="E2031" s="9"/>
      <c r="F2031" s="9">
        <v>50800</v>
      </c>
      <c r="G2031" s="10" t="s">
        <v>1438</v>
      </c>
      <c r="H2031" s="10" t="s">
        <v>563</v>
      </c>
      <c r="I2031" s="10"/>
      <c r="J2031" s="9">
        <v>61449</v>
      </c>
      <c r="K2031" s="10" t="s">
        <v>2096</v>
      </c>
      <c r="L2031" s="10" t="s">
        <v>275</v>
      </c>
      <c r="M2031" s="10" t="s">
        <v>1842</v>
      </c>
      <c r="N2031" s="7"/>
    </row>
    <row r="2032" s="1" customFormat="1" ht="28.5" customHeight="1" spans="1:14">
      <c r="A2032" s="8">
        <v>50801</v>
      </c>
      <c r="B2032" s="9">
        <v>50805</v>
      </c>
      <c r="C2032" s="9" t="s">
        <v>36</v>
      </c>
      <c r="D2032" s="9">
        <v>0</v>
      </c>
      <c r="E2032" s="9"/>
      <c r="F2032" s="9">
        <v>50800</v>
      </c>
      <c r="G2032" s="10" t="s">
        <v>1440</v>
      </c>
      <c r="H2032" s="10" t="s">
        <v>563</v>
      </c>
      <c r="I2032" s="10"/>
      <c r="J2032" s="9">
        <v>61450</v>
      </c>
      <c r="K2032" s="10" t="s">
        <v>2097</v>
      </c>
      <c r="L2032" s="10" t="s">
        <v>275</v>
      </c>
      <c r="M2032" s="10" t="s">
        <v>1842</v>
      </c>
      <c r="N2032" s="7"/>
    </row>
    <row r="2033" s="1" customFormat="1" ht="28.5" customHeight="1" spans="1:14">
      <c r="A2033" s="8">
        <v>50801</v>
      </c>
      <c r="B2033" s="9">
        <v>50806</v>
      </c>
      <c r="C2033" s="9" t="s">
        <v>36</v>
      </c>
      <c r="D2033" s="9">
        <v>3000</v>
      </c>
      <c r="E2033" s="9"/>
      <c r="F2033" s="9">
        <v>50801</v>
      </c>
      <c r="G2033" s="10" t="s">
        <v>2047</v>
      </c>
      <c r="H2033" s="10" t="s">
        <v>563</v>
      </c>
      <c r="I2033" s="10"/>
      <c r="J2033" s="9">
        <v>21451</v>
      </c>
      <c r="K2033" s="10" t="s">
        <v>2048</v>
      </c>
      <c r="L2033" s="10" t="s">
        <v>276</v>
      </c>
      <c r="M2033" s="10" t="s">
        <v>1842</v>
      </c>
      <c r="N2033" s="7"/>
    </row>
    <row r="2034" s="1" customFormat="1" ht="28.5" customHeight="1" spans="1:14">
      <c r="A2034" s="8">
        <v>50801</v>
      </c>
      <c r="B2034" s="9">
        <v>50807</v>
      </c>
      <c r="C2034" s="9" t="s">
        <v>36</v>
      </c>
      <c r="D2034" s="9">
        <v>2500</v>
      </c>
      <c r="E2034" s="9"/>
      <c r="F2034" s="9">
        <v>50801</v>
      </c>
      <c r="G2034" s="10" t="s">
        <v>2098</v>
      </c>
      <c r="H2034" s="10" t="s">
        <v>563</v>
      </c>
      <c r="I2034" s="10"/>
      <c r="J2034" s="9">
        <v>21452</v>
      </c>
      <c r="K2034" s="10" t="s">
        <v>2099</v>
      </c>
      <c r="L2034" s="10" t="s">
        <v>276</v>
      </c>
      <c r="M2034" s="10" t="s">
        <v>1842</v>
      </c>
      <c r="N2034" s="7"/>
    </row>
    <row r="2035" s="1" customFormat="1" ht="28.5" customHeight="1" spans="1:14">
      <c r="A2035" s="8">
        <v>50801</v>
      </c>
      <c r="B2035" s="9">
        <v>50808</v>
      </c>
      <c r="C2035" s="9" t="s">
        <v>36</v>
      </c>
      <c r="D2035" s="9">
        <v>2000</v>
      </c>
      <c r="E2035" s="9"/>
      <c r="F2035" s="9">
        <v>50801</v>
      </c>
      <c r="G2035" s="10" t="s">
        <v>2100</v>
      </c>
      <c r="H2035" s="10" t="s">
        <v>563</v>
      </c>
      <c r="I2035" s="10"/>
      <c r="J2035" s="9">
        <v>21453</v>
      </c>
      <c r="K2035" s="10" t="s">
        <v>2101</v>
      </c>
      <c r="L2035" s="10" t="s">
        <v>276</v>
      </c>
      <c r="M2035" s="10" t="s">
        <v>1842</v>
      </c>
      <c r="N2035" s="7"/>
    </row>
    <row r="2036" s="1" customFormat="1" ht="28.5" customHeight="1" spans="1:14">
      <c r="A2036" s="8">
        <v>50801</v>
      </c>
      <c r="B2036" s="9">
        <v>50809</v>
      </c>
      <c r="C2036" s="9" t="s">
        <v>36</v>
      </c>
      <c r="D2036" s="9">
        <v>1500</v>
      </c>
      <c r="E2036" s="9"/>
      <c r="F2036" s="9">
        <v>50801</v>
      </c>
      <c r="G2036" s="10" t="s">
        <v>2102</v>
      </c>
      <c r="H2036" s="10" t="s">
        <v>563</v>
      </c>
      <c r="I2036" s="10"/>
      <c r="J2036" s="9">
        <v>21454</v>
      </c>
      <c r="K2036" s="10" t="s">
        <v>2103</v>
      </c>
      <c r="L2036" s="10" t="s">
        <v>276</v>
      </c>
      <c r="M2036" s="10" t="s">
        <v>1842</v>
      </c>
      <c r="N2036" s="7"/>
    </row>
    <row r="2037" s="1" customFormat="1" ht="28.5" customHeight="1" spans="1:14">
      <c r="A2037" s="8">
        <v>50801</v>
      </c>
      <c r="B2037" s="9">
        <v>50810</v>
      </c>
      <c r="C2037" s="9" t="s">
        <v>36</v>
      </c>
      <c r="D2037" s="9">
        <v>1000</v>
      </c>
      <c r="E2037" s="9"/>
      <c r="F2037" s="9">
        <v>50801</v>
      </c>
      <c r="G2037" s="10" t="s">
        <v>2104</v>
      </c>
      <c r="H2037" s="10" t="s">
        <v>563</v>
      </c>
      <c r="I2037" s="10"/>
      <c r="J2037" s="9">
        <v>21455</v>
      </c>
      <c r="K2037" s="10" t="s">
        <v>2105</v>
      </c>
      <c r="L2037" s="10" t="s">
        <v>276</v>
      </c>
      <c r="M2037" s="10" t="s">
        <v>1842</v>
      </c>
      <c r="N2037" s="7"/>
    </row>
    <row r="2038" s="1" customFormat="1" ht="28.5" customHeight="1" spans="1:14">
      <c r="A2038" s="8">
        <v>50803</v>
      </c>
      <c r="B2038" s="9">
        <v>50811</v>
      </c>
      <c r="C2038" s="9" t="s">
        <v>36</v>
      </c>
      <c r="D2038" s="9">
        <v>3000</v>
      </c>
      <c r="E2038" s="9"/>
      <c r="F2038" s="9">
        <v>50802</v>
      </c>
      <c r="G2038" s="10" t="s">
        <v>1857</v>
      </c>
      <c r="H2038" s="10" t="s">
        <v>563</v>
      </c>
      <c r="I2038" s="10"/>
      <c r="J2038" s="9">
        <v>91456</v>
      </c>
      <c r="K2038" s="10" t="s">
        <v>1858</v>
      </c>
      <c r="L2038" s="10" t="s">
        <v>224</v>
      </c>
      <c r="M2038" s="10" t="s">
        <v>1842</v>
      </c>
      <c r="N2038" s="7"/>
    </row>
    <row r="2039" s="1" customFormat="1" ht="28.5" customHeight="1" spans="1:14">
      <c r="A2039" s="8">
        <v>50803</v>
      </c>
      <c r="B2039" s="9">
        <v>50812</v>
      </c>
      <c r="C2039" s="9" t="s">
        <v>36</v>
      </c>
      <c r="D2039" s="9">
        <v>2500</v>
      </c>
      <c r="E2039" s="9"/>
      <c r="F2039" s="9">
        <v>50802</v>
      </c>
      <c r="G2039" s="10" t="s">
        <v>1857</v>
      </c>
      <c r="H2039" s="10" t="s">
        <v>563</v>
      </c>
      <c r="I2039" s="10"/>
      <c r="J2039" s="9">
        <v>91457</v>
      </c>
      <c r="K2039" s="10" t="s">
        <v>1858</v>
      </c>
      <c r="L2039" s="10" t="s">
        <v>224</v>
      </c>
      <c r="M2039" s="10" t="s">
        <v>1842</v>
      </c>
      <c r="N2039" s="7"/>
    </row>
    <row r="2040" s="1" customFormat="1" ht="28.5" customHeight="1" spans="1:14">
      <c r="A2040" s="8">
        <v>50803</v>
      </c>
      <c r="B2040" s="9">
        <v>50813</v>
      </c>
      <c r="C2040" s="9" t="s">
        <v>36</v>
      </c>
      <c r="D2040" s="9">
        <v>2000</v>
      </c>
      <c r="E2040" s="9"/>
      <c r="F2040" s="9">
        <v>50802</v>
      </c>
      <c r="G2040" s="10" t="s">
        <v>1857</v>
      </c>
      <c r="H2040" s="10" t="s">
        <v>563</v>
      </c>
      <c r="I2040" s="10"/>
      <c r="J2040" s="9">
        <v>91458</v>
      </c>
      <c r="K2040" s="10" t="s">
        <v>1858</v>
      </c>
      <c r="L2040" s="10" t="s">
        <v>224</v>
      </c>
      <c r="M2040" s="10" t="s">
        <v>1842</v>
      </c>
      <c r="N2040" s="7"/>
    </row>
    <row r="2041" s="1" customFormat="1" ht="28.5" customHeight="1" spans="1:14">
      <c r="A2041" s="8">
        <v>50803</v>
      </c>
      <c r="B2041" s="9">
        <v>50814</v>
      </c>
      <c r="C2041" s="9" t="s">
        <v>36</v>
      </c>
      <c r="D2041" s="9">
        <v>1500</v>
      </c>
      <c r="E2041" s="9"/>
      <c r="F2041" s="9">
        <v>50802</v>
      </c>
      <c r="G2041" s="10" t="s">
        <v>1857</v>
      </c>
      <c r="H2041" s="10" t="s">
        <v>563</v>
      </c>
      <c r="I2041" s="10"/>
      <c r="J2041" s="9">
        <v>91459</v>
      </c>
      <c r="K2041" s="10" t="s">
        <v>1858</v>
      </c>
      <c r="L2041" s="10" t="s">
        <v>224</v>
      </c>
      <c r="M2041" s="10" t="s">
        <v>1842</v>
      </c>
      <c r="N2041" s="7"/>
    </row>
    <row r="2042" s="1" customFormat="1" ht="28.5" customHeight="1" spans="1:14">
      <c r="A2042" s="8">
        <v>50803</v>
      </c>
      <c r="B2042" s="9">
        <v>50815</v>
      </c>
      <c r="C2042" s="9" t="s">
        <v>36</v>
      </c>
      <c r="D2042" s="9">
        <v>1000</v>
      </c>
      <c r="E2042" s="9"/>
      <c r="F2042" s="9">
        <v>50802</v>
      </c>
      <c r="G2042" s="10" t="s">
        <v>1857</v>
      </c>
      <c r="H2042" s="10" t="s">
        <v>563</v>
      </c>
      <c r="I2042" s="10"/>
      <c r="J2042" s="9">
        <v>91460</v>
      </c>
      <c r="K2042" s="10" t="s">
        <v>1858</v>
      </c>
      <c r="L2042" s="10" t="s">
        <v>224</v>
      </c>
      <c r="M2042" s="10" t="s">
        <v>1842</v>
      </c>
      <c r="N2042" s="7"/>
    </row>
    <row r="2043" s="1" customFormat="1" ht="28.5" customHeight="1" spans="1:14">
      <c r="A2043" s="8">
        <v>50803</v>
      </c>
      <c r="B2043" s="9">
        <v>50816</v>
      </c>
      <c r="C2043" s="9" t="s">
        <v>36</v>
      </c>
      <c r="D2043" s="9">
        <v>3000</v>
      </c>
      <c r="E2043" s="9"/>
      <c r="F2043" s="9">
        <v>50803</v>
      </c>
      <c r="G2043" s="10" t="s">
        <v>1859</v>
      </c>
      <c r="H2043" s="10" t="s">
        <v>563</v>
      </c>
      <c r="I2043" s="10"/>
      <c r="J2043" s="9">
        <v>71461</v>
      </c>
      <c r="K2043" s="10" t="s">
        <v>1860</v>
      </c>
      <c r="L2043" s="10" t="s">
        <v>228</v>
      </c>
      <c r="M2043" s="10" t="s">
        <v>1842</v>
      </c>
      <c r="N2043" s="7"/>
    </row>
    <row r="2044" s="1" customFormat="1" ht="28.5" customHeight="1" spans="1:14">
      <c r="A2044" s="8">
        <v>50803</v>
      </c>
      <c r="B2044" s="9">
        <v>50817</v>
      </c>
      <c r="C2044" s="9" t="s">
        <v>36</v>
      </c>
      <c r="D2044" s="9">
        <v>2500</v>
      </c>
      <c r="E2044" s="9"/>
      <c r="F2044" s="9">
        <v>50803</v>
      </c>
      <c r="G2044" s="10" t="s">
        <v>1859</v>
      </c>
      <c r="H2044" s="10" t="s">
        <v>563</v>
      </c>
      <c r="I2044" s="10"/>
      <c r="J2044" s="9">
        <v>71462</v>
      </c>
      <c r="K2044" s="10" t="s">
        <v>1860</v>
      </c>
      <c r="L2044" s="10" t="s">
        <v>228</v>
      </c>
      <c r="M2044" s="10" t="s">
        <v>1842</v>
      </c>
      <c r="N2044" s="7"/>
    </row>
    <row r="2045" s="1" customFormat="1" ht="28.5" customHeight="1" spans="1:14">
      <c r="A2045" s="8">
        <v>50803</v>
      </c>
      <c r="B2045" s="9">
        <v>50818</v>
      </c>
      <c r="C2045" s="9" t="s">
        <v>36</v>
      </c>
      <c r="D2045" s="9">
        <v>2000</v>
      </c>
      <c r="E2045" s="9"/>
      <c r="F2045" s="9">
        <v>50803</v>
      </c>
      <c r="G2045" s="10" t="s">
        <v>1859</v>
      </c>
      <c r="H2045" s="10" t="s">
        <v>563</v>
      </c>
      <c r="I2045" s="10"/>
      <c r="J2045" s="9">
        <v>71463</v>
      </c>
      <c r="K2045" s="10" t="s">
        <v>1860</v>
      </c>
      <c r="L2045" s="10" t="s">
        <v>228</v>
      </c>
      <c r="M2045" s="10" t="s">
        <v>1842</v>
      </c>
      <c r="N2045" s="7"/>
    </row>
    <row r="2046" s="1" customFormat="1" ht="28.5" customHeight="1" spans="1:14">
      <c r="A2046" s="8">
        <v>50803</v>
      </c>
      <c r="B2046" s="9">
        <v>50819</v>
      </c>
      <c r="C2046" s="9" t="s">
        <v>36</v>
      </c>
      <c r="D2046" s="9">
        <v>1500</v>
      </c>
      <c r="E2046" s="9"/>
      <c r="F2046" s="9">
        <v>50803</v>
      </c>
      <c r="G2046" s="10" t="s">
        <v>1859</v>
      </c>
      <c r="H2046" s="10" t="s">
        <v>563</v>
      </c>
      <c r="I2046" s="10"/>
      <c r="J2046" s="9">
        <v>71464</v>
      </c>
      <c r="K2046" s="10" t="s">
        <v>1860</v>
      </c>
      <c r="L2046" s="10" t="s">
        <v>228</v>
      </c>
      <c r="M2046" s="10" t="s">
        <v>1842</v>
      </c>
      <c r="N2046" s="7"/>
    </row>
    <row r="2047" s="1" customFormat="1" ht="28.5" customHeight="1" spans="1:14">
      <c r="A2047" s="8">
        <v>50803</v>
      </c>
      <c r="B2047" s="9">
        <v>50820</v>
      </c>
      <c r="C2047" s="9" t="s">
        <v>36</v>
      </c>
      <c r="D2047" s="9">
        <v>1000</v>
      </c>
      <c r="E2047" s="9"/>
      <c r="F2047" s="9">
        <v>50803</v>
      </c>
      <c r="G2047" s="10" t="s">
        <v>1859</v>
      </c>
      <c r="H2047" s="10" t="s">
        <v>563</v>
      </c>
      <c r="I2047" s="10"/>
      <c r="J2047" s="9">
        <v>71465</v>
      </c>
      <c r="K2047" s="10" t="s">
        <v>1860</v>
      </c>
      <c r="L2047" s="10" t="s">
        <v>228</v>
      </c>
      <c r="M2047" s="10" t="s">
        <v>1842</v>
      </c>
      <c r="N2047" s="7"/>
    </row>
    <row r="2048" s="1" customFormat="1" ht="28.5" customHeight="1" spans="1:14">
      <c r="A2048" s="8">
        <v>50803</v>
      </c>
      <c r="B2048" s="9">
        <v>50821</v>
      </c>
      <c r="C2048" s="9" t="s">
        <v>36</v>
      </c>
      <c r="D2048" s="9">
        <v>3000</v>
      </c>
      <c r="E2048" s="9"/>
      <c r="F2048" s="9">
        <v>50804</v>
      </c>
      <c r="G2048" s="10" t="s">
        <v>1861</v>
      </c>
      <c r="H2048" s="10" t="s">
        <v>563</v>
      </c>
      <c r="I2048" s="10"/>
      <c r="J2048" s="9">
        <v>81466</v>
      </c>
      <c r="K2048" s="10" t="s">
        <v>1862</v>
      </c>
      <c r="L2048" s="10" t="s">
        <v>231</v>
      </c>
      <c r="M2048" s="10" t="s">
        <v>1842</v>
      </c>
      <c r="N2048" s="7"/>
    </row>
    <row r="2049" s="1" customFormat="1" ht="28.5" customHeight="1" spans="1:14">
      <c r="A2049" s="8">
        <v>50803</v>
      </c>
      <c r="B2049" s="9">
        <v>50822</v>
      </c>
      <c r="C2049" s="9" t="s">
        <v>36</v>
      </c>
      <c r="D2049" s="9">
        <v>2500</v>
      </c>
      <c r="E2049" s="9"/>
      <c r="F2049" s="9">
        <v>50804</v>
      </c>
      <c r="G2049" s="10" t="s">
        <v>1861</v>
      </c>
      <c r="H2049" s="10" t="s">
        <v>563</v>
      </c>
      <c r="I2049" s="10"/>
      <c r="J2049" s="9">
        <v>81467</v>
      </c>
      <c r="K2049" s="10" t="s">
        <v>1862</v>
      </c>
      <c r="L2049" s="10" t="s">
        <v>231</v>
      </c>
      <c r="M2049" s="10" t="s">
        <v>1842</v>
      </c>
      <c r="N2049" s="7"/>
    </row>
    <row r="2050" s="1" customFormat="1" ht="28.5" customHeight="1" spans="1:14">
      <c r="A2050" s="8">
        <v>50803</v>
      </c>
      <c r="B2050" s="9">
        <v>50823</v>
      </c>
      <c r="C2050" s="9" t="s">
        <v>36</v>
      </c>
      <c r="D2050" s="9">
        <v>2000</v>
      </c>
      <c r="E2050" s="9"/>
      <c r="F2050" s="9">
        <v>50804</v>
      </c>
      <c r="G2050" s="10" t="s">
        <v>1861</v>
      </c>
      <c r="H2050" s="10" t="s">
        <v>563</v>
      </c>
      <c r="I2050" s="10"/>
      <c r="J2050" s="9">
        <v>81468</v>
      </c>
      <c r="K2050" s="10" t="s">
        <v>1862</v>
      </c>
      <c r="L2050" s="10" t="s">
        <v>231</v>
      </c>
      <c r="M2050" s="10" t="s">
        <v>1842</v>
      </c>
      <c r="N2050" s="7"/>
    </row>
    <row r="2051" s="1" customFormat="1" ht="28.5" customHeight="1" spans="1:14">
      <c r="A2051" s="8">
        <v>50803</v>
      </c>
      <c r="B2051" s="9">
        <v>50824</v>
      </c>
      <c r="C2051" s="9" t="s">
        <v>36</v>
      </c>
      <c r="D2051" s="9">
        <v>1500</v>
      </c>
      <c r="E2051" s="9"/>
      <c r="F2051" s="9">
        <v>50804</v>
      </c>
      <c r="G2051" s="10" t="s">
        <v>1861</v>
      </c>
      <c r="H2051" s="10" t="s">
        <v>563</v>
      </c>
      <c r="I2051" s="10"/>
      <c r="J2051" s="9">
        <v>81469</v>
      </c>
      <c r="K2051" s="10" t="s">
        <v>1862</v>
      </c>
      <c r="L2051" s="10" t="s">
        <v>231</v>
      </c>
      <c r="M2051" s="10" t="s">
        <v>1842</v>
      </c>
      <c r="N2051" s="7"/>
    </row>
    <row r="2052" s="1" customFormat="1" ht="28.5" customHeight="1" spans="1:14">
      <c r="A2052" s="8">
        <v>50803</v>
      </c>
      <c r="B2052" s="9">
        <v>50825</v>
      </c>
      <c r="C2052" s="9" t="s">
        <v>36</v>
      </c>
      <c r="D2052" s="9">
        <v>1000</v>
      </c>
      <c r="E2052" s="9"/>
      <c r="F2052" s="9">
        <v>50804</v>
      </c>
      <c r="G2052" s="10" t="s">
        <v>1861</v>
      </c>
      <c r="H2052" s="10" t="s">
        <v>563</v>
      </c>
      <c r="I2052" s="10"/>
      <c r="J2052" s="9">
        <v>81470</v>
      </c>
      <c r="K2052" s="10" t="s">
        <v>1862</v>
      </c>
      <c r="L2052" s="10" t="s">
        <v>231</v>
      </c>
      <c r="M2052" s="10" t="s">
        <v>1842</v>
      </c>
      <c r="N2052" s="7"/>
    </row>
    <row r="2053" s="1" customFormat="1" ht="28.5" customHeight="1" spans="1:14">
      <c r="A2053" s="8"/>
      <c r="B2053" s="9"/>
      <c r="C2053" s="9" t="s">
        <v>1289</v>
      </c>
      <c r="D2053" s="9">
        <v>3000</v>
      </c>
      <c r="E2053" s="9"/>
      <c r="F2053" s="9"/>
      <c r="G2053" s="10" t="s">
        <v>2809</v>
      </c>
      <c r="H2053" s="10" t="s">
        <v>563</v>
      </c>
      <c r="I2053" s="10"/>
      <c r="J2053" s="9">
        <v>101471</v>
      </c>
      <c r="K2053" s="10" t="s">
        <v>378</v>
      </c>
      <c r="L2053" s="10" t="s">
        <v>248</v>
      </c>
      <c r="M2053" s="10" t="s">
        <v>1834</v>
      </c>
      <c r="N2053" s="7"/>
    </row>
    <row r="2054" s="1" customFormat="1" ht="28.5" customHeight="1" spans="1:14">
      <c r="A2054" s="8"/>
      <c r="B2054" s="9"/>
      <c r="C2054" s="9" t="s">
        <v>1289</v>
      </c>
      <c r="D2054" s="9">
        <v>2500</v>
      </c>
      <c r="E2054" s="9"/>
      <c r="F2054" s="9"/>
      <c r="G2054" s="10" t="s">
        <v>2809</v>
      </c>
      <c r="H2054" s="10" t="s">
        <v>563</v>
      </c>
      <c r="I2054" s="10"/>
      <c r="J2054" s="9">
        <v>101472</v>
      </c>
      <c r="K2054" s="10" t="s">
        <v>378</v>
      </c>
      <c r="L2054" s="10" t="s">
        <v>248</v>
      </c>
      <c r="M2054" s="10" t="s">
        <v>1834</v>
      </c>
      <c r="N2054" s="7"/>
    </row>
    <row r="2055" s="1" customFormat="1" ht="28.5" customHeight="1" spans="1:14">
      <c r="A2055" s="8"/>
      <c r="B2055" s="9"/>
      <c r="C2055" s="9" t="s">
        <v>1289</v>
      </c>
      <c r="D2055" s="9">
        <v>2000</v>
      </c>
      <c r="E2055" s="9"/>
      <c r="F2055" s="9"/>
      <c r="G2055" s="10" t="s">
        <v>2809</v>
      </c>
      <c r="H2055" s="10" t="s">
        <v>563</v>
      </c>
      <c r="I2055" s="10"/>
      <c r="J2055" s="9">
        <v>101473</v>
      </c>
      <c r="K2055" s="10" t="s">
        <v>378</v>
      </c>
      <c r="L2055" s="10" t="s">
        <v>248</v>
      </c>
      <c r="M2055" s="10" t="s">
        <v>1834</v>
      </c>
      <c r="N2055" s="7"/>
    </row>
    <row r="2056" s="1" customFormat="1" ht="28.5" customHeight="1" spans="1:14">
      <c r="A2056" s="8"/>
      <c r="B2056" s="9"/>
      <c r="C2056" s="9" t="s">
        <v>1289</v>
      </c>
      <c r="D2056" s="9">
        <v>1500</v>
      </c>
      <c r="E2056" s="9"/>
      <c r="F2056" s="9"/>
      <c r="G2056" s="10" t="s">
        <v>2809</v>
      </c>
      <c r="H2056" s="10" t="s">
        <v>563</v>
      </c>
      <c r="I2056" s="10"/>
      <c r="J2056" s="9">
        <v>101474</v>
      </c>
      <c r="K2056" s="10" t="s">
        <v>378</v>
      </c>
      <c r="L2056" s="10" t="s">
        <v>248</v>
      </c>
      <c r="M2056" s="10" t="s">
        <v>1834</v>
      </c>
      <c r="N2056" s="7"/>
    </row>
    <row r="2057" s="1" customFormat="1" ht="28.5" customHeight="1" spans="1:14">
      <c r="A2057" s="8"/>
      <c r="B2057" s="9"/>
      <c r="C2057" s="9" t="s">
        <v>1289</v>
      </c>
      <c r="D2057" s="9">
        <v>1000</v>
      </c>
      <c r="E2057" s="9"/>
      <c r="F2057" s="9"/>
      <c r="G2057" s="10" t="s">
        <v>2809</v>
      </c>
      <c r="H2057" s="10" t="s">
        <v>563</v>
      </c>
      <c r="I2057" s="10"/>
      <c r="J2057" s="9">
        <v>101475</v>
      </c>
      <c r="K2057" s="10" t="s">
        <v>378</v>
      </c>
      <c r="L2057" s="10" t="s">
        <v>248</v>
      </c>
      <c r="M2057" s="10" t="s">
        <v>1834</v>
      </c>
      <c r="N2057" s="7"/>
    </row>
    <row r="2058" s="1" customFormat="1" ht="28.5" customHeight="1" spans="1:14">
      <c r="A2058" s="8">
        <v>50802</v>
      </c>
      <c r="B2058" s="9">
        <v>50826</v>
      </c>
      <c r="C2058" s="9" t="s">
        <v>36</v>
      </c>
      <c r="D2058" s="9">
        <v>3000</v>
      </c>
      <c r="E2058" s="9"/>
      <c r="F2058" s="9">
        <v>50805</v>
      </c>
      <c r="G2058" s="10" t="s">
        <v>2973</v>
      </c>
      <c r="H2058" s="10" t="s">
        <v>563</v>
      </c>
      <c r="I2058" s="10"/>
      <c r="J2058" s="9">
        <v>11476</v>
      </c>
      <c r="K2058" s="10" t="s">
        <v>2974</v>
      </c>
      <c r="L2058" s="10" t="s">
        <v>407</v>
      </c>
      <c r="M2058" s="10" t="s">
        <v>1842</v>
      </c>
      <c r="N2058" s="7"/>
    </row>
    <row r="2059" s="1" customFormat="1" ht="28.5" customHeight="1" spans="1:14">
      <c r="A2059" s="8">
        <v>50802</v>
      </c>
      <c r="B2059" s="9">
        <v>50827</v>
      </c>
      <c r="C2059" s="9" t="s">
        <v>36</v>
      </c>
      <c r="D2059" s="9">
        <v>2500</v>
      </c>
      <c r="E2059" s="9"/>
      <c r="F2059" s="9">
        <v>50805</v>
      </c>
      <c r="G2059" s="10" t="s">
        <v>3016</v>
      </c>
      <c r="H2059" s="10" t="s">
        <v>563</v>
      </c>
      <c r="I2059" s="10"/>
      <c r="J2059" s="9">
        <v>11477</v>
      </c>
      <c r="K2059" s="10" t="s">
        <v>3017</v>
      </c>
      <c r="L2059" s="10" t="s">
        <v>407</v>
      </c>
      <c r="M2059" s="10" t="s">
        <v>1842</v>
      </c>
      <c r="N2059" s="7"/>
    </row>
    <row r="2060" s="1" customFormat="1" ht="28.5" customHeight="1" spans="1:14">
      <c r="A2060" s="8">
        <v>50802</v>
      </c>
      <c r="B2060" s="9">
        <v>50828</v>
      </c>
      <c r="C2060" s="9" t="s">
        <v>36</v>
      </c>
      <c r="D2060" s="9">
        <v>2000</v>
      </c>
      <c r="E2060" s="9"/>
      <c r="F2060" s="9">
        <v>50805</v>
      </c>
      <c r="G2060" s="10" t="s">
        <v>3018</v>
      </c>
      <c r="H2060" s="10" t="s">
        <v>563</v>
      </c>
      <c r="I2060" s="10"/>
      <c r="J2060" s="9">
        <v>11478</v>
      </c>
      <c r="K2060" s="10" t="s">
        <v>3019</v>
      </c>
      <c r="L2060" s="10" t="s">
        <v>407</v>
      </c>
      <c r="M2060" s="10" t="s">
        <v>1842</v>
      </c>
      <c r="N2060" s="7"/>
    </row>
    <row r="2061" s="1" customFormat="1" ht="28.5" customHeight="1" spans="1:14">
      <c r="A2061" s="8">
        <v>50802</v>
      </c>
      <c r="B2061" s="9">
        <v>50829</v>
      </c>
      <c r="C2061" s="9" t="s">
        <v>36</v>
      </c>
      <c r="D2061" s="9">
        <v>1500</v>
      </c>
      <c r="E2061" s="9"/>
      <c r="F2061" s="9">
        <v>50805</v>
      </c>
      <c r="G2061" s="10" t="s">
        <v>3020</v>
      </c>
      <c r="H2061" s="10" t="s">
        <v>563</v>
      </c>
      <c r="I2061" s="10"/>
      <c r="J2061" s="9">
        <v>11479</v>
      </c>
      <c r="K2061" s="10" t="s">
        <v>3021</v>
      </c>
      <c r="L2061" s="10" t="s">
        <v>407</v>
      </c>
      <c r="M2061" s="10" t="s">
        <v>1842</v>
      </c>
      <c r="N2061" s="7"/>
    </row>
    <row r="2062" s="1" customFormat="1" ht="28.5" customHeight="1" spans="1:14">
      <c r="A2062" s="8">
        <v>50802</v>
      </c>
      <c r="B2062" s="9">
        <v>50830</v>
      </c>
      <c r="C2062" s="9" t="s">
        <v>36</v>
      </c>
      <c r="D2062" s="9">
        <v>1000</v>
      </c>
      <c r="E2062" s="9"/>
      <c r="F2062" s="9">
        <v>50805</v>
      </c>
      <c r="G2062" s="10" t="s">
        <v>1821</v>
      </c>
      <c r="H2062" s="10" t="s">
        <v>563</v>
      </c>
      <c r="I2062" s="10"/>
      <c r="J2062" s="9">
        <v>11480</v>
      </c>
      <c r="K2062" s="10" t="s">
        <v>1822</v>
      </c>
      <c r="L2062" s="10" t="s">
        <v>407</v>
      </c>
      <c r="M2062" s="10" t="s">
        <v>1842</v>
      </c>
      <c r="N2062" s="7"/>
    </row>
    <row r="2063" s="1" customFormat="1" ht="28.5" customHeight="1" spans="1:14">
      <c r="A2063" s="8">
        <v>50801</v>
      </c>
      <c r="B2063" s="9">
        <v>50831</v>
      </c>
      <c r="C2063" s="9" t="s">
        <v>36</v>
      </c>
      <c r="D2063" s="9">
        <v>3000</v>
      </c>
      <c r="E2063" s="9"/>
      <c r="F2063" s="9">
        <v>50806</v>
      </c>
      <c r="G2063" s="10" t="s">
        <v>1823</v>
      </c>
      <c r="H2063" s="10" t="s">
        <v>563</v>
      </c>
      <c r="I2063" s="10"/>
      <c r="J2063" s="9">
        <v>51481</v>
      </c>
      <c r="K2063" s="10" t="s">
        <v>2979</v>
      </c>
      <c r="L2063" s="10" t="s">
        <v>408</v>
      </c>
      <c r="M2063" s="10" t="s">
        <v>1842</v>
      </c>
      <c r="N2063" s="7"/>
    </row>
    <row r="2064" s="1" customFormat="1" ht="28.5" customHeight="1" spans="1:14">
      <c r="A2064" s="8">
        <v>50801</v>
      </c>
      <c r="B2064" s="9">
        <v>50832</v>
      </c>
      <c r="C2064" s="9" t="s">
        <v>36</v>
      </c>
      <c r="D2064" s="9">
        <v>2500</v>
      </c>
      <c r="E2064" s="9"/>
      <c r="F2064" s="9">
        <v>50806</v>
      </c>
      <c r="G2064" s="10" t="s">
        <v>3022</v>
      </c>
      <c r="H2064" s="10" t="s">
        <v>563</v>
      </c>
      <c r="I2064" s="10"/>
      <c r="J2064" s="9">
        <v>51482</v>
      </c>
      <c r="K2064" s="10" t="s">
        <v>3023</v>
      </c>
      <c r="L2064" s="10" t="s">
        <v>408</v>
      </c>
      <c r="M2064" s="10" t="s">
        <v>1842</v>
      </c>
      <c r="N2064" s="7"/>
    </row>
    <row r="2065" s="1" customFormat="1" ht="28.5" customHeight="1" spans="1:14">
      <c r="A2065" s="8">
        <v>50801</v>
      </c>
      <c r="B2065" s="9">
        <v>50833</v>
      </c>
      <c r="C2065" s="9" t="s">
        <v>36</v>
      </c>
      <c r="D2065" s="9">
        <v>2000</v>
      </c>
      <c r="E2065" s="9"/>
      <c r="F2065" s="9">
        <v>50806</v>
      </c>
      <c r="G2065" s="10" t="s">
        <v>3024</v>
      </c>
      <c r="H2065" s="10" t="s">
        <v>563</v>
      </c>
      <c r="I2065" s="10"/>
      <c r="J2065" s="9">
        <v>51483</v>
      </c>
      <c r="K2065" s="10" t="s">
        <v>3025</v>
      </c>
      <c r="L2065" s="10" t="s">
        <v>408</v>
      </c>
      <c r="M2065" s="10" t="s">
        <v>1842</v>
      </c>
      <c r="N2065" s="7"/>
    </row>
    <row r="2066" s="1" customFormat="1" ht="28.5" customHeight="1" spans="1:14">
      <c r="A2066" s="8">
        <v>50801</v>
      </c>
      <c r="B2066" s="9">
        <v>50834</v>
      </c>
      <c r="C2066" s="9" t="s">
        <v>36</v>
      </c>
      <c r="D2066" s="9">
        <v>1500</v>
      </c>
      <c r="E2066" s="9"/>
      <c r="F2066" s="9">
        <v>50806</v>
      </c>
      <c r="G2066" s="10" t="s">
        <v>1829</v>
      </c>
      <c r="H2066" s="10" t="s">
        <v>563</v>
      </c>
      <c r="I2066" s="10"/>
      <c r="J2066" s="9">
        <v>51484</v>
      </c>
      <c r="K2066" s="10" t="s">
        <v>3026</v>
      </c>
      <c r="L2066" s="10" t="s">
        <v>408</v>
      </c>
      <c r="M2066" s="10" t="s">
        <v>1842</v>
      </c>
      <c r="N2066" s="7"/>
    </row>
    <row r="2067" s="1" customFormat="1" ht="28.5" customHeight="1" spans="1:14">
      <c r="A2067" s="8">
        <v>50801</v>
      </c>
      <c r="B2067" s="9">
        <v>50835</v>
      </c>
      <c r="C2067" s="9" t="s">
        <v>36</v>
      </c>
      <c r="D2067" s="9">
        <v>1000</v>
      </c>
      <c r="E2067" s="9"/>
      <c r="F2067" s="9">
        <v>50806</v>
      </c>
      <c r="G2067" s="10" t="s">
        <v>1831</v>
      </c>
      <c r="H2067" s="10" t="s">
        <v>563</v>
      </c>
      <c r="I2067" s="10"/>
      <c r="J2067" s="9">
        <v>51485</v>
      </c>
      <c r="K2067" s="10" t="s">
        <v>3027</v>
      </c>
      <c r="L2067" s="10" t="s">
        <v>408</v>
      </c>
      <c r="M2067" s="10" t="s">
        <v>1842</v>
      </c>
      <c r="N2067" s="7"/>
    </row>
    <row r="2068" s="1" customFormat="1" ht="28.5" customHeight="1" spans="1:14">
      <c r="A2068" s="8">
        <v>50801</v>
      </c>
      <c r="B2068" s="9">
        <v>50836</v>
      </c>
      <c r="C2068" s="9" t="s">
        <v>36</v>
      </c>
      <c r="D2068" s="9">
        <v>0</v>
      </c>
      <c r="E2068" s="9"/>
      <c r="F2068" s="9">
        <v>50807</v>
      </c>
      <c r="G2068" s="10" t="s">
        <v>3028</v>
      </c>
      <c r="H2068" s="10" t="s">
        <v>563</v>
      </c>
      <c r="I2068" s="10"/>
      <c r="J2068" s="9">
        <v>61486</v>
      </c>
      <c r="K2068" s="10" t="s">
        <v>3029</v>
      </c>
      <c r="L2068" s="10" t="s">
        <v>409</v>
      </c>
      <c r="M2068" s="10" t="s">
        <v>1842</v>
      </c>
      <c r="N2068" s="7"/>
    </row>
    <row r="2069" s="1" customFormat="1" ht="28.5" customHeight="1" spans="1:14">
      <c r="A2069" s="8">
        <v>50801</v>
      </c>
      <c r="B2069" s="9">
        <v>50837</v>
      </c>
      <c r="C2069" s="9" t="s">
        <v>36</v>
      </c>
      <c r="D2069" s="9">
        <v>0</v>
      </c>
      <c r="E2069" s="9"/>
      <c r="F2069" s="9">
        <v>50807</v>
      </c>
      <c r="G2069" s="10" t="s">
        <v>3030</v>
      </c>
      <c r="H2069" s="10" t="s">
        <v>563</v>
      </c>
      <c r="I2069" s="10"/>
      <c r="J2069" s="9">
        <v>61487</v>
      </c>
      <c r="K2069" s="10" t="s">
        <v>3031</v>
      </c>
      <c r="L2069" s="10" t="s">
        <v>409</v>
      </c>
      <c r="M2069" s="10" t="s">
        <v>1842</v>
      </c>
      <c r="N2069" s="7"/>
    </row>
    <row r="2070" s="1" customFormat="1" ht="28.5" customHeight="1" spans="1:14">
      <c r="A2070" s="8">
        <v>50801</v>
      </c>
      <c r="B2070" s="9">
        <v>50838</v>
      </c>
      <c r="C2070" s="9" t="s">
        <v>36</v>
      </c>
      <c r="D2070" s="9">
        <v>0</v>
      </c>
      <c r="E2070" s="9"/>
      <c r="F2070" s="9">
        <v>50807</v>
      </c>
      <c r="G2070" s="10" t="s">
        <v>3032</v>
      </c>
      <c r="H2070" s="10" t="s">
        <v>563</v>
      </c>
      <c r="I2070" s="10"/>
      <c r="J2070" s="9">
        <v>61488</v>
      </c>
      <c r="K2070" s="10" t="s">
        <v>3033</v>
      </c>
      <c r="L2070" s="10" t="s">
        <v>409</v>
      </c>
      <c r="M2070" s="10" t="s">
        <v>1842</v>
      </c>
      <c r="N2070" s="7"/>
    </row>
    <row r="2071" s="1" customFormat="1" ht="28.5" customHeight="1" spans="1:14">
      <c r="A2071" s="8">
        <v>50801</v>
      </c>
      <c r="B2071" s="9">
        <v>50839</v>
      </c>
      <c r="C2071" s="9" t="s">
        <v>36</v>
      </c>
      <c r="D2071" s="9">
        <v>0</v>
      </c>
      <c r="E2071" s="9"/>
      <c r="F2071" s="9">
        <v>50807</v>
      </c>
      <c r="G2071" s="10" t="s">
        <v>3034</v>
      </c>
      <c r="H2071" s="10" t="s">
        <v>563</v>
      </c>
      <c r="I2071" s="10"/>
      <c r="J2071" s="9">
        <v>61489</v>
      </c>
      <c r="K2071" s="10" t="s">
        <v>3035</v>
      </c>
      <c r="L2071" s="10" t="s">
        <v>409</v>
      </c>
      <c r="M2071" s="10" t="s">
        <v>1842</v>
      </c>
      <c r="N2071" s="7"/>
    </row>
    <row r="2072" s="1" customFormat="1" ht="28.5" customHeight="1" spans="1:14">
      <c r="A2072" s="8">
        <v>50801</v>
      </c>
      <c r="B2072" s="9">
        <v>50840</v>
      </c>
      <c r="C2072" s="9" t="s">
        <v>36</v>
      </c>
      <c r="D2072" s="9">
        <v>0</v>
      </c>
      <c r="E2072" s="9"/>
      <c r="F2072" s="9">
        <v>50807</v>
      </c>
      <c r="G2072" s="10" t="s">
        <v>3036</v>
      </c>
      <c r="H2072" s="10" t="s">
        <v>563</v>
      </c>
      <c r="I2072" s="10"/>
      <c r="J2072" s="9">
        <v>61490</v>
      </c>
      <c r="K2072" s="10" t="s">
        <v>3037</v>
      </c>
      <c r="L2072" s="10" t="s">
        <v>409</v>
      </c>
      <c r="M2072" s="10" t="s">
        <v>1842</v>
      </c>
      <c r="N2072" s="7"/>
    </row>
    <row r="2073" s="1" customFormat="1" ht="28.5" customHeight="1" spans="1:14">
      <c r="A2073" s="8">
        <v>50801</v>
      </c>
      <c r="B2073" s="9">
        <v>50841</v>
      </c>
      <c r="C2073" s="9" t="s">
        <v>36</v>
      </c>
      <c r="D2073" s="9">
        <v>3000</v>
      </c>
      <c r="E2073" s="9"/>
      <c r="F2073" s="9">
        <v>50808</v>
      </c>
      <c r="G2073" s="10" t="s">
        <v>2996</v>
      </c>
      <c r="H2073" s="10" t="s">
        <v>563</v>
      </c>
      <c r="I2073" s="10"/>
      <c r="J2073" s="9">
        <v>31491</v>
      </c>
      <c r="K2073" s="10" t="s">
        <v>2997</v>
      </c>
      <c r="L2073" s="10" t="s">
        <v>410</v>
      </c>
      <c r="M2073" s="10" t="s">
        <v>1842</v>
      </c>
      <c r="N2073" s="7"/>
    </row>
    <row r="2074" s="1" customFormat="1" ht="28.5" customHeight="1" spans="1:14">
      <c r="A2074" s="8">
        <v>50801</v>
      </c>
      <c r="B2074" s="9">
        <v>50842</v>
      </c>
      <c r="C2074" s="9" t="s">
        <v>36</v>
      </c>
      <c r="D2074" s="9">
        <v>2500</v>
      </c>
      <c r="E2074" s="9"/>
      <c r="F2074" s="9">
        <v>50808</v>
      </c>
      <c r="G2074" s="10" t="s">
        <v>3038</v>
      </c>
      <c r="H2074" s="10" t="s">
        <v>563</v>
      </c>
      <c r="I2074" s="10"/>
      <c r="J2074" s="9">
        <v>31492</v>
      </c>
      <c r="K2074" s="10" t="s">
        <v>3039</v>
      </c>
      <c r="L2074" s="10" t="s">
        <v>410</v>
      </c>
      <c r="M2074" s="10" t="s">
        <v>1842</v>
      </c>
      <c r="N2074" s="7"/>
    </row>
    <row r="2075" s="1" customFormat="1" ht="28.5" customHeight="1" spans="1:14">
      <c r="A2075" s="8">
        <v>50801</v>
      </c>
      <c r="B2075" s="9">
        <v>50843</v>
      </c>
      <c r="C2075" s="9" t="s">
        <v>36</v>
      </c>
      <c r="D2075" s="9">
        <v>2000</v>
      </c>
      <c r="E2075" s="9"/>
      <c r="F2075" s="9">
        <v>50808</v>
      </c>
      <c r="G2075" s="10" t="s">
        <v>3040</v>
      </c>
      <c r="H2075" s="10" t="s">
        <v>563</v>
      </c>
      <c r="I2075" s="10"/>
      <c r="J2075" s="9">
        <v>31493</v>
      </c>
      <c r="K2075" s="10" t="s">
        <v>3041</v>
      </c>
      <c r="L2075" s="10" t="s">
        <v>410</v>
      </c>
      <c r="M2075" s="10" t="s">
        <v>1842</v>
      </c>
      <c r="N2075" s="7"/>
    </row>
    <row r="2076" s="1" customFormat="1" ht="28.5" customHeight="1" spans="1:14">
      <c r="A2076" s="8">
        <v>50801</v>
      </c>
      <c r="B2076" s="9">
        <v>50844</v>
      </c>
      <c r="C2076" s="9" t="s">
        <v>36</v>
      </c>
      <c r="D2076" s="9">
        <v>1500</v>
      </c>
      <c r="E2076" s="9"/>
      <c r="F2076" s="9">
        <v>50808</v>
      </c>
      <c r="G2076" s="10" t="s">
        <v>3042</v>
      </c>
      <c r="H2076" s="10" t="s">
        <v>563</v>
      </c>
      <c r="I2076" s="10"/>
      <c r="J2076" s="9">
        <v>31494</v>
      </c>
      <c r="K2076" s="10" t="s">
        <v>3043</v>
      </c>
      <c r="L2076" s="10" t="s">
        <v>410</v>
      </c>
      <c r="M2076" s="10" t="s">
        <v>1842</v>
      </c>
      <c r="N2076" s="7"/>
    </row>
    <row r="2077" s="1" customFormat="1" ht="28.5" customHeight="1" spans="1:14">
      <c r="A2077" s="8">
        <v>50801</v>
      </c>
      <c r="B2077" s="9">
        <v>50845</v>
      </c>
      <c r="C2077" s="9" t="s">
        <v>36</v>
      </c>
      <c r="D2077" s="9">
        <v>1000</v>
      </c>
      <c r="E2077" s="9"/>
      <c r="F2077" s="9">
        <v>50808</v>
      </c>
      <c r="G2077" s="10" t="s">
        <v>3044</v>
      </c>
      <c r="H2077" s="10" t="s">
        <v>563</v>
      </c>
      <c r="I2077" s="10"/>
      <c r="J2077" s="9">
        <v>31495</v>
      </c>
      <c r="K2077" s="10" t="s">
        <v>3045</v>
      </c>
      <c r="L2077" s="10" t="s">
        <v>410</v>
      </c>
      <c r="M2077" s="10" t="s">
        <v>1842</v>
      </c>
      <c r="N2077" s="7"/>
    </row>
    <row r="2078" s="1" customFormat="1" ht="28.5" customHeight="1" spans="1:14">
      <c r="A2078" s="8">
        <v>50801</v>
      </c>
      <c r="B2078" s="9">
        <v>50846</v>
      </c>
      <c r="C2078" s="9" t="s">
        <v>36</v>
      </c>
      <c r="D2078" s="9">
        <v>3000</v>
      </c>
      <c r="E2078" s="9"/>
      <c r="F2078" s="9">
        <v>50809</v>
      </c>
      <c r="G2078" s="10" t="s">
        <v>3004</v>
      </c>
      <c r="H2078" s="10" t="s">
        <v>563</v>
      </c>
      <c r="I2078" s="10"/>
      <c r="J2078" s="9">
        <v>41496</v>
      </c>
      <c r="K2078" s="10" t="s">
        <v>3005</v>
      </c>
      <c r="L2078" s="10" t="s">
        <v>411</v>
      </c>
      <c r="M2078" s="10" t="s">
        <v>1842</v>
      </c>
      <c r="N2078" s="7"/>
    </row>
    <row r="2079" s="1" customFormat="1" ht="28.5" customHeight="1" spans="1:14">
      <c r="A2079" s="8">
        <v>50801</v>
      </c>
      <c r="B2079" s="9">
        <v>50847</v>
      </c>
      <c r="C2079" s="9" t="s">
        <v>36</v>
      </c>
      <c r="D2079" s="9">
        <v>2500</v>
      </c>
      <c r="E2079" s="9"/>
      <c r="F2079" s="9">
        <v>50809</v>
      </c>
      <c r="G2079" s="10" t="s">
        <v>3046</v>
      </c>
      <c r="H2079" s="10" t="s">
        <v>563</v>
      </c>
      <c r="I2079" s="10"/>
      <c r="J2079" s="9">
        <v>41497</v>
      </c>
      <c r="K2079" s="10" t="s">
        <v>3047</v>
      </c>
      <c r="L2079" s="10" t="s">
        <v>411</v>
      </c>
      <c r="M2079" s="10" t="s">
        <v>1842</v>
      </c>
      <c r="N2079" s="7"/>
    </row>
    <row r="2080" s="1" customFormat="1" ht="28.5" customHeight="1" spans="1:14">
      <c r="A2080" s="8">
        <v>50801</v>
      </c>
      <c r="B2080" s="9">
        <v>50848</v>
      </c>
      <c r="C2080" s="9" t="s">
        <v>36</v>
      </c>
      <c r="D2080" s="9">
        <v>2000</v>
      </c>
      <c r="E2080" s="9"/>
      <c r="F2080" s="9">
        <v>50809</v>
      </c>
      <c r="G2080" s="10" t="s">
        <v>3048</v>
      </c>
      <c r="H2080" s="10" t="s">
        <v>563</v>
      </c>
      <c r="I2080" s="10"/>
      <c r="J2080" s="9">
        <v>41498</v>
      </c>
      <c r="K2080" s="10" t="s">
        <v>3049</v>
      </c>
      <c r="L2080" s="10" t="s">
        <v>411</v>
      </c>
      <c r="M2080" s="10" t="s">
        <v>1842</v>
      </c>
      <c r="N2080" s="7"/>
    </row>
    <row r="2081" s="1" customFormat="1" ht="28.5" customHeight="1" spans="1:14">
      <c r="A2081" s="8">
        <v>50801</v>
      </c>
      <c r="B2081" s="9">
        <v>50849</v>
      </c>
      <c r="C2081" s="9" t="s">
        <v>36</v>
      </c>
      <c r="D2081" s="9">
        <v>1500</v>
      </c>
      <c r="E2081" s="9"/>
      <c r="F2081" s="9">
        <v>50809</v>
      </c>
      <c r="G2081" s="10" t="s">
        <v>3050</v>
      </c>
      <c r="H2081" s="10" t="s">
        <v>563</v>
      </c>
      <c r="I2081" s="10"/>
      <c r="J2081" s="9">
        <v>41499</v>
      </c>
      <c r="K2081" s="10" t="s">
        <v>3051</v>
      </c>
      <c r="L2081" s="10" t="s">
        <v>411</v>
      </c>
      <c r="M2081" s="10" t="s">
        <v>1842</v>
      </c>
      <c r="N2081" s="7"/>
    </row>
    <row r="2082" s="1" customFormat="1" ht="28.5" customHeight="1" spans="1:14">
      <c r="A2082" s="8">
        <v>50801</v>
      </c>
      <c r="B2082" s="9">
        <v>50850</v>
      </c>
      <c r="C2082" s="9" t="s">
        <v>36</v>
      </c>
      <c r="D2082" s="9">
        <v>1000</v>
      </c>
      <c r="E2082" s="9"/>
      <c r="F2082" s="9">
        <v>50809</v>
      </c>
      <c r="G2082" s="10" t="s">
        <v>3052</v>
      </c>
      <c r="H2082" s="10" t="s">
        <v>563</v>
      </c>
      <c r="I2082" s="10"/>
      <c r="J2082" s="9">
        <v>41500</v>
      </c>
      <c r="K2082" s="10" t="s">
        <v>3053</v>
      </c>
      <c r="L2082" s="10" t="s">
        <v>411</v>
      </c>
      <c r="M2082" s="10" t="s">
        <v>1842</v>
      </c>
      <c r="N2082" s="7"/>
    </row>
    <row r="2083" s="1" customFormat="1" ht="28.5" customHeight="1" spans="1:14">
      <c r="A2083" s="8"/>
      <c r="B2083" s="9"/>
      <c r="C2083" s="9" t="s">
        <v>1289</v>
      </c>
      <c r="D2083" s="9">
        <v>3000</v>
      </c>
      <c r="E2083" s="9"/>
      <c r="F2083" s="9"/>
      <c r="G2083" s="10" t="s">
        <v>3054</v>
      </c>
      <c r="H2083" s="10" t="s">
        <v>563</v>
      </c>
      <c r="I2083" s="10"/>
      <c r="J2083" s="9">
        <v>11501</v>
      </c>
      <c r="K2083" s="10" t="s">
        <v>3055</v>
      </c>
      <c r="L2083" s="10" t="s">
        <v>221</v>
      </c>
      <c r="M2083" s="10" t="s">
        <v>1834</v>
      </c>
      <c r="N2083" s="7"/>
    </row>
    <row r="2084" s="1" customFormat="1" ht="28.5" customHeight="1" spans="1:14">
      <c r="A2084" s="8"/>
      <c r="B2084" s="9"/>
      <c r="C2084" s="9" t="s">
        <v>1289</v>
      </c>
      <c r="D2084" s="9">
        <v>2500</v>
      </c>
      <c r="E2084" s="9"/>
      <c r="F2084" s="9"/>
      <c r="G2084" s="10" t="s">
        <v>3056</v>
      </c>
      <c r="H2084" s="10" t="s">
        <v>563</v>
      </c>
      <c r="I2084" s="10"/>
      <c r="J2084" s="9">
        <v>11502</v>
      </c>
      <c r="K2084" s="10" t="s">
        <v>3057</v>
      </c>
      <c r="L2084" s="10" t="s">
        <v>221</v>
      </c>
      <c r="M2084" s="10" t="s">
        <v>1834</v>
      </c>
      <c r="N2084" s="7"/>
    </row>
    <row r="2085" s="1" customFormat="1" ht="28.5" customHeight="1" spans="1:14">
      <c r="A2085" s="8"/>
      <c r="B2085" s="9"/>
      <c r="C2085" s="9" t="s">
        <v>1289</v>
      </c>
      <c r="D2085" s="9">
        <v>2000</v>
      </c>
      <c r="E2085" s="9"/>
      <c r="F2085" s="9"/>
      <c r="G2085" s="10" t="s">
        <v>3058</v>
      </c>
      <c r="H2085" s="10" t="s">
        <v>563</v>
      </c>
      <c r="I2085" s="10"/>
      <c r="J2085" s="9">
        <v>11503</v>
      </c>
      <c r="K2085" s="10" t="s">
        <v>3059</v>
      </c>
      <c r="L2085" s="10" t="s">
        <v>221</v>
      </c>
      <c r="M2085" s="10" t="s">
        <v>1834</v>
      </c>
      <c r="N2085" s="7"/>
    </row>
    <row r="2086" s="1" customFormat="1" ht="28.5" customHeight="1" spans="1:14">
      <c r="A2086" s="8"/>
      <c r="B2086" s="9"/>
      <c r="C2086" s="9" t="s">
        <v>1289</v>
      </c>
      <c r="D2086" s="9">
        <v>1500</v>
      </c>
      <c r="E2086" s="9"/>
      <c r="F2086" s="9"/>
      <c r="G2086" s="10" t="s">
        <v>3060</v>
      </c>
      <c r="H2086" s="10" t="s">
        <v>563</v>
      </c>
      <c r="I2086" s="10"/>
      <c r="J2086" s="9">
        <v>11504</v>
      </c>
      <c r="K2086" s="10" t="s">
        <v>3061</v>
      </c>
      <c r="L2086" s="10" t="s">
        <v>221</v>
      </c>
      <c r="M2086" s="10" t="s">
        <v>1834</v>
      </c>
      <c r="N2086" s="7"/>
    </row>
    <row r="2087" s="1" customFormat="1" ht="28.5" customHeight="1" spans="1:14">
      <c r="A2087" s="8"/>
      <c r="B2087" s="9"/>
      <c r="C2087" s="9" t="s">
        <v>1289</v>
      </c>
      <c r="D2087" s="9">
        <v>1000</v>
      </c>
      <c r="E2087" s="9"/>
      <c r="F2087" s="9"/>
      <c r="G2087" s="10" t="s">
        <v>3062</v>
      </c>
      <c r="H2087" s="10" t="s">
        <v>563</v>
      </c>
      <c r="I2087" s="10"/>
      <c r="J2087" s="9">
        <v>11505</v>
      </c>
      <c r="K2087" s="10" t="s">
        <v>3063</v>
      </c>
      <c r="L2087" s="10" t="s">
        <v>221</v>
      </c>
      <c r="M2087" s="10" t="s">
        <v>1834</v>
      </c>
      <c r="N2087" s="7"/>
    </row>
    <row r="2088" s="1" customFormat="1" ht="28.5" customHeight="1" spans="1:14">
      <c r="A2088" s="8">
        <v>60401</v>
      </c>
      <c r="B2088" s="9">
        <v>60401</v>
      </c>
      <c r="C2088" s="9" t="s">
        <v>32</v>
      </c>
      <c r="D2088" s="9">
        <v>0</v>
      </c>
      <c r="E2088" s="9"/>
      <c r="F2088" s="9">
        <v>60400</v>
      </c>
      <c r="G2088" s="10" t="s">
        <v>1261</v>
      </c>
      <c r="H2088" s="10" t="s">
        <v>563</v>
      </c>
      <c r="I2088" s="10"/>
      <c r="J2088" s="9">
        <v>61506</v>
      </c>
      <c r="K2088" s="10" t="s">
        <v>1841</v>
      </c>
      <c r="L2088" s="10" t="s">
        <v>218</v>
      </c>
      <c r="M2088" s="10" t="s">
        <v>1842</v>
      </c>
      <c r="N2088" s="7"/>
    </row>
    <row r="2089" s="1" customFormat="1" ht="28.5" customHeight="1" spans="1:14">
      <c r="A2089" s="8">
        <v>60401</v>
      </c>
      <c r="B2089" s="9">
        <v>60402</v>
      </c>
      <c r="C2089" s="9" t="s">
        <v>32</v>
      </c>
      <c r="D2089" s="9">
        <v>0</v>
      </c>
      <c r="E2089" s="9"/>
      <c r="F2089" s="9">
        <v>60400</v>
      </c>
      <c r="G2089" s="10" t="s">
        <v>1263</v>
      </c>
      <c r="H2089" s="10" t="s">
        <v>563</v>
      </c>
      <c r="I2089" s="10"/>
      <c r="J2089" s="9">
        <v>61507</v>
      </c>
      <c r="K2089" s="10" t="s">
        <v>1843</v>
      </c>
      <c r="L2089" s="10" t="s">
        <v>218</v>
      </c>
      <c r="M2089" s="10" t="s">
        <v>1842</v>
      </c>
      <c r="N2089" s="7"/>
    </row>
    <row r="2090" s="1" customFormat="1" ht="28.5" customHeight="1" spans="1:14">
      <c r="A2090" s="8">
        <v>60401</v>
      </c>
      <c r="B2090" s="9">
        <v>60403</v>
      </c>
      <c r="C2090" s="9" t="s">
        <v>32</v>
      </c>
      <c r="D2090" s="9">
        <v>0</v>
      </c>
      <c r="E2090" s="9"/>
      <c r="F2090" s="9">
        <v>60400</v>
      </c>
      <c r="G2090" s="10" t="s">
        <v>1265</v>
      </c>
      <c r="H2090" s="10" t="s">
        <v>563</v>
      </c>
      <c r="I2090" s="10"/>
      <c r="J2090" s="9">
        <v>61508</v>
      </c>
      <c r="K2090" s="10" t="s">
        <v>1844</v>
      </c>
      <c r="L2090" s="10" t="s">
        <v>218</v>
      </c>
      <c r="M2090" s="10" t="s">
        <v>1842</v>
      </c>
      <c r="N2090" s="7"/>
    </row>
    <row r="2091" s="1" customFormat="1" ht="28.5" customHeight="1" spans="1:14">
      <c r="A2091" s="8">
        <v>60401</v>
      </c>
      <c r="B2091" s="9">
        <v>60404</v>
      </c>
      <c r="C2091" s="9" t="s">
        <v>32</v>
      </c>
      <c r="D2091" s="9">
        <v>0</v>
      </c>
      <c r="E2091" s="9"/>
      <c r="F2091" s="9">
        <v>60400</v>
      </c>
      <c r="G2091" s="10" t="s">
        <v>1267</v>
      </c>
      <c r="H2091" s="10" t="s">
        <v>563</v>
      </c>
      <c r="I2091" s="10"/>
      <c r="J2091" s="9">
        <v>61509</v>
      </c>
      <c r="K2091" s="10" t="s">
        <v>1845</v>
      </c>
      <c r="L2091" s="10" t="s">
        <v>218</v>
      </c>
      <c r="M2091" s="10" t="s">
        <v>1842</v>
      </c>
      <c r="N2091" s="7"/>
    </row>
    <row r="2092" s="1" customFormat="1" ht="28.5" customHeight="1" spans="1:14">
      <c r="A2092" s="8">
        <v>60401</v>
      </c>
      <c r="B2092" s="9">
        <v>60405</v>
      </c>
      <c r="C2092" s="9" t="s">
        <v>32</v>
      </c>
      <c r="D2092" s="9">
        <v>0</v>
      </c>
      <c r="E2092" s="9"/>
      <c r="F2092" s="9">
        <v>60400</v>
      </c>
      <c r="G2092" s="10" t="s">
        <v>1269</v>
      </c>
      <c r="H2092" s="10" t="s">
        <v>563</v>
      </c>
      <c r="I2092" s="10"/>
      <c r="J2092" s="9">
        <v>61510</v>
      </c>
      <c r="K2092" s="10" t="s">
        <v>1846</v>
      </c>
      <c r="L2092" s="10" t="s">
        <v>218</v>
      </c>
      <c r="M2092" s="10" t="s">
        <v>1842</v>
      </c>
      <c r="N2092" s="7"/>
    </row>
    <row r="2093" s="1" customFormat="1" ht="28.5" customHeight="1" spans="1:14">
      <c r="A2093" s="8">
        <v>60401</v>
      </c>
      <c r="B2093" s="9">
        <v>60406</v>
      </c>
      <c r="C2093" s="9" t="s">
        <v>32</v>
      </c>
      <c r="D2093" s="9">
        <v>3000</v>
      </c>
      <c r="E2093" s="9"/>
      <c r="F2093" s="9">
        <v>60401</v>
      </c>
      <c r="G2093" s="10" t="s">
        <v>1847</v>
      </c>
      <c r="H2093" s="10" t="s">
        <v>563</v>
      </c>
      <c r="I2093" s="10"/>
      <c r="J2093" s="9">
        <v>21511</v>
      </c>
      <c r="K2093" s="10" t="s">
        <v>1848</v>
      </c>
      <c r="L2093" s="10" t="s">
        <v>221</v>
      </c>
      <c r="M2093" s="10" t="s">
        <v>1842</v>
      </c>
      <c r="N2093" s="7"/>
    </row>
    <row r="2094" s="1" customFormat="1" ht="28.5" customHeight="1" spans="1:14">
      <c r="A2094" s="8">
        <v>60401</v>
      </c>
      <c r="B2094" s="9">
        <v>60407</v>
      </c>
      <c r="C2094" s="9" t="s">
        <v>32</v>
      </c>
      <c r="D2094" s="9">
        <v>2500</v>
      </c>
      <c r="E2094" s="9"/>
      <c r="F2094" s="9">
        <v>60401</v>
      </c>
      <c r="G2094" s="10" t="s">
        <v>1849</v>
      </c>
      <c r="H2094" s="10" t="s">
        <v>563</v>
      </c>
      <c r="I2094" s="10"/>
      <c r="J2094" s="9">
        <v>21512</v>
      </c>
      <c r="K2094" s="10" t="s">
        <v>1850</v>
      </c>
      <c r="L2094" s="10" t="s">
        <v>221</v>
      </c>
      <c r="M2094" s="10" t="s">
        <v>1842</v>
      </c>
      <c r="N2094" s="7"/>
    </row>
    <row r="2095" s="1" customFormat="1" ht="28.5" customHeight="1" spans="1:14">
      <c r="A2095" s="8">
        <v>60401</v>
      </c>
      <c r="B2095" s="9">
        <v>60408</v>
      </c>
      <c r="C2095" s="9" t="s">
        <v>32</v>
      </c>
      <c r="D2095" s="9">
        <v>2000</v>
      </c>
      <c r="E2095" s="9"/>
      <c r="F2095" s="9">
        <v>60401</v>
      </c>
      <c r="G2095" s="10" t="s">
        <v>1851</v>
      </c>
      <c r="H2095" s="10" t="s">
        <v>563</v>
      </c>
      <c r="I2095" s="10"/>
      <c r="J2095" s="9">
        <v>21513</v>
      </c>
      <c r="K2095" s="10" t="s">
        <v>1852</v>
      </c>
      <c r="L2095" s="10" t="s">
        <v>221</v>
      </c>
      <c r="M2095" s="10" t="s">
        <v>1842</v>
      </c>
      <c r="N2095" s="7"/>
    </row>
    <row r="2096" s="1" customFormat="1" ht="28.5" customHeight="1" spans="1:14">
      <c r="A2096" s="8">
        <v>60401</v>
      </c>
      <c r="B2096" s="9">
        <v>60409</v>
      </c>
      <c r="C2096" s="9" t="s">
        <v>32</v>
      </c>
      <c r="D2096" s="9">
        <v>1500</v>
      </c>
      <c r="E2096" s="9"/>
      <c r="F2096" s="9">
        <v>60401</v>
      </c>
      <c r="G2096" s="10" t="s">
        <v>1853</v>
      </c>
      <c r="H2096" s="10" t="s">
        <v>563</v>
      </c>
      <c r="I2096" s="10"/>
      <c r="J2096" s="9">
        <v>21514</v>
      </c>
      <c r="K2096" s="10" t="s">
        <v>1854</v>
      </c>
      <c r="L2096" s="10" t="s">
        <v>221</v>
      </c>
      <c r="M2096" s="10" t="s">
        <v>1842</v>
      </c>
      <c r="N2096" s="7"/>
    </row>
    <row r="2097" s="1" customFormat="1" ht="28.5" customHeight="1" spans="1:14">
      <c r="A2097" s="8">
        <v>60401</v>
      </c>
      <c r="B2097" s="9">
        <v>60410</v>
      </c>
      <c r="C2097" s="9" t="s">
        <v>32</v>
      </c>
      <c r="D2097" s="9">
        <v>1000</v>
      </c>
      <c r="E2097" s="9"/>
      <c r="F2097" s="9">
        <v>60401</v>
      </c>
      <c r="G2097" s="10" t="s">
        <v>1855</v>
      </c>
      <c r="H2097" s="10" t="s">
        <v>563</v>
      </c>
      <c r="I2097" s="10"/>
      <c r="J2097" s="9">
        <v>21515</v>
      </c>
      <c r="K2097" s="10" t="s">
        <v>1856</v>
      </c>
      <c r="L2097" s="10" t="s">
        <v>221</v>
      </c>
      <c r="M2097" s="10" t="s">
        <v>1842</v>
      </c>
      <c r="N2097" s="7"/>
    </row>
    <row r="2098" s="1" customFormat="1" ht="28.5" customHeight="1" spans="1:14">
      <c r="A2098" s="8"/>
      <c r="B2098" s="9"/>
      <c r="C2098" s="9" t="s">
        <v>1289</v>
      </c>
      <c r="D2098" s="9">
        <v>3000</v>
      </c>
      <c r="E2098" s="9"/>
      <c r="F2098" s="9"/>
      <c r="G2098" s="10" t="s">
        <v>1857</v>
      </c>
      <c r="H2098" s="10" t="s">
        <v>563</v>
      </c>
      <c r="I2098" s="10"/>
      <c r="J2098" s="9">
        <v>91516</v>
      </c>
      <c r="K2098" s="10" t="s">
        <v>1858</v>
      </c>
      <c r="L2098" s="10" t="s">
        <v>224</v>
      </c>
      <c r="M2098" s="10" t="s">
        <v>1834</v>
      </c>
      <c r="N2098" s="7"/>
    </row>
    <row r="2099" s="1" customFormat="1" ht="28.5" customHeight="1" spans="1:14">
      <c r="A2099" s="8"/>
      <c r="B2099" s="9"/>
      <c r="C2099" s="9" t="s">
        <v>1289</v>
      </c>
      <c r="D2099" s="9">
        <v>2500</v>
      </c>
      <c r="E2099" s="9"/>
      <c r="F2099" s="9"/>
      <c r="G2099" s="10" t="s">
        <v>1857</v>
      </c>
      <c r="H2099" s="10" t="s">
        <v>563</v>
      </c>
      <c r="I2099" s="10"/>
      <c r="J2099" s="9">
        <v>91517</v>
      </c>
      <c r="K2099" s="10" t="s">
        <v>1858</v>
      </c>
      <c r="L2099" s="10" t="s">
        <v>224</v>
      </c>
      <c r="M2099" s="10" t="s">
        <v>1834</v>
      </c>
      <c r="N2099" s="7"/>
    </row>
    <row r="2100" s="1" customFormat="1" ht="28.5" customHeight="1" spans="1:14">
      <c r="A2100" s="8"/>
      <c r="B2100" s="9"/>
      <c r="C2100" s="9" t="s">
        <v>1289</v>
      </c>
      <c r="D2100" s="9">
        <v>2000</v>
      </c>
      <c r="E2100" s="9"/>
      <c r="F2100" s="9"/>
      <c r="G2100" s="10" t="s">
        <v>1857</v>
      </c>
      <c r="H2100" s="10" t="s">
        <v>563</v>
      </c>
      <c r="I2100" s="10"/>
      <c r="J2100" s="9">
        <v>91518</v>
      </c>
      <c r="K2100" s="10" t="s">
        <v>1858</v>
      </c>
      <c r="L2100" s="10" t="s">
        <v>224</v>
      </c>
      <c r="M2100" s="10" t="s">
        <v>1834</v>
      </c>
      <c r="N2100" s="7"/>
    </row>
    <row r="2101" s="1" customFormat="1" ht="28.5" customHeight="1" spans="1:14">
      <c r="A2101" s="8"/>
      <c r="B2101" s="9"/>
      <c r="C2101" s="9" t="s">
        <v>1289</v>
      </c>
      <c r="D2101" s="9">
        <v>1500</v>
      </c>
      <c r="E2101" s="9"/>
      <c r="F2101" s="9"/>
      <c r="G2101" s="10" t="s">
        <v>1857</v>
      </c>
      <c r="H2101" s="10" t="s">
        <v>563</v>
      </c>
      <c r="I2101" s="10"/>
      <c r="J2101" s="9">
        <v>91519</v>
      </c>
      <c r="K2101" s="10" t="s">
        <v>1858</v>
      </c>
      <c r="L2101" s="10" t="s">
        <v>224</v>
      </c>
      <c r="M2101" s="10" t="s">
        <v>1834</v>
      </c>
      <c r="N2101" s="7"/>
    </row>
    <row r="2102" s="1" customFormat="1" ht="28.5" customHeight="1" spans="1:14">
      <c r="A2102" s="8"/>
      <c r="B2102" s="9"/>
      <c r="C2102" s="9" t="s">
        <v>1289</v>
      </c>
      <c r="D2102" s="9">
        <v>1000</v>
      </c>
      <c r="E2102" s="9"/>
      <c r="F2102" s="9"/>
      <c r="G2102" s="10" t="s">
        <v>1857</v>
      </c>
      <c r="H2102" s="10" t="s">
        <v>563</v>
      </c>
      <c r="I2102" s="10"/>
      <c r="J2102" s="9">
        <v>91520</v>
      </c>
      <c r="K2102" s="10" t="s">
        <v>1858</v>
      </c>
      <c r="L2102" s="10" t="s">
        <v>224</v>
      </c>
      <c r="M2102" s="10" t="s">
        <v>1834</v>
      </c>
      <c r="N2102" s="7"/>
    </row>
    <row r="2103" s="1" customFormat="1" ht="28.5" customHeight="1" spans="1:14">
      <c r="A2103" s="8"/>
      <c r="B2103" s="9"/>
      <c r="C2103" s="9" t="s">
        <v>1289</v>
      </c>
      <c r="D2103" s="9">
        <v>3000</v>
      </c>
      <c r="E2103" s="9"/>
      <c r="F2103" s="9"/>
      <c r="G2103" s="10" t="s">
        <v>1859</v>
      </c>
      <c r="H2103" s="10" t="s">
        <v>563</v>
      </c>
      <c r="I2103" s="10"/>
      <c r="J2103" s="9">
        <v>71521</v>
      </c>
      <c r="K2103" s="10" t="s">
        <v>1860</v>
      </c>
      <c r="L2103" s="10" t="s">
        <v>228</v>
      </c>
      <c r="M2103" s="10" t="s">
        <v>1834</v>
      </c>
      <c r="N2103" s="7"/>
    </row>
    <row r="2104" s="1" customFormat="1" ht="28.5" customHeight="1" spans="1:14">
      <c r="A2104" s="8"/>
      <c r="B2104" s="9"/>
      <c r="C2104" s="9" t="s">
        <v>1289</v>
      </c>
      <c r="D2104" s="9">
        <v>2500</v>
      </c>
      <c r="E2104" s="9"/>
      <c r="F2104" s="9"/>
      <c r="G2104" s="10" t="s">
        <v>1859</v>
      </c>
      <c r="H2104" s="10" t="s">
        <v>563</v>
      </c>
      <c r="I2104" s="10"/>
      <c r="J2104" s="9">
        <v>71522</v>
      </c>
      <c r="K2104" s="10" t="s">
        <v>1860</v>
      </c>
      <c r="L2104" s="10" t="s">
        <v>228</v>
      </c>
      <c r="M2104" s="10" t="s">
        <v>1834</v>
      </c>
      <c r="N2104" s="7"/>
    </row>
    <row r="2105" s="1" customFormat="1" ht="28.5" customHeight="1" spans="1:14">
      <c r="A2105" s="8"/>
      <c r="B2105" s="9"/>
      <c r="C2105" s="9" t="s">
        <v>1289</v>
      </c>
      <c r="D2105" s="9">
        <v>2000</v>
      </c>
      <c r="E2105" s="9"/>
      <c r="F2105" s="9"/>
      <c r="G2105" s="10" t="s">
        <v>1859</v>
      </c>
      <c r="H2105" s="10" t="s">
        <v>563</v>
      </c>
      <c r="I2105" s="10"/>
      <c r="J2105" s="9">
        <v>71523</v>
      </c>
      <c r="K2105" s="10" t="s">
        <v>1860</v>
      </c>
      <c r="L2105" s="10" t="s">
        <v>228</v>
      </c>
      <c r="M2105" s="10" t="s">
        <v>1834</v>
      </c>
      <c r="N2105" s="7"/>
    </row>
    <row r="2106" s="1" customFormat="1" ht="28.5" customHeight="1" spans="1:14">
      <c r="A2106" s="8"/>
      <c r="B2106" s="9"/>
      <c r="C2106" s="9" t="s">
        <v>1289</v>
      </c>
      <c r="D2106" s="9">
        <v>1500</v>
      </c>
      <c r="E2106" s="9"/>
      <c r="F2106" s="9"/>
      <c r="G2106" s="10" t="s">
        <v>1859</v>
      </c>
      <c r="H2106" s="10" t="s">
        <v>563</v>
      </c>
      <c r="I2106" s="10"/>
      <c r="J2106" s="9">
        <v>71524</v>
      </c>
      <c r="K2106" s="10" t="s">
        <v>1860</v>
      </c>
      <c r="L2106" s="10" t="s">
        <v>228</v>
      </c>
      <c r="M2106" s="10" t="s">
        <v>1834</v>
      </c>
      <c r="N2106" s="7"/>
    </row>
    <row r="2107" s="1" customFormat="1" ht="28.5" customHeight="1" spans="1:14">
      <c r="A2107" s="8"/>
      <c r="B2107" s="9"/>
      <c r="C2107" s="9" t="s">
        <v>1289</v>
      </c>
      <c r="D2107" s="9">
        <v>1000</v>
      </c>
      <c r="E2107" s="9"/>
      <c r="F2107" s="9"/>
      <c r="G2107" s="10" t="s">
        <v>1859</v>
      </c>
      <c r="H2107" s="10" t="s">
        <v>563</v>
      </c>
      <c r="I2107" s="10"/>
      <c r="J2107" s="9">
        <v>71525</v>
      </c>
      <c r="K2107" s="10" t="s">
        <v>1860</v>
      </c>
      <c r="L2107" s="10" t="s">
        <v>228</v>
      </c>
      <c r="M2107" s="10" t="s">
        <v>1834</v>
      </c>
      <c r="N2107" s="7"/>
    </row>
    <row r="2108" s="1" customFormat="1" ht="28.5" customHeight="1" spans="1:14">
      <c r="A2108" s="8"/>
      <c r="B2108" s="9"/>
      <c r="C2108" s="9" t="s">
        <v>1289</v>
      </c>
      <c r="D2108" s="9">
        <v>3000</v>
      </c>
      <c r="E2108" s="9"/>
      <c r="F2108" s="9"/>
      <c r="G2108" s="10" t="s">
        <v>1861</v>
      </c>
      <c r="H2108" s="10" t="s">
        <v>563</v>
      </c>
      <c r="I2108" s="10"/>
      <c r="J2108" s="9">
        <v>81526</v>
      </c>
      <c r="K2108" s="10" t="s">
        <v>1862</v>
      </c>
      <c r="L2108" s="10" t="s">
        <v>231</v>
      </c>
      <c r="M2108" s="10" t="s">
        <v>1834</v>
      </c>
      <c r="N2108" s="7"/>
    </row>
    <row r="2109" s="1" customFormat="1" ht="28.5" customHeight="1" spans="1:14">
      <c r="A2109" s="8"/>
      <c r="B2109" s="9"/>
      <c r="C2109" s="9" t="s">
        <v>1289</v>
      </c>
      <c r="D2109" s="9">
        <v>2500</v>
      </c>
      <c r="E2109" s="9"/>
      <c r="F2109" s="9"/>
      <c r="G2109" s="10" t="s">
        <v>1861</v>
      </c>
      <c r="H2109" s="10" t="s">
        <v>563</v>
      </c>
      <c r="I2109" s="10"/>
      <c r="J2109" s="9">
        <v>81527</v>
      </c>
      <c r="K2109" s="10" t="s">
        <v>1862</v>
      </c>
      <c r="L2109" s="10" t="s">
        <v>231</v>
      </c>
      <c r="M2109" s="10" t="s">
        <v>1834</v>
      </c>
      <c r="N2109" s="7"/>
    </row>
    <row r="2110" s="1" customFormat="1" ht="28.5" customHeight="1" spans="1:14">
      <c r="A2110" s="8"/>
      <c r="B2110" s="9"/>
      <c r="C2110" s="9" t="s">
        <v>1289</v>
      </c>
      <c r="D2110" s="9">
        <v>2000</v>
      </c>
      <c r="E2110" s="9"/>
      <c r="F2110" s="9"/>
      <c r="G2110" s="10" t="s">
        <v>1861</v>
      </c>
      <c r="H2110" s="10" t="s">
        <v>563</v>
      </c>
      <c r="I2110" s="10"/>
      <c r="J2110" s="9">
        <v>81528</v>
      </c>
      <c r="K2110" s="10" t="s">
        <v>1862</v>
      </c>
      <c r="L2110" s="10" t="s">
        <v>231</v>
      </c>
      <c r="M2110" s="10" t="s">
        <v>1834</v>
      </c>
      <c r="N2110" s="7"/>
    </row>
    <row r="2111" s="1" customFormat="1" ht="28.5" customHeight="1" spans="1:14">
      <c r="A2111" s="8"/>
      <c r="B2111" s="9"/>
      <c r="C2111" s="9" t="s">
        <v>1289</v>
      </c>
      <c r="D2111" s="9">
        <v>1500</v>
      </c>
      <c r="E2111" s="9"/>
      <c r="F2111" s="9"/>
      <c r="G2111" s="10" t="s">
        <v>1861</v>
      </c>
      <c r="H2111" s="10" t="s">
        <v>563</v>
      </c>
      <c r="I2111" s="10"/>
      <c r="J2111" s="9">
        <v>81529</v>
      </c>
      <c r="K2111" s="10" t="s">
        <v>1862</v>
      </c>
      <c r="L2111" s="10" t="s">
        <v>231</v>
      </c>
      <c r="M2111" s="10" t="s">
        <v>1834</v>
      </c>
      <c r="N2111" s="7"/>
    </row>
    <row r="2112" s="1" customFormat="1" ht="28.5" customHeight="1" spans="1:14">
      <c r="A2112" s="8"/>
      <c r="B2112" s="9"/>
      <c r="C2112" s="9" t="s">
        <v>1289</v>
      </c>
      <c r="D2112" s="9">
        <v>1000</v>
      </c>
      <c r="E2112" s="9"/>
      <c r="F2112" s="9"/>
      <c r="G2112" s="10" t="s">
        <v>1861</v>
      </c>
      <c r="H2112" s="10" t="s">
        <v>563</v>
      </c>
      <c r="I2112" s="10"/>
      <c r="J2112" s="9">
        <v>81530</v>
      </c>
      <c r="K2112" s="10" t="s">
        <v>1862</v>
      </c>
      <c r="L2112" s="10" t="s">
        <v>231</v>
      </c>
      <c r="M2112" s="10" t="s">
        <v>1834</v>
      </c>
      <c r="N2112" s="7"/>
    </row>
    <row r="2113" s="1" customFormat="1" ht="28.5" customHeight="1" spans="1:14">
      <c r="A2113" s="8"/>
      <c r="B2113" s="9"/>
      <c r="C2113" s="9" t="s">
        <v>1289</v>
      </c>
      <c r="D2113" s="9">
        <v>3000</v>
      </c>
      <c r="E2113" s="9"/>
      <c r="F2113" s="9"/>
      <c r="G2113" s="10" t="s">
        <v>3064</v>
      </c>
      <c r="H2113" s="10" t="s">
        <v>563</v>
      </c>
      <c r="I2113" s="10"/>
      <c r="J2113" s="9">
        <v>101531</v>
      </c>
      <c r="K2113" s="10" t="s">
        <v>414</v>
      </c>
      <c r="L2113" s="10" t="s">
        <v>248</v>
      </c>
      <c r="M2113" s="10" t="s">
        <v>1834</v>
      </c>
      <c r="N2113" s="7"/>
    </row>
    <row r="2114" s="1" customFormat="1" ht="28.5" customHeight="1" spans="1:14">
      <c r="A2114" s="8"/>
      <c r="B2114" s="9"/>
      <c r="C2114" s="9" t="s">
        <v>1289</v>
      </c>
      <c r="D2114" s="9">
        <v>2500</v>
      </c>
      <c r="E2114" s="9"/>
      <c r="F2114" s="9"/>
      <c r="G2114" s="10" t="s">
        <v>3064</v>
      </c>
      <c r="H2114" s="10" t="s">
        <v>563</v>
      </c>
      <c r="I2114" s="10"/>
      <c r="J2114" s="9">
        <v>101532</v>
      </c>
      <c r="K2114" s="10" t="s">
        <v>414</v>
      </c>
      <c r="L2114" s="10" t="s">
        <v>248</v>
      </c>
      <c r="M2114" s="10" t="s">
        <v>1834</v>
      </c>
      <c r="N2114" s="7"/>
    </row>
    <row r="2115" s="1" customFormat="1" ht="28.5" customHeight="1" spans="1:14">
      <c r="A2115" s="8"/>
      <c r="B2115" s="9"/>
      <c r="C2115" s="9" t="s">
        <v>1289</v>
      </c>
      <c r="D2115" s="9">
        <v>2000</v>
      </c>
      <c r="E2115" s="9"/>
      <c r="F2115" s="9"/>
      <c r="G2115" s="10" t="s">
        <v>3064</v>
      </c>
      <c r="H2115" s="10" t="s">
        <v>563</v>
      </c>
      <c r="I2115" s="10"/>
      <c r="J2115" s="9">
        <v>101533</v>
      </c>
      <c r="K2115" s="10" t="s">
        <v>414</v>
      </c>
      <c r="L2115" s="10" t="s">
        <v>248</v>
      </c>
      <c r="M2115" s="10" t="s">
        <v>1834</v>
      </c>
      <c r="N2115" s="7"/>
    </row>
    <row r="2116" s="1" customFormat="1" ht="28.5" customHeight="1" spans="1:14">
      <c r="A2116" s="8"/>
      <c r="B2116" s="9"/>
      <c r="C2116" s="9" t="s">
        <v>1289</v>
      </c>
      <c r="D2116" s="9">
        <v>1500</v>
      </c>
      <c r="E2116" s="9"/>
      <c r="F2116" s="9"/>
      <c r="G2116" s="10" t="s">
        <v>3064</v>
      </c>
      <c r="H2116" s="10" t="s">
        <v>563</v>
      </c>
      <c r="I2116" s="10"/>
      <c r="J2116" s="9">
        <v>101534</v>
      </c>
      <c r="K2116" s="10" t="s">
        <v>414</v>
      </c>
      <c r="L2116" s="10" t="s">
        <v>248</v>
      </c>
      <c r="M2116" s="10" t="s">
        <v>1834</v>
      </c>
      <c r="N2116" s="7"/>
    </row>
    <row r="2117" s="1" customFormat="1" ht="28.5" customHeight="1" spans="1:14">
      <c r="A2117" s="8"/>
      <c r="B2117" s="9"/>
      <c r="C2117" s="9" t="s">
        <v>1289</v>
      </c>
      <c r="D2117" s="9">
        <v>1000</v>
      </c>
      <c r="E2117" s="9"/>
      <c r="F2117" s="9"/>
      <c r="G2117" s="10" t="s">
        <v>3064</v>
      </c>
      <c r="H2117" s="10" t="s">
        <v>563</v>
      </c>
      <c r="I2117" s="10"/>
      <c r="J2117" s="9">
        <v>101535</v>
      </c>
      <c r="K2117" s="10" t="s">
        <v>414</v>
      </c>
      <c r="L2117" s="10" t="s">
        <v>248</v>
      </c>
      <c r="M2117" s="10" t="s">
        <v>1834</v>
      </c>
      <c r="N2117" s="7"/>
    </row>
    <row r="2118" s="1" customFormat="1" ht="28.5" customHeight="1" spans="1:14">
      <c r="A2118" s="8"/>
      <c r="B2118" s="9"/>
      <c r="C2118" s="9" t="s">
        <v>1289</v>
      </c>
      <c r="D2118" s="9">
        <v>3000</v>
      </c>
      <c r="E2118" s="9"/>
      <c r="F2118" s="9"/>
      <c r="G2118" s="10" t="s">
        <v>3065</v>
      </c>
      <c r="H2118" s="10" t="s">
        <v>563</v>
      </c>
      <c r="I2118" s="10"/>
      <c r="J2118" s="9">
        <v>11536</v>
      </c>
      <c r="K2118" s="10" t="s">
        <v>3066</v>
      </c>
      <c r="L2118" s="10" t="s">
        <v>379</v>
      </c>
      <c r="M2118" s="10" t="s">
        <v>1834</v>
      </c>
      <c r="N2118" s="7"/>
    </row>
    <row r="2119" s="1" customFormat="1" ht="28.5" customHeight="1" spans="1:14">
      <c r="A2119" s="8"/>
      <c r="B2119" s="9"/>
      <c r="C2119" s="9" t="s">
        <v>1289</v>
      </c>
      <c r="D2119" s="9">
        <v>2500</v>
      </c>
      <c r="E2119" s="9"/>
      <c r="F2119" s="9"/>
      <c r="G2119" s="10" t="s">
        <v>3067</v>
      </c>
      <c r="H2119" s="10" t="s">
        <v>563</v>
      </c>
      <c r="I2119" s="10"/>
      <c r="J2119" s="9">
        <v>11537</v>
      </c>
      <c r="K2119" s="10" t="s">
        <v>3068</v>
      </c>
      <c r="L2119" s="10" t="s">
        <v>379</v>
      </c>
      <c r="M2119" s="10" t="s">
        <v>1834</v>
      </c>
      <c r="N2119" s="7"/>
    </row>
    <row r="2120" s="1" customFormat="1" ht="28.5" customHeight="1" spans="1:14">
      <c r="A2120" s="8"/>
      <c r="B2120" s="9"/>
      <c r="C2120" s="9" t="s">
        <v>1289</v>
      </c>
      <c r="D2120" s="9">
        <v>2000</v>
      </c>
      <c r="E2120" s="9"/>
      <c r="F2120" s="9"/>
      <c r="G2120" s="10" t="s">
        <v>3069</v>
      </c>
      <c r="H2120" s="10" t="s">
        <v>563</v>
      </c>
      <c r="I2120" s="10"/>
      <c r="J2120" s="9">
        <v>11538</v>
      </c>
      <c r="K2120" s="10" t="s">
        <v>3070</v>
      </c>
      <c r="L2120" s="10" t="s">
        <v>379</v>
      </c>
      <c r="M2120" s="10" t="s">
        <v>1834</v>
      </c>
      <c r="N2120" s="7"/>
    </row>
    <row r="2121" s="1" customFormat="1" ht="28.5" customHeight="1" spans="1:14">
      <c r="A2121" s="8"/>
      <c r="B2121" s="9"/>
      <c r="C2121" s="9" t="s">
        <v>1289</v>
      </c>
      <c r="D2121" s="9">
        <v>1500</v>
      </c>
      <c r="E2121" s="9"/>
      <c r="F2121" s="9"/>
      <c r="G2121" s="10" t="s">
        <v>3071</v>
      </c>
      <c r="H2121" s="10" t="s">
        <v>563</v>
      </c>
      <c r="I2121" s="10"/>
      <c r="J2121" s="9">
        <v>11539</v>
      </c>
      <c r="K2121" s="10" t="s">
        <v>3072</v>
      </c>
      <c r="L2121" s="10" t="s">
        <v>379</v>
      </c>
      <c r="M2121" s="10" t="s">
        <v>1834</v>
      </c>
      <c r="N2121" s="7"/>
    </row>
    <row r="2122" s="1" customFormat="1" ht="28.5" customHeight="1" spans="1:14">
      <c r="A2122" s="8"/>
      <c r="B2122" s="9"/>
      <c r="C2122" s="9" t="s">
        <v>1289</v>
      </c>
      <c r="D2122" s="9">
        <v>1000</v>
      </c>
      <c r="E2122" s="9"/>
      <c r="F2122" s="9"/>
      <c r="G2122" s="10" t="s">
        <v>3073</v>
      </c>
      <c r="H2122" s="10" t="s">
        <v>563</v>
      </c>
      <c r="I2122" s="10"/>
      <c r="J2122" s="9">
        <v>11540</v>
      </c>
      <c r="K2122" s="10" t="s">
        <v>3074</v>
      </c>
      <c r="L2122" s="10" t="s">
        <v>379</v>
      </c>
      <c r="M2122" s="10" t="s">
        <v>1834</v>
      </c>
      <c r="N2122" s="7"/>
    </row>
    <row r="2123" s="1" customFormat="1" ht="28.5" customHeight="1" spans="1:14">
      <c r="A2123" s="8">
        <v>60401</v>
      </c>
      <c r="B2123" s="9">
        <v>60411</v>
      </c>
      <c r="C2123" s="9" t="s">
        <v>32</v>
      </c>
      <c r="D2123" s="9">
        <v>3000</v>
      </c>
      <c r="E2123" s="9"/>
      <c r="F2123" s="9">
        <v>60402</v>
      </c>
      <c r="G2123" s="10" t="s">
        <v>3075</v>
      </c>
      <c r="H2123" s="10" t="s">
        <v>563</v>
      </c>
      <c r="I2123" s="10"/>
      <c r="J2123" s="9">
        <v>51541</v>
      </c>
      <c r="K2123" s="10" t="s">
        <v>3076</v>
      </c>
      <c r="L2123" s="10" t="s">
        <v>415</v>
      </c>
      <c r="M2123" s="10" t="s">
        <v>1842</v>
      </c>
      <c r="N2123" s="7"/>
    </row>
    <row r="2124" s="1" customFormat="1" ht="28.5" customHeight="1" spans="1:14">
      <c r="A2124" s="8">
        <v>60401</v>
      </c>
      <c r="B2124" s="9">
        <v>60412</v>
      </c>
      <c r="C2124" s="9" t="s">
        <v>32</v>
      </c>
      <c r="D2124" s="9">
        <v>2500</v>
      </c>
      <c r="E2124" s="9"/>
      <c r="F2124" s="9">
        <v>60402</v>
      </c>
      <c r="G2124" s="10" t="s">
        <v>3077</v>
      </c>
      <c r="H2124" s="10" t="s">
        <v>563</v>
      </c>
      <c r="I2124" s="10"/>
      <c r="J2124" s="9">
        <v>51542</v>
      </c>
      <c r="K2124" s="10" t="s">
        <v>3078</v>
      </c>
      <c r="L2124" s="10" t="s">
        <v>415</v>
      </c>
      <c r="M2124" s="10" t="s">
        <v>1842</v>
      </c>
      <c r="N2124" s="7"/>
    </row>
    <row r="2125" s="1" customFormat="1" ht="28.5" customHeight="1" spans="1:14">
      <c r="A2125" s="8">
        <v>60401</v>
      </c>
      <c r="B2125" s="9">
        <v>60413</v>
      </c>
      <c r="C2125" s="9" t="s">
        <v>32</v>
      </c>
      <c r="D2125" s="9">
        <v>2000</v>
      </c>
      <c r="E2125" s="9"/>
      <c r="F2125" s="9">
        <v>60402</v>
      </c>
      <c r="G2125" s="10" t="s">
        <v>3079</v>
      </c>
      <c r="H2125" s="10" t="s">
        <v>563</v>
      </c>
      <c r="I2125" s="10"/>
      <c r="J2125" s="9">
        <v>51543</v>
      </c>
      <c r="K2125" s="10" t="s">
        <v>3080</v>
      </c>
      <c r="L2125" s="10" t="s">
        <v>415</v>
      </c>
      <c r="M2125" s="10" t="s">
        <v>1842</v>
      </c>
      <c r="N2125" s="7"/>
    </row>
    <row r="2126" s="1" customFormat="1" ht="28.5" customHeight="1" spans="1:14">
      <c r="A2126" s="8">
        <v>60401</v>
      </c>
      <c r="B2126" s="9">
        <v>60414</v>
      </c>
      <c r="C2126" s="9" t="s">
        <v>32</v>
      </c>
      <c r="D2126" s="9">
        <v>1500</v>
      </c>
      <c r="E2126" s="9"/>
      <c r="F2126" s="9">
        <v>60402</v>
      </c>
      <c r="G2126" s="10" t="s">
        <v>3081</v>
      </c>
      <c r="H2126" s="10" t="s">
        <v>563</v>
      </c>
      <c r="I2126" s="10"/>
      <c r="J2126" s="9">
        <v>51544</v>
      </c>
      <c r="K2126" s="10" t="s">
        <v>3082</v>
      </c>
      <c r="L2126" s="10" t="s">
        <v>415</v>
      </c>
      <c r="M2126" s="10" t="s">
        <v>1842</v>
      </c>
      <c r="N2126" s="7"/>
    </row>
    <row r="2127" s="1" customFormat="1" ht="28.5" customHeight="1" spans="1:14">
      <c r="A2127" s="8">
        <v>60401</v>
      </c>
      <c r="B2127" s="9">
        <v>60415</v>
      </c>
      <c r="C2127" s="9" t="s">
        <v>32</v>
      </c>
      <c r="D2127" s="9">
        <v>1000</v>
      </c>
      <c r="E2127" s="9"/>
      <c r="F2127" s="9">
        <v>60402</v>
      </c>
      <c r="G2127" s="10" t="s">
        <v>3083</v>
      </c>
      <c r="H2127" s="10" t="s">
        <v>563</v>
      </c>
      <c r="I2127" s="10"/>
      <c r="J2127" s="9">
        <v>51545</v>
      </c>
      <c r="K2127" s="10" t="s">
        <v>3084</v>
      </c>
      <c r="L2127" s="10" t="s">
        <v>415</v>
      </c>
      <c r="M2127" s="10" t="s">
        <v>1842</v>
      </c>
      <c r="N2127" s="7"/>
    </row>
    <row r="2128" s="1" customFormat="1" ht="28.5" customHeight="1" spans="1:14">
      <c r="A2128" s="8">
        <v>60401</v>
      </c>
      <c r="B2128" s="9">
        <v>60416</v>
      </c>
      <c r="C2128" s="9" t="s">
        <v>32</v>
      </c>
      <c r="D2128" s="9">
        <v>0</v>
      </c>
      <c r="E2128" s="9"/>
      <c r="F2128" s="9">
        <v>60403</v>
      </c>
      <c r="G2128" s="10" t="s">
        <v>3085</v>
      </c>
      <c r="H2128" s="10" t="s">
        <v>563</v>
      </c>
      <c r="I2128" s="10"/>
      <c r="J2128" s="9">
        <v>61546</v>
      </c>
      <c r="K2128" s="10" t="s">
        <v>3086</v>
      </c>
      <c r="L2128" s="10" t="s">
        <v>418</v>
      </c>
      <c r="M2128" s="10" t="s">
        <v>1842</v>
      </c>
      <c r="N2128" s="7"/>
    </row>
    <row r="2129" s="1" customFormat="1" ht="28.5" customHeight="1" spans="1:14">
      <c r="A2129" s="8">
        <v>60401</v>
      </c>
      <c r="B2129" s="9">
        <v>60417</v>
      </c>
      <c r="C2129" s="9" t="s">
        <v>32</v>
      </c>
      <c r="D2129" s="9">
        <v>0</v>
      </c>
      <c r="E2129" s="9"/>
      <c r="F2129" s="9">
        <v>60403</v>
      </c>
      <c r="G2129" s="10" t="s">
        <v>3087</v>
      </c>
      <c r="H2129" s="10" t="s">
        <v>563</v>
      </c>
      <c r="I2129" s="10"/>
      <c r="J2129" s="9">
        <v>61547</v>
      </c>
      <c r="K2129" s="10" t="s">
        <v>3088</v>
      </c>
      <c r="L2129" s="10" t="s">
        <v>418</v>
      </c>
      <c r="M2129" s="10" t="s">
        <v>1842</v>
      </c>
      <c r="N2129" s="7"/>
    </row>
    <row r="2130" s="1" customFormat="1" ht="28.5" customHeight="1" spans="1:14">
      <c r="A2130" s="8">
        <v>60401</v>
      </c>
      <c r="B2130" s="9">
        <v>60418</v>
      </c>
      <c r="C2130" s="9" t="s">
        <v>32</v>
      </c>
      <c r="D2130" s="9">
        <v>0</v>
      </c>
      <c r="E2130" s="9"/>
      <c r="F2130" s="9">
        <v>60403</v>
      </c>
      <c r="G2130" s="10" t="s">
        <v>3089</v>
      </c>
      <c r="H2130" s="10" t="s">
        <v>563</v>
      </c>
      <c r="I2130" s="10"/>
      <c r="J2130" s="9">
        <v>61548</v>
      </c>
      <c r="K2130" s="10" t="s">
        <v>3090</v>
      </c>
      <c r="L2130" s="10" t="s">
        <v>418</v>
      </c>
      <c r="M2130" s="10" t="s">
        <v>1842</v>
      </c>
      <c r="N2130" s="7"/>
    </row>
    <row r="2131" s="1" customFormat="1" ht="28.5" customHeight="1" spans="1:14">
      <c r="A2131" s="8">
        <v>60401</v>
      </c>
      <c r="B2131" s="9">
        <v>60419</v>
      </c>
      <c r="C2131" s="9" t="s">
        <v>32</v>
      </c>
      <c r="D2131" s="9">
        <v>0</v>
      </c>
      <c r="E2131" s="9"/>
      <c r="F2131" s="9">
        <v>60403</v>
      </c>
      <c r="G2131" s="10" t="s">
        <v>3091</v>
      </c>
      <c r="H2131" s="10" t="s">
        <v>563</v>
      </c>
      <c r="I2131" s="10"/>
      <c r="J2131" s="9">
        <v>61549</v>
      </c>
      <c r="K2131" s="10" t="s">
        <v>3092</v>
      </c>
      <c r="L2131" s="10" t="s">
        <v>418</v>
      </c>
      <c r="M2131" s="10" t="s">
        <v>1842</v>
      </c>
      <c r="N2131" s="7"/>
    </row>
    <row r="2132" s="1" customFormat="1" ht="28.5" customHeight="1" spans="1:14">
      <c r="A2132" s="8">
        <v>60401</v>
      </c>
      <c r="B2132" s="9">
        <v>60420</v>
      </c>
      <c r="C2132" s="9" t="s">
        <v>32</v>
      </c>
      <c r="D2132" s="9">
        <v>0</v>
      </c>
      <c r="E2132" s="9"/>
      <c r="F2132" s="9">
        <v>60403</v>
      </c>
      <c r="G2132" s="10" t="s">
        <v>3093</v>
      </c>
      <c r="H2132" s="10" t="s">
        <v>563</v>
      </c>
      <c r="I2132" s="10"/>
      <c r="J2132" s="9">
        <v>61550</v>
      </c>
      <c r="K2132" s="10" t="s">
        <v>3094</v>
      </c>
      <c r="L2132" s="10" t="s">
        <v>418</v>
      </c>
      <c r="M2132" s="10" t="s">
        <v>1842</v>
      </c>
      <c r="N2132" s="7"/>
    </row>
    <row r="2133" s="1" customFormat="1" ht="28.5" customHeight="1" spans="1:14">
      <c r="A2133" s="8"/>
      <c r="B2133" s="9"/>
      <c r="C2133" s="9" t="s">
        <v>1289</v>
      </c>
      <c r="D2133" s="9">
        <v>3000</v>
      </c>
      <c r="E2133" s="9"/>
      <c r="F2133" s="9"/>
      <c r="G2133" s="10" t="s">
        <v>3095</v>
      </c>
      <c r="H2133" s="10" t="s">
        <v>563</v>
      </c>
      <c r="I2133" s="10"/>
      <c r="J2133" s="9">
        <v>31551</v>
      </c>
      <c r="K2133" s="10" t="s">
        <v>3096</v>
      </c>
      <c r="L2133" s="10" t="s">
        <v>421</v>
      </c>
      <c r="M2133" s="10" t="s">
        <v>1834</v>
      </c>
      <c r="N2133" s="7"/>
    </row>
    <row r="2134" s="1" customFormat="1" ht="28.5" customHeight="1" spans="1:14">
      <c r="A2134" s="8"/>
      <c r="B2134" s="9"/>
      <c r="C2134" s="9" t="s">
        <v>1289</v>
      </c>
      <c r="D2134" s="9">
        <v>2500</v>
      </c>
      <c r="E2134" s="9"/>
      <c r="F2134" s="9"/>
      <c r="G2134" s="10" t="s">
        <v>3097</v>
      </c>
      <c r="H2134" s="10" t="s">
        <v>563</v>
      </c>
      <c r="I2134" s="10"/>
      <c r="J2134" s="9">
        <v>31552</v>
      </c>
      <c r="K2134" s="10" t="s">
        <v>3098</v>
      </c>
      <c r="L2134" s="10" t="s">
        <v>421</v>
      </c>
      <c r="M2134" s="10" t="s">
        <v>1834</v>
      </c>
      <c r="N2134" s="7"/>
    </row>
    <row r="2135" s="1" customFormat="1" ht="28.5" customHeight="1" spans="1:14">
      <c r="A2135" s="8"/>
      <c r="B2135" s="9"/>
      <c r="C2135" s="9" t="s">
        <v>1289</v>
      </c>
      <c r="D2135" s="9">
        <v>2000</v>
      </c>
      <c r="E2135" s="9"/>
      <c r="F2135" s="9"/>
      <c r="G2135" s="10" t="s">
        <v>3099</v>
      </c>
      <c r="H2135" s="10" t="s">
        <v>563</v>
      </c>
      <c r="I2135" s="10"/>
      <c r="J2135" s="9">
        <v>31553</v>
      </c>
      <c r="K2135" s="10" t="s">
        <v>3100</v>
      </c>
      <c r="L2135" s="10" t="s">
        <v>421</v>
      </c>
      <c r="M2135" s="10" t="s">
        <v>1834</v>
      </c>
      <c r="N2135" s="7"/>
    </row>
    <row r="2136" s="1" customFormat="1" ht="28.5" customHeight="1" spans="1:14">
      <c r="A2136" s="8"/>
      <c r="B2136" s="9"/>
      <c r="C2136" s="9" t="s">
        <v>1289</v>
      </c>
      <c r="D2136" s="9">
        <v>1500</v>
      </c>
      <c r="E2136" s="9"/>
      <c r="F2136" s="9"/>
      <c r="G2136" s="10" t="s">
        <v>3101</v>
      </c>
      <c r="H2136" s="10" t="s">
        <v>563</v>
      </c>
      <c r="I2136" s="10"/>
      <c r="J2136" s="9">
        <v>31554</v>
      </c>
      <c r="K2136" s="10" t="s">
        <v>3102</v>
      </c>
      <c r="L2136" s="10" t="s">
        <v>421</v>
      </c>
      <c r="M2136" s="10" t="s">
        <v>1834</v>
      </c>
      <c r="N2136" s="7"/>
    </row>
    <row r="2137" s="1" customFormat="1" ht="28.5" customHeight="1" spans="1:14">
      <c r="A2137" s="8"/>
      <c r="B2137" s="9"/>
      <c r="C2137" s="9" t="s">
        <v>1289</v>
      </c>
      <c r="D2137" s="9">
        <v>1000</v>
      </c>
      <c r="E2137" s="9"/>
      <c r="F2137" s="9"/>
      <c r="G2137" s="10" t="s">
        <v>3103</v>
      </c>
      <c r="H2137" s="10" t="s">
        <v>563</v>
      </c>
      <c r="I2137" s="10"/>
      <c r="J2137" s="9">
        <v>31555</v>
      </c>
      <c r="K2137" s="10" t="s">
        <v>3104</v>
      </c>
      <c r="L2137" s="10" t="s">
        <v>421</v>
      </c>
      <c r="M2137" s="10" t="s">
        <v>1834</v>
      </c>
      <c r="N2137" s="7"/>
    </row>
    <row r="2138" s="1" customFormat="1" ht="28.5" customHeight="1" spans="1:14">
      <c r="A2138" s="8">
        <v>60401</v>
      </c>
      <c r="B2138" s="9">
        <v>60421</v>
      </c>
      <c r="C2138" s="9" t="s">
        <v>32</v>
      </c>
      <c r="D2138" s="9">
        <v>3000</v>
      </c>
      <c r="E2138" s="9"/>
      <c r="F2138" s="9">
        <v>60404</v>
      </c>
      <c r="G2138" s="10" t="s">
        <v>3105</v>
      </c>
      <c r="H2138" s="10" t="s">
        <v>563</v>
      </c>
      <c r="I2138" s="10"/>
      <c r="J2138" s="9">
        <v>41556</v>
      </c>
      <c r="K2138" s="10" t="s">
        <v>3106</v>
      </c>
      <c r="L2138" s="10" t="s">
        <v>424</v>
      </c>
      <c r="M2138" s="10" t="s">
        <v>1842</v>
      </c>
      <c r="N2138" s="7"/>
    </row>
    <row r="2139" s="1" customFormat="1" ht="28.5" customHeight="1" spans="1:14">
      <c r="A2139" s="8">
        <v>60401</v>
      </c>
      <c r="B2139" s="9">
        <v>60422</v>
      </c>
      <c r="C2139" s="9" t="s">
        <v>32</v>
      </c>
      <c r="D2139" s="9">
        <v>2500</v>
      </c>
      <c r="E2139" s="9"/>
      <c r="F2139" s="9">
        <v>60404</v>
      </c>
      <c r="G2139" s="10" t="s">
        <v>3107</v>
      </c>
      <c r="H2139" s="10" t="s">
        <v>563</v>
      </c>
      <c r="I2139" s="10"/>
      <c r="J2139" s="9">
        <v>41557</v>
      </c>
      <c r="K2139" s="10" t="s">
        <v>3108</v>
      </c>
      <c r="L2139" s="10" t="s">
        <v>424</v>
      </c>
      <c r="M2139" s="10" t="s">
        <v>1842</v>
      </c>
      <c r="N2139" s="7"/>
    </row>
    <row r="2140" s="1" customFormat="1" ht="28.5" customHeight="1" spans="1:14">
      <c r="A2140" s="8">
        <v>60401</v>
      </c>
      <c r="B2140" s="9">
        <v>60423</v>
      </c>
      <c r="C2140" s="9" t="s">
        <v>32</v>
      </c>
      <c r="D2140" s="9">
        <v>2000</v>
      </c>
      <c r="E2140" s="9"/>
      <c r="F2140" s="9">
        <v>60404</v>
      </c>
      <c r="G2140" s="10" t="s">
        <v>3109</v>
      </c>
      <c r="H2140" s="10" t="s">
        <v>563</v>
      </c>
      <c r="I2140" s="10"/>
      <c r="J2140" s="9">
        <v>41558</v>
      </c>
      <c r="K2140" s="10" t="s">
        <v>3110</v>
      </c>
      <c r="L2140" s="10" t="s">
        <v>424</v>
      </c>
      <c r="M2140" s="10" t="s">
        <v>1842</v>
      </c>
      <c r="N2140" s="7"/>
    </row>
    <row r="2141" s="1" customFormat="1" ht="28.5" customHeight="1" spans="1:14">
      <c r="A2141" s="8">
        <v>60401</v>
      </c>
      <c r="B2141" s="9">
        <v>60424</v>
      </c>
      <c r="C2141" s="9" t="s">
        <v>32</v>
      </c>
      <c r="D2141" s="9">
        <v>1500</v>
      </c>
      <c r="E2141" s="9"/>
      <c r="F2141" s="9">
        <v>60404</v>
      </c>
      <c r="G2141" s="10" t="s">
        <v>3111</v>
      </c>
      <c r="H2141" s="10" t="s">
        <v>563</v>
      </c>
      <c r="I2141" s="10"/>
      <c r="J2141" s="9">
        <v>41559</v>
      </c>
      <c r="K2141" s="10" t="s">
        <v>3112</v>
      </c>
      <c r="L2141" s="10" t="s">
        <v>424</v>
      </c>
      <c r="M2141" s="10" t="s">
        <v>1842</v>
      </c>
      <c r="N2141" s="7"/>
    </row>
    <row r="2142" s="1" customFormat="1" ht="28.5" customHeight="1" spans="1:14">
      <c r="A2142" s="8">
        <v>60401</v>
      </c>
      <c r="B2142" s="9">
        <v>60425</v>
      </c>
      <c r="C2142" s="9" t="s">
        <v>32</v>
      </c>
      <c r="D2142" s="9">
        <v>1000</v>
      </c>
      <c r="E2142" s="9"/>
      <c r="F2142" s="9">
        <v>60404</v>
      </c>
      <c r="G2142" s="10" t="s">
        <v>3113</v>
      </c>
      <c r="H2142" s="10" t="s">
        <v>563</v>
      </c>
      <c r="I2142" s="10"/>
      <c r="J2142" s="9">
        <v>41560</v>
      </c>
      <c r="K2142" s="10" t="s">
        <v>3114</v>
      </c>
      <c r="L2142" s="10" t="s">
        <v>424</v>
      </c>
      <c r="M2142" s="10" t="s">
        <v>1842</v>
      </c>
      <c r="N2142" s="7"/>
    </row>
    <row r="2143" s="1" customFormat="1" ht="28.5" customHeight="1" spans="1:14">
      <c r="A2143" s="8"/>
      <c r="B2143" s="9"/>
      <c r="C2143" s="9" t="s">
        <v>1289</v>
      </c>
      <c r="D2143" s="9">
        <v>3000</v>
      </c>
      <c r="E2143" s="9"/>
      <c r="F2143" s="9"/>
      <c r="G2143" s="10" t="s">
        <v>3115</v>
      </c>
      <c r="H2143" s="10" t="s">
        <v>563</v>
      </c>
      <c r="I2143" s="10"/>
      <c r="J2143" s="9">
        <v>11561</v>
      </c>
      <c r="K2143" s="10" t="s">
        <v>3116</v>
      </c>
      <c r="L2143" s="10" t="s">
        <v>252</v>
      </c>
      <c r="M2143" s="10" t="s">
        <v>1834</v>
      </c>
      <c r="N2143" s="7"/>
    </row>
    <row r="2144" s="1" customFormat="1" ht="28.5" customHeight="1" spans="1:14">
      <c r="A2144" s="8"/>
      <c r="B2144" s="9"/>
      <c r="C2144" s="9" t="s">
        <v>1289</v>
      </c>
      <c r="D2144" s="9">
        <v>2500</v>
      </c>
      <c r="E2144" s="9"/>
      <c r="F2144" s="9"/>
      <c r="G2144" s="10" t="s">
        <v>3117</v>
      </c>
      <c r="H2144" s="10" t="s">
        <v>563</v>
      </c>
      <c r="I2144" s="10"/>
      <c r="J2144" s="9">
        <v>11562</v>
      </c>
      <c r="K2144" s="10" t="s">
        <v>3118</v>
      </c>
      <c r="L2144" s="10" t="s">
        <v>252</v>
      </c>
      <c r="M2144" s="10" t="s">
        <v>1834</v>
      </c>
      <c r="N2144" s="7"/>
    </row>
    <row r="2145" s="1" customFormat="1" ht="28.5" customHeight="1" spans="1:14">
      <c r="A2145" s="8"/>
      <c r="B2145" s="9"/>
      <c r="C2145" s="9" t="s">
        <v>1289</v>
      </c>
      <c r="D2145" s="9">
        <v>2000</v>
      </c>
      <c r="E2145" s="9"/>
      <c r="F2145" s="9"/>
      <c r="G2145" s="10" t="s">
        <v>3119</v>
      </c>
      <c r="H2145" s="10" t="s">
        <v>563</v>
      </c>
      <c r="I2145" s="10"/>
      <c r="J2145" s="9">
        <v>11563</v>
      </c>
      <c r="K2145" s="10" t="s">
        <v>3120</v>
      </c>
      <c r="L2145" s="10" t="s">
        <v>252</v>
      </c>
      <c r="M2145" s="10" t="s">
        <v>1834</v>
      </c>
      <c r="N2145" s="7"/>
    </row>
    <row r="2146" s="1" customFormat="1" ht="28.5" customHeight="1" spans="1:14">
      <c r="A2146" s="8"/>
      <c r="B2146" s="9"/>
      <c r="C2146" s="9" t="s">
        <v>1289</v>
      </c>
      <c r="D2146" s="9">
        <v>1500</v>
      </c>
      <c r="E2146" s="9"/>
      <c r="F2146" s="9"/>
      <c r="G2146" s="10" t="s">
        <v>3121</v>
      </c>
      <c r="H2146" s="10" t="s">
        <v>563</v>
      </c>
      <c r="I2146" s="10"/>
      <c r="J2146" s="9">
        <v>11564</v>
      </c>
      <c r="K2146" s="10" t="s">
        <v>3122</v>
      </c>
      <c r="L2146" s="10" t="s">
        <v>252</v>
      </c>
      <c r="M2146" s="10" t="s">
        <v>1834</v>
      </c>
      <c r="N2146" s="7"/>
    </row>
    <row r="2147" s="1" customFormat="1" ht="28.5" customHeight="1" spans="1:14">
      <c r="A2147" s="8"/>
      <c r="B2147" s="9"/>
      <c r="C2147" s="9" t="s">
        <v>1289</v>
      </c>
      <c r="D2147" s="9">
        <v>1000</v>
      </c>
      <c r="E2147" s="9"/>
      <c r="F2147" s="9"/>
      <c r="G2147" s="10" t="s">
        <v>3123</v>
      </c>
      <c r="H2147" s="10" t="s">
        <v>563</v>
      </c>
      <c r="I2147" s="10"/>
      <c r="J2147" s="9">
        <v>11565</v>
      </c>
      <c r="K2147" s="10" t="s">
        <v>3124</v>
      </c>
      <c r="L2147" s="10" t="s">
        <v>252</v>
      </c>
      <c r="M2147" s="10" t="s">
        <v>1834</v>
      </c>
      <c r="N2147" s="7"/>
    </row>
    <row r="2148" s="1" customFormat="1" ht="28.5" customHeight="1" spans="1:14">
      <c r="A2148" s="8">
        <v>60501</v>
      </c>
      <c r="B2148" s="9">
        <v>60501</v>
      </c>
      <c r="C2148" s="9" t="s">
        <v>33</v>
      </c>
      <c r="D2148" s="9">
        <v>0</v>
      </c>
      <c r="E2148" s="9"/>
      <c r="F2148" s="9">
        <v>60500</v>
      </c>
      <c r="G2148" s="10" t="s">
        <v>1313</v>
      </c>
      <c r="H2148" s="10" t="s">
        <v>563</v>
      </c>
      <c r="I2148" s="10"/>
      <c r="J2148" s="9">
        <v>61566</v>
      </c>
      <c r="K2148" s="10" t="s">
        <v>1916</v>
      </c>
      <c r="L2148" s="10" t="s">
        <v>251</v>
      </c>
      <c r="M2148" s="10" t="s">
        <v>1842</v>
      </c>
      <c r="N2148" s="7"/>
    </row>
    <row r="2149" s="1" customFormat="1" ht="28.5" customHeight="1" spans="1:14">
      <c r="A2149" s="8">
        <v>60501</v>
      </c>
      <c r="B2149" s="9">
        <v>60502</v>
      </c>
      <c r="C2149" s="9" t="s">
        <v>33</v>
      </c>
      <c r="D2149" s="9">
        <v>0</v>
      </c>
      <c r="E2149" s="9"/>
      <c r="F2149" s="9">
        <v>60500</v>
      </c>
      <c r="G2149" s="10" t="s">
        <v>1315</v>
      </c>
      <c r="H2149" s="10" t="s">
        <v>563</v>
      </c>
      <c r="I2149" s="10"/>
      <c r="J2149" s="9">
        <v>61567</v>
      </c>
      <c r="K2149" s="10" t="s">
        <v>1917</v>
      </c>
      <c r="L2149" s="10" t="s">
        <v>251</v>
      </c>
      <c r="M2149" s="10" t="s">
        <v>1842</v>
      </c>
      <c r="N2149" s="7"/>
    </row>
    <row r="2150" s="1" customFormat="1" ht="28.5" customHeight="1" spans="1:14">
      <c r="A2150" s="8">
        <v>60501</v>
      </c>
      <c r="B2150" s="9">
        <v>60503</v>
      </c>
      <c r="C2150" s="9" t="s">
        <v>33</v>
      </c>
      <c r="D2150" s="9">
        <v>0</v>
      </c>
      <c r="E2150" s="9"/>
      <c r="F2150" s="9">
        <v>60500</v>
      </c>
      <c r="G2150" s="10" t="s">
        <v>1317</v>
      </c>
      <c r="H2150" s="10" t="s">
        <v>563</v>
      </c>
      <c r="I2150" s="10"/>
      <c r="J2150" s="9">
        <v>61568</v>
      </c>
      <c r="K2150" s="10" t="s">
        <v>1918</v>
      </c>
      <c r="L2150" s="10" t="s">
        <v>251</v>
      </c>
      <c r="M2150" s="10" t="s">
        <v>1842</v>
      </c>
      <c r="N2150" s="7"/>
    </row>
    <row r="2151" s="1" customFormat="1" ht="28.5" customHeight="1" spans="1:14">
      <c r="A2151" s="8">
        <v>60501</v>
      </c>
      <c r="B2151" s="9">
        <v>60504</v>
      </c>
      <c r="C2151" s="9" t="s">
        <v>33</v>
      </c>
      <c r="D2151" s="9">
        <v>0</v>
      </c>
      <c r="E2151" s="9"/>
      <c r="F2151" s="9">
        <v>60500</v>
      </c>
      <c r="G2151" s="10" t="s">
        <v>1319</v>
      </c>
      <c r="H2151" s="10" t="s">
        <v>563</v>
      </c>
      <c r="I2151" s="10"/>
      <c r="J2151" s="9">
        <v>61569</v>
      </c>
      <c r="K2151" s="10" t="s">
        <v>1919</v>
      </c>
      <c r="L2151" s="10" t="s">
        <v>251</v>
      </c>
      <c r="M2151" s="10" t="s">
        <v>1842</v>
      </c>
      <c r="N2151" s="7"/>
    </row>
    <row r="2152" s="1" customFormat="1" ht="28.5" customHeight="1" spans="1:14">
      <c r="A2152" s="8">
        <v>60501</v>
      </c>
      <c r="B2152" s="9">
        <v>60505</v>
      </c>
      <c r="C2152" s="9" t="s">
        <v>33</v>
      </c>
      <c r="D2152" s="9">
        <v>0</v>
      </c>
      <c r="E2152" s="9"/>
      <c r="F2152" s="9">
        <v>60500</v>
      </c>
      <c r="G2152" s="10" t="s">
        <v>1321</v>
      </c>
      <c r="H2152" s="10" t="s">
        <v>563</v>
      </c>
      <c r="I2152" s="10"/>
      <c r="J2152" s="9">
        <v>61570</v>
      </c>
      <c r="K2152" s="10" t="s">
        <v>1920</v>
      </c>
      <c r="L2152" s="10" t="s">
        <v>251</v>
      </c>
      <c r="M2152" s="10" t="s">
        <v>1842</v>
      </c>
      <c r="N2152" s="7"/>
    </row>
    <row r="2153" s="1" customFormat="1" ht="28.5" customHeight="1" spans="1:14">
      <c r="A2153" s="8">
        <v>60501</v>
      </c>
      <c r="B2153" s="9">
        <v>60506</v>
      </c>
      <c r="C2153" s="9" t="s">
        <v>33</v>
      </c>
      <c r="D2153" s="9">
        <v>3000</v>
      </c>
      <c r="E2153" s="9"/>
      <c r="F2153" s="9">
        <v>60501</v>
      </c>
      <c r="G2153" s="10" t="s">
        <v>1921</v>
      </c>
      <c r="H2153" s="10" t="s">
        <v>563</v>
      </c>
      <c r="I2153" s="10"/>
      <c r="J2153" s="9">
        <v>21571</v>
      </c>
      <c r="K2153" s="10" t="s">
        <v>1922</v>
      </c>
      <c r="L2153" s="10" t="s">
        <v>252</v>
      </c>
      <c r="M2153" s="10" t="s">
        <v>1842</v>
      </c>
      <c r="N2153" s="7"/>
    </row>
    <row r="2154" s="1" customFormat="1" ht="28.5" customHeight="1" spans="1:14">
      <c r="A2154" s="8">
        <v>60501</v>
      </c>
      <c r="B2154" s="9">
        <v>60507</v>
      </c>
      <c r="C2154" s="9" t="s">
        <v>33</v>
      </c>
      <c r="D2154" s="9">
        <v>2500</v>
      </c>
      <c r="E2154" s="9"/>
      <c r="F2154" s="9">
        <v>60501</v>
      </c>
      <c r="G2154" s="10" t="s">
        <v>1923</v>
      </c>
      <c r="H2154" s="10" t="s">
        <v>563</v>
      </c>
      <c r="I2154" s="10"/>
      <c r="J2154" s="9">
        <v>21572</v>
      </c>
      <c r="K2154" s="10" t="s">
        <v>1924</v>
      </c>
      <c r="L2154" s="10" t="s">
        <v>252</v>
      </c>
      <c r="M2154" s="10" t="s">
        <v>1842</v>
      </c>
      <c r="N2154" s="7"/>
    </row>
    <row r="2155" s="1" customFormat="1" ht="28.5" customHeight="1" spans="1:14">
      <c r="A2155" s="8">
        <v>60501</v>
      </c>
      <c r="B2155" s="9">
        <v>60508</v>
      </c>
      <c r="C2155" s="9" t="s">
        <v>33</v>
      </c>
      <c r="D2155" s="9">
        <v>2000</v>
      </c>
      <c r="E2155" s="9"/>
      <c r="F2155" s="9">
        <v>60501</v>
      </c>
      <c r="G2155" s="10" t="s">
        <v>1925</v>
      </c>
      <c r="H2155" s="10" t="s">
        <v>563</v>
      </c>
      <c r="I2155" s="10"/>
      <c r="J2155" s="9">
        <v>21573</v>
      </c>
      <c r="K2155" s="10" t="s">
        <v>1926</v>
      </c>
      <c r="L2155" s="10" t="s">
        <v>252</v>
      </c>
      <c r="M2155" s="10" t="s">
        <v>1842</v>
      </c>
      <c r="N2155" s="7"/>
    </row>
    <row r="2156" s="1" customFormat="1" ht="28.5" customHeight="1" spans="1:14">
      <c r="A2156" s="8">
        <v>60501</v>
      </c>
      <c r="B2156" s="9">
        <v>60509</v>
      </c>
      <c r="C2156" s="9" t="s">
        <v>33</v>
      </c>
      <c r="D2156" s="9">
        <v>1500</v>
      </c>
      <c r="E2156" s="9"/>
      <c r="F2156" s="9">
        <v>60501</v>
      </c>
      <c r="G2156" s="10" t="s">
        <v>1927</v>
      </c>
      <c r="H2156" s="10" t="s">
        <v>563</v>
      </c>
      <c r="I2156" s="10"/>
      <c r="J2156" s="9">
        <v>21574</v>
      </c>
      <c r="K2156" s="10" t="s">
        <v>1928</v>
      </c>
      <c r="L2156" s="10" t="s">
        <v>252</v>
      </c>
      <c r="M2156" s="10" t="s">
        <v>1842</v>
      </c>
      <c r="N2156" s="7"/>
    </row>
    <row r="2157" s="1" customFormat="1" ht="28.5" customHeight="1" spans="1:14">
      <c r="A2157" s="8">
        <v>60501</v>
      </c>
      <c r="B2157" s="9">
        <v>60510</v>
      </c>
      <c r="C2157" s="9" t="s">
        <v>33</v>
      </c>
      <c r="D2157" s="9">
        <v>1000</v>
      </c>
      <c r="E2157" s="9"/>
      <c r="F2157" s="9">
        <v>60501</v>
      </c>
      <c r="G2157" s="10" t="s">
        <v>1929</v>
      </c>
      <c r="H2157" s="10" t="s">
        <v>563</v>
      </c>
      <c r="I2157" s="10"/>
      <c r="J2157" s="9">
        <v>21575</v>
      </c>
      <c r="K2157" s="10" t="s">
        <v>1930</v>
      </c>
      <c r="L2157" s="10" t="s">
        <v>252</v>
      </c>
      <c r="M2157" s="10" t="s">
        <v>1842</v>
      </c>
      <c r="N2157" s="7"/>
    </row>
    <row r="2158" s="1" customFormat="1" ht="28.5" customHeight="1" spans="1:14">
      <c r="A2158" s="8"/>
      <c r="B2158" s="9"/>
      <c r="C2158" s="9" t="s">
        <v>1289</v>
      </c>
      <c r="D2158" s="9">
        <v>3000</v>
      </c>
      <c r="E2158" s="9"/>
      <c r="F2158" s="9"/>
      <c r="G2158" s="10" t="s">
        <v>1857</v>
      </c>
      <c r="H2158" s="10" t="s">
        <v>563</v>
      </c>
      <c r="I2158" s="10"/>
      <c r="J2158" s="9">
        <v>91576</v>
      </c>
      <c r="K2158" s="10" t="s">
        <v>1858</v>
      </c>
      <c r="L2158" s="10" t="s">
        <v>224</v>
      </c>
      <c r="M2158" s="10" t="s">
        <v>1834</v>
      </c>
      <c r="N2158" s="7"/>
    </row>
    <row r="2159" s="1" customFormat="1" ht="28.5" customHeight="1" spans="1:14">
      <c r="A2159" s="8"/>
      <c r="B2159" s="9"/>
      <c r="C2159" s="9" t="s">
        <v>1289</v>
      </c>
      <c r="D2159" s="9">
        <v>2500</v>
      </c>
      <c r="E2159" s="9"/>
      <c r="F2159" s="9"/>
      <c r="G2159" s="10" t="s">
        <v>1857</v>
      </c>
      <c r="H2159" s="10" t="s">
        <v>563</v>
      </c>
      <c r="I2159" s="10"/>
      <c r="J2159" s="9">
        <v>91577</v>
      </c>
      <c r="K2159" s="10" t="s">
        <v>1858</v>
      </c>
      <c r="L2159" s="10" t="s">
        <v>224</v>
      </c>
      <c r="M2159" s="10" t="s">
        <v>1834</v>
      </c>
      <c r="N2159" s="7"/>
    </row>
    <row r="2160" s="1" customFormat="1" ht="28.5" customHeight="1" spans="1:14">
      <c r="A2160" s="8"/>
      <c r="B2160" s="9"/>
      <c r="C2160" s="9" t="s">
        <v>1289</v>
      </c>
      <c r="D2160" s="9">
        <v>2000</v>
      </c>
      <c r="E2160" s="9"/>
      <c r="F2160" s="9"/>
      <c r="G2160" s="10" t="s">
        <v>1857</v>
      </c>
      <c r="H2160" s="10" t="s">
        <v>563</v>
      </c>
      <c r="I2160" s="10"/>
      <c r="J2160" s="9">
        <v>91578</v>
      </c>
      <c r="K2160" s="10" t="s">
        <v>1858</v>
      </c>
      <c r="L2160" s="10" t="s">
        <v>224</v>
      </c>
      <c r="M2160" s="10" t="s">
        <v>1834</v>
      </c>
      <c r="N2160" s="7"/>
    </row>
    <row r="2161" s="1" customFormat="1" ht="28.5" customHeight="1" spans="1:14">
      <c r="A2161" s="8"/>
      <c r="B2161" s="9"/>
      <c r="C2161" s="9" t="s">
        <v>1289</v>
      </c>
      <c r="D2161" s="9">
        <v>1500</v>
      </c>
      <c r="E2161" s="9"/>
      <c r="F2161" s="9"/>
      <c r="G2161" s="10" t="s">
        <v>1857</v>
      </c>
      <c r="H2161" s="10" t="s">
        <v>563</v>
      </c>
      <c r="I2161" s="10"/>
      <c r="J2161" s="9">
        <v>91579</v>
      </c>
      <c r="K2161" s="10" t="s">
        <v>1858</v>
      </c>
      <c r="L2161" s="10" t="s">
        <v>224</v>
      </c>
      <c r="M2161" s="10" t="s">
        <v>1834</v>
      </c>
      <c r="N2161" s="7"/>
    </row>
    <row r="2162" s="1" customFormat="1" ht="28.5" customHeight="1" spans="1:14">
      <c r="A2162" s="8"/>
      <c r="B2162" s="9"/>
      <c r="C2162" s="9" t="s">
        <v>1289</v>
      </c>
      <c r="D2162" s="9">
        <v>1000</v>
      </c>
      <c r="E2162" s="9"/>
      <c r="F2162" s="9"/>
      <c r="G2162" s="10" t="s">
        <v>1857</v>
      </c>
      <c r="H2162" s="10" t="s">
        <v>563</v>
      </c>
      <c r="I2162" s="10"/>
      <c r="J2162" s="9">
        <v>91580</v>
      </c>
      <c r="K2162" s="10" t="s">
        <v>1858</v>
      </c>
      <c r="L2162" s="10" t="s">
        <v>224</v>
      </c>
      <c r="M2162" s="10" t="s">
        <v>1834</v>
      </c>
      <c r="N2162" s="7"/>
    </row>
    <row r="2163" s="1" customFormat="1" ht="28.5" customHeight="1" spans="1:14">
      <c r="A2163" s="8"/>
      <c r="B2163" s="9"/>
      <c r="C2163" s="9" t="s">
        <v>1289</v>
      </c>
      <c r="D2163" s="9">
        <v>3000</v>
      </c>
      <c r="E2163" s="9"/>
      <c r="F2163" s="9"/>
      <c r="G2163" s="10" t="s">
        <v>1859</v>
      </c>
      <c r="H2163" s="10" t="s">
        <v>563</v>
      </c>
      <c r="I2163" s="10"/>
      <c r="J2163" s="9">
        <v>71581</v>
      </c>
      <c r="K2163" s="10" t="s">
        <v>1860</v>
      </c>
      <c r="L2163" s="10" t="s">
        <v>228</v>
      </c>
      <c r="M2163" s="10" t="s">
        <v>1834</v>
      </c>
      <c r="N2163" s="7"/>
    </row>
    <row r="2164" s="1" customFormat="1" ht="28.5" customHeight="1" spans="1:14">
      <c r="A2164" s="8"/>
      <c r="B2164" s="9"/>
      <c r="C2164" s="9" t="s">
        <v>1289</v>
      </c>
      <c r="D2164" s="9">
        <v>2500</v>
      </c>
      <c r="E2164" s="9"/>
      <c r="F2164" s="9"/>
      <c r="G2164" s="10" t="s">
        <v>1859</v>
      </c>
      <c r="H2164" s="10" t="s">
        <v>563</v>
      </c>
      <c r="I2164" s="10"/>
      <c r="J2164" s="9">
        <v>71582</v>
      </c>
      <c r="K2164" s="10" t="s">
        <v>1860</v>
      </c>
      <c r="L2164" s="10" t="s">
        <v>228</v>
      </c>
      <c r="M2164" s="10" t="s">
        <v>1834</v>
      </c>
      <c r="N2164" s="7"/>
    </row>
    <row r="2165" s="1" customFormat="1" ht="28.5" customHeight="1" spans="1:14">
      <c r="A2165" s="8"/>
      <c r="B2165" s="9"/>
      <c r="C2165" s="9" t="s">
        <v>1289</v>
      </c>
      <c r="D2165" s="9">
        <v>2000</v>
      </c>
      <c r="E2165" s="9"/>
      <c r="F2165" s="9"/>
      <c r="G2165" s="10" t="s">
        <v>1859</v>
      </c>
      <c r="H2165" s="10" t="s">
        <v>563</v>
      </c>
      <c r="I2165" s="10"/>
      <c r="J2165" s="9">
        <v>71583</v>
      </c>
      <c r="K2165" s="10" t="s">
        <v>1860</v>
      </c>
      <c r="L2165" s="10" t="s">
        <v>228</v>
      </c>
      <c r="M2165" s="10" t="s">
        <v>1834</v>
      </c>
      <c r="N2165" s="7"/>
    </row>
    <row r="2166" s="1" customFormat="1" ht="28.5" customHeight="1" spans="1:14">
      <c r="A2166" s="8"/>
      <c r="B2166" s="9"/>
      <c r="C2166" s="9" t="s">
        <v>1289</v>
      </c>
      <c r="D2166" s="9">
        <v>1500</v>
      </c>
      <c r="E2166" s="9"/>
      <c r="F2166" s="9"/>
      <c r="G2166" s="10" t="s">
        <v>1859</v>
      </c>
      <c r="H2166" s="10" t="s">
        <v>563</v>
      </c>
      <c r="I2166" s="10"/>
      <c r="J2166" s="9">
        <v>71584</v>
      </c>
      <c r="K2166" s="10" t="s">
        <v>1860</v>
      </c>
      <c r="L2166" s="10" t="s">
        <v>228</v>
      </c>
      <c r="M2166" s="10" t="s">
        <v>1834</v>
      </c>
      <c r="N2166" s="7"/>
    </row>
    <row r="2167" s="1" customFormat="1" ht="28.5" customHeight="1" spans="1:14">
      <c r="A2167" s="8"/>
      <c r="B2167" s="9"/>
      <c r="C2167" s="9" t="s">
        <v>1289</v>
      </c>
      <c r="D2167" s="9">
        <v>1000</v>
      </c>
      <c r="E2167" s="9"/>
      <c r="F2167" s="9"/>
      <c r="G2167" s="10" t="s">
        <v>1859</v>
      </c>
      <c r="H2167" s="10" t="s">
        <v>563</v>
      </c>
      <c r="I2167" s="10"/>
      <c r="J2167" s="9">
        <v>71585</v>
      </c>
      <c r="K2167" s="10" t="s">
        <v>1860</v>
      </c>
      <c r="L2167" s="10" t="s">
        <v>228</v>
      </c>
      <c r="M2167" s="10" t="s">
        <v>1834</v>
      </c>
      <c r="N2167" s="7"/>
    </row>
    <row r="2168" s="1" customFormat="1" ht="28.5" customHeight="1" spans="1:14">
      <c r="A2168" s="8"/>
      <c r="B2168" s="9"/>
      <c r="C2168" s="9" t="s">
        <v>1289</v>
      </c>
      <c r="D2168" s="9">
        <v>3000</v>
      </c>
      <c r="E2168" s="9"/>
      <c r="F2168" s="9"/>
      <c r="G2168" s="10" t="s">
        <v>1861</v>
      </c>
      <c r="H2168" s="10" t="s">
        <v>563</v>
      </c>
      <c r="I2168" s="10"/>
      <c r="J2168" s="9">
        <v>81586</v>
      </c>
      <c r="K2168" s="10" t="s">
        <v>1862</v>
      </c>
      <c r="L2168" s="10" t="s">
        <v>231</v>
      </c>
      <c r="M2168" s="10" t="s">
        <v>1834</v>
      </c>
      <c r="N2168" s="7"/>
    </row>
    <row r="2169" s="1" customFormat="1" ht="28.5" customHeight="1" spans="1:14">
      <c r="A2169" s="8"/>
      <c r="B2169" s="9"/>
      <c r="C2169" s="9" t="s">
        <v>1289</v>
      </c>
      <c r="D2169" s="9">
        <v>2500</v>
      </c>
      <c r="E2169" s="9"/>
      <c r="F2169" s="9"/>
      <c r="G2169" s="10" t="s">
        <v>1861</v>
      </c>
      <c r="H2169" s="10" t="s">
        <v>563</v>
      </c>
      <c r="I2169" s="10"/>
      <c r="J2169" s="9">
        <v>81587</v>
      </c>
      <c r="K2169" s="10" t="s">
        <v>1862</v>
      </c>
      <c r="L2169" s="10" t="s">
        <v>231</v>
      </c>
      <c r="M2169" s="10" t="s">
        <v>1834</v>
      </c>
      <c r="N2169" s="7"/>
    </row>
    <row r="2170" s="1" customFormat="1" ht="28.5" customHeight="1" spans="1:14">
      <c r="A2170" s="8"/>
      <c r="B2170" s="9"/>
      <c r="C2170" s="9" t="s">
        <v>1289</v>
      </c>
      <c r="D2170" s="9">
        <v>2000</v>
      </c>
      <c r="E2170" s="9"/>
      <c r="F2170" s="9"/>
      <c r="G2170" s="10" t="s">
        <v>1861</v>
      </c>
      <c r="H2170" s="10" t="s">
        <v>563</v>
      </c>
      <c r="I2170" s="10"/>
      <c r="J2170" s="9">
        <v>81588</v>
      </c>
      <c r="K2170" s="10" t="s">
        <v>1862</v>
      </c>
      <c r="L2170" s="10" t="s">
        <v>231</v>
      </c>
      <c r="M2170" s="10" t="s">
        <v>1834</v>
      </c>
      <c r="N2170" s="7"/>
    </row>
    <row r="2171" s="1" customFormat="1" ht="28.5" customHeight="1" spans="1:14">
      <c r="A2171" s="8"/>
      <c r="B2171" s="9"/>
      <c r="C2171" s="9" t="s">
        <v>1289</v>
      </c>
      <c r="D2171" s="9">
        <v>1500</v>
      </c>
      <c r="E2171" s="9"/>
      <c r="F2171" s="9"/>
      <c r="G2171" s="10" t="s">
        <v>1861</v>
      </c>
      <c r="H2171" s="10" t="s">
        <v>563</v>
      </c>
      <c r="I2171" s="10"/>
      <c r="J2171" s="9">
        <v>81589</v>
      </c>
      <c r="K2171" s="10" t="s">
        <v>1862</v>
      </c>
      <c r="L2171" s="10" t="s">
        <v>231</v>
      </c>
      <c r="M2171" s="10" t="s">
        <v>1834</v>
      </c>
      <c r="N2171" s="7"/>
    </row>
    <row r="2172" s="1" customFormat="1" ht="28.5" customHeight="1" spans="1:14">
      <c r="A2172" s="8"/>
      <c r="B2172" s="9"/>
      <c r="C2172" s="9" t="s">
        <v>1289</v>
      </c>
      <c r="D2172" s="9">
        <v>1000</v>
      </c>
      <c r="E2172" s="9"/>
      <c r="F2172" s="9"/>
      <c r="G2172" s="10" t="s">
        <v>1861</v>
      </c>
      <c r="H2172" s="10" t="s">
        <v>563</v>
      </c>
      <c r="I2172" s="10"/>
      <c r="J2172" s="9">
        <v>81590</v>
      </c>
      <c r="K2172" s="10" t="s">
        <v>1862</v>
      </c>
      <c r="L2172" s="10" t="s">
        <v>231</v>
      </c>
      <c r="M2172" s="10" t="s">
        <v>1834</v>
      </c>
      <c r="N2172" s="7"/>
    </row>
    <row r="2173" s="1" customFormat="1" ht="28.5" customHeight="1" spans="1:14">
      <c r="A2173" s="8"/>
      <c r="B2173" s="9"/>
      <c r="C2173" s="9" t="s">
        <v>1289</v>
      </c>
      <c r="D2173" s="9">
        <v>3000</v>
      </c>
      <c r="E2173" s="9"/>
      <c r="F2173" s="9"/>
      <c r="G2173" s="10" t="s">
        <v>3064</v>
      </c>
      <c r="H2173" s="10" t="s">
        <v>563</v>
      </c>
      <c r="I2173" s="10"/>
      <c r="J2173" s="9">
        <v>101591</v>
      </c>
      <c r="K2173" s="10" t="s">
        <v>414</v>
      </c>
      <c r="L2173" s="10" t="s">
        <v>248</v>
      </c>
      <c r="M2173" s="10" t="s">
        <v>1834</v>
      </c>
      <c r="N2173" s="7"/>
    </row>
    <row r="2174" s="1" customFormat="1" ht="28.5" customHeight="1" spans="1:14">
      <c r="A2174" s="8"/>
      <c r="B2174" s="9"/>
      <c r="C2174" s="9" t="s">
        <v>1289</v>
      </c>
      <c r="D2174" s="9">
        <v>2500</v>
      </c>
      <c r="E2174" s="9"/>
      <c r="F2174" s="9"/>
      <c r="G2174" s="10" t="s">
        <v>3064</v>
      </c>
      <c r="H2174" s="10" t="s">
        <v>563</v>
      </c>
      <c r="I2174" s="10"/>
      <c r="J2174" s="9">
        <v>101592</v>
      </c>
      <c r="K2174" s="10" t="s">
        <v>414</v>
      </c>
      <c r="L2174" s="10" t="s">
        <v>248</v>
      </c>
      <c r="M2174" s="10" t="s">
        <v>1834</v>
      </c>
      <c r="N2174" s="7"/>
    </row>
    <row r="2175" s="1" customFormat="1" ht="28.5" customHeight="1" spans="1:14">
      <c r="A2175" s="8"/>
      <c r="B2175" s="9"/>
      <c r="C2175" s="9" t="s">
        <v>1289</v>
      </c>
      <c r="D2175" s="9">
        <v>2000</v>
      </c>
      <c r="E2175" s="9"/>
      <c r="F2175" s="9"/>
      <c r="G2175" s="10" t="s">
        <v>3064</v>
      </c>
      <c r="H2175" s="10" t="s">
        <v>563</v>
      </c>
      <c r="I2175" s="10"/>
      <c r="J2175" s="9">
        <v>101593</v>
      </c>
      <c r="K2175" s="10" t="s">
        <v>414</v>
      </c>
      <c r="L2175" s="10" t="s">
        <v>248</v>
      </c>
      <c r="M2175" s="10" t="s">
        <v>1834</v>
      </c>
      <c r="N2175" s="7"/>
    </row>
    <row r="2176" s="1" customFormat="1" ht="28.5" customHeight="1" spans="1:14">
      <c r="A2176" s="8"/>
      <c r="B2176" s="9"/>
      <c r="C2176" s="9" t="s">
        <v>1289</v>
      </c>
      <c r="D2176" s="9">
        <v>1500</v>
      </c>
      <c r="E2176" s="9"/>
      <c r="F2176" s="9"/>
      <c r="G2176" s="10" t="s">
        <v>3064</v>
      </c>
      <c r="H2176" s="10" t="s">
        <v>563</v>
      </c>
      <c r="I2176" s="10"/>
      <c r="J2176" s="9">
        <v>101594</v>
      </c>
      <c r="K2176" s="10" t="s">
        <v>414</v>
      </c>
      <c r="L2176" s="10" t="s">
        <v>248</v>
      </c>
      <c r="M2176" s="10" t="s">
        <v>1834</v>
      </c>
      <c r="N2176" s="7"/>
    </row>
    <row r="2177" s="1" customFormat="1" ht="28.5" customHeight="1" spans="1:14">
      <c r="A2177" s="8"/>
      <c r="B2177" s="9"/>
      <c r="C2177" s="9" t="s">
        <v>1289</v>
      </c>
      <c r="D2177" s="9">
        <v>1000</v>
      </c>
      <c r="E2177" s="9"/>
      <c r="F2177" s="9"/>
      <c r="G2177" s="10" t="s">
        <v>3064</v>
      </c>
      <c r="H2177" s="10" t="s">
        <v>563</v>
      </c>
      <c r="I2177" s="10"/>
      <c r="J2177" s="9">
        <v>101595</v>
      </c>
      <c r="K2177" s="10" t="s">
        <v>414</v>
      </c>
      <c r="L2177" s="10" t="s">
        <v>248</v>
      </c>
      <c r="M2177" s="10" t="s">
        <v>1834</v>
      </c>
      <c r="N2177" s="7"/>
    </row>
    <row r="2178" s="1" customFormat="1" ht="28.5" customHeight="1" spans="1:14">
      <c r="A2178" s="8"/>
      <c r="B2178" s="9"/>
      <c r="C2178" s="9" t="s">
        <v>1289</v>
      </c>
      <c r="D2178" s="9">
        <v>3000</v>
      </c>
      <c r="E2178" s="9"/>
      <c r="F2178" s="9"/>
      <c r="G2178" s="10" t="s">
        <v>3125</v>
      </c>
      <c r="H2178" s="10" t="s">
        <v>563</v>
      </c>
      <c r="I2178" s="10"/>
      <c r="J2178" s="9">
        <v>11596</v>
      </c>
      <c r="K2178" s="10" t="s">
        <v>3126</v>
      </c>
      <c r="L2178" s="10" t="s">
        <v>392</v>
      </c>
      <c r="M2178" s="10" t="s">
        <v>1834</v>
      </c>
      <c r="N2178" s="7"/>
    </row>
    <row r="2179" s="1" customFormat="1" ht="28.5" customHeight="1" spans="1:14">
      <c r="A2179" s="8"/>
      <c r="B2179" s="9"/>
      <c r="C2179" s="9" t="s">
        <v>1289</v>
      </c>
      <c r="D2179" s="9">
        <v>2500</v>
      </c>
      <c r="E2179" s="9"/>
      <c r="F2179" s="9"/>
      <c r="G2179" s="10" t="s">
        <v>3127</v>
      </c>
      <c r="H2179" s="10" t="s">
        <v>563</v>
      </c>
      <c r="I2179" s="10"/>
      <c r="J2179" s="9">
        <v>11597</v>
      </c>
      <c r="K2179" s="10" t="s">
        <v>3128</v>
      </c>
      <c r="L2179" s="10" t="s">
        <v>392</v>
      </c>
      <c r="M2179" s="10" t="s">
        <v>1834</v>
      </c>
      <c r="N2179" s="7"/>
    </row>
    <row r="2180" s="1" customFormat="1" ht="28.5" customHeight="1" spans="1:14">
      <c r="A2180" s="8"/>
      <c r="B2180" s="9"/>
      <c r="C2180" s="9" t="s">
        <v>1289</v>
      </c>
      <c r="D2180" s="9">
        <v>2000</v>
      </c>
      <c r="E2180" s="9"/>
      <c r="F2180" s="9"/>
      <c r="G2180" s="10" t="s">
        <v>3129</v>
      </c>
      <c r="H2180" s="10" t="s">
        <v>563</v>
      </c>
      <c r="I2180" s="10"/>
      <c r="J2180" s="9">
        <v>11598</v>
      </c>
      <c r="K2180" s="10" t="s">
        <v>3130</v>
      </c>
      <c r="L2180" s="10" t="s">
        <v>392</v>
      </c>
      <c r="M2180" s="10" t="s">
        <v>1834</v>
      </c>
      <c r="N2180" s="7"/>
    </row>
    <row r="2181" s="1" customFormat="1" ht="28.5" customHeight="1" spans="1:14">
      <c r="A2181" s="8"/>
      <c r="B2181" s="9"/>
      <c r="C2181" s="9" t="s">
        <v>1289</v>
      </c>
      <c r="D2181" s="9">
        <v>1500</v>
      </c>
      <c r="E2181" s="9"/>
      <c r="F2181" s="9"/>
      <c r="G2181" s="10" t="s">
        <v>3131</v>
      </c>
      <c r="H2181" s="10" t="s">
        <v>563</v>
      </c>
      <c r="I2181" s="10"/>
      <c r="J2181" s="9">
        <v>11599</v>
      </c>
      <c r="K2181" s="10" t="s">
        <v>3132</v>
      </c>
      <c r="L2181" s="10" t="s">
        <v>392</v>
      </c>
      <c r="M2181" s="10" t="s">
        <v>1834</v>
      </c>
      <c r="N2181" s="7"/>
    </row>
    <row r="2182" s="1" customFormat="1" ht="28.5" customHeight="1" spans="1:14">
      <c r="A2182" s="8"/>
      <c r="B2182" s="9"/>
      <c r="C2182" s="9" t="s">
        <v>1289</v>
      </c>
      <c r="D2182" s="9">
        <v>1000</v>
      </c>
      <c r="E2182" s="9"/>
      <c r="F2182" s="9"/>
      <c r="G2182" s="10" t="s">
        <v>3133</v>
      </c>
      <c r="H2182" s="10" t="s">
        <v>563</v>
      </c>
      <c r="I2182" s="10"/>
      <c r="J2182" s="9">
        <v>11600</v>
      </c>
      <c r="K2182" s="10" t="s">
        <v>3134</v>
      </c>
      <c r="L2182" s="10" t="s">
        <v>392</v>
      </c>
      <c r="M2182" s="10" t="s">
        <v>1834</v>
      </c>
      <c r="N2182" s="7"/>
    </row>
    <row r="2183" s="1" customFormat="1" ht="28.5" customHeight="1" spans="1:14">
      <c r="A2183" s="8">
        <v>60501</v>
      </c>
      <c r="B2183" s="9">
        <v>60511</v>
      </c>
      <c r="C2183" s="9" t="s">
        <v>33</v>
      </c>
      <c r="D2183" s="9">
        <v>3000</v>
      </c>
      <c r="E2183" s="9"/>
      <c r="F2183" s="9">
        <v>60502</v>
      </c>
      <c r="G2183" s="10" t="s">
        <v>3083</v>
      </c>
      <c r="H2183" s="10" t="s">
        <v>563</v>
      </c>
      <c r="I2183" s="10"/>
      <c r="J2183" s="9">
        <v>51601</v>
      </c>
      <c r="K2183" s="10" t="s">
        <v>3084</v>
      </c>
      <c r="L2183" s="10" t="s">
        <v>426</v>
      </c>
      <c r="M2183" s="10" t="s">
        <v>1842</v>
      </c>
      <c r="N2183" s="7"/>
    </row>
    <row r="2184" s="1" customFormat="1" ht="28.5" customHeight="1" spans="1:14">
      <c r="A2184" s="8">
        <v>60501</v>
      </c>
      <c r="B2184" s="9">
        <v>60512</v>
      </c>
      <c r="C2184" s="9" t="s">
        <v>33</v>
      </c>
      <c r="D2184" s="9">
        <v>2500</v>
      </c>
      <c r="E2184" s="9"/>
      <c r="F2184" s="9">
        <v>60502</v>
      </c>
      <c r="G2184" s="10" t="s">
        <v>3135</v>
      </c>
      <c r="H2184" s="10" t="s">
        <v>563</v>
      </c>
      <c r="I2184" s="10"/>
      <c r="J2184" s="9">
        <v>51602</v>
      </c>
      <c r="K2184" s="10" t="s">
        <v>3136</v>
      </c>
      <c r="L2184" s="10" t="s">
        <v>426</v>
      </c>
      <c r="M2184" s="10" t="s">
        <v>1842</v>
      </c>
      <c r="N2184" s="7"/>
    </row>
    <row r="2185" s="1" customFormat="1" ht="28.5" customHeight="1" spans="1:14">
      <c r="A2185" s="8">
        <v>60501</v>
      </c>
      <c r="B2185" s="9">
        <v>60513</v>
      </c>
      <c r="C2185" s="9" t="s">
        <v>33</v>
      </c>
      <c r="D2185" s="9">
        <v>2000</v>
      </c>
      <c r="E2185" s="9"/>
      <c r="F2185" s="9">
        <v>60502</v>
      </c>
      <c r="G2185" s="10" t="s">
        <v>3137</v>
      </c>
      <c r="H2185" s="10" t="s">
        <v>563</v>
      </c>
      <c r="I2185" s="10"/>
      <c r="J2185" s="9">
        <v>51603</v>
      </c>
      <c r="K2185" s="10" t="s">
        <v>3138</v>
      </c>
      <c r="L2185" s="10" t="s">
        <v>426</v>
      </c>
      <c r="M2185" s="10" t="s">
        <v>1842</v>
      </c>
      <c r="N2185" s="7"/>
    </row>
    <row r="2186" s="1" customFormat="1" ht="28.5" customHeight="1" spans="1:14">
      <c r="A2186" s="8">
        <v>60501</v>
      </c>
      <c r="B2186" s="9">
        <v>60514</v>
      </c>
      <c r="C2186" s="9" t="s">
        <v>33</v>
      </c>
      <c r="D2186" s="9">
        <v>1500</v>
      </c>
      <c r="E2186" s="9"/>
      <c r="F2186" s="9">
        <v>60502</v>
      </c>
      <c r="G2186" s="10" t="s">
        <v>3139</v>
      </c>
      <c r="H2186" s="10" t="s">
        <v>563</v>
      </c>
      <c r="I2186" s="10"/>
      <c r="J2186" s="9">
        <v>51604</v>
      </c>
      <c r="K2186" s="10" t="s">
        <v>3140</v>
      </c>
      <c r="L2186" s="10" t="s">
        <v>426</v>
      </c>
      <c r="M2186" s="10" t="s">
        <v>1842</v>
      </c>
      <c r="N2186" s="7"/>
    </row>
    <row r="2187" s="1" customFormat="1" ht="28.5" customHeight="1" spans="1:14">
      <c r="A2187" s="8">
        <v>60501</v>
      </c>
      <c r="B2187" s="9">
        <v>60515</v>
      </c>
      <c r="C2187" s="9" t="s">
        <v>33</v>
      </c>
      <c r="D2187" s="9">
        <v>1000</v>
      </c>
      <c r="E2187" s="9"/>
      <c r="F2187" s="9">
        <v>60502</v>
      </c>
      <c r="G2187" s="10" t="s">
        <v>3141</v>
      </c>
      <c r="H2187" s="10" t="s">
        <v>563</v>
      </c>
      <c r="I2187" s="10"/>
      <c r="J2187" s="9">
        <v>51605</v>
      </c>
      <c r="K2187" s="10" t="s">
        <v>3142</v>
      </c>
      <c r="L2187" s="10" t="s">
        <v>426</v>
      </c>
      <c r="M2187" s="10" t="s">
        <v>1842</v>
      </c>
      <c r="N2187" s="7"/>
    </row>
    <row r="2188" s="1" customFormat="1" ht="28.5" customHeight="1" spans="1:14">
      <c r="A2188" s="8">
        <v>60501</v>
      </c>
      <c r="B2188" s="9">
        <v>60516</v>
      </c>
      <c r="C2188" s="9" t="s">
        <v>33</v>
      </c>
      <c r="D2188" s="9">
        <v>0</v>
      </c>
      <c r="E2188" s="9"/>
      <c r="F2188" s="9">
        <v>60503</v>
      </c>
      <c r="G2188" s="10" t="s">
        <v>3085</v>
      </c>
      <c r="H2188" s="10" t="s">
        <v>563</v>
      </c>
      <c r="I2188" s="10"/>
      <c r="J2188" s="9">
        <v>61606</v>
      </c>
      <c r="K2188" s="10" t="s">
        <v>3086</v>
      </c>
      <c r="L2188" s="10" t="s">
        <v>427</v>
      </c>
      <c r="M2188" s="10" t="s">
        <v>1842</v>
      </c>
      <c r="N2188" s="7"/>
    </row>
    <row r="2189" s="1" customFormat="1" ht="28.5" customHeight="1" spans="1:14">
      <c r="A2189" s="8">
        <v>60501</v>
      </c>
      <c r="B2189" s="9">
        <v>60517</v>
      </c>
      <c r="C2189" s="9" t="s">
        <v>33</v>
      </c>
      <c r="D2189" s="9">
        <v>0</v>
      </c>
      <c r="E2189" s="9"/>
      <c r="F2189" s="9">
        <v>60503</v>
      </c>
      <c r="G2189" s="10" t="s">
        <v>3087</v>
      </c>
      <c r="H2189" s="10" t="s">
        <v>563</v>
      </c>
      <c r="I2189" s="10"/>
      <c r="J2189" s="9">
        <v>61607</v>
      </c>
      <c r="K2189" s="10" t="s">
        <v>3088</v>
      </c>
      <c r="L2189" s="10" t="s">
        <v>427</v>
      </c>
      <c r="M2189" s="10" t="s">
        <v>1842</v>
      </c>
      <c r="N2189" s="7"/>
    </row>
    <row r="2190" s="1" customFormat="1" ht="28.5" customHeight="1" spans="1:14">
      <c r="A2190" s="8">
        <v>60501</v>
      </c>
      <c r="B2190" s="9">
        <v>60518</v>
      </c>
      <c r="C2190" s="9" t="s">
        <v>33</v>
      </c>
      <c r="D2190" s="9">
        <v>0</v>
      </c>
      <c r="E2190" s="9"/>
      <c r="F2190" s="9">
        <v>60503</v>
      </c>
      <c r="G2190" s="10" t="s">
        <v>3089</v>
      </c>
      <c r="H2190" s="10" t="s">
        <v>563</v>
      </c>
      <c r="I2190" s="10"/>
      <c r="J2190" s="9">
        <v>61608</v>
      </c>
      <c r="K2190" s="10" t="s">
        <v>3090</v>
      </c>
      <c r="L2190" s="10" t="s">
        <v>427</v>
      </c>
      <c r="M2190" s="10" t="s">
        <v>1842</v>
      </c>
      <c r="N2190" s="7"/>
    </row>
    <row r="2191" s="1" customFormat="1" ht="28.5" customHeight="1" spans="1:14">
      <c r="A2191" s="8">
        <v>60501</v>
      </c>
      <c r="B2191" s="9">
        <v>60519</v>
      </c>
      <c r="C2191" s="9" t="s">
        <v>33</v>
      </c>
      <c r="D2191" s="9">
        <v>0</v>
      </c>
      <c r="E2191" s="9"/>
      <c r="F2191" s="9">
        <v>60503</v>
      </c>
      <c r="G2191" s="10" t="s">
        <v>3091</v>
      </c>
      <c r="H2191" s="10" t="s">
        <v>563</v>
      </c>
      <c r="I2191" s="10"/>
      <c r="J2191" s="9">
        <v>61609</v>
      </c>
      <c r="K2191" s="10" t="s">
        <v>3092</v>
      </c>
      <c r="L2191" s="10" t="s">
        <v>427</v>
      </c>
      <c r="M2191" s="10" t="s">
        <v>1842</v>
      </c>
      <c r="N2191" s="7"/>
    </row>
    <row r="2192" s="1" customFormat="1" ht="28.5" customHeight="1" spans="1:14">
      <c r="A2192" s="8">
        <v>60501</v>
      </c>
      <c r="B2192" s="9">
        <v>60520</v>
      </c>
      <c r="C2192" s="9" t="s">
        <v>33</v>
      </c>
      <c r="D2192" s="9">
        <v>0</v>
      </c>
      <c r="E2192" s="9"/>
      <c r="F2192" s="9">
        <v>60503</v>
      </c>
      <c r="G2192" s="10" t="s">
        <v>3093</v>
      </c>
      <c r="H2192" s="10" t="s">
        <v>563</v>
      </c>
      <c r="I2192" s="10"/>
      <c r="J2192" s="9">
        <v>61610</v>
      </c>
      <c r="K2192" s="10" t="s">
        <v>3094</v>
      </c>
      <c r="L2192" s="10" t="s">
        <v>427</v>
      </c>
      <c r="M2192" s="10" t="s">
        <v>1842</v>
      </c>
      <c r="N2192" s="7"/>
    </row>
    <row r="2193" s="1" customFormat="1" ht="28.5" customHeight="1" spans="1:14">
      <c r="A2193" s="8"/>
      <c r="B2193" s="9"/>
      <c r="C2193" s="9" t="s">
        <v>1289</v>
      </c>
      <c r="D2193" s="9">
        <v>3000</v>
      </c>
      <c r="E2193" s="9"/>
      <c r="F2193" s="9"/>
      <c r="G2193" s="10" t="s">
        <v>3143</v>
      </c>
      <c r="H2193" s="10" t="s">
        <v>563</v>
      </c>
      <c r="I2193" s="10"/>
      <c r="J2193" s="9">
        <v>31611</v>
      </c>
      <c r="K2193" s="10" t="s">
        <v>3144</v>
      </c>
      <c r="L2193" s="10" t="s">
        <v>428</v>
      </c>
      <c r="M2193" s="10" t="s">
        <v>1834</v>
      </c>
      <c r="N2193" s="7"/>
    </row>
    <row r="2194" s="1" customFormat="1" ht="28.5" customHeight="1" spans="1:14">
      <c r="A2194" s="8"/>
      <c r="B2194" s="9"/>
      <c r="C2194" s="9" t="s">
        <v>1289</v>
      </c>
      <c r="D2194" s="9">
        <v>2500</v>
      </c>
      <c r="E2194" s="9"/>
      <c r="F2194" s="9"/>
      <c r="G2194" s="10" t="s">
        <v>3145</v>
      </c>
      <c r="H2194" s="10" t="s">
        <v>563</v>
      </c>
      <c r="I2194" s="10"/>
      <c r="J2194" s="9">
        <v>31612</v>
      </c>
      <c r="K2194" s="10" t="s">
        <v>3146</v>
      </c>
      <c r="L2194" s="10" t="s">
        <v>428</v>
      </c>
      <c r="M2194" s="10" t="s">
        <v>1834</v>
      </c>
      <c r="N2194" s="7"/>
    </row>
    <row r="2195" s="1" customFormat="1" ht="28.5" customHeight="1" spans="1:14">
      <c r="A2195" s="8"/>
      <c r="B2195" s="9"/>
      <c r="C2195" s="9" t="s">
        <v>1289</v>
      </c>
      <c r="D2195" s="9">
        <v>2000</v>
      </c>
      <c r="E2195" s="9"/>
      <c r="F2195" s="9"/>
      <c r="G2195" s="10" t="s">
        <v>3147</v>
      </c>
      <c r="H2195" s="10" t="s">
        <v>563</v>
      </c>
      <c r="I2195" s="10"/>
      <c r="J2195" s="9">
        <v>31613</v>
      </c>
      <c r="K2195" s="10" t="s">
        <v>3148</v>
      </c>
      <c r="L2195" s="10" t="s">
        <v>428</v>
      </c>
      <c r="M2195" s="10" t="s">
        <v>1834</v>
      </c>
      <c r="N2195" s="7"/>
    </row>
    <row r="2196" s="1" customFormat="1" ht="28.5" customHeight="1" spans="1:14">
      <c r="A2196" s="8"/>
      <c r="B2196" s="9"/>
      <c r="C2196" s="9" t="s">
        <v>1289</v>
      </c>
      <c r="D2196" s="9">
        <v>1500</v>
      </c>
      <c r="E2196" s="9"/>
      <c r="F2196" s="9"/>
      <c r="G2196" s="10" t="s">
        <v>3149</v>
      </c>
      <c r="H2196" s="10" t="s">
        <v>563</v>
      </c>
      <c r="I2196" s="10"/>
      <c r="J2196" s="9">
        <v>31614</v>
      </c>
      <c r="K2196" s="10" t="s">
        <v>3150</v>
      </c>
      <c r="L2196" s="10" t="s">
        <v>428</v>
      </c>
      <c r="M2196" s="10" t="s">
        <v>1834</v>
      </c>
      <c r="N2196" s="7"/>
    </row>
    <row r="2197" s="1" customFormat="1" ht="28.5" customHeight="1" spans="1:14">
      <c r="A2197" s="8"/>
      <c r="B2197" s="9"/>
      <c r="C2197" s="9" t="s">
        <v>1289</v>
      </c>
      <c r="D2197" s="9">
        <v>1000</v>
      </c>
      <c r="E2197" s="9"/>
      <c r="F2197" s="9"/>
      <c r="G2197" s="10" t="s">
        <v>3151</v>
      </c>
      <c r="H2197" s="10" t="s">
        <v>563</v>
      </c>
      <c r="I2197" s="10"/>
      <c r="J2197" s="9">
        <v>31615</v>
      </c>
      <c r="K2197" s="10" t="s">
        <v>3152</v>
      </c>
      <c r="L2197" s="10" t="s">
        <v>428</v>
      </c>
      <c r="M2197" s="10" t="s">
        <v>1834</v>
      </c>
      <c r="N2197" s="7"/>
    </row>
    <row r="2198" s="1" customFormat="1" ht="28.5" customHeight="1" spans="1:14">
      <c r="A2198" s="8">
        <v>60501</v>
      </c>
      <c r="B2198" s="9">
        <v>60521</v>
      </c>
      <c r="C2198" s="9" t="s">
        <v>33</v>
      </c>
      <c r="D2198" s="9">
        <v>3000</v>
      </c>
      <c r="E2198" s="9"/>
      <c r="F2198" s="9">
        <v>60504</v>
      </c>
      <c r="G2198" s="10" t="s">
        <v>3113</v>
      </c>
      <c r="H2198" s="10" t="s">
        <v>563</v>
      </c>
      <c r="I2198" s="10"/>
      <c r="J2198" s="9">
        <v>41616</v>
      </c>
      <c r="K2198" s="10" t="s">
        <v>3114</v>
      </c>
      <c r="L2198" s="10" t="s">
        <v>429</v>
      </c>
      <c r="M2198" s="10" t="s">
        <v>1842</v>
      </c>
      <c r="N2198" s="7"/>
    </row>
    <row r="2199" s="1" customFormat="1" ht="28.5" customHeight="1" spans="1:14">
      <c r="A2199" s="8">
        <v>60501</v>
      </c>
      <c r="B2199" s="9">
        <v>60522</v>
      </c>
      <c r="C2199" s="9" t="s">
        <v>33</v>
      </c>
      <c r="D2199" s="9">
        <v>2500</v>
      </c>
      <c r="E2199" s="9"/>
      <c r="F2199" s="9">
        <v>60504</v>
      </c>
      <c r="G2199" s="10" t="s">
        <v>3153</v>
      </c>
      <c r="H2199" s="10" t="s">
        <v>563</v>
      </c>
      <c r="I2199" s="10"/>
      <c r="J2199" s="9">
        <v>41617</v>
      </c>
      <c r="K2199" s="10" t="s">
        <v>3154</v>
      </c>
      <c r="L2199" s="10" t="s">
        <v>429</v>
      </c>
      <c r="M2199" s="10" t="s">
        <v>1842</v>
      </c>
      <c r="N2199" s="7"/>
    </row>
    <row r="2200" s="1" customFormat="1" ht="28.5" customHeight="1" spans="1:14">
      <c r="A2200" s="8">
        <v>60501</v>
      </c>
      <c r="B2200" s="9">
        <v>60523</v>
      </c>
      <c r="C2200" s="9" t="s">
        <v>33</v>
      </c>
      <c r="D2200" s="9">
        <v>2000</v>
      </c>
      <c r="E2200" s="9"/>
      <c r="F2200" s="9">
        <v>60504</v>
      </c>
      <c r="G2200" s="10" t="s">
        <v>3155</v>
      </c>
      <c r="H2200" s="10" t="s">
        <v>563</v>
      </c>
      <c r="I2200" s="10"/>
      <c r="J2200" s="9">
        <v>41618</v>
      </c>
      <c r="K2200" s="10" t="s">
        <v>3156</v>
      </c>
      <c r="L2200" s="10" t="s">
        <v>429</v>
      </c>
      <c r="M2200" s="10" t="s">
        <v>1842</v>
      </c>
      <c r="N2200" s="7"/>
    </row>
    <row r="2201" s="1" customFormat="1" ht="28.5" customHeight="1" spans="1:14">
      <c r="A2201" s="8">
        <v>60501</v>
      </c>
      <c r="B2201" s="9">
        <v>60524</v>
      </c>
      <c r="C2201" s="9" t="s">
        <v>33</v>
      </c>
      <c r="D2201" s="9">
        <v>1500</v>
      </c>
      <c r="E2201" s="9"/>
      <c r="F2201" s="9">
        <v>60504</v>
      </c>
      <c r="G2201" s="10" t="s">
        <v>3157</v>
      </c>
      <c r="H2201" s="10" t="s">
        <v>563</v>
      </c>
      <c r="I2201" s="10"/>
      <c r="J2201" s="9">
        <v>41619</v>
      </c>
      <c r="K2201" s="10" t="s">
        <v>3158</v>
      </c>
      <c r="L2201" s="10" t="s">
        <v>429</v>
      </c>
      <c r="M2201" s="10" t="s">
        <v>1842</v>
      </c>
      <c r="N2201" s="7"/>
    </row>
    <row r="2202" s="1" customFormat="1" ht="28.5" customHeight="1" spans="1:14">
      <c r="A2202" s="8">
        <v>60501</v>
      </c>
      <c r="B2202" s="9">
        <v>60525</v>
      </c>
      <c r="C2202" s="9" t="s">
        <v>33</v>
      </c>
      <c r="D2202" s="9">
        <v>1000</v>
      </c>
      <c r="E2202" s="9"/>
      <c r="F2202" s="9">
        <v>60504</v>
      </c>
      <c r="G2202" s="10" t="s">
        <v>3159</v>
      </c>
      <c r="H2202" s="10" t="s">
        <v>563</v>
      </c>
      <c r="I2202" s="10"/>
      <c r="J2202" s="9">
        <v>41620</v>
      </c>
      <c r="K2202" s="10" t="s">
        <v>3160</v>
      </c>
      <c r="L2202" s="10" t="s">
        <v>429</v>
      </c>
      <c r="M2202" s="10" t="s">
        <v>1842</v>
      </c>
      <c r="N2202" s="7"/>
    </row>
    <row r="2203" s="1" customFormat="1" ht="28.5" customHeight="1" spans="1:14">
      <c r="A2203" s="8"/>
      <c r="B2203" s="9"/>
      <c r="C2203" s="9" t="s">
        <v>1289</v>
      </c>
      <c r="D2203" s="9">
        <v>3000</v>
      </c>
      <c r="E2203" s="9"/>
      <c r="F2203" s="9"/>
      <c r="G2203" s="10" t="s">
        <v>3161</v>
      </c>
      <c r="H2203" s="10" t="s">
        <v>563</v>
      </c>
      <c r="I2203" s="10"/>
      <c r="J2203" s="9">
        <v>11621</v>
      </c>
      <c r="K2203" s="10" t="s">
        <v>3162</v>
      </c>
      <c r="L2203" s="10" t="s">
        <v>260</v>
      </c>
      <c r="M2203" s="10" t="s">
        <v>1834</v>
      </c>
      <c r="N2203" s="7"/>
    </row>
    <row r="2204" s="1" customFormat="1" ht="28.5" customHeight="1" spans="1:14">
      <c r="A2204" s="8"/>
      <c r="B2204" s="9"/>
      <c r="C2204" s="9" t="s">
        <v>1289</v>
      </c>
      <c r="D2204" s="9">
        <v>2500</v>
      </c>
      <c r="E2204" s="9"/>
      <c r="F2204" s="9"/>
      <c r="G2204" s="10" t="s">
        <v>3163</v>
      </c>
      <c r="H2204" s="10" t="s">
        <v>563</v>
      </c>
      <c r="I2204" s="10"/>
      <c r="J2204" s="9">
        <v>11622</v>
      </c>
      <c r="K2204" s="10" t="s">
        <v>3164</v>
      </c>
      <c r="L2204" s="10" t="s">
        <v>260</v>
      </c>
      <c r="M2204" s="10" t="s">
        <v>1834</v>
      </c>
      <c r="N2204" s="7"/>
    </row>
    <row r="2205" s="1" customFormat="1" ht="28.5" customHeight="1" spans="1:14">
      <c r="A2205" s="8"/>
      <c r="B2205" s="9"/>
      <c r="C2205" s="9" t="s">
        <v>1289</v>
      </c>
      <c r="D2205" s="9">
        <v>2000</v>
      </c>
      <c r="E2205" s="9"/>
      <c r="F2205" s="9"/>
      <c r="G2205" s="10" t="s">
        <v>3165</v>
      </c>
      <c r="H2205" s="10" t="s">
        <v>563</v>
      </c>
      <c r="I2205" s="10"/>
      <c r="J2205" s="9">
        <v>11623</v>
      </c>
      <c r="K2205" s="10" t="s">
        <v>3166</v>
      </c>
      <c r="L2205" s="10" t="s">
        <v>260</v>
      </c>
      <c r="M2205" s="10" t="s">
        <v>1834</v>
      </c>
      <c r="N2205" s="7"/>
    </row>
    <row r="2206" s="1" customFormat="1" ht="28.5" customHeight="1" spans="1:14">
      <c r="A2206" s="8"/>
      <c r="B2206" s="9"/>
      <c r="C2206" s="9" t="s">
        <v>1289</v>
      </c>
      <c r="D2206" s="9">
        <v>1500</v>
      </c>
      <c r="E2206" s="9"/>
      <c r="F2206" s="9"/>
      <c r="G2206" s="10" t="s">
        <v>3167</v>
      </c>
      <c r="H2206" s="10" t="s">
        <v>563</v>
      </c>
      <c r="I2206" s="10"/>
      <c r="J2206" s="9">
        <v>11624</v>
      </c>
      <c r="K2206" s="10" t="s">
        <v>3168</v>
      </c>
      <c r="L2206" s="10" t="s">
        <v>260</v>
      </c>
      <c r="M2206" s="10" t="s">
        <v>1834</v>
      </c>
      <c r="N2206" s="7"/>
    </row>
    <row r="2207" s="1" customFormat="1" ht="28.5" customHeight="1" spans="1:14">
      <c r="A2207" s="8"/>
      <c r="B2207" s="9"/>
      <c r="C2207" s="9" t="s">
        <v>1289</v>
      </c>
      <c r="D2207" s="9">
        <v>1000</v>
      </c>
      <c r="E2207" s="9"/>
      <c r="F2207" s="9"/>
      <c r="G2207" s="10" t="s">
        <v>3169</v>
      </c>
      <c r="H2207" s="10" t="s">
        <v>563</v>
      </c>
      <c r="I2207" s="10"/>
      <c r="J2207" s="9">
        <v>11625</v>
      </c>
      <c r="K2207" s="10" t="s">
        <v>3170</v>
      </c>
      <c r="L2207" s="10" t="s">
        <v>260</v>
      </c>
      <c r="M2207" s="10" t="s">
        <v>1834</v>
      </c>
      <c r="N2207" s="7"/>
    </row>
    <row r="2208" s="1" customFormat="1" ht="28.5" customHeight="1" spans="1:14">
      <c r="A2208" s="8">
        <v>60601</v>
      </c>
      <c r="B2208" s="9">
        <v>60601</v>
      </c>
      <c r="C2208" s="9" t="s">
        <v>34</v>
      </c>
      <c r="D2208" s="9">
        <v>0</v>
      </c>
      <c r="E2208" s="9"/>
      <c r="F2208" s="9">
        <v>60600</v>
      </c>
      <c r="G2208" s="10" t="s">
        <v>1351</v>
      </c>
      <c r="H2208" s="10" t="s">
        <v>563</v>
      </c>
      <c r="I2208" s="10"/>
      <c r="J2208" s="9">
        <v>61626</v>
      </c>
      <c r="K2208" s="10" t="s">
        <v>1976</v>
      </c>
      <c r="L2208" s="10" t="s">
        <v>259</v>
      </c>
      <c r="M2208" s="10" t="s">
        <v>1842</v>
      </c>
      <c r="N2208" s="7"/>
    </row>
    <row r="2209" s="1" customFormat="1" ht="28.5" customHeight="1" spans="1:14">
      <c r="A2209" s="8">
        <v>60601</v>
      </c>
      <c r="B2209" s="9">
        <v>60602</v>
      </c>
      <c r="C2209" s="9" t="s">
        <v>34</v>
      </c>
      <c r="D2209" s="9">
        <v>0</v>
      </c>
      <c r="E2209" s="9"/>
      <c r="F2209" s="9">
        <v>60600</v>
      </c>
      <c r="G2209" s="10" t="s">
        <v>1353</v>
      </c>
      <c r="H2209" s="10" t="s">
        <v>563</v>
      </c>
      <c r="I2209" s="10"/>
      <c r="J2209" s="9">
        <v>61627</v>
      </c>
      <c r="K2209" s="10" t="s">
        <v>1977</v>
      </c>
      <c r="L2209" s="10" t="s">
        <v>259</v>
      </c>
      <c r="M2209" s="10" t="s">
        <v>1842</v>
      </c>
      <c r="N2209" s="7"/>
    </row>
    <row r="2210" s="1" customFormat="1" ht="28.5" customHeight="1" spans="1:14">
      <c r="A2210" s="8">
        <v>60601</v>
      </c>
      <c r="B2210" s="9">
        <v>60603</v>
      </c>
      <c r="C2210" s="9" t="s">
        <v>34</v>
      </c>
      <c r="D2210" s="9">
        <v>0</v>
      </c>
      <c r="E2210" s="9"/>
      <c r="F2210" s="9">
        <v>60600</v>
      </c>
      <c r="G2210" s="10" t="s">
        <v>1355</v>
      </c>
      <c r="H2210" s="10" t="s">
        <v>563</v>
      </c>
      <c r="I2210" s="10"/>
      <c r="J2210" s="9">
        <v>61628</v>
      </c>
      <c r="K2210" s="10" t="s">
        <v>1978</v>
      </c>
      <c r="L2210" s="10" t="s">
        <v>259</v>
      </c>
      <c r="M2210" s="10" t="s">
        <v>1842</v>
      </c>
      <c r="N2210" s="7"/>
    </row>
    <row r="2211" s="1" customFormat="1" ht="28.5" customHeight="1" spans="1:14">
      <c r="A2211" s="8">
        <v>60601</v>
      </c>
      <c r="B2211" s="9">
        <v>60604</v>
      </c>
      <c r="C2211" s="9" t="s">
        <v>34</v>
      </c>
      <c r="D2211" s="9">
        <v>0</v>
      </c>
      <c r="E2211" s="9"/>
      <c r="F2211" s="9">
        <v>60600</v>
      </c>
      <c r="G2211" s="10" t="s">
        <v>1357</v>
      </c>
      <c r="H2211" s="10" t="s">
        <v>563</v>
      </c>
      <c r="I2211" s="10"/>
      <c r="J2211" s="9">
        <v>61629</v>
      </c>
      <c r="K2211" s="10" t="s">
        <v>1979</v>
      </c>
      <c r="L2211" s="10" t="s">
        <v>259</v>
      </c>
      <c r="M2211" s="10" t="s">
        <v>1842</v>
      </c>
      <c r="N2211" s="7"/>
    </row>
    <row r="2212" s="1" customFormat="1" ht="28.5" customHeight="1" spans="1:14">
      <c r="A2212" s="8">
        <v>60601</v>
      </c>
      <c r="B2212" s="9">
        <v>60605</v>
      </c>
      <c r="C2212" s="9" t="s">
        <v>34</v>
      </c>
      <c r="D2212" s="9">
        <v>0</v>
      </c>
      <c r="E2212" s="9"/>
      <c r="F2212" s="9">
        <v>60600</v>
      </c>
      <c r="G2212" s="10" t="s">
        <v>1359</v>
      </c>
      <c r="H2212" s="10" t="s">
        <v>563</v>
      </c>
      <c r="I2212" s="10"/>
      <c r="J2212" s="9">
        <v>61630</v>
      </c>
      <c r="K2212" s="10" t="s">
        <v>1980</v>
      </c>
      <c r="L2212" s="10" t="s">
        <v>259</v>
      </c>
      <c r="M2212" s="10" t="s">
        <v>1842</v>
      </c>
      <c r="N2212" s="7"/>
    </row>
    <row r="2213" s="1" customFormat="1" ht="28.5" customHeight="1" spans="1:14">
      <c r="A2213" s="8">
        <v>60601</v>
      </c>
      <c r="B2213" s="9">
        <v>60606</v>
      </c>
      <c r="C2213" s="9" t="s">
        <v>34</v>
      </c>
      <c r="D2213" s="9">
        <v>3000</v>
      </c>
      <c r="E2213" s="9"/>
      <c r="F2213" s="9">
        <v>60601</v>
      </c>
      <c r="G2213" s="10" t="s">
        <v>1981</v>
      </c>
      <c r="H2213" s="10" t="s">
        <v>563</v>
      </c>
      <c r="I2213" s="10"/>
      <c r="J2213" s="9">
        <v>21631</v>
      </c>
      <c r="K2213" s="10" t="s">
        <v>1982</v>
      </c>
      <c r="L2213" s="10" t="s">
        <v>260</v>
      </c>
      <c r="M2213" s="10" t="s">
        <v>1842</v>
      </c>
      <c r="N2213" s="7"/>
    </row>
    <row r="2214" s="1" customFormat="1" ht="28.5" customHeight="1" spans="1:14">
      <c r="A2214" s="8">
        <v>60601</v>
      </c>
      <c r="B2214" s="9">
        <v>60607</v>
      </c>
      <c r="C2214" s="9" t="s">
        <v>34</v>
      </c>
      <c r="D2214" s="9">
        <v>2500</v>
      </c>
      <c r="E2214" s="9"/>
      <c r="F2214" s="9">
        <v>60601</v>
      </c>
      <c r="G2214" s="10" t="s">
        <v>1983</v>
      </c>
      <c r="H2214" s="10" t="s">
        <v>563</v>
      </c>
      <c r="I2214" s="10"/>
      <c r="J2214" s="9">
        <v>21632</v>
      </c>
      <c r="K2214" s="10" t="s">
        <v>1984</v>
      </c>
      <c r="L2214" s="10" t="s">
        <v>260</v>
      </c>
      <c r="M2214" s="10" t="s">
        <v>1842</v>
      </c>
      <c r="N2214" s="7"/>
    </row>
    <row r="2215" s="1" customFormat="1" ht="28.5" customHeight="1" spans="1:14">
      <c r="A2215" s="8">
        <v>60601</v>
      </c>
      <c r="B2215" s="9">
        <v>60608</v>
      </c>
      <c r="C2215" s="9" t="s">
        <v>34</v>
      </c>
      <c r="D2215" s="9">
        <v>2000</v>
      </c>
      <c r="E2215" s="9"/>
      <c r="F2215" s="9">
        <v>60601</v>
      </c>
      <c r="G2215" s="10" t="s">
        <v>1927</v>
      </c>
      <c r="H2215" s="10" t="s">
        <v>563</v>
      </c>
      <c r="I2215" s="10"/>
      <c r="J2215" s="9">
        <v>21633</v>
      </c>
      <c r="K2215" s="10" t="s">
        <v>1928</v>
      </c>
      <c r="L2215" s="10" t="s">
        <v>260</v>
      </c>
      <c r="M2215" s="10" t="s">
        <v>1842</v>
      </c>
      <c r="N2215" s="7"/>
    </row>
    <row r="2216" s="1" customFormat="1" ht="28.5" customHeight="1" spans="1:14">
      <c r="A2216" s="8">
        <v>60601</v>
      </c>
      <c r="B2216" s="9">
        <v>60609</v>
      </c>
      <c r="C2216" s="9" t="s">
        <v>34</v>
      </c>
      <c r="D2216" s="9">
        <v>1500</v>
      </c>
      <c r="E2216" s="9"/>
      <c r="F2216" s="9">
        <v>60601</v>
      </c>
      <c r="G2216" s="10" t="s">
        <v>1985</v>
      </c>
      <c r="H2216" s="10" t="s">
        <v>563</v>
      </c>
      <c r="I2216" s="10"/>
      <c r="J2216" s="9">
        <v>21634</v>
      </c>
      <c r="K2216" s="10" t="s">
        <v>1986</v>
      </c>
      <c r="L2216" s="10" t="s">
        <v>260</v>
      </c>
      <c r="M2216" s="10" t="s">
        <v>1842</v>
      </c>
      <c r="N2216" s="7"/>
    </row>
    <row r="2217" s="1" customFormat="1" ht="28.5" customHeight="1" spans="1:14">
      <c r="A2217" s="8">
        <v>60601</v>
      </c>
      <c r="B2217" s="9">
        <v>60610</v>
      </c>
      <c r="C2217" s="9" t="s">
        <v>34</v>
      </c>
      <c r="D2217" s="9">
        <v>1000</v>
      </c>
      <c r="E2217" s="9"/>
      <c r="F2217" s="9">
        <v>60601</v>
      </c>
      <c r="G2217" s="10" t="s">
        <v>1929</v>
      </c>
      <c r="H2217" s="10" t="s">
        <v>563</v>
      </c>
      <c r="I2217" s="10"/>
      <c r="J2217" s="9">
        <v>21635</v>
      </c>
      <c r="K2217" s="10" t="s">
        <v>1930</v>
      </c>
      <c r="L2217" s="10" t="s">
        <v>260</v>
      </c>
      <c r="M2217" s="10" t="s">
        <v>1842</v>
      </c>
      <c r="N2217" s="7"/>
    </row>
    <row r="2218" s="1" customFormat="1" ht="28.5" customHeight="1" spans="1:14">
      <c r="A2218" s="8"/>
      <c r="B2218" s="9"/>
      <c r="C2218" s="9" t="s">
        <v>1289</v>
      </c>
      <c r="D2218" s="9">
        <v>3000</v>
      </c>
      <c r="E2218" s="9"/>
      <c r="F2218" s="9"/>
      <c r="G2218" s="10" t="s">
        <v>1857</v>
      </c>
      <c r="H2218" s="10" t="s">
        <v>563</v>
      </c>
      <c r="I2218" s="10"/>
      <c r="J2218" s="9">
        <v>91636</v>
      </c>
      <c r="K2218" s="10" t="s">
        <v>1858</v>
      </c>
      <c r="L2218" s="10" t="s">
        <v>224</v>
      </c>
      <c r="M2218" s="10" t="s">
        <v>1834</v>
      </c>
      <c r="N2218" s="7"/>
    </row>
    <row r="2219" s="1" customFormat="1" ht="28.5" customHeight="1" spans="1:14">
      <c r="A2219" s="8"/>
      <c r="B2219" s="9"/>
      <c r="C2219" s="9" t="s">
        <v>1289</v>
      </c>
      <c r="D2219" s="9">
        <v>2500</v>
      </c>
      <c r="E2219" s="9"/>
      <c r="F2219" s="9"/>
      <c r="G2219" s="10" t="s">
        <v>1857</v>
      </c>
      <c r="H2219" s="10" t="s">
        <v>563</v>
      </c>
      <c r="I2219" s="10"/>
      <c r="J2219" s="9">
        <v>91637</v>
      </c>
      <c r="K2219" s="10" t="s">
        <v>1858</v>
      </c>
      <c r="L2219" s="10" t="s">
        <v>224</v>
      </c>
      <c r="M2219" s="10" t="s">
        <v>1834</v>
      </c>
      <c r="N2219" s="7"/>
    </row>
    <row r="2220" s="1" customFormat="1" ht="28.5" customHeight="1" spans="1:14">
      <c r="A2220" s="8"/>
      <c r="B2220" s="9"/>
      <c r="C2220" s="9" t="s">
        <v>1289</v>
      </c>
      <c r="D2220" s="9">
        <v>2000</v>
      </c>
      <c r="E2220" s="9"/>
      <c r="F2220" s="9"/>
      <c r="G2220" s="10" t="s">
        <v>1857</v>
      </c>
      <c r="H2220" s="10" t="s">
        <v>563</v>
      </c>
      <c r="I2220" s="10"/>
      <c r="J2220" s="9">
        <v>91638</v>
      </c>
      <c r="K2220" s="10" t="s">
        <v>1858</v>
      </c>
      <c r="L2220" s="10" t="s">
        <v>224</v>
      </c>
      <c r="M2220" s="10" t="s">
        <v>1834</v>
      </c>
      <c r="N2220" s="7"/>
    </row>
    <row r="2221" s="1" customFormat="1" ht="28.5" customHeight="1" spans="1:14">
      <c r="A2221" s="8"/>
      <c r="B2221" s="9"/>
      <c r="C2221" s="9" t="s">
        <v>1289</v>
      </c>
      <c r="D2221" s="9">
        <v>1500</v>
      </c>
      <c r="E2221" s="9"/>
      <c r="F2221" s="9"/>
      <c r="G2221" s="10" t="s">
        <v>1857</v>
      </c>
      <c r="H2221" s="10" t="s">
        <v>563</v>
      </c>
      <c r="I2221" s="10"/>
      <c r="J2221" s="9">
        <v>91639</v>
      </c>
      <c r="K2221" s="10" t="s">
        <v>1858</v>
      </c>
      <c r="L2221" s="10" t="s">
        <v>224</v>
      </c>
      <c r="M2221" s="10" t="s">
        <v>1834</v>
      </c>
      <c r="N2221" s="7"/>
    </row>
    <row r="2222" s="1" customFormat="1" ht="28.5" customHeight="1" spans="1:14">
      <c r="A2222" s="8"/>
      <c r="B2222" s="9"/>
      <c r="C2222" s="9" t="s">
        <v>1289</v>
      </c>
      <c r="D2222" s="9">
        <v>1000</v>
      </c>
      <c r="E2222" s="9"/>
      <c r="F2222" s="9"/>
      <c r="G2222" s="10" t="s">
        <v>1857</v>
      </c>
      <c r="H2222" s="10" t="s">
        <v>563</v>
      </c>
      <c r="I2222" s="10"/>
      <c r="J2222" s="9">
        <v>91640</v>
      </c>
      <c r="K2222" s="10" t="s">
        <v>1858</v>
      </c>
      <c r="L2222" s="10" t="s">
        <v>224</v>
      </c>
      <c r="M2222" s="10" t="s">
        <v>1834</v>
      </c>
      <c r="N2222" s="7"/>
    </row>
    <row r="2223" s="1" customFormat="1" ht="28.5" customHeight="1" spans="1:14">
      <c r="A2223" s="8"/>
      <c r="B2223" s="9"/>
      <c r="C2223" s="9" t="s">
        <v>1289</v>
      </c>
      <c r="D2223" s="9">
        <v>3000</v>
      </c>
      <c r="E2223" s="9"/>
      <c r="F2223" s="9"/>
      <c r="G2223" s="10" t="s">
        <v>1859</v>
      </c>
      <c r="H2223" s="10" t="s">
        <v>563</v>
      </c>
      <c r="I2223" s="10"/>
      <c r="J2223" s="9">
        <v>71641</v>
      </c>
      <c r="K2223" s="10" t="s">
        <v>1860</v>
      </c>
      <c r="L2223" s="10" t="s">
        <v>228</v>
      </c>
      <c r="M2223" s="10" t="s">
        <v>1834</v>
      </c>
      <c r="N2223" s="7"/>
    </row>
    <row r="2224" s="1" customFormat="1" ht="28.5" customHeight="1" spans="1:14">
      <c r="A2224" s="8"/>
      <c r="B2224" s="9"/>
      <c r="C2224" s="9" t="s">
        <v>1289</v>
      </c>
      <c r="D2224" s="9">
        <v>2500</v>
      </c>
      <c r="E2224" s="9"/>
      <c r="F2224" s="9"/>
      <c r="G2224" s="10" t="s">
        <v>1859</v>
      </c>
      <c r="H2224" s="10" t="s">
        <v>563</v>
      </c>
      <c r="I2224" s="10"/>
      <c r="J2224" s="9">
        <v>71642</v>
      </c>
      <c r="K2224" s="10" t="s">
        <v>1860</v>
      </c>
      <c r="L2224" s="10" t="s">
        <v>228</v>
      </c>
      <c r="M2224" s="10" t="s">
        <v>1834</v>
      </c>
      <c r="N2224" s="7"/>
    </row>
    <row r="2225" s="1" customFormat="1" ht="28.5" customHeight="1" spans="1:14">
      <c r="A2225" s="8"/>
      <c r="B2225" s="9"/>
      <c r="C2225" s="9" t="s">
        <v>1289</v>
      </c>
      <c r="D2225" s="9">
        <v>2000</v>
      </c>
      <c r="E2225" s="9"/>
      <c r="F2225" s="9"/>
      <c r="G2225" s="10" t="s">
        <v>1859</v>
      </c>
      <c r="H2225" s="10" t="s">
        <v>563</v>
      </c>
      <c r="I2225" s="10"/>
      <c r="J2225" s="9">
        <v>71643</v>
      </c>
      <c r="K2225" s="10" t="s">
        <v>1860</v>
      </c>
      <c r="L2225" s="10" t="s">
        <v>228</v>
      </c>
      <c r="M2225" s="10" t="s">
        <v>1834</v>
      </c>
      <c r="N2225" s="7"/>
    </row>
    <row r="2226" s="1" customFormat="1" ht="28.5" customHeight="1" spans="1:14">
      <c r="A2226" s="8"/>
      <c r="B2226" s="9"/>
      <c r="C2226" s="9" t="s">
        <v>1289</v>
      </c>
      <c r="D2226" s="9">
        <v>1500</v>
      </c>
      <c r="E2226" s="9"/>
      <c r="F2226" s="9"/>
      <c r="G2226" s="10" t="s">
        <v>1859</v>
      </c>
      <c r="H2226" s="10" t="s">
        <v>563</v>
      </c>
      <c r="I2226" s="10"/>
      <c r="J2226" s="9">
        <v>71644</v>
      </c>
      <c r="K2226" s="10" t="s">
        <v>1860</v>
      </c>
      <c r="L2226" s="10" t="s">
        <v>228</v>
      </c>
      <c r="M2226" s="10" t="s">
        <v>1834</v>
      </c>
      <c r="N2226" s="7"/>
    </row>
    <row r="2227" s="1" customFormat="1" ht="28.5" customHeight="1" spans="1:14">
      <c r="A2227" s="8"/>
      <c r="B2227" s="9"/>
      <c r="C2227" s="9" t="s">
        <v>1289</v>
      </c>
      <c r="D2227" s="9">
        <v>1000</v>
      </c>
      <c r="E2227" s="9"/>
      <c r="F2227" s="9"/>
      <c r="G2227" s="10" t="s">
        <v>1859</v>
      </c>
      <c r="H2227" s="10" t="s">
        <v>563</v>
      </c>
      <c r="I2227" s="10"/>
      <c r="J2227" s="9">
        <v>71645</v>
      </c>
      <c r="K2227" s="10" t="s">
        <v>1860</v>
      </c>
      <c r="L2227" s="10" t="s">
        <v>228</v>
      </c>
      <c r="M2227" s="10" t="s">
        <v>1834</v>
      </c>
      <c r="N2227" s="7"/>
    </row>
    <row r="2228" s="1" customFormat="1" ht="28.5" customHeight="1" spans="1:14">
      <c r="A2228" s="8"/>
      <c r="B2228" s="9"/>
      <c r="C2228" s="9" t="s">
        <v>1289</v>
      </c>
      <c r="D2228" s="9">
        <v>3000</v>
      </c>
      <c r="E2228" s="9"/>
      <c r="F2228" s="9"/>
      <c r="G2228" s="10" t="s">
        <v>1861</v>
      </c>
      <c r="H2228" s="10" t="s">
        <v>563</v>
      </c>
      <c r="I2228" s="10"/>
      <c r="J2228" s="9">
        <v>81646</v>
      </c>
      <c r="K2228" s="10" t="s">
        <v>1862</v>
      </c>
      <c r="L2228" s="10" t="s">
        <v>231</v>
      </c>
      <c r="M2228" s="10" t="s">
        <v>1834</v>
      </c>
      <c r="N2228" s="7"/>
    </row>
    <row r="2229" s="1" customFormat="1" ht="28.5" customHeight="1" spans="1:14">
      <c r="A2229" s="8"/>
      <c r="B2229" s="9"/>
      <c r="C2229" s="9" t="s">
        <v>1289</v>
      </c>
      <c r="D2229" s="9">
        <v>2500</v>
      </c>
      <c r="E2229" s="9"/>
      <c r="F2229" s="9"/>
      <c r="G2229" s="10" t="s">
        <v>1861</v>
      </c>
      <c r="H2229" s="10" t="s">
        <v>563</v>
      </c>
      <c r="I2229" s="10"/>
      <c r="J2229" s="9">
        <v>81647</v>
      </c>
      <c r="K2229" s="10" t="s">
        <v>1862</v>
      </c>
      <c r="L2229" s="10" t="s">
        <v>231</v>
      </c>
      <c r="M2229" s="10" t="s">
        <v>1834</v>
      </c>
      <c r="N2229" s="7"/>
    </row>
    <row r="2230" s="1" customFormat="1" ht="28.5" customHeight="1" spans="1:14">
      <c r="A2230" s="8"/>
      <c r="B2230" s="9"/>
      <c r="C2230" s="9" t="s">
        <v>1289</v>
      </c>
      <c r="D2230" s="9">
        <v>2000</v>
      </c>
      <c r="E2230" s="9"/>
      <c r="F2230" s="9"/>
      <c r="G2230" s="10" t="s">
        <v>1861</v>
      </c>
      <c r="H2230" s="10" t="s">
        <v>563</v>
      </c>
      <c r="I2230" s="10"/>
      <c r="J2230" s="9">
        <v>81648</v>
      </c>
      <c r="K2230" s="10" t="s">
        <v>1862</v>
      </c>
      <c r="L2230" s="10" t="s">
        <v>231</v>
      </c>
      <c r="M2230" s="10" t="s">
        <v>1834</v>
      </c>
      <c r="N2230" s="7"/>
    </row>
    <row r="2231" s="1" customFormat="1" ht="28.5" customHeight="1" spans="1:14">
      <c r="A2231" s="8"/>
      <c r="B2231" s="9"/>
      <c r="C2231" s="9" t="s">
        <v>1289</v>
      </c>
      <c r="D2231" s="9">
        <v>1500</v>
      </c>
      <c r="E2231" s="9"/>
      <c r="F2231" s="9"/>
      <c r="G2231" s="10" t="s">
        <v>1861</v>
      </c>
      <c r="H2231" s="10" t="s">
        <v>563</v>
      </c>
      <c r="I2231" s="10"/>
      <c r="J2231" s="9">
        <v>81649</v>
      </c>
      <c r="K2231" s="10" t="s">
        <v>1862</v>
      </c>
      <c r="L2231" s="10" t="s">
        <v>231</v>
      </c>
      <c r="M2231" s="10" t="s">
        <v>1834</v>
      </c>
      <c r="N2231" s="7"/>
    </row>
    <row r="2232" s="1" customFormat="1" ht="28.5" customHeight="1" spans="1:14">
      <c r="A2232" s="8"/>
      <c r="B2232" s="9"/>
      <c r="C2232" s="9" t="s">
        <v>1289</v>
      </c>
      <c r="D2232" s="9">
        <v>1000</v>
      </c>
      <c r="E2232" s="9"/>
      <c r="F2232" s="9"/>
      <c r="G2232" s="10" t="s">
        <v>1861</v>
      </c>
      <c r="H2232" s="10" t="s">
        <v>563</v>
      </c>
      <c r="I2232" s="10"/>
      <c r="J2232" s="9">
        <v>81650</v>
      </c>
      <c r="K2232" s="10" t="s">
        <v>1862</v>
      </c>
      <c r="L2232" s="10" t="s">
        <v>231</v>
      </c>
      <c r="M2232" s="10" t="s">
        <v>1834</v>
      </c>
      <c r="N2232" s="7"/>
    </row>
    <row r="2233" s="1" customFormat="1" ht="28.5" customHeight="1" spans="1:14">
      <c r="A2233" s="8"/>
      <c r="B2233" s="9"/>
      <c r="C2233" s="9" t="s">
        <v>1289</v>
      </c>
      <c r="D2233" s="9">
        <v>3000</v>
      </c>
      <c r="E2233" s="9"/>
      <c r="F2233" s="9"/>
      <c r="G2233" s="10" t="s">
        <v>3064</v>
      </c>
      <c r="H2233" s="10" t="s">
        <v>563</v>
      </c>
      <c r="I2233" s="10"/>
      <c r="J2233" s="9">
        <v>101651</v>
      </c>
      <c r="K2233" s="10" t="s">
        <v>414</v>
      </c>
      <c r="L2233" s="10" t="s">
        <v>248</v>
      </c>
      <c r="M2233" s="10" t="s">
        <v>1834</v>
      </c>
      <c r="N2233" s="7"/>
    </row>
    <row r="2234" s="1" customFormat="1" ht="28.5" customHeight="1" spans="1:14">
      <c r="A2234" s="8"/>
      <c r="B2234" s="9"/>
      <c r="C2234" s="9" t="s">
        <v>1289</v>
      </c>
      <c r="D2234" s="9">
        <v>2500</v>
      </c>
      <c r="E2234" s="9"/>
      <c r="F2234" s="9"/>
      <c r="G2234" s="10" t="s">
        <v>3064</v>
      </c>
      <c r="H2234" s="10" t="s">
        <v>563</v>
      </c>
      <c r="I2234" s="10"/>
      <c r="J2234" s="9">
        <v>101652</v>
      </c>
      <c r="K2234" s="10" t="s">
        <v>414</v>
      </c>
      <c r="L2234" s="10" t="s">
        <v>248</v>
      </c>
      <c r="M2234" s="10" t="s">
        <v>1834</v>
      </c>
      <c r="N2234" s="7"/>
    </row>
    <row r="2235" s="1" customFormat="1" ht="28.5" customHeight="1" spans="1:14">
      <c r="A2235" s="8"/>
      <c r="B2235" s="9"/>
      <c r="C2235" s="9" t="s">
        <v>1289</v>
      </c>
      <c r="D2235" s="9">
        <v>2000</v>
      </c>
      <c r="E2235" s="9"/>
      <c r="F2235" s="9"/>
      <c r="G2235" s="10" t="s">
        <v>3064</v>
      </c>
      <c r="H2235" s="10" t="s">
        <v>563</v>
      </c>
      <c r="I2235" s="10"/>
      <c r="J2235" s="9">
        <v>101653</v>
      </c>
      <c r="K2235" s="10" t="s">
        <v>414</v>
      </c>
      <c r="L2235" s="10" t="s">
        <v>248</v>
      </c>
      <c r="M2235" s="10" t="s">
        <v>1834</v>
      </c>
      <c r="N2235" s="7"/>
    </row>
    <row r="2236" s="1" customFormat="1" ht="28.5" customHeight="1" spans="1:14">
      <c r="A2236" s="8"/>
      <c r="B2236" s="9"/>
      <c r="C2236" s="9" t="s">
        <v>1289</v>
      </c>
      <c r="D2236" s="9">
        <v>1500</v>
      </c>
      <c r="E2236" s="9"/>
      <c r="F2236" s="9"/>
      <c r="G2236" s="10" t="s">
        <v>3064</v>
      </c>
      <c r="H2236" s="10" t="s">
        <v>563</v>
      </c>
      <c r="I2236" s="10"/>
      <c r="J2236" s="9">
        <v>101654</v>
      </c>
      <c r="K2236" s="10" t="s">
        <v>414</v>
      </c>
      <c r="L2236" s="10" t="s">
        <v>248</v>
      </c>
      <c r="M2236" s="10" t="s">
        <v>1834</v>
      </c>
      <c r="N2236" s="7"/>
    </row>
    <row r="2237" s="1" customFormat="1" ht="28.5" customHeight="1" spans="1:14">
      <c r="A2237" s="8"/>
      <c r="B2237" s="9"/>
      <c r="C2237" s="9" t="s">
        <v>1289</v>
      </c>
      <c r="D2237" s="9">
        <v>1000</v>
      </c>
      <c r="E2237" s="9"/>
      <c r="F2237" s="9"/>
      <c r="G2237" s="10" t="s">
        <v>3064</v>
      </c>
      <c r="H2237" s="10" t="s">
        <v>563</v>
      </c>
      <c r="I2237" s="10"/>
      <c r="J2237" s="9">
        <v>101655</v>
      </c>
      <c r="K2237" s="10" t="s">
        <v>414</v>
      </c>
      <c r="L2237" s="10" t="s">
        <v>248</v>
      </c>
      <c r="M2237" s="10" t="s">
        <v>1834</v>
      </c>
      <c r="N2237" s="7"/>
    </row>
    <row r="2238" s="1" customFormat="1" ht="28.5" customHeight="1" spans="1:14">
      <c r="A2238" s="8">
        <v>60602</v>
      </c>
      <c r="B2238" s="9">
        <v>60611</v>
      </c>
      <c r="C2238" s="9" t="s">
        <v>34</v>
      </c>
      <c r="D2238" s="9">
        <v>3000</v>
      </c>
      <c r="E2238" s="9"/>
      <c r="F2238" s="9">
        <v>60602</v>
      </c>
      <c r="G2238" s="10" t="s">
        <v>2919</v>
      </c>
      <c r="H2238" s="10" t="s">
        <v>563</v>
      </c>
      <c r="I2238" s="10"/>
      <c r="J2238" s="9">
        <v>11656</v>
      </c>
      <c r="K2238" s="10" t="s">
        <v>2920</v>
      </c>
      <c r="L2238" s="10" t="s">
        <v>397</v>
      </c>
      <c r="M2238" s="10" t="s">
        <v>1842</v>
      </c>
      <c r="N2238" s="7"/>
    </row>
    <row r="2239" s="1" customFormat="1" ht="28.5" customHeight="1" spans="1:14">
      <c r="A2239" s="8">
        <v>60602</v>
      </c>
      <c r="B2239" s="9">
        <v>60612</v>
      </c>
      <c r="C2239" s="9" t="s">
        <v>34</v>
      </c>
      <c r="D2239" s="9">
        <v>2500</v>
      </c>
      <c r="E2239" s="9"/>
      <c r="F2239" s="9">
        <v>60602</v>
      </c>
      <c r="G2239" s="10" t="s">
        <v>2921</v>
      </c>
      <c r="H2239" s="10" t="s">
        <v>563</v>
      </c>
      <c r="I2239" s="10"/>
      <c r="J2239" s="9">
        <v>11657</v>
      </c>
      <c r="K2239" s="10" t="s">
        <v>2922</v>
      </c>
      <c r="L2239" s="10" t="s">
        <v>397</v>
      </c>
      <c r="M2239" s="10" t="s">
        <v>1842</v>
      </c>
      <c r="N2239" s="7"/>
    </row>
    <row r="2240" s="1" customFormat="1" ht="28.5" customHeight="1" spans="1:14">
      <c r="A2240" s="8">
        <v>60602</v>
      </c>
      <c r="B2240" s="9">
        <v>60613</v>
      </c>
      <c r="C2240" s="9" t="s">
        <v>34</v>
      </c>
      <c r="D2240" s="9">
        <v>2000</v>
      </c>
      <c r="E2240" s="9"/>
      <c r="F2240" s="9">
        <v>60602</v>
      </c>
      <c r="G2240" s="10" t="s">
        <v>1787</v>
      </c>
      <c r="H2240" s="10" t="s">
        <v>563</v>
      </c>
      <c r="I2240" s="10"/>
      <c r="J2240" s="9">
        <v>11658</v>
      </c>
      <c r="K2240" s="10" t="s">
        <v>1788</v>
      </c>
      <c r="L2240" s="10" t="s">
        <v>397</v>
      </c>
      <c r="M2240" s="10" t="s">
        <v>1842</v>
      </c>
      <c r="N2240" s="7"/>
    </row>
    <row r="2241" s="1" customFormat="1" ht="28.5" customHeight="1" spans="1:14">
      <c r="A2241" s="8">
        <v>60602</v>
      </c>
      <c r="B2241" s="9">
        <v>60614</v>
      </c>
      <c r="C2241" s="9" t="s">
        <v>34</v>
      </c>
      <c r="D2241" s="9">
        <v>1500</v>
      </c>
      <c r="E2241" s="9"/>
      <c r="F2241" s="9">
        <v>60602</v>
      </c>
      <c r="G2241" s="10" t="s">
        <v>2923</v>
      </c>
      <c r="H2241" s="10" t="s">
        <v>563</v>
      </c>
      <c r="I2241" s="10"/>
      <c r="J2241" s="9">
        <v>11659</v>
      </c>
      <c r="K2241" s="10" t="s">
        <v>2924</v>
      </c>
      <c r="L2241" s="10" t="s">
        <v>397</v>
      </c>
      <c r="M2241" s="10" t="s">
        <v>1842</v>
      </c>
      <c r="N2241" s="7"/>
    </row>
    <row r="2242" s="1" customFormat="1" ht="28.5" customHeight="1" spans="1:14">
      <c r="A2242" s="8">
        <v>60602</v>
      </c>
      <c r="B2242" s="9">
        <v>60615</v>
      </c>
      <c r="C2242" s="9" t="s">
        <v>34</v>
      </c>
      <c r="D2242" s="9">
        <v>1000</v>
      </c>
      <c r="E2242" s="9"/>
      <c r="F2242" s="9">
        <v>60602</v>
      </c>
      <c r="G2242" s="10" t="s">
        <v>1805</v>
      </c>
      <c r="H2242" s="10" t="s">
        <v>563</v>
      </c>
      <c r="I2242" s="10"/>
      <c r="J2242" s="9">
        <v>11660</v>
      </c>
      <c r="K2242" s="10" t="s">
        <v>1806</v>
      </c>
      <c r="L2242" s="10" t="s">
        <v>397</v>
      </c>
      <c r="M2242" s="10" t="s">
        <v>1842</v>
      </c>
      <c r="N2242" s="7"/>
    </row>
    <row r="2243" s="1" customFormat="1" ht="28.5" customHeight="1" spans="1:14">
      <c r="A2243" s="8">
        <v>60601</v>
      </c>
      <c r="B2243" s="9">
        <v>60616</v>
      </c>
      <c r="C2243" s="9" t="s">
        <v>34</v>
      </c>
      <c r="D2243" s="9">
        <v>3000</v>
      </c>
      <c r="E2243" s="9"/>
      <c r="F2243" s="9">
        <v>60603</v>
      </c>
      <c r="G2243" s="10" t="s">
        <v>3141</v>
      </c>
      <c r="H2243" s="10" t="s">
        <v>563</v>
      </c>
      <c r="I2243" s="10"/>
      <c r="J2243" s="9">
        <v>51661</v>
      </c>
      <c r="K2243" s="10" t="s">
        <v>3142</v>
      </c>
      <c r="L2243" s="10" t="s">
        <v>430</v>
      </c>
      <c r="M2243" s="10" t="s">
        <v>1842</v>
      </c>
      <c r="N2243" s="7"/>
    </row>
    <row r="2244" s="1" customFormat="1" ht="28.5" customHeight="1" spans="1:14">
      <c r="A2244" s="8">
        <v>60601</v>
      </c>
      <c r="B2244" s="9">
        <v>60617</v>
      </c>
      <c r="C2244" s="9" t="s">
        <v>34</v>
      </c>
      <c r="D2244" s="9">
        <v>2500</v>
      </c>
      <c r="E2244" s="9"/>
      <c r="F2244" s="9">
        <v>60603</v>
      </c>
      <c r="G2244" s="10" t="s">
        <v>3171</v>
      </c>
      <c r="H2244" s="10" t="s">
        <v>563</v>
      </c>
      <c r="I2244" s="10"/>
      <c r="J2244" s="9">
        <v>51662</v>
      </c>
      <c r="K2244" s="10" t="s">
        <v>3172</v>
      </c>
      <c r="L2244" s="10" t="s">
        <v>430</v>
      </c>
      <c r="M2244" s="10" t="s">
        <v>1842</v>
      </c>
      <c r="N2244" s="7"/>
    </row>
    <row r="2245" s="1" customFormat="1" ht="28.5" customHeight="1" spans="1:14">
      <c r="A2245" s="8">
        <v>60601</v>
      </c>
      <c r="B2245" s="9">
        <v>60618</v>
      </c>
      <c r="C2245" s="9" t="s">
        <v>34</v>
      </c>
      <c r="D2245" s="9">
        <v>2000</v>
      </c>
      <c r="E2245" s="9"/>
      <c r="F2245" s="9">
        <v>60603</v>
      </c>
      <c r="G2245" s="10" t="s">
        <v>3173</v>
      </c>
      <c r="H2245" s="10" t="s">
        <v>563</v>
      </c>
      <c r="I2245" s="10"/>
      <c r="J2245" s="9">
        <v>51663</v>
      </c>
      <c r="K2245" s="10" t="s">
        <v>3174</v>
      </c>
      <c r="L2245" s="10" t="s">
        <v>430</v>
      </c>
      <c r="M2245" s="10" t="s">
        <v>1842</v>
      </c>
      <c r="N2245" s="7"/>
    </row>
    <row r="2246" s="1" customFormat="1" ht="28.5" customHeight="1" spans="1:14">
      <c r="A2246" s="8">
        <v>60601</v>
      </c>
      <c r="B2246" s="9">
        <v>60619</v>
      </c>
      <c r="C2246" s="9" t="s">
        <v>34</v>
      </c>
      <c r="D2246" s="9">
        <v>1500</v>
      </c>
      <c r="E2246" s="9"/>
      <c r="F2246" s="9">
        <v>60603</v>
      </c>
      <c r="G2246" s="10" t="s">
        <v>3175</v>
      </c>
      <c r="H2246" s="10" t="s">
        <v>563</v>
      </c>
      <c r="I2246" s="10"/>
      <c r="J2246" s="9">
        <v>51664</v>
      </c>
      <c r="K2246" s="10" t="s">
        <v>3176</v>
      </c>
      <c r="L2246" s="10" t="s">
        <v>430</v>
      </c>
      <c r="M2246" s="10" t="s">
        <v>1842</v>
      </c>
      <c r="N2246" s="7"/>
    </row>
    <row r="2247" s="1" customFormat="1" ht="28.5" customHeight="1" spans="1:14">
      <c r="A2247" s="8">
        <v>60601</v>
      </c>
      <c r="B2247" s="9">
        <v>60620</v>
      </c>
      <c r="C2247" s="9" t="s">
        <v>34</v>
      </c>
      <c r="D2247" s="9">
        <v>1000</v>
      </c>
      <c r="E2247" s="9"/>
      <c r="F2247" s="9">
        <v>60603</v>
      </c>
      <c r="G2247" s="10" t="s">
        <v>3177</v>
      </c>
      <c r="H2247" s="10" t="s">
        <v>563</v>
      </c>
      <c r="I2247" s="10"/>
      <c r="J2247" s="9">
        <v>51665</v>
      </c>
      <c r="K2247" s="10" t="s">
        <v>3178</v>
      </c>
      <c r="L2247" s="10" t="s">
        <v>430</v>
      </c>
      <c r="M2247" s="10" t="s">
        <v>1842</v>
      </c>
      <c r="N2247" s="7"/>
    </row>
    <row r="2248" s="1" customFormat="1" ht="28.5" customHeight="1" spans="1:14">
      <c r="A2248" s="8">
        <v>60601</v>
      </c>
      <c r="B2248" s="9">
        <v>60621</v>
      </c>
      <c r="C2248" s="9" t="s">
        <v>34</v>
      </c>
      <c r="D2248" s="9">
        <v>0</v>
      </c>
      <c r="E2248" s="9"/>
      <c r="F2248" s="9">
        <v>60604</v>
      </c>
      <c r="G2248" s="10" t="s">
        <v>3179</v>
      </c>
      <c r="H2248" s="10" t="s">
        <v>563</v>
      </c>
      <c r="I2248" s="10"/>
      <c r="J2248" s="9">
        <v>61666</v>
      </c>
      <c r="K2248" s="10" t="s">
        <v>3180</v>
      </c>
      <c r="L2248" s="10" t="s">
        <v>431</v>
      </c>
      <c r="M2248" s="10" t="s">
        <v>1842</v>
      </c>
      <c r="N2248" s="7"/>
    </row>
    <row r="2249" s="1" customFormat="1" ht="28.5" customHeight="1" spans="1:14">
      <c r="A2249" s="8">
        <v>60601</v>
      </c>
      <c r="B2249" s="9">
        <v>60622</v>
      </c>
      <c r="C2249" s="9" t="s">
        <v>34</v>
      </c>
      <c r="D2249" s="9">
        <v>0</v>
      </c>
      <c r="E2249" s="9"/>
      <c r="F2249" s="9">
        <v>60604</v>
      </c>
      <c r="G2249" s="10" t="s">
        <v>3181</v>
      </c>
      <c r="H2249" s="10" t="s">
        <v>563</v>
      </c>
      <c r="I2249" s="10"/>
      <c r="J2249" s="9">
        <v>61667</v>
      </c>
      <c r="K2249" s="10" t="s">
        <v>3182</v>
      </c>
      <c r="L2249" s="10" t="s">
        <v>431</v>
      </c>
      <c r="M2249" s="10" t="s">
        <v>1842</v>
      </c>
      <c r="N2249" s="7"/>
    </row>
    <row r="2250" s="1" customFormat="1" ht="28.5" customHeight="1" spans="1:14">
      <c r="A2250" s="8">
        <v>60601</v>
      </c>
      <c r="B2250" s="9">
        <v>60623</v>
      </c>
      <c r="C2250" s="9" t="s">
        <v>34</v>
      </c>
      <c r="D2250" s="9">
        <v>0</v>
      </c>
      <c r="E2250" s="9"/>
      <c r="F2250" s="9">
        <v>60604</v>
      </c>
      <c r="G2250" s="10" t="s">
        <v>3183</v>
      </c>
      <c r="H2250" s="10" t="s">
        <v>563</v>
      </c>
      <c r="I2250" s="10"/>
      <c r="J2250" s="9">
        <v>61668</v>
      </c>
      <c r="K2250" s="10" t="s">
        <v>3184</v>
      </c>
      <c r="L2250" s="10" t="s">
        <v>431</v>
      </c>
      <c r="M2250" s="10" t="s">
        <v>1842</v>
      </c>
      <c r="N2250" s="7"/>
    </row>
    <row r="2251" s="1" customFormat="1" ht="28.5" customHeight="1" spans="1:14">
      <c r="A2251" s="8">
        <v>60601</v>
      </c>
      <c r="B2251" s="9">
        <v>60624</v>
      </c>
      <c r="C2251" s="9" t="s">
        <v>34</v>
      </c>
      <c r="D2251" s="9">
        <v>0</v>
      </c>
      <c r="E2251" s="9"/>
      <c r="F2251" s="9">
        <v>60604</v>
      </c>
      <c r="G2251" s="10" t="s">
        <v>3185</v>
      </c>
      <c r="H2251" s="10" t="s">
        <v>563</v>
      </c>
      <c r="I2251" s="10"/>
      <c r="J2251" s="9">
        <v>61669</v>
      </c>
      <c r="K2251" s="10" t="s">
        <v>3186</v>
      </c>
      <c r="L2251" s="10" t="s">
        <v>431</v>
      </c>
      <c r="M2251" s="10" t="s">
        <v>1842</v>
      </c>
      <c r="N2251" s="7"/>
    </row>
    <row r="2252" s="1" customFormat="1" ht="28.5" customHeight="1" spans="1:14">
      <c r="A2252" s="8">
        <v>60601</v>
      </c>
      <c r="B2252" s="9">
        <v>60625</v>
      </c>
      <c r="C2252" s="9" t="s">
        <v>34</v>
      </c>
      <c r="D2252" s="9">
        <v>0</v>
      </c>
      <c r="E2252" s="9"/>
      <c r="F2252" s="9">
        <v>60604</v>
      </c>
      <c r="G2252" s="10" t="s">
        <v>3187</v>
      </c>
      <c r="H2252" s="10" t="s">
        <v>563</v>
      </c>
      <c r="I2252" s="10"/>
      <c r="J2252" s="9">
        <v>61670</v>
      </c>
      <c r="K2252" s="10" t="s">
        <v>3188</v>
      </c>
      <c r="L2252" s="10" t="s">
        <v>431</v>
      </c>
      <c r="M2252" s="10" t="s">
        <v>1842</v>
      </c>
      <c r="N2252" s="7"/>
    </row>
    <row r="2253" s="1" customFormat="1" ht="28.5" customHeight="1" spans="1:14">
      <c r="A2253" s="8">
        <v>60601</v>
      </c>
      <c r="B2253" s="9">
        <v>60626</v>
      </c>
      <c r="C2253" s="9" t="s">
        <v>34</v>
      </c>
      <c r="D2253" s="9">
        <v>3000</v>
      </c>
      <c r="E2253" s="9"/>
      <c r="F2253" s="9">
        <v>60605</v>
      </c>
      <c r="G2253" s="10" t="s">
        <v>3189</v>
      </c>
      <c r="H2253" s="10" t="s">
        <v>563</v>
      </c>
      <c r="I2253" s="10"/>
      <c r="J2253" s="9">
        <v>31671</v>
      </c>
      <c r="K2253" s="10" t="s">
        <v>3190</v>
      </c>
      <c r="L2253" s="10" t="s">
        <v>432</v>
      </c>
      <c r="M2253" s="10" t="s">
        <v>1842</v>
      </c>
      <c r="N2253" s="7"/>
    </row>
    <row r="2254" s="1" customFormat="1" ht="28.5" customHeight="1" spans="1:14">
      <c r="A2254" s="8">
        <v>60601</v>
      </c>
      <c r="B2254" s="9">
        <v>60627</v>
      </c>
      <c r="C2254" s="9" t="s">
        <v>34</v>
      </c>
      <c r="D2254" s="9">
        <v>2500</v>
      </c>
      <c r="E2254" s="9"/>
      <c r="F2254" s="9">
        <v>60605</v>
      </c>
      <c r="G2254" s="10" t="s">
        <v>3191</v>
      </c>
      <c r="H2254" s="10" t="s">
        <v>563</v>
      </c>
      <c r="I2254" s="10"/>
      <c r="J2254" s="9">
        <v>31672</v>
      </c>
      <c r="K2254" s="10" t="s">
        <v>3192</v>
      </c>
      <c r="L2254" s="10" t="s">
        <v>432</v>
      </c>
      <c r="M2254" s="10" t="s">
        <v>1842</v>
      </c>
      <c r="N2254" s="7"/>
    </row>
    <row r="2255" s="1" customFormat="1" ht="28.5" customHeight="1" spans="1:14">
      <c r="A2255" s="8">
        <v>60601</v>
      </c>
      <c r="B2255" s="9">
        <v>60628</v>
      </c>
      <c r="C2255" s="9" t="s">
        <v>34</v>
      </c>
      <c r="D2255" s="9">
        <v>2000</v>
      </c>
      <c r="E2255" s="9"/>
      <c r="F2255" s="9">
        <v>60605</v>
      </c>
      <c r="G2255" s="10" t="s">
        <v>3193</v>
      </c>
      <c r="H2255" s="10" t="s">
        <v>563</v>
      </c>
      <c r="I2255" s="10"/>
      <c r="J2255" s="9">
        <v>31673</v>
      </c>
      <c r="K2255" s="10" t="s">
        <v>3194</v>
      </c>
      <c r="L2255" s="10" t="s">
        <v>432</v>
      </c>
      <c r="M2255" s="10" t="s">
        <v>1842</v>
      </c>
      <c r="N2255" s="7"/>
    </row>
    <row r="2256" s="1" customFormat="1" ht="28.5" customHeight="1" spans="1:14">
      <c r="A2256" s="8">
        <v>60601</v>
      </c>
      <c r="B2256" s="9">
        <v>60629</v>
      </c>
      <c r="C2256" s="9" t="s">
        <v>34</v>
      </c>
      <c r="D2256" s="9">
        <v>1500</v>
      </c>
      <c r="E2256" s="9"/>
      <c r="F2256" s="9">
        <v>60605</v>
      </c>
      <c r="G2256" s="10" t="s">
        <v>3195</v>
      </c>
      <c r="H2256" s="10" t="s">
        <v>563</v>
      </c>
      <c r="I2256" s="10"/>
      <c r="J2256" s="9">
        <v>31674</v>
      </c>
      <c r="K2256" s="10" t="s">
        <v>3196</v>
      </c>
      <c r="L2256" s="10" t="s">
        <v>432</v>
      </c>
      <c r="M2256" s="10" t="s">
        <v>1842</v>
      </c>
      <c r="N2256" s="7"/>
    </row>
    <row r="2257" s="1" customFormat="1" ht="28.5" customHeight="1" spans="1:14">
      <c r="A2257" s="8">
        <v>60601</v>
      </c>
      <c r="B2257" s="9">
        <v>60630</v>
      </c>
      <c r="C2257" s="9" t="s">
        <v>34</v>
      </c>
      <c r="D2257" s="9">
        <v>1000</v>
      </c>
      <c r="E2257" s="9"/>
      <c r="F2257" s="9">
        <v>60605</v>
      </c>
      <c r="G2257" s="10" t="s">
        <v>3197</v>
      </c>
      <c r="H2257" s="10" t="s">
        <v>563</v>
      </c>
      <c r="I2257" s="10"/>
      <c r="J2257" s="9">
        <v>31675</v>
      </c>
      <c r="K2257" s="10" t="s">
        <v>3198</v>
      </c>
      <c r="L2257" s="10" t="s">
        <v>432</v>
      </c>
      <c r="M2257" s="10" t="s">
        <v>1842</v>
      </c>
      <c r="N2257" s="7"/>
    </row>
    <row r="2258" s="1" customFormat="1" ht="28.5" customHeight="1" spans="1:14">
      <c r="A2258" s="8">
        <v>60601</v>
      </c>
      <c r="B2258" s="9">
        <v>60631</v>
      </c>
      <c r="C2258" s="9" t="s">
        <v>34</v>
      </c>
      <c r="D2258" s="9">
        <v>3000</v>
      </c>
      <c r="E2258" s="9"/>
      <c r="F2258" s="9">
        <v>60606</v>
      </c>
      <c r="G2258" s="10" t="s">
        <v>3159</v>
      </c>
      <c r="H2258" s="10" t="s">
        <v>563</v>
      </c>
      <c r="I2258" s="10"/>
      <c r="J2258" s="9">
        <v>41676</v>
      </c>
      <c r="K2258" s="10" t="s">
        <v>3160</v>
      </c>
      <c r="L2258" s="10" t="s">
        <v>433</v>
      </c>
      <c r="M2258" s="10" t="s">
        <v>1842</v>
      </c>
      <c r="N2258" s="7"/>
    </row>
    <row r="2259" s="1" customFormat="1" ht="28.5" customHeight="1" spans="1:14">
      <c r="A2259" s="8">
        <v>60601</v>
      </c>
      <c r="B2259" s="9">
        <v>60632</v>
      </c>
      <c r="C2259" s="9" t="s">
        <v>34</v>
      </c>
      <c r="D2259" s="9">
        <v>2500</v>
      </c>
      <c r="E2259" s="9"/>
      <c r="F2259" s="9">
        <v>60606</v>
      </c>
      <c r="G2259" s="10" t="s">
        <v>3199</v>
      </c>
      <c r="H2259" s="10" t="s">
        <v>563</v>
      </c>
      <c r="I2259" s="10"/>
      <c r="J2259" s="9">
        <v>41677</v>
      </c>
      <c r="K2259" s="10" t="s">
        <v>3200</v>
      </c>
      <c r="L2259" s="10" t="s">
        <v>433</v>
      </c>
      <c r="M2259" s="10" t="s">
        <v>1842</v>
      </c>
      <c r="N2259" s="7"/>
    </row>
    <row r="2260" s="1" customFormat="1" ht="28.5" customHeight="1" spans="1:14">
      <c r="A2260" s="8">
        <v>60601</v>
      </c>
      <c r="B2260" s="9">
        <v>60633</v>
      </c>
      <c r="C2260" s="9" t="s">
        <v>34</v>
      </c>
      <c r="D2260" s="9">
        <v>2000</v>
      </c>
      <c r="E2260" s="9"/>
      <c r="F2260" s="9">
        <v>60606</v>
      </c>
      <c r="G2260" s="10" t="s">
        <v>3201</v>
      </c>
      <c r="H2260" s="10" t="s">
        <v>563</v>
      </c>
      <c r="I2260" s="10"/>
      <c r="J2260" s="9">
        <v>41678</v>
      </c>
      <c r="K2260" s="10" t="s">
        <v>3202</v>
      </c>
      <c r="L2260" s="10" t="s">
        <v>433</v>
      </c>
      <c r="M2260" s="10" t="s">
        <v>1842</v>
      </c>
      <c r="N2260" s="7"/>
    </row>
    <row r="2261" s="1" customFormat="1" ht="28.5" customHeight="1" spans="1:14">
      <c r="A2261" s="8">
        <v>60601</v>
      </c>
      <c r="B2261" s="9">
        <v>60634</v>
      </c>
      <c r="C2261" s="9" t="s">
        <v>34</v>
      </c>
      <c r="D2261" s="9">
        <v>1500</v>
      </c>
      <c r="E2261" s="9"/>
      <c r="F2261" s="9">
        <v>60606</v>
      </c>
      <c r="G2261" s="10" t="s">
        <v>3203</v>
      </c>
      <c r="H2261" s="10" t="s">
        <v>563</v>
      </c>
      <c r="I2261" s="10"/>
      <c r="J2261" s="9">
        <v>41679</v>
      </c>
      <c r="K2261" s="10" t="s">
        <v>3204</v>
      </c>
      <c r="L2261" s="10" t="s">
        <v>433</v>
      </c>
      <c r="M2261" s="10" t="s">
        <v>1842</v>
      </c>
      <c r="N2261" s="7"/>
    </row>
    <row r="2262" s="1" customFormat="1" ht="28.5" customHeight="1" spans="1:14">
      <c r="A2262" s="8">
        <v>60601</v>
      </c>
      <c r="B2262" s="9">
        <v>60635</v>
      </c>
      <c r="C2262" s="9" t="s">
        <v>34</v>
      </c>
      <c r="D2262" s="9">
        <v>1000</v>
      </c>
      <c r="E2262" s="9"/>
      <c r="F2262" s="9">
        <v>60606</v>
      </c>
      <c r="G2262" s="10" t="s">
        <v>3205</v>
      </c>
      <c r="H2262" s="10" t="s">
        <v>563</v>
      </c>
      <c r="I2262" s="10"/>
      <c r="J2262" s="9">
        <v>41680</v>
      </c>
      <c r="K2262" s="10" t="s">
        <v>3206</v>
      </c>
      <c r="L2262" s="10" t="s">
        <v>433</v>
      </c>
      <c r="M2262" s="10" t="s">
        <v>1842</v>
      </c>
      <c r="N2262" s="7"/>
    </row>
    <row r="2263" s="1" customFormat="1" ht="28.5" customHeight="1" spans="1:14">
      <c r="A2263" s="8"/>
      <c r="B2263" s="9"/>
      <c r="C2263" s="9" t="s">
        <v>1289</v>
      </c>
      <c r="D2263" s="9">
        <v>3000</v>
      </c>
      <c r="E2263" s="9"/>
      <c r="F2263" s="9"/>
      <c r="G2263" s="10" t="s">
        <v>3207</v>
      </c>
      <c r="H2263" s="10" t="s">
        <v>563</v>
      </c>
      <c r="I2263" s="10"/>
      <c r="J2263" s="9">
        <v>11681</v>
      </c>
      <c r="K2263" s="10" t="s">
        <v>3208</v>
      </c>
      <c r="L2263" s="10" t="s">
        <v>268</v>
      </c>
      <c r="M2263" s="10" t="s">
        <v>1834</v>
      </c>
      <c r="N2263" s="7"/>
    </row>
    <row r="2264" s="1" customFormat="1" ht="28.5" customHeight="1" spans="1:14">
      <c r="A2264" s="8"/>
      <c r="B2264" s="9"/>
      <c r="C2264" s="9" t="s">
        <v>1289</v>
      </c>
      <c r="D2264" s="9">
        <v>2500</v>
      </c>
      <c r="E2264" s="9"/>
      <c r="F2264" s="9"/>
      <c r="G2264" s="10" t="s">
        <v>3209</v>
      </c>
      <c r="H2264" s="10" t="s">
        <v>563</v>
      </c>
      <c r="I2264" s="10"/>
      <c r="J2264" s="9">
        <v>11682</v>
      </c>
      <c r="K2264" s="10" t="s">
        <v>3210</v>
      </c>
      <c r="L2264" s="10" t="s">
        <v>268</v>
      </c>
      <c r="M2264" s="10" t="s">
        <v>1834</v>
      </c>
      <c r="N2264" s="7"/>
    </row>
    <row r="2265" s="1" customFormat="1" ht="28.5" customHeight="1" spans="1:14">
      <c r="A2265" s="8"/>
      <c r="B2265" s="9"/>
      <c r="C2265" s="9" t="s">
        <v>1289</v>
      </c>
      <c r="D2265" s="9">
        <v>2000</v>
      </c>
      <c r="E2265" s="9"/>
      <c r="F2265" s="9"/>
      <c r="G2265" s="10" t="s">
        <v>3211</v>
      </c>
      <c r="H2265" s="10" t="s">
        <v>563</v>
      </c>
      <c r="I2265" s="10"/>
      <c r="J2265" s="9">
        <v>11683</v>
      </c>
      <c r="K2265" s="10" t="s">
        <v>3212</v>
      </c>
      <c r="L2265" s="10" t="s">
        <v>268</v>
      </c>
      <c r="M2265" s="10" t="s">
        <v>1834</v>
      </c>
      <c r="N2265" s="7"/>
    </row>
    <row r="2266" s="1" customFormat="1" ht="28.5" customHeight="1" spans="1:14">
      <c r="A2266" s="8"/>
      <c r="B2266" s="9"/>
      <c r="C2266" s="9" t="s">
        <v>1289</v>
      </c>
      <c r="D2266" s="9">
        <v>1500</v>
      </c>
      <c r="E2266" s="9"/>
      <c r="F2266" s="9"/>
      <c r="G2266" s="10" t="s">
        <v>3213</v>
      </c>
      <c r="H2266" s="10" t="s">
        <v>563</v>
      </c>
      <c r="I2266" s="10"/>
      <c r="J2266" s="9">
        <v>11684</v>
      </c>
      <c r="K2266" s="10" t="s">
        <v>3214</v>
      </c>
      <c r="L2266" s="10" t="s">
        <v>268</v>
      </c>
      <c r="M2266" s="10" t="s">
        <v>1834</v>
      </c>
      <c r="N2266" s="7"/>
    </row>
    <row r="2267" s="1" customFormat="1" ht="28.5" customHeight="1" spans="1:14">
      <c r="A2267" s="8"/>
      <c r="B2267" s="9"/>
      <c r="C2267" s="9" t="s">
        <v>1289</v>
      </c>
      <c r="D2267" s="9">
        <v>1000</v>
      </c>
      <c r="E2267" s="9"/>
      <c r="F2267" s="9"/>
      <c r="G2267" s="10" t="s">
        <v>3215</v>
      </c>
      <c r="H2267" s="10" t="s">
        <v>563</v>
      </c>
      <c r="I2267" s="10"/>
      <c r="J2267" s="9">
        <v>11685</v>
      </c>
      <c r="K2267" s="10" t="s">
        <v>3216</v>
      </c>
      <c r="L2267" s="10" t="s">
        <v>268</v>
      </c>
      <c r="M2267" s="10" t="s">
        <v>1834</v>
      </c>
      <c r="N2267" s="7"/>
    </row>
    <row r="2268" s="1" customFormat="1" ht="28.5" customHeight="1" spans="1:14">
      <c r="A2268" s="8">
        <v>60701</v>
      </c>
      <c r="B2268" s="9">
        <v>60701</v>
      </c>
      <c r="C2268" s="9" t="s">
        <v>35</v>
      </c>
      <c r="D2268" s="9">
        <v>0</v>
      </c>
      <c r="E2268" s="9"/>
      <c r="F2268" s="9">
        <v>60700</v>
      </c>
      <c r="G2268" s="10" t="s">
        <v>1396</v>
      </c>
      <c r="H2268" s="10" t="s">
        <v>563</v>
      </c>
      <c r="I2268" s="10"/>
      <c r="J2268" s="9">
        <v>61686</v>
      </c>
      <c r="K2268" s="10" t="s">
        <v>2036</v>
      </c>
      <c r="L2268" s="10" t="s">
        <v>267</v>
      </c>
      <c r="M2268" s="10" t="s">
        <v>1842</v>
      </c>
      <c r="N2268" s="7"/>
    </row>
    <row r="2269" s="1" customFormat="1" ht="28.5" customHeight="1" spans="1:14">
      <c r="A2269" s="8">
        <v>60701</v>
      </c>
      <c r="B2269" s="9">
        <v>60702</v>
      </c>
      <c r="C2269" s="9" t="s">
        <v>35</v>
      </c>
      <c r="D2269" s="9">
        <v>0</v>
      </c>
      <c r="E2269" s="9"/>
      <c r="F2269" s="9">
        <v>60700</v>
      </c>
      <c r="G2269" s="10" t="s">
        <v>1398</v>
      </c>
      <c r="H2269" s="10" t="s">
        <v>563</v>
      </c>
      <c r="I2269" s="10"/>
      <c r="J2269" s="9">
        <v>61687</v>
      </c>
      <c r="K2269" s="10" t="s">
        <v>2037</v>
      </c>
      <c r="L2269" s="10" t="s">
        <v>267</v>
      </c>
      <c r="M2269" s="10" t="s">
        <v>1842</v>
      </c>
      <c r="N2269" s="7"/>
    </row>
    <row r="2270" s="1" customFormat="1" ht="28.5" customHeight="1" spans="1:14">
      <c r="A2270" s="8">
        <v>60701</v>
      </c>
      <c r="B2270" s="9">
        <v>60703</v>
      </c>
      <c r="C2270" s="9" t="s">
        <v>35</v>
      </c>
      <c r="D2270" s="9">
        <v>0</v>
      </c>
      <c r="E2270" s="9"/>
      <c r="F2270" s="9">
        <v>60700</v>
      </c>
      <c r="G2270" s="10" t="s">
        <v>1400</v>
      </c>
      <c r="H2270" s="10" t="s">
        <v>563</v>
      </c>
      <c r="I2270" s="10"/>
      <c r="J2270" s="9">
        <v>61688</v>
      </c>
      <c r="K2270" s="10" t="s">
        <v>2038</v>
      </c>
      <c r="L2270" s="10" t="s">
        <v>267</v>
      </c>
      <c r="M2270" s="10" t="s">
        <v>1842</v>
      </c>
      <c r="N2270" s="7"/>
    </row>
    <row r="2271" s="1" customFormat="1" ht="28.5" customHeight="1" spans="1:14">
      <c r="A2271" s="8">
        <v>60701</v>
      </c>
      <c r="B2271" s="9">
        <v>60704</v>
      </c>
      <c r="C2271" s="9" t="s">
        <v>35</v>
      </c>
      <c r="D2271" s="9">
        <v>0</v>
      </c>
      <c r="E2271" s="9"/>
      <c r="F2271" s="9">
        <v>60700</v>
      </c>
      <c r="G2271" s="10" t="s">
        <v>1402</v>
      </c>
      <c r="H2271" s="10" t="s">
        <v>563</v>
      </c>
      <c r="I2271" s="10"/>
      <c r="J2271" s="9">
        <v>61689</v>
      </c>
      <c r="K2271" s="10" t="s">
        <v>2039</v>
      </c>
      <c r="L2271" s="10" t="s">
        <v>267</v>
      </c>
      <c r="M2271" s="10" t="s">
        <v>1842</v>
      </c>
      <c r="N2271" s="7"/>
    </row>
    <row r="2272" s="1" customFormat="1" ht="28.5" customHeight="1" spans="1:14">
      <c r="A2272" s="8">
        <v>60701</v>
      </c>
      <c r="B2272" s="9">
        <v>60705</v>
      </c>
      <c r="C2272" s="9" t="s">
        <v>35</v>
      </c>
      <c r="D2272" s="9">
        <v>0</v>
      </c>
      <c r="E2272" s="9"/>
      <c r="F2272" s="9">
        <v>60700</v>
      </c>
      <c r="G2272" s="10" t="s">
        <v>1404</v>
      </c>
      <c r="H2272" s="10" t="s">
        <v>563</v>
      </c>
      <c r="I2272" s="10"/>
      <c r="J2272" s="9">
        <v>61690</v>
      </c>
      <c r="K2272" s="10" t="s">
        <v>2040</v>
      </c>
      <c r="L2272" s="10" t="s">
        <v>267</v>
      </c>
      <c r="M2272" s="10" t="s">
        <v>1842</v>
      </c>
      <c r="N2272" s="7"/>
    </row>
    <row r="2273" s="1" customFormat="1" ht="28.5" customHeight="1" spans="1:14">
      <c r="A2273" s="8">
        <v>60701</v>
      </c>
      <c r="B2273" s="9">
        <v>60706</v>
      </c>
      <c r="C2273" s="9" t="s">
        <v>35</v>
      </c>
      <c r="D2273" s="9">
        <v>3000</v>
      </c>
      <c r="E2273" s="9"/>
      <c r="F2273" s="9">
        <v>60701</v>
      </c>
      <c r="G2273" s="10" t="s">
        <v>1929</v>
      </c>
      <c r="H2273" s="10" t="s">
        <v>563</v>
      </c>
      <c r="I2273" s="10"/>
      <c r="J2273" s="9">
        <v>21691</v>
      </c>
      <c r="K2273" s="10" t="s">
        <v>1930</v>
      </c>
      <c r="L2273" s="10" t="s">
        <v>268</v>
      </c>
      <c r="M2273" s="10" t="s">
        <v>1842</v>
      </c>
      <c r="N2273" s="7"/>
    </row>
    <row r="2274" s="1" customFormat="1" ht="28.5" customHeight="1" spans="1:14">
      <c r="A2274" s="8">
        <v>60701</v>
      </c>
      <c r="B2274" s="9">
        <v>60707</v>
      </c>
      <c r="C2274" s="9" t="s">
        <v>35</v>
      </c>
      <c r="D2274" s="9">
        <v>2500</v>
      </c>
      <c r="E2274" s="9"/>
      <c r="F2274" s="9">
        <v>60701</v>
      </c>
      <c r="G2274" s="10" t="s">
        <v>2041</v>
      </c>
      <c r="H2274" s="10" t="s">
        <v>563</v>
      </c>
      <c r="I2274" s="10"/>
      <c r="J2274" s="9">
        <v>21692</v>
      </c>
      <c r="K2274" s="10" t="s">
        <v>2042</v>
      </c>
      <c r="L2274" s="10" t="s">
        <v>268</v>
      </c>
      <c r="M2274" s="10" t="s">
        <v>1842</v>
      </c>
      <c r="N2274" s="7"/>
    </row>
    <row r="2275" s="1" customFormat="1" ht="28.5" customHeight="1" spans="1:14">
      <c r="A2275" s="8">
        <v>60701</v>
      </c>
      <c r="B2275" s="9">
        <v>60708</v>
      </c>
      <c r="C2275" s="9" t="s">
        <v>35</v>
      </c>
      <c r="D2275" s="9">
        <v>2000</v>
      </c>
      <c r="E2275" s="9"/>
      <c r="F2275" s="9">
        <v>60701</v>
      </c>
      <c r="G2275" s="10" t="s">
        <v>2043</v>
      </c>
      <c r="H2275" s="10" t="s">
        <v>563</v>
      </c>
      <c r="I2275" s="10"/>
      <c r="J2275" s="9">
        <v>21693</v>
      </c>
      <c r="K2275" s="10" t="s">
        <v>2044</v>
      </c>
      <c r="L2275" s="10" t="s">
        <v>268</v>
      </c>
      <c r="M2275" s="10" t="s">
        <v>1842</v>
      </c>
      <c r="N2275" s="7"/>
    </row>
    <row r="2276" s="1" customFormat="1" ht="28.5" customHeight="1" spans="1:14">
      <c r="A2276" s="8">
        <v>60701</v>
      </c>
      <c r="B2276" s="9">
        <v>60709</v>
      </c>
      <c r="C2276" s="9" t="s">
        <v>35</v>
      </c>
      <c r="D2276" s="9">
        <v>1500</v>
      </c>
      <c r="E2276" s="9"/>
      <c r="F2276" s="9">
        <v>60701</v>
      </c>
      <c r="G2276" s="10" t="s">
        <v>2045</v>
      </c>
      <c r="H2276" s="10" t="s">
        <v>563</v>
      </c>
      <c r="I2276" s="10"/>
      <c r="J2276" s="9">
        <v>21694</v>
      </c>
      <c r="K2276" s="10" t="s">
        <v>2046</v>
      </c>
      <c r="L2276" s="10" t="s">
        <v>268</v>
      </c>
      <c r="M2276" s="10" t="s">
        <v>1842</v>
      </c>
      <c r="N2276" s="7"/>
    </row>
    <row r="2277" s="1" customFormat="1" ht="28.5" customHeight="1" spans="1:14">
      <c r="A2277" s="8">
        <v>60701</v>
      </c>
      <c r="B2277" s="9">
        <v>60710</v>
      </c>
      <c r="C2277" s="9" t="s">
        <v>35</v>
      </c>
      <c r="D2277" s="9">
        <v>1000</v>
      </c>
      <c r="E2277" s="9"/>
      <c r="F2277" s="9">
        <v>60701</v>
      </c>
      <c r="G2277" s="10" t="s">
        <v>2047</v>
      </c>
      <c r="H2277" s="10" t="s">
        <v>563</v>
      </c>
      <c r="I2277" s="10"/>
      <c r="J2277" s="9">
        <v>21695</v>
      </c>
      <c r="K2277" s="10" t="s">
        <v>2048</v>
      </c>
      <c r="L2277" s="10" t="s">
        <v>268</v>
      </c>
      <c r="M2277" s="10" t="s">
        <v>1842</v>
      </c>
      <c r="N2277" s="7"/>
    </row>
    <row r="2278" s="1" customFormat="1" ht="28.5" customHeight="1" spans="1:14">
      <c r="A2278" s="8">
        <v>60703</v>
      </c>
      <c r="B2278" s="9">
        <v>60711</v>
      </c>
      <c r="C2278" s="9" t="s">
        <v>35</v>
      </c>
      <c r="D2278" s="9">
        <v>3000</v>
      </c>
      <c r="E2278" s="9"/>
      <c r="F2278" s="9">
        <v>60702</v>
      </c>
      <c r="G2278" s="10" t="s">
        <v>1857</v>
      </c>
      <c r="H2278" s="10" t="s">
        <v>563</v>
      </c>
      <c r="I2278" s="10"/>
      <c r="J2278" s="9">
        <v>91696</v>
      </c>
      <c r="K2278" s="10" t="s">
        <v>1858</v>
      </c>
      <c r="L2278" s="10" t="s">
        <v>224</v>
      </c>
      <c r="M2278" s="10" t="s">
        <v>1842</v>
      </c>
      <c r="N2278" s="7"/>
    </row>
    <row r="2279" s="1" customFormat="1" ht="28.5" customHeight="1" spans="1:14">
      <c r="A2279" s="8">
        <v>60703</v>
      </c>
      <c r="B2279" s="9">
        <v>60712</v>
      </c>
      <c r="C2279" s="9" t="s">
        <v>35</v>
      </c>
      <c r="D2279" s="9">
        <v>2500</v>
      </c>
      <c r="E2279" s="9"/>
      <c r="F2279" s="9">
        <v>60702</v>
      </c>
      <c r="G2279" s="10" t="s">
        <v>1857</v>
      </c>
      <c r="H2279" s="10" t="s">
        <v>563</v>
      </c>
      <c r="I2279" s="10"/>
      <c r="J2279" s="9">
        <v>91697</v>
      </c>
      <c r="K2279" s="10" t="s">
        <v>1858</v>
      </c>
      <c r="L2279" s="10" t="s">
        <v>224</v>
      </c>
      <c r="M2279" s="10" t="s">
        <v>1842</v>
      </c>
      <c r="N2279" s="7"/>
    </row>
    <row r="2280" s="1" customFormat="1" ht="28.5" customHeight="1" spans="1:14">
      <c r="A2280" s="8">
        <v>60703</v>
      </c>
      <c r="B2280" s="9">
        <v>60713</v>
      </c>
      <c r="C2280" s="9" t="s">
        <v>35</v>
      </c>
      <c r="D2280" s="9">
        <v>2000</v>
      </c>
      <c r="E2280" s="9"/>
      <c r="F2280" s="9">
        <v>60702</v>
      </c>
      <c r="G2280" s="10" t="s">
        <v>1857</v>
      </c>
      <c r="H2280" s="10" t="s">
        <v>563</v>
      </c>
      <c r="I2280" s="10"/>
      <c r="J2280" s="9">
        <v>91698</v>
      </c>
      <c r="K2280" s="10" t="s">
        <v>1858</v>
      </c>
      <c r="L2280" s="10" t="s">
        <v>224</v>
      </c>
      <c r="M2280" s="10" t="s">
        <v>1842</v>
      </c>
      <c r="N2280" s="7"/>
    </row>
    <row r="2281" s="1" customFormat="1" ht="28.5" customHeight="1" spans="1:14">
      <c r="A2281" s="8">
        <v>60703</v>
      </c>
      <c r="B2281" s="9">
        <v>60714</v>
      </c>
      <c r="C2281" s="9" t="s">
        <v>35</v>
      </c>
      <c r="D2281" s="9">
        <v>1500</v>
      </c>
      <c r="E2281" s="9"/>
      <c r="F2281" s="9">
        <v>60702</v>
      </c>
      <c r="G2281" s="10" t="s">
        <v>1857</v>
      </c>
      <c r="H2281" s="10" t="s">
        <v>563</v>
      </c>
      <c r="I2281" s="10"/>
      <c r="J2281" s="9">
        <v>91699</v>
      </c>
      <c r="K2281" s="10" t="s">
        <v>1858</v>
      </c>
      <c r="L2281" s="10" t="s">
        <v>224</v>
      </c>
      <c r="M2281" s="10" t="s">
        <v>1842</v>
      </c>
      <c r="N2281" s="7"/>
    </row>
    <row r="2282" s="1" customFormat="1" ht="28.5" customHeight="1" spans="1:14">
      <c r="A2282" s="8">
        <v>60703</v>
      </c>
      <c r="B2282" s="9">
        <v>60715</v>
      </c>
      <c r="C2282" s="9" t="s">
        <v>35</v>
      </c>
      <c r="D2282" s="9">
        <v>1000</v>
      </c>
      <c r="E2282" s="9"/>
      <c r="F2282" s="9">
        <v>60702</v>
      </c>
      <c r="G2282" s="10" t="s">
        <v>1857</v>
      </c>
      <c r="H2282" s="10" t="s">
        <v>563</v>
      </c>
      <c r="I2282" s="10"/>
      <c r="J2282" s="9">
        <v>91700</v>
      </c>
      <c r="K2282" s="10" t="s">
        <v>1858</v>
      </c>
      <c r="L2282" s="10" t="s">
        <v>224</v>
      </c>
      <c r="M2282" s="10" t="s">
        <v>1842</v>
      </c>
      <c r="N2282" s="7"/>
    </row>
    <row r="2283" s="1" customFormat="1" ht="28.5" customHeight="1" spans="1:14">
      <c r="A2283" s="8">
        <v>60703</v>
      </c>
      <c r="B2283" s="9">
        <v>60716</v>
      </c>
      <c r="C2283" s="9" t="s">
        <v>35</v>
      </c>
      <c r="D2283" s="9">
        <v>3000</v>
      </c>
      <c r="E2283" s="9"/>
      <c r="F2283" s="9">
        <v>60703</v>
      </c>
      <c r="G2283" s="10" t="s">
        <v>1859</v>
      </c>
      <c r="H2283" s="10" t="s">
        <v>563</v>
      </c>
      <c r="I2283" s="10"/>
      <c r="J2283" s="9">
        <v>71701</v>
      </c>
      <c r="K2283" s="10" t="s">
        <v>1860</v>
      </c>
      <c r="L2283" s="10" t="s">
        <v>228</v>
      </c>
      <c r="M2283" s="10" t="s">
        <v>1842</v>
      </c>
      <c r="N2283" s="7"/>
    </row>
    <row r="2284" s="1" customFormat="1" ht="28.5" customHeight="1" spans="1:14">
      <c r="A2284" s="8">
        <v>60703</v>
      </c>
      <c r="B2284" s="9">
        <v>60717</v>
      </c>
      <c r="C2284" s="9" t="s">
        <v>35</v>
      </c>
      <c r="D2284" s="9">
        <v>2500</v>
      </c>
      <c r="E2284" s="9"/>
      <c r="F2284" s="9">
        <v>60703</v>
      </c>
      <c r="G2284" s="10" t="s">
        <v>1859</v>
      </c>
      <c r="H2284" s="10" t="s">
        <v>563</v>
      </c>
      <c r="I2284" s="10"/>
      <c r="J2284" s="9">
        <v>71702</v>
      </c>
      <c r="K2284" s="10" t="s">
        <v>1860</v>
      </c>
      <c r="L2284" s="10" t="s">
        <v>228</v>
      </c>
      <c r="M2284" s="10" t="s">
        <v>1842</v>
      </c>
      <c r="N2284" s="7"/>
    </row>
    <row r="2285" s="1" customFormat="1" ht="28.5" customHeight="1" spans="1:14">
      <c r="A2285" s="8">
        <v>60703</v>
      </c>
      <c r="B2285" s="9">
        <v>60718</v>
      </c>
      <c r="C2285" s="9" t="s">
        <v>35</v>
      </c>
      <c r="D2285" s="9">
        <v>2000</v>
      </c>
      <c r="E2285" s="9"/>
      <c r="F2285" s="9">
        <v>60703</v>
      </c>
      <c r="G2285" s="10" t="s">
        <v>1859</v>
      </c>
      <c r="H2285" s="10" t="s">
        <v>563</v>
      </c>
      <c r="I2285" s="10"/>
      <c r="J2285" s="9">
        <v>71703</v>
      </c>
      <c r="K2285" s="10" t="s">
        <v>1860</v>
      </c>
      <c r="L2285" s="10" t="s">
        <v>228</v>
      </c>
      <c r="M2285" s="10" t="s">
        <v>1842</v>
      </c>
      <c r="N2285" s="7"/>
    </row>
    <row r="2286" s="1" customFormat="1" ht="28.5" customHeight="1" spans="1:14">
      <c r="A2286" s="8">
        <v>60703</v>
      </c>
      <c r="B2286" s="9">
        <v>60719</v>
      </c>
      <c r="C2286" s="9" t="s">
        <v>35</v>
      </c>
      <c r="D2286" s="9">
        <v>1500</v>
      </c>
      <c r="E2286" s="9"/>
      <c r="F2286" s="9">
        <v>60703</v>
      </c>
      <c r="G2286" s="10" t="s">
        <v>1859</v>
      </c>
      <c r="H2286" s="10" t="s">
        <v>563</v>
      </c>
      <c r="I2286" s="10"/>
      <c r="J2286" s="9">
        <v>71704</v>
      </c>
      <c r="K2286" s="10" t="s">
        <v>1860</v>
      </c>
      <c r="L2286" s="10" t="s">
        <v>228</v>
      </c>
      <c r="M2286" s="10" t="s">
        <v>1842</v>
      </c>
      <c r="N2286" s="7"/>
    </row>
    <row r="2287" s="1" customFormat="1" ht="28.5" customHeight="1" spans="1:14">
      <c r="A2287" s="8">
        <v>60703</v>
      </c>
      <c r="B2287" s="9">
        <v>60720</v>
      </c>
      <c r="C2287" s="9" t="s">
        <v>35</v>
      </c>
      <c r="D2287" s="9">
        <v>1000</v>
      </c>
      <c r="E2287" s="9"/>
      <c r="F2287" s="9">
        <v>60703</v>
      </c>
      <c r="G2287" s="10" t="s">
        <v>1859</v>
      </c>
      <c r="H2287" s="10" t="s">
        <v>563</v>
      </c>
      <c r="I2287" s="10"/>
      <c r="J2287" s="9">
        <v>71705</v>
      </c>
      <c r="K2287" s="10" t="s">
        <v>1860</v>
      </c>
      <c r="L2287" s="10" t="s">
        <v>228</v>
      </c>
      <c r="M2287" s="10" t="s">
        <v>1842</v>
      </c>
      <c r="N2287" s="7"/>
    </row>
    <row r="2288" s="1" customFormat="1" ht="28.5" customHeight="1" spans="1:14">
      <c r="A2288" s="8"/>
      <c r="B2288" s="9"/>
      <c r="C2288" s="9" t="s">
        <v>1289</v>
      </c>
      <c r="D2288" s="9">
        <v>3000</v>
      </c>
      <c r="E2288" s="9"/>
      <c r="F2288" s="9"/>
      <c r="G2288" s="10" t="s">
        <v>1861</v>
      </c>
      <c r="H2288" s="10" t="s">
        <v>563</v>
      </c>
      <c r="I2288" s="10"/>
      <c r="J2288" s="9">
        <v>81706</v>
      </c>
      <c r="K2288" s="10" t="s">
        <v>1862</v>
      </c>
      <c r="L2288" s="10" t="s">
        <v>231</v>
      </c>
      <c r="M2288" s="10" t="s">
        <v>1834</v>
      </c>
      <c r="N2288" s="7"/>
    </row>
    <row r="2289" s="1" customFormat="1" ht="28.5" customHeight="1" spans="1:14">
      <c r="A2289" s="8"/>
      <c r="B2289" s="9"/>
      <c r="C2289" s="9" t="s">
        <v>1289</v>
      </c>
      <c r="D2289" s="9">
        <v>2500</v>
      </c>
      <c r="E2289" s="9"/>
      <c r="F2289" s="9"/>
      <c r="G2289" s="10" t="s">
        <v>1861</v>
      </c>
      <c r="H2289" s="10" t="s">
        <v>563</v>
      </c>
      <c r="I2289" s="10"/>
      <c r="J2289" s="9">
        <v>81707</v>
      </c>
      <c r="K2289" s="10" t="s">
        <v>1862</v>
      </c>
      <c r="L2289" s="10" t="s">
        <v>231</v>
      </c>
      <c r="M2289" s="10" t="s">
        <v>1834</v>
      </c>
      <c r="N2289" s="7"/>
    </row>
    <row r="2290" s="1" customFormat="1" ht="28.5" customHeight="1" spans="1:14">
      <c r="A2290" s="8"/>
      <c r="B2290" s="9"/>
      <c r="C2290" s="9" t="s">
        <v>1289</v>
      </c>
      <c r="D2290" s="9">
        <v>2000</v>
      </c>
      <c r="E2290" s="9"/>
      <c r="F2290" s="9"/>
      <c r="G2290" s="10" t="s">
        <v>1861</v>
      </c>
      <c r="H2290" s="10" t="s">
        <v>563</v>
      </c>
      <c r="I2290" s="10"/>
      <c r="J2290" s="9">
        <v>81708</v>
      </c>
      <c r="K2290" s="10" t="s">
        <v>1862</v>
      </c>
      <c r="L2290" s="10" t="s">
        <v>231</v>
      </c>
      <c r="M2290" s="10" t="s">
        <v>1834</v>
      </c>
      <c r="N2290" s="7"/>
    </row>
    <row r="2291" s="1" customFormat="1" ht="28.5" customHeight="1" spans="1:14">
      <c r="A2291" s="8"/>
      <c r="B2291" s="9"/>
      <c r="C2291" s="9" t="s">
        <v>1289</v>
      </c>
      <c r="D2291" s="9">
        <v>1500</v>
      </c>
      <c r="E2291" s="9"/>
      <c r="F2291" s="9"/>
      <c r="G2291" s="10" t="s">
        <v>1861</v>
      </c>
      <c r="H2291" s="10" t="s">
        <v>563</v>
      </c>
      <c r="I2291" s="10"/>
      <c r="J2291" s="9">
        <v>81709</v>
      </c>
      <c r="K2291" s="10" t="s">
        <v>1862</v>
      </c>
      <c r="L2291" s="10" t="s">
        <v>231</v>
      </c>
      <c r="M2291" s="10" t="s">
        <v>1834</v>
      </c>
      <c r="N2291" s="7"/>
    </row>
    <row r="2292" s="1" customFormat="1" ht="28.5" customHeight="1" spans="1:14">
      <c r="A2292" s="8"/>
      <c r="B2292" s="9"/>
      <c r="C2292" s="9" t="s">
        <v>1289</v>
      </c>
      <c r="D2292" s="9">
        <v>1000</v>
      </c>
      <c r="E2292" s="9"/>
      <c r="F2292" s="9"/>
      <c r="G2292" s="10" t="s">
        <v>1861</v>
      </c>
      <c r="H2292" s="10" t="s">
        <v>563</v>
      </c>
      <c r="I2292" s="10"/>
      <c r="J2292" s="9">
        <v>81710</v>
      </c>
      <c r="K2292" s="10" t="s">
        <v>1862</v>
      </c>
      <c r="L2292" s="10" t="s">
        <v>231</v>
      </c>
      <c r="M2292" s="10" t="s">
        <v>1834</v>
      </c>
      <c r="N2292" s="7"/>
    </row>
    <row r="2293" s="1" customFormat="1" ht="28.5" customHeight="1" spans="1:14">
      <c r="A2293" s="8"/>
      <c r="B2293" s="9"/>
      <c r="C2293" s="9" t="s">
        <v>1289</v>
      </c>
      <c r="D2293" s="9">
        <v>3000</v>
      </c>
      <c r="E2293" s="9"/>
      <c r="F2293" s="9"/>
      <c r="G2293" s="10" t="s">
        <v>3064</v>
      </c>
      <c r="H2293" s="10" t="s">
        <v>563</v>
      </c>
      <c r="I2293" s="10"/>
      <c r="J2293" s="9">
        <v>101711</v>
      </c>
      <c r="K2293" s="10" t="s">
        <v>414</v>
      </c>
      <c r="L2293" s="10" t="s">
        <v>248</v>
      </c>
      <c r="M2293" s="10" t="s">
        <v>1834</v>
      </c>
      <c r="N2293" s="7"/>
    </row>
    <row r="2294" s="1" customFormat="1" ht="28.5" customHeight="1" spans="1:14">
      <c r="A2294" s="8"/>
      <c r="B2294" s="9"/>
      <c r="C2294" s="9" t="s">
        <v>1289</v>
      </c>
      <c r="D2294" s="9">
        <v>2500</v>
      </c>
      <c r="E2294" s="9"/>
      <c r="F2294" s="9"/>
      <c r="G2294" s="10" t="s">
        <v>3064</v>
      </c>
      <c r="H2294" s="10" t="s">
        <v>563</v>
      </c>
      <c r="I2294" s="10"/>
      <c r="J2294" s="9">
        <v>101712</v>
      </c>
      <c r="K2294" s="10" t="s">
        <v>414</v>
      </c>
      <c r="L2294" s="10" t="s">
        <v>248</v>
      </c>
      <c r="M2294" s="10" t="s">
        <v>1834</v>
      </c>
      <c r="N2294" s="7"/>
    </row>
    <row r="2295" s="1" customFormat="1" ht="28.5" customHeight="1" spans="1:14">
      <c r="A2295" s="8"/>
      <c r="B2295" s="9"/>
      <c r="C2295" s="9" t="s">
        <v>1289</v>
      </c>
      <c r="D2295" s="9">
        <v>2000</v>
      </c>
      <c r="E2295" s="9"/>
      <c r="F2295" s="9"/>
      <c r="G2295" s="10" t="s">
        <v>3064</v>
      </c>
      <c r="H2295" s="10" t="s">
        <v>563</v>
      </c>
      <c r="I2295" s="10"/>
      <c r="J2295" s="9">
        <v>101713</v>
      </c>
      <c r="K2295" s="10" t="s">
        <v>414</v>
      </c>
      <c r="L2295" s="10" t="s">
        <v>248</v>
      </c>
      <c r="M2295" s="10" t="s">
        <v>1834</v>
      </c>
      <c r="N2295" s="7"/>
    </row>
    <row r="2296" s="1" customFormat="1" ht="28.5" customHeight="1" spans="1:14">
      <c r="A2296" s="8"/>
      <c r="B2296" s="9"/>
      <c r="C2296" s="9" t="s">
        <v>1289</v>
      </c>
      <c r="D2296" s="9">
        <v>1500</v>
      </c>
      <c r="E2296" s="9"/>
      <c r="F2296" s="9"/>
      <c r="G2296" s="10" t="s">
        <v>3064</v>
      </c>
      <c r="H2296" s="10" t="s">
        <v>563</v>
      </c>
      <c r="I2296" s="10"/>
      <c r="J2296" s="9">
        <v>101714</v>
      </c>
      <c r="K2296" s="10" t="s">
        <v>414</v>
      </c>
      <c r="L2296" s="10" t="s">
        <v>248</v>
      </c>
      <c r="M2296" s="10" t="s">
        <v>1834</v>
      </c>
      <c r="N2296" s="7"/>
    </row>
    <row r="2297" s="1" customFormat="1" ht="28.5" customHeight="1" spans="1:14">
      <c r="A2297" s="8"/>
      <c r="B2297" s="9"/>
      <c r="C2297" s="9" t="s">
        <v>1289</v>
      </c>
      <c r="D2297" s="9">
        <v>1000</v>
      </c>
      <c r="E2297" s="9"/>
      <c r="F2297" s="9"/>
      <c r="G2297" s="10" t="s">
        <v>3064</v>
      </c>
      <c r="H2297" s="10" t="s">
        <v>563</v>
      </c>
      <c r="I2297" s="10"/>
      <c r="J2297" s="9">
        <v>101715</v>
      </c>
      <c r="K2297" s="10" t="s">
        <v>414</v>
      </c>
      <c r="L2297" s="10" t="s">
        <v>248</v>
      </c>
      <c r="M2297" s="10" t="s">
        <v>1834</v>
      </c>
      <c r="N2297" s="7"/>
    </row>
    <row r="2298" s="1" customFormat="1" ht="28.5" customHeight="1" spans="1:14">
      <c r="A2298" s="8">
        <v>60702</v>
      </c>
      <c r="B2298" s="9">
        <v>60721</v>
      </c>
      <c r="C2298" s="9" t="s">
        <v>35</v>
      </c>
      <c r="D2298" s="9">
        <v>3000</v>
      </c>
      <c r="E2298" s="9"/>
      <c r="F2298" s="9">
        <v>60704</v>
      </c>
      <c r="G2298" s="10" t="s">
        <v>1805</v>
      </c>
      <c r="H2298" s="10" t="s">
        <v>563</v>
      </c>
      <c r="I2298" s="10"/>
      <c r="J2298" s="9">
        <v>11716</v>
      </c>
      <c r="K2298" s="10" t="s">
        <v>1806</v>
      </c>
      <c r="L2298" s="10" t="s">
        <v>402</v>
      </c>
      <c r="M2298" s="10" t="s">
        <v>1842</v>
      </c>
      <c r="N2298" s="7"/>
    </row>
    <row r="2299" s="1" customFormat="1" ht="28.5" customHeight="1" spans="1:14">
      <c r="A2299" s="8">
        <v>60702</v>
      </c>
      <c r="B2299" s="9">
        <v>60722</v>
      </c>
      <c r="C2299" s="9" t="s">
        <v>35</v>
      </c>
      <c r="D2299" s="9">
        <v>2500</v>
      </c>
      <c r="E2299" s="9"/>
      <c r="F2299" s="9">
        <v>60704</v>
      </c>
      <c r="G2299" s="10" t="s">
        <v>2969</v>
      </c>
      <c r="H2299" s="10" t="s">
        <v>563</v>
      </c>
      <c r="I2299" s="10"/>
      <c r="J2299" s="9">
        <v>11717</v>
      </c>
      <c r="K2299" s="10" t="s">
        <v>2970</v>
      </c>
      <c r="L2299" s="10" t="s">
        <v>402</v>
      </c>
      <c r="M2299" s="10" t="s">
        <v>1842</v>
      </c>
      <c r="N2299" s="7"/>
    </row>
    <row r="2300" s="1" customFormat="1" ht="28.5" customHeight="1" spans="1:14">
      <c r="A2300" s="8">
        <v>60702</v>
      </c>
      <c r="B2300" s="9">
        <v>60723</v>
      </c>
      <c r="C2300" s="9" t="s">
        <v>35</v>
      </c>
      <c r="D2300" s="9">
        <v>2000</v>
      </c>
      <c r="E2300" s="9"/>
      <c r="F2300" s="9">
        <v>60704</v>
      </c>
      <c r="G2300" s="10" t="s">
        <v>1813</v>
      </c>
      <c r="H2300" s="10" t="s">
        <v>563</v>
      </c>
      <c r="I2300" s="10"/>
      <c r="J2300" s="9">
        <v>11718</v>
      </c>
      <c r="K2300" s="10" t="s">
        <v>1814</v>
      </c>
      <c r="L2300" s="10" t="s">
        <v>402</v>
      </c>
      <c r="M2300" s="10" t="s">
        <v>1842</v>
      </c>
      <c r="N2300" s="7"/>
    </row>
    <row r="2301" s="1" customFormat="1" ht="28.5" customHeight="1" spans="1:14">
      <c r="A2301" s="8">
        <v>60702</v>
      </c>
      <c r="B2301" s="9">
        <v>60724</v>
      </c>
      <c r="C2301" s="9" t="s">
        <v>35</v>
      </c>
      <c r="D2301" s="9">
        <v>1500</v>
      </c>
      <c r="E2301" s="9"/>
      <c r="F2301" s="9">
        <v>60704</v>
      </c>
      <c r="G2301" s="10" t="s">
        <v>2971</v>
      </c>
      <c r="H2301" s="10" t="s">
        <v>563</v>
      </c>
      <c r="I2301" s="10"/>
      <c r="J2301" s="9">
        <v>11719</v>
      </c>
      <c r="K2301" s="10" t="s">
        <v>2972</v>
      </c>
      <c r="L2301" s="10" t="s">
        <v>402</v>
      </c>
      <c r="M2301" s="10" t="s">
        <v>1842</v>
      </c>
      <c r="N2301" s="7"/>
    </row>
    <row r="2302" s="1" customFormat="1" ht="28.5" customHeight="1" spans="1:14">
      <c r="A2302" s="8">
        <v>60702</v>
      </c>
      <c r="B2302" s="9">
        <v>60725</v>
      </c>
      <c r="C2302" s="9" t="s">
        <v>35</v>
      </c>
      <c r="D2302" s="9">
        <v>1000</v>
      </c>
      <c r="E2302" s="9"/>
      <c r="F2302" s="9">
        <v>60704</v>
      </c>
      <c r="G2302" s="10" t="s">
        <v>2973</v>
      </c>
      <c r="H2302" s="10" t="s">
        <v>563</v>
      </c>
      <c r="I2302" s="10"/>
      <c r="J2302" s="9">
        <v>11720</v>
      </c>
      <c r="K2302" s="10" t="s">
        <v>2974</v>
      </c>
      <c r="L2302" s="10" t="s">
        <v>402</v>
      </c>
      <c r="M2302" s="10" t="s">
        <v>1842</v>
      </c>
      <c r="N2302" s="7"/>
    </row>
    <row r="2303" s="1" customFormat="1" ht="28.5" customHeight="1" spans="1:14">
      <c r="A2303" s="8">
        <v>60701</v>
      </c>
      <c r="B2303" s="9">
        <v>60726</v>
      </c>
      <c r="C2303" s="9" t="s">
        <v>35</v>
      </c>
      <c r="D2303" s="9">
        <v>3000</v>
      </c>
      <c r="E2303" s="9"/>
      <c r="F2303" s="9">
        <v>60705</v>
      </c>
      <c r="G2303" s="10" t="s">
        <v>3217</v>
      </c>
      <c r="H2303" s="10" t="s">
        <v>563</v>
      </c>
      <c r="I2303" s="10"/>
      <c r="J2303" s="9">
        <v>51721</v>
      </c>
      <c r="K2303" s="10" t="s">
        <v>3218</v>
      </c>
      <c r="L2303" s="10" t="s">
        <v>434</v>
      </c>
      <c r="M2303" s="10" t="s">
        <v>1842</v>
      </c>
      <c r="N2303" s="7"/>
    </row>
    <row r="2304" s="1" customFormat="1" ht="28.5" customHeight="1" spans="1:14">
      <c r="A2304" s="8">
        <v>60701</v>
      </c>
      <c r="B2304" s="9">
        <v>60727</v>
      </c>
      <c r="C2304" s="9" t="s">
        <v>35</v>
      </c>
      <c r="D2304" s="9">
        <v>2500</v>
      </c>
      <c r="E2304" s="9"/>
      <c r="F2304" s="9">
        <v>60705</v>
      </c>
      <c r="G2304" s="10" t="s">
        <v>3175</v>
      </c>
      <c r="H2304" s="10" t="s">
        <v>563</v>
      </c>
      <c r="I2304" s="10"/>
      <c r="J2304" s="9">
        <v>51722</v>
      </c>
      <c r="K2304" s="10" t="s">
        <v>3176</v>
      </c>
      <c r="L2304" s="10" t="s">
        <v>434</v>
      </c>
      <c r="M2304" s="10" t="s">
        <v>1842</v>
      </c>
      <c r="N2304" s="7"/>
    </row>
    <row r="2305" s="1" customFormat="1" ht="28.5" customHeight="1" spans="1:14">
      <c r="A2305" s="8">
        <v>60701</v>
      </c>
      <c r="B2305" s="9">
        <v>60728</v>
      </c>
      <c r="C2305" s="9" t="s">
        <v>35</v>
      </c>
      <c r="D2305" s="9">
        <v>2000</v>
      </c>
      <c r="E2305" s="9"/>
      <c r="F2305" s="9">
        <v>60705</v>
      </c>
      <c r="G2305" s="10" t="s">
        <v>3219</v>
      </c>
      <c r="H2305" s="10" t="s">
        <v>563</v>
      </c>
      <c r="I2305" s="10"/>
      <c r="J2305" s="9">
        <v>51723</v>
      </c>
      <c r="K2305" s="10" t="s">
        <v>3220</v>
      </c>
      <c r="L2305" s="10" t="s">
        <v>434</v>
      </c>
      <c r="M2305" s="10" t="s">
        <v>1842</v>
      </c>
      <c r="N2305" s="7"/>
    </row>
    <row r="2306" s="1" customFormat="1" ht="28.5" customHeight="1" spans="1:14">
      <c r="A2306" s="8">
        <v>60701</v>
      </c>
      <c r="B2306" s="9">
        <v>60729</v>
      </c>
      <c r="C2306" s="9" t="s">
        <v>35</v>
      </c>
      <c r="D2306" s="9">
        <v>1500</v>
      </c>
      <c r="E2306" s="9"/>
      <c r="F2306" s="9">
        <v>60705</v>
      </c>
      <c r="G2306" s="10" t="s">
        <v>3221</v>
      </c>
      <c r="H2306" s="10" t="s">
        <v>563</v>
      </c>
      <c r="I2306" s="10"/>
      <c r="J2306" s="9">
        <v>51724</v>
      </c>
      <c r="K2306" s="10" t="s">
        <v>3222</v>
      </c>
      <c r="L2306" s="10" t="s">
        <v>434</v>
      </c>
      <c r="M2306" s="10" t="s">
        <v>1842</v>
      </c>
      <c r="N2306" s="7"/>
    </row>
    <row r="2307" s="1" customFormat="1" ht="28.5" customHeight="1" spans="1:14">
      <c r="A2307" s="8">
        <v>60701</v>
      </c>
      <c r="B2307" s="9">
        <v>60730</v>
      </c>
      <c r="C2307" s="9" t="s">
        <v>35</v>
      </c>
      <c r="D2307" s="9">
        <v>1000</v>
      </c>
      <c r="E2307" s="9"/>
      <c r="F2307" s="9">
        <v>60705</v>
      </c>
      <c r="G2307" s="10" t="s">
        <v>3223</v>
      </c>
      <c r="H2307" s="10" t="s">
        <v>563</v>
      </c>
      <c r="I2307" s="10"/>
      <c r="J2307" s="9">
        <v>51725</v>
      </c>
      <c r="K2307" s="10" t="s">
        <v>3224</v>
      </c>
      <c r="L2307" s="10" t="s">
        <v>434</v>
      </c>
      <c r="M2307" s="10" t="s">
        <v>1842</v>
      </c>
      <c r="N2307" s="7"/>
    </row>
    <row r="2308" s="1" customFormat="1" ht="28.5" customHeight="1" spans="1:14">
      <c r="A2308" s="8">
        <v>60701</v>
      </c>
      <c r="B2308" s="9">
        <v>60731</v>
      </c>
      <c r="C2308" s="9" t="s">
        <v>35</v>
      </c>
      <c r="D2308" s="9">
        <v>0</v>
      </c>
      <c r="E2308" s="9"/>
      <c r="F2308" s="9">
        <v>60706</v>
      </c>
      <c r="G2308" s="10" t="s">
        <v>3225</v>
      </c>
      <c r="H2308" s="10" t="s">
        <v>563</v>
      </c>
      <c r="I2308" s="10"/>
      <c r="J2308" s="9">
        <v>61726</v>
      </c>
      <c r="K2308" s="10" t="s">
        <v>3226</v>
      </c>
      <c r="L2308" s="10" t="s">
        <v>435</v>
      </c>
      <c r="M2308" s="10" t="s">
        <v>1842</v>
      </c>
      <c r="N2308" s="7"/>
    </row>
    <row r="2309" s="1" customFormat="1" ht="28.5" customHeight="1" spans="1:14">
      <c r="A2309" s="8">
        <v>60701</v>
      </c>
      <c r="B2309" s="9">
        <v>60732</v>
      </c>
      <c r="C2309" s="9" t="s">
        <v>35</v>
      </c>
      <c r="D2309" s="9">
        <v>0</v>
      </c>
      <c r="E2309" s="9"/>
      <c r="F2309" s="9">
        <v>60706</v>
      </c>
      <c r="G2309" s="10" t="s">
        <v>3227</v>
      </c>
      <c r="H2309" s="10" t="s">
        <v>563</v>
      </c>
      <c r="I2309" s="10"/>
      <c r="J2309" s="9">
        <v>61727</v>
      </c>
      <c r="K2309" s="10" t="s">
        <v>3228</v>
      </c>
      <c r="L2309" s="10" t="s">
        <v>435</v>
      </c>
      <c r="M2309" s="10" t="s">
        <v>1842</v>
      </c>
      <c r="N2309" s="7"/>
    </row>
    <row r="2310" s="1" customFormat="1" ht="28.5" customHeight="1" spans="1:14">
      <c r="A2310" s="8">
        <v>60701</v>
      </c>
      <c r="B2310" s="9">
        <v>60733</v>
      </c>
      <c r="C2310" s="9" t="s">
        <v>35</v>
      </c>
      <c r="D2310" s="9">
        <v>0</v>
      </c>
      <c r="E2310" s="9"/>
      <c r="F2310" s="9">
        <v>60706</v>
      </c>
      <c r="G2310" s="10" t="s">
        <v>3229</v>
      </c>
      <c r="H2310" s="10" t="s">
        <v>563</v>
      </c>
      <c r="I2310" s="10"/>
      <c r="J2310" s="9">
        <v>61728</v>
      </c>
      <c r="K2310" s="10" t="s">
        <v>3230</v>
      </c>
      <c r="L2310" s="10" t="s">
        <v>435</v>
      </c>
      <c r="M2310" s="10" t="s">
        <v>1842</v>
      </c>
      <c r="N2310" s="7"/>
    </row>
    <row r="2311" s="1" customFormat="1" ht="28.5" customHeight="1" spans="1:14">
      <c r="A2311" s="8">
        <v>60701</v>
      </c>
      <c r="B2311" s="9">
        <v>60734</v>
      </c>
      <c r="C2311" s="9" t="s">
        <v>35</v>
      </c>
      <c r="D2311" s="9">
        <v>0</v>
      </c>
      <c r="E2311" s="9"/>
      <c r="F2311" s="9">
        <v>60706</v>
      </c>
      <c r="G2311" s="10" t="s">
        <v>3231</v>
      </c>
      <c r="H2311" s="10" t="s">
        <v>563</v>
      </c>
      <c r="I2311" s="10"/>
      <c r="J2311" s="9">
        <v>61729</v>
      </c>
      <c r="K2311" s="10" t="s">
        <v>3232</v>
      </c>
      <c r="L2311" s="10" t="s">
        <v>435</v>
      </c>
      <c r="M2311" s="10" t="s">
        <v>1842</v>
      </c>
      <c r="N2311" s="7"/>
    </row>
    <row r="2312" s="1" customFormat="1" ht="28.5" customHeight="1" spans="1:14">
      <c r="A2312" s="8">
        <v>60701</v>
      </c>
      <c r="B2312" s="9">
        <v>60735</v>
      </c>
      <c r="C2312" s="9" t="s">
        <v>35</v>
      </c>
      <c r="D2312" s="9">
        <v>0</v>
      </c>
      <c r="E2312" s="9"/>
      <c r="F2312" s="9">
        <v>60706</v>
      </c>
      <c r="G2312" s="10" t="s">
        <v>3233</v>
      </c>
      <c r="H2312" s="10" t="s">
        <v>563</v>
      </c>
      <c r="I2312" s="10"/>
      <c r="J2312" s="9">
        <v>61730</v>
      </c>
      <c r="K2312" s="10" t="s">
        <v>3234</v>
      </c>
      <c r="L2312" s="10" t="s">
        <v>435</v>
      </c>
      <c r="M2312" s="10" t="s">
        <v>1842</v>
      </c>
      <c r="N2312" s="7"/>
    </row>
    <row r="2313" s="1" customFormat="1" ht="28.5" customHeight="1" spans="1:14">
      <c r="A2313" s="8">
        <v>60701</v>
      </c>
      <c r="B2313" s="9">
        <v>60736</v>
      </c>
      <c r="C2313" s="9" t="s">
        <v>35</v>
      </c>
      <c r="D2313" s="9">
        <v>3000</v>
      </c>
      <c r="E2313" s="9"/>
      <c r="F2313" s="9">
        <v>60707</v>
      </c>
      <c r="G2313" s="10" t="s">
        <v>3197</v>
      </c>
      <c r="H2313" s="10" t="s">
        <v>563</v>
      </c>
      <c r="I2313" s="10"/>
      <c r="J2313" s="9">
        <v>31731</v>
      </c>
      <c r="K2313" s="10" t="s">
        <v>3198</v>
      </c>
      <c r="L2313" s="10" t="s">
        <v>436</v>
      </c>
      <c r="M2313" s="10" t="s">
        <v>1842</v>
      </c>
      <c r="N2313" s="7"/>
    </row>
    <row r="2314" s="1" customFormat="1" ht="28.5" customHeight="1" spans="1:14">
      <c r="A2314" s="8">
        <v>60701</v>
      </c>
      <c r="B2314" s="9">
        <v>60737</v>
      </c>
      <c r="C2314" s="9" t="s">
        <v>35</v>
      </c>
      <c r="D2314" s="9">
        <v>2500</v>
      </c>
      <c r="E2314" s="9"/>
      <c r="F2314" s="9">
        <v>60707</v>
      </c>
      <c r="G2314" s="10" t="s">
        <v>3235</v>
      </c>
      <c r="H2314" s="10" t="s">
        <v>563</v>
      </c>
      <c r="I2314" s="10"/>
      <c r="J2314" s="9">
        <v>31732</v>
      </c>
      <c r="K2314" s="10" t="s">
        <v>3236</v>
      </c>
      <c r="L2314" s="10" t="s">
        <v>436</v>
      </c>
      <c r="M2314" s="10" t="s">
        <v>1842</v>
      </c>
      <c r="N2314" s="7"/>
    </row>
    <row r="2315" s="1" customFormat="1" ht="28.5" customHeight="1" spans="1:14">
      <c r="A2315" s="8">
        <v>60701</v>
      </c>
      <c r="B2315" s="9">
        <v>60738</v>
      </c>
      <c r="C2315" s="9" t="s">
        <v>35</v>
      </c>
      <c r="D2315" s="9">
        <v>2000</v>
      </c>
      <c r="E2315" s="9"/>
      <c r="F2315" s="9">
        <v>60707</v>
      </c>
      <c r="G2315" s="10" t="s">
        <v>3237</v>
      </c>
      <c r="H2315" s="10" t="s">
        <v>563</v>
      </c>
      <c r="I2315" s="10"/>
      <c r="J2315" s="9">
        <v>31733</v>
      </c>
      <c r="K2315" s="10" t="s">
        <v>3238</v>
      </c>
      <c r="L2315" s="10" t="s">
        <v>436</v>
      </c>
      <c r="M2315" s="10" t="s">
        <v>1842</v>
      </c>
      <c r="N2315" s="7"/>
    </row>
    <row r="2316" s="1" customFormat="1" ht="28.5" customHeight="1" spans="1:14">
      <c r="A2316" s="8">
        <v>60701</v>
      </c>
      <c r="B2316" s="9">
        <v>60739</v>
      </c>
      <c r="C2316" s="9" t="s">
        <v>35</v>
      </c>
      <c r="D2316" s="9">
        <v>1500</v>
      </c>
      <c r="E2316" s="9"/>
      <c r="F2316" s="9">
        <v>60707</v>
      </c>
      <c r="G2316" s="10" t="s">
        <v>3239</v>
      </c>
      <c r="H2316" s="10" t="s">
        <v>563</v>
      </c>
      <c r="I2316" s="10"/>
      <c r="J2316" s="9">
        <v>31734</v>
      </c>
      <c r="K2316" s="10" t="s">
        <v>3240</v>
      </c>
      <c r="L2316" s="10" t="s">
        <v>436</v>
      </c>
      <c r="M2316" s="10" t="s">
        <v>1842</v>
      </c>
      <c r="N2316" s="7"/>
    </row>
    <row r="2317" s="1" customFormat="1" ht="28.5" customHeight="1" spans="1:14">
      <c r="A2317" s="8">
        <v>60701</v>
      </c>
      <c r="B2317" s="9">
        <v>60740</v>
      </c>
      <c r="C2317" s="9" t="s">
        <v>35</v>
      </c>
      <c r="D2317" s="9">
        <v>1000</v>
      </c>
      <c r="E2317" s="9"/>
      <c r="F2317" s="9">
        <v>60707</v>
      </c>
      <c r="G2317" s="10" t="s">
        <v>3241</v>
      </c>
      <c r="H2317" s="10" t="s">
        <v>563</v>
      </c>
      <c r="I2317" s="10"/>
      <c r="J2317" s="9">
        <v>31735</v>
      </c>
      <c r="K2317" s="10" t="s">
        <v>3242</v>
      </c>
      <c r="L2317" s="10" t="s">
        <v>436</v>
      </c>
      <c r="M2317" s="10" t="s">
        <v>1842</v>
      </c>
      <c r="N2317" s="7"/>
    </row>
    <row r="2318" s="1" customFormat="1" ht="28.5" customHeight="1" spans="1:14">
      <c r="A2318" s="8">
        <v>60701</v>
      </c>
      <c r="B2318" s="9">
        <v>60741</v>
      </c>
      <c r="C2318" s="9" t="s">
        <v>35</v>
      </c>
      <c r="D2318" s="9">
        <v>3000</v>
      </c>
      <c r="E2318" s="9"/>
      <c r="F2318" s="9">
        <v>60708</v>
      </c>
      <c r="G2318" s="10" t="s">
        <v>3205</v>
      </c>
      <c r="H2318" s="10" t="s">
        <v>563</v>
      </c>
      <c r="I2318" s="10"/>
      <c r="J2318" s="9">
        <v>41736</v>
      </c>
      <c r="K2318" s="10" t="s">
        <v>3206</v>
      </c>
      <c r="L2318" s="10" t="s">
        <v>437</v>
      </c>
      <c r="M2318" s="10" t="s">
        <v>1842</v>
      </c>
      <c r="N2318" s="7"/>
    </row>
    <row r="2319" s="1" customFormat="1" ht="28.5" customHeight="1" spans="1:14">
      <c r="A2319" s="8">
        <v>60701</v>
      </c>
      <c r="B2319" s="9">
        <v>60742</v>
      </c>
      <c r="C2319" s="9" t="s">
        <v>35</v>
      </c>
      <c r="D2319" s="9">
        <v>2500</v>
      </c>
      <c r="E2319" s="9"/>
      <c r="F2319" s="9">
        <v>60708</v>
      </c>
      <c r="G2319" s="10" t="s">
        <v>3243</v>
      </c>
      <c r="H2319" s="10" t="s">
        <v>563</v>
      </c>
      <c r="I2319" s="10"/>
      <c r="J2319" s="9">
        <v>41737</v>
      </c>
      <c r="K2319" s="10" t="s">
        <v>3244</v>
      </c>
      <c r="L2319" s="10" t="s">
        <v>437</v>
      </c>
      <c r="M2319" s="10" t="s">
        <v>1842</v>
      </c>
      <c r="N2319" s="7"/>
    </row>
    <row r="2320" s="1" customFormat="1" ht="28.5" customHeight="1" spans="1:14">
      <c r="A2320" s="8">
        <v>60701</v>
      </c>
      <c r="B2320" s="9">
        <v>60743</v>
      </c>
      <c r="C2320" s="9" t="s">
        <v>35</v>
      </c>
      <c r="D2320" s="9">
        <v>2000</v>
      </c>
      <c r="E2320" s="9"/>
      <c r="F2320" s="9">
        <v>60708</v>
      </c>
      <c r="G2320" s="10" t="s">
        <v>3245</v>
      </c>
      <c r="H2320" s="10" t="s">
        <v>563</v>
      </c>
      <c r="I2320" s="10"/>
      <c r="J2320" s="9">
        <v>41738</v>
      </c>
      <c r="K2320" s="10" t="s">
        <v>3246</v>
      </c>
      <c r="L2320" s="10" t="s">
        <v>437</v>
      </c>
      <c r="M2320" s="10" t="s">
        <v>1842</v>
      </c>
      <c r="N2320" s="7"/>
    </row>
    <row r="2321" s="1" customFormat="1" ht="28.5" customHeight="1" spans="1:14">
      <c r="A2321" s="8">
        <v>60701</v>
      </c>
      <c r="B2321" s="9">
        <v>60744</v>
      </c>
      <c r="C2321" s="9" t="s">
        <v>35</v>
      </c>
      <c r="D2321" s="9">
        <v>1500</v>
      </c>
      <c r="E2321" s="9"/>
      <c r="F2321" s="9">
        <v>60708</v>
      </c>
      <c r="G2321" s="10" t="s">
        <v>3247</v>
      </c>
      <c r="H2321" s="10" t="s">
        <v>563</v>
      </c>
      <c r="I2321" s="10"/>
      <c r="J2321" s="9">
        <v>41739</v>
      </c>
      <c r="K2321" s="10" t="s">
        <v>3248</v>
      </c>
      <c r="L2321" s="10" t="s">
        <v>437</v>
      </c>
      <c r="M2321" s="10" t="s">
        <v>1842</v>
      </c>
      <c r="N2321" s="7"/>
    </row>
    <row r="2322" s="1" customFormat="1" ht="28.5" customHeight="1" spans="1:14">
      <c r="A2322" s="8">
        <v>60701</v>
      </c>
      <c r="B2322" s="9">
        <v>60745</v>
      </c>
      <c r="C2322" s="9" t="s">
        <v>35</v>
      </c>
      <c r="D2322" s="9">
        <v>1000</v>
      </c>
      <c r="E2322" s="9"/>
      <c r="F2322" s="9">
        <v>60708</v>
      </c>
      <c r="G2322" s="10" t="s">
        <v>3249</v>
      </c>
      <c r="H2322" s="10" t="s">
        <v>563</v>
      </c>
      <c r="I2322" s="10"/>
      <c r="J2322" s="9">
        <v>41740</v>
      </c>
      <c r="K2322" s="10" t="s">
        <v>3250</v>
      </c>
      <c r="L2322" s="10" t="s">
        <v>437</v>
      </c>
      <c r="M2322" s="10" t="s">
        <v>1842</v>
      </c>
      <c r="N2322" s="7"/>
    </row>
    <row r="2323" s="1" customFormat="1" ht="28.5" customHeight="1" spans="1:14">
      <c r="A2323" s="8"/>
      <c r="B2323" s="9"/>
      <c r="C2323" s="9" t="s">
        <v>1289</v>
      </c>
      <c r="D2323" s="9">
        <v>3000</v>
      </c>
      <c r="E2323" s="9"/>
      <c r="F2323" s="9"/>
      <c r="G2323" s="10" t="s">
        <v>3251</v>
      </c>
      <c r="H2323" s="10" t="s">
        <v>563</v>
      </c>
      <c r="I2323" s="10"/>
      <c r="J2323" s="9">
        <v>11741</v>
      </c>
      <c r="K2323" s="10" t="s">
        <v>3252</v>
      </c>
      <c r="L2323" s="10" t="s">
        <v>276</v>
      </c>
      <c r="M2323" s="10" t="s">
        <v>1834</v>
      </c>
      <c r="N2323" s="7"/>
    </row>
    <row r="2324" s="1" customFormat="1" ht="28.5" customHeight="1" spans="1:14">
      <c r="A2324" s="8"/>
      <c r="B2324" s="9"/>
      <c r="C2324" s="9" t="s">
        <v>1289</v>
      </c>
      <c r="D2324" s="9">
        <v>2500</v>
      </c>
      <c r="E2324" s="9"/>
      <c r="F2324" s="9"/>
      <c r="G2324" s="10" t="s">
        <v>3253</v>
      </c>
      <c r="H2324" s="10" t="s">
        <v>563</v>
      </c>
      <c r="I2324" s="10"/>
      <c r="J2324" s="9">
        <v>11742</v>
      </c>
      <c r="K2324" s="10" t="s">
        <v>3254</v>
      </c>
      <c r="L2324" s="10" t="s">
        <v>276</v>
      </c>
      <c r="M2324" s="10" t="s">
        <v>1834</v>
      </c>
      <c r="N2324" s="7"/>
    </row>
    <row r="2325" s="1" customFormat="1" ht="28.5" customHeight="1" spans="1:14">
      <c r="A2325" s="8"/>
      <c r="B2325" s="9"/>
      <c r="C2325" s="9" t="s">
        <v>1289</v>
      </c>
      <c r="D2325" s="9">
        <v>2000</v>
      </c>
      <c r="E2325" s="9"/>
      <c r="F2325" s="9"/>
      <c r="G2325" s="10" t="s">
        <v>3255</v>
      </c>
      <c r="H2325" s="10" t="s">
        <v>563</v>
      </c>
      <c r="I2325" s="10"/>
      <c r="J2325" s="9">
        <v>11743</v>
      </c>
      <c r="K2325" s="10" t="s">
        <v>3256</v>
      </c>
      <c r="L2325" s="10" t="s">
        <v>276</v>
      </c>
      <c r="M2325" s="10" t="s">
        <v>1834</v>
      </c>
      <c r="N2325" s="7"/>
    </row>
    <row r="2326" s="1" customFormat="1" ht="28.5" customHeight="1" spans="1:14">
      <c r="A2326" s="8"/>
      <c r="B2326" s="9"/>
      <c r="C2326" s="9" t="s">
        <v>1289</v>
      </c>
      <c r="D2326" s="9">
        <v>1500</v>
      </c>
      <c r="E2326" s="9"/>
      <c r="F2326" s="9"/>
      <c r="G2326" s="10" t="s">
        <v>3257</v>
      </c>
      <c r="H2326" s="10" t="s">
        <v>563</v>
      </c>
      <c r="I2326" s="10"/>
      <c r="J2326" s="9">
        <v>11744</v>
      </c>
      <c r="K2326" s="10" t="s">
        <v>3258</v>
      </c>
      <c r="L2326" s="10" t="s">
        <v>276</v>
      </c>
      <c r="M2326" s="10" t="s">
        <v>1834</v>
      </c>
      <c r="N2326" s="7"/>
    </row>
    <row r="2327" s="1" customFormat="1" ht="28.5" customHeight="1" spans="1:14">
      <c r="A2327" s="8"/>
      <c r="B2327" s="9"/>
      <c r="C2327" s="9" t="s">
        <v>1289</v>
      </c>
      <c r="D2327" s="9">
        <v>1000</v>
      </c>
      <c r="E2327" s="9"/>
      <c r="F2327" s="9"/>
      <c r="G2327" s="10" t="s">
        <v>3259</v>
      </c>
      <c r="H2327" s="10" t="s">
        <v>563</v>
      </c>
      <c r="I2327" s="10"/>
      <c r="J2327" s="9">
        <v>11745</v>
      </c>
      <c r="K2327" s="10" t="s">
        <v>3260</v>
      </c>
      <c r="L2327" s="10" t="s">
        <v>276</v>
      </c>
      <c r="M2327" s="10" t="s">
        <v>1834</v>
      </c>
      <c r="N2327" s="7"/>
    </row>
    <row r="2328" s="1" customFormat="1" ht="28.5" customHeight="1" spans="1:14">
      <c r="A2328" s="8">
        <v>60801</v>
      </c>
      <c r="B2328" s="9">
        <v>60801</v>
      </c>
      <c r="C2328" s="9" t="s">
        <v>36</v>
      </c>
      <c r="D2328" s="9">
        <v>0</v>
      </c>
      <c r="E2328" s="9"/>
      <c r="F2328" s="9">
        <v>60800</v>
      </c>
      <c r="G2328" s="10" t="s">
        <v>1432</v>
      </c>
      <c r="H2328" s="10" t="s">
        <v>563</v>
      </c>
      <c r="I2328" s="10"/>
      <c r="J2328" s="9">
        <v>61746</v>
      </c>
      <c r="K2328" s="10" t="s">
        <v>2093</v>
      </c>
      <c r="L2328" s="10" t="s">
        <v>275</v>
      </c>
      <c r="M2328" s="10" t="s">
        <v>1842</v>
      </c>
      <c r="N2328" s="7"/>
    </row>
    <row r="2329" s="1" customFormat="1" ht="28.5" customHeight="1" spans="1:14">
      <c r="A2329" s="8">
        <v>60801</v>
      </c>
      <c r="B2329" s="9">
        <v>60802</v>
      </c>
      <c r="C2329" s="9" t="s">
        <v>36</v>
      </c>
      <c r="D2329" s="9">
        <v>0</v>
      </c>
      <c r="E2329" s="9"/>
      <c r="F2329" s="9">
        <v>60800</v>
      </c>
      <c r="G2329" s="10" t="s">
        <v>1434</v>
      </c>
      <c r="H2329" s="10" t="s">
        <v>563</v>
      </c>
      <c r="I2329" s="10"/>
      <c r="J2329" s="9">
        <v>61747</v>
      </c>
      <c r="K2329" s="10" t="s">
        <v>2094</v>
      </c>
      <c r="L2329" s="10" t="s">
        <v>275</v>
      </c>
      <c r="M2329" s="10" t="s">
        <v>1842</v>
      </c>
      <c r="N2329" s="7"/>
    </row>
    <row r="2330" s="1" customFormat="1" ht="28.5" customHeight="1" spans="1:14">
      <c r="A2330" s="8">
        <v>60801</v>
      </c>
      <c r="B2330" s="9">
        <v>60803</v>
      </c>
      <c r="C2330" s="9" t="s">
        <v>36</v>
      </c>
      <c r="D2330" s="9">
        <v>0</v>
      </c>
      <c r="E2330" s="9"/>
      <c r="F2330" s="9">
        <v>60800</v>
      </c>
      <c r="G2330" s="10" t="s">
        <v>1436</v>
      </c>
      <c r="H2330" s="10" t="s">
        <v>563</v>
      </c>
      <c r="I2330" s="10"/>
      <c r="J2330" s="9">
        <v>61748</v>
      </c>
      <c r="K2330" s="10" t="s">
        <v>2095</v>
      </c>
      <c r="L2330" s="10" t="s">
        <v>275</v>
      </c>
      <c r="M2330" s="10" t="s">
        <v>1842</v>
      </c>
      <c r="N2330" s="7"/>
    </row>
    <row r="2331" s="1" customFormat="1" ht="28.5" customHeight="1" spans="1:14">
      <c r="A2331" s="8">
        <v>60801</v>
      </c>
      <c r="B2331" s="9">
        <v>60804</v>
      </c>
      <c r="C2331" s="9" t="s">
        <v>36</v>
      </c>
      <c r="D2331" s="9">
        <v>0</v>
      </c>
      <c r="E2331" s="9"/>
      <c r="F2331" s="9">
        <v>60800</v>
      </c>
      <c r="G2331" s="10" t="s">
        <v>1438</v>
      </c>
      <c r="H2331" s="10" t="s">
        <v>563</v>
      </c>
      <c r="I2331" s="10"/>
      <c r="J2331" s="9">
        <v>61749</v>
      </c>
      <c r="K2331" s="10" t="s">
        <v>2096</v>
      </c>
      <c r="L2331" s="10" t="s">
        <v>275</v>
      </c>
      <c r="M2331" s="10" t="s">
        <v>1842</v>
      </c>
      <c r="N2331" s="7"/>
    </row>
    <row r="2332" s="1" customFormat="1" ht="28.5" customHeight="1" spans="1:14">
      <c r="A2332" s="8">
        <v>60801</v>
      </c>
      <c r="B2332" s="9">
        <v>60805</v>
      </c>
      <c r="C2332" s="9" t="s">
        <v>36</v>
      </c>
      <c r="D2332" s="9">
        <v>0</v>
      </c>
      <c r="E2332" s="9"/>
      <c r="F2332" s="9">
        <v>60800</v>
      </c>
      <c r="G2332" s="10" t="s">
        <v>1440</v>
      </c>
      <c r="H2332" s="10" t="s">
        <v>563</v>
      </c>
      <c r="I2332" s="10"/>
      <c r="J2332" s="9">
        <v>61750</v>
      </c>
      <c r="K2332" s="10" t="s">
        <v>2097</v>
      </c>
      <c r="L2332" s="10" t="s">
        <v>275</v>
      </c>
      <c r="M2332" s="10" t="s">
        <v>1842</v>
      </c>
      <c r="N2332" s="7"/>
    </row>
    <row r="2333" s="1" customFormat="1" ht="28.5" customHeight="1" spans="1:14">
      <c r="A2333" s="8">
        <v>60801</v>
      </c>
      <c r="B2333" s="9">
        <v>60806</v>
      </c>
      <c r="C2333" s="9" t="s">
        <v>36</v>
      </c>
      <c r="D2333" s="9">
        <v>3000</v>
      </c>
      <c r="E2333" s="9"/>
      <c r="F2333" s="9">
        <v>60801</v>
      </c>
      <c r="G2333" s="10" t="s">
        <v>2047</v>
      </c>
      <c r="H2333" s="10" t="s">
        <v>563</v>
      </c>
      <c r="I2333" s="10"/>
      <c r="J2333" s="9">
        <v>21751</v>
      </c>
      <c r="K2333" s="10" t="s">
        <v>2048</v>
      </c>
      <c r="L2333" s="10" t="s">
        <v>276</v>
      </c>
      <c r="M2333" s="10" t="s">
        <v>1842</v>
      </c>
      <c r="N2333" s="7"/>
    </row>
    <row r="2334" s="1" customFormat="1" ht="28.5" customHeight="1" spans="1:14">
      <c r="A2334" s="8">
        <v>60801</v>
      </c>
      <c r="B2334" s="9">
        <v>60807</v>
      </c>
      <c r="C2334" s="9" t="s">
        <v>36</v>
      </c>
      <c r="D2334" s="9">
        <v>2500</v>
      </c>
      <c r="E2334" s="9"/>
      <c r="F2334" s="9">
        <v>60801</v>
      </c>
      <c r="G2334" s="10" t="s">
        <v>2098</v>
      </c>
      <c r="H2334" s="10" t="s">
        <v>563</v>
      </c>
      <c r="I2334" s="10"/>
      <c r="J2334" s="9">
        <v>21752</v>
      </c>
      <c r="K2334" s="10" t="s">
        <v>2099</v>
      </c>
      <c r="L2334" s="10" t="s">
        <v>276</v>
      </c>
      <c r="M2334" s="10" t="s">
        <v>1842</v>
      </c>
      <c r="N2334" s="7"/>
    </row>
    <row r="2335" s="1" customFormat="1" ht="28.5" customHeight="1" spans="1:14">
      <c r="A2335" s="8">
        <v>60801</v>
      </c>
      <c r="B2335" s="9">
        <v>60808</v>
      </c>
      <c r="C2335" s="9" t="s">
        <v>36</v>
      </c>
      <c r="D2335" s="9">
        <v>2000</v>
      </c>
      <c r="E2335" s="9"/>
      <c r="F2335" s="9">
        <v>60801</v>
      </c>
      <c r="G2335" s="10" t="s">
        <v>2100</v>
      </c>
      <c r="H2335" s="10" t="s">
        <v>563</v>
      </c>
      <c r="I2335" s="10"/>
      <c r="J2335" s="9">
        <v>21753</v>
      </c>
      <c r="K2335" s="10" t="s">
        <v>2101</v>
      </c>
      <c r="L2335" s="10" t="s">
        <v>276</v>
      </c>
      <c r="M2335" s="10" t="s">
        <v>1842</v>
      </c>
      <c r="N2335" s="7"/>
    </row>
    <row r="2336" s="1" customFormat="1" ht="28.5" customHeight="1" spans="1:14">
      <c r="A2336" s="8">
        <v>60801</v>
      </c>
      <c r="B2336" s="9">
        <v>60809</v>
      </c>
      <c r="C2336" s="9" t="s">
        <v>36</v>
      </c>
      <c r="D2336" s="9">
        <v>1500</v>
      </c>
      <c r="E2336" s="9"/>
      <c r="F2336" s="9">
        <v>60801</v>
      </c>
      <c r="G2336" s="10" t="s">
        <v>2102</v>
      </c>
      <c r="H2336" s="10" t="s">
        <v>563</v>
      </c>
      <c r="I2336" s="10"/>
      <c r="J2336" s="9">
        <v>21754</v>
      </c>
      <c r="K2336" s="10" t="s">
        <v>2103</v>
      </c>
      <c r="L2336" s="10" t="s">
        <v>276</v>
      </c>
      <c r="M2336" s="10" t="s">
        <v>1842</v>
      </c>
      <c r="N2336" s="7"/>
    </row>
    <row r="2337" s="1" customFormat="1" ht="28.5" customHeight="1" spans="1:14">
      <c r="A2337" s="8">
        <v>60801</v>
      </c>
      <c r="B2337" s="9">
        <v>60810</v>
      </c>
      <c r="C2337" s="9" t="s">
        <v>36</v>
      </c>
      <c r="D2337" s="9">
        <v>1000</v>
      </c>
      <c r="E2337" s="9"/>
      <c r="F2337" s="9">
        <v>60801</v>
      </c>
      <c r="G2337" s="10" t="s">
        <v>2104</v>
      </c>
      <c r="H2337" s="10" t="s">
        <v>563</v>
      </c>
      <c r="I2337" s="10"/>
      <c r="J2337" s="9">
        <v>21755</v>
      </c>
      <c r="K2337" s="10" t="s">
        <v>2105</v>
      </c>
      <c r="L2337" s="10" t="s">
        <v>276</v>
      </c>
      <c r="M2337" s="10" t="s">
        <v>1842</v>
      </c>
      <c r="N2337" s="7"/>
    </row>
    <row r="2338" s="1" customFormat="1" ht="28.5" customHeight="1" spans="1:14">
      <c r="A2338" s="8">
        <v>60803</v>
      </c>
      <c r="B2338" s="9">
        <v>60811</v>
      </c>
      <c r="C2338" s="9" t="s">
        <v>36</v>
      </c>
      <c r="D2338" s="9">
        <v>3000</v>
      </c>
      <c r="E2338" s="9"/>
      <c r="F2338" s="9">
        <v>60802</v>
      </c>
      <c r="G2338" s="10" t="s">
        <v>1857</v>
      </c>
      <c r="H2338" s="10" t="s">
        <v>563</v>
      </c>
      <c r="I2338" s="10"/>
      <c r="J2338" s="9">
        <v>91756</v>
      </c>
      <c r="K2338" s="10" t="s">
        <v>1858</v>
      </c>
      <c r="L2338" s="10" t="s">
        <v>224</v>
      </c>
      <c r="M2338" s="10" t="s">
        <v>1842</v>
      </c>
      <c r="N2338" s="7"/>
    </row>
    <row r="2339" s="1" customFormat="1" ht="28.5" customHeight="1" spans="1:14">
      <c r="A2339" s="8">
        <v>60803</v>
      </c>
      <c r="B2339" s="9">
        <v>60812</v>
      </c>
      <c r="C2339" s="9" t="s">
        <v>36</v>
      </c>
      <c r="D2339" s="9">
        <v>2500</v>
      </c>
      <c r="E2339" s="9"/>
      <c r="F2339" s="9">
        <v>60802</v>
      </c>
      <c r="G2339" s="10" t="s">
        <v>1857</v>
      </c>
      <c r="H2339" s="10" t="s">
        <v>563</v>
      </c>
      <c r="I2339" s="10"/>
      <c r="J2339" s="9">
        <v>91757</v>
      </c>
      <c r="K2339" s="10" t="s">
        <v>1858</v>
      </c>
      <c r="L2339" s="10" t="s">
        <v>224</v>
      </c>
      <c r="M2339" s="10" t="s">
        <v>1842</v>
      </c>
      <c r="N2339" s="7"/>
    </row>
    <row r="2340" s="1" customFormat="1" ht="28.5" customHeight="1" spans="1:14">
      <c r="A2340" s="8">
        <v>60803</v>
      </c>
      <c r="B2340" s="9">
        <v>60813</v>
      </c>
      <c r="C2340" s="9" t="s">
        <v>36</v>
      </c>
      <c r="D2340" s="9">
        <v>2000</v>
      </c>
      <c r="E2340" s="9"/>
      <c r="F2340" s="9">
        <v>60802</v>
      </c>
      <c r="G2340" s="10" t="s">
        <v>1857</v>
      </c>
      <c r="H2340" s="10" t="s">
        <v>563</v>
      </c>
      <c r="I2340" s="10"/>
      <c r="J2340" s="9">
        <v>91758</v>
      </c>
      <c r="K2340" s="10" t="s">
        <v>1858</v>
      </c>
      <c r="L2340" s="10" t="s">
        <v>224</v>
      </c>
      <c r="M2340" s="10" t="s">
        <v>1842</v>
      </c>
      <c r="N2340" s="7"/>
    </row>
    <row r="2341" s="1" customFormat="1" ht="28.5" customHeight="1" spans="1:14">
      <c r="A2341" s="8">
        <v>60803</v>
      </c>
      <c r="B2341" s="9">
        <v>60814</v>
      </c>
      <c r="C2341" s="9" t="s">
        <v>36</v>
      </c>
      <c r="D2341" s="9">
        <v>1500</v>
      </c>
      <c r="E2341" s="9"/>
      <c r="F2341" s="9">
        <v>60802</v>
      </c>
      <c r="G2341" s="10" t="s">
        <v>1857</v>
      </c>
      <c r="H2341" s="10" t="s">
        <v>563</v>
      </c>
      <c r="I2341" s="10"/>
      <c r="J2341" s="9">
        <v>91759</v>
      </c>
      <c r="K2341" s="10" t="s">
        <v>1858</v>
      </c>
      <c r="L2341" s="10" t="s">
        <v>224</v>
      </c>
      <c r="M2341" s="10" t="s">
        <v>1842</v>
      </c>
      <c r="N2341" s="7"/>
    </row>
    <row r="2342" s="1" customFormat="1" ht="28.5" customHeight="1" spans="1:14">
      <c r="A2342" s="8">
        <v>60803</v>
      </c>
      <c r="B2342" s="9">
        <v>60815</v>
      </c>
      <c r="C2342" s="9" t="s">
        <v>36</v>
      </c>
      <c r="D2342" s="9">
        <v>1000</v>
      </c>
      <c r="E2342" s="9"/>
      <c r="F2342" s="9">
        <v>60802</v>
      </c>
      <c r="G2342" s="10" t="s">
        <v>1857</v>
      </c>
      <c r="H2342" s="10" t="s">
        <v>563</v>
      </c>
      <c r="I2342" s="10"/>
      <c r="J2342" s="9">
        <v>91760</v>
      </c>
      <c r="K2342" s="10" t="s">
        <v>1858</v>
      </c>
      <c r="L2342" s="10" t="s">
        <v>224</v>
      </c>
      <c r="M2342" s="10" t="s">
        <v>1842</v>
      </c>
      <c r="N2342" s="7"/>
    </row>
    <row r="2343" s="1" customFormat="1" ht="28.5" customHeight="1" spans="1:14">
      <c r="A2343" s="8">
        <v>60803</v>
      </c>
      <c r="B2343" s="9">
        <v>60816</v>
      </c>
      <c r="C2343" s="9" t="s">
        <v>36</v>
      </c>
      <c r="D2343" s="9">
        <v>3000</v>
      </c>
      <c r="E2343" s="9"/>
      <c r="F2343" s="9">
        <v>60803</v>
      </c>
      <c r="G2343" s="10" t="s">
        <v>1859</v>
      </c>
      <c r="H2343" s="10" t="s">
        <v>563</v>
      </c>
      <c r="I2343" s="10"/>
      <c r="J2343" s="9">
        <v>71761</v>
      </c>
      <c r="K2343" s="10" t="s">
        <v>1860</v>
      </c>
      <c r="L2343" s="10" t="s">
        <v>228</v>
      </c>
      <c r="M2343" s="10" t="s">
        <v>1842</v>
      </c>
      <c r="N2343" s="7"/>
    </row>
    <row r="2344" s="1" customFormat="1" ht="28.5" customHeight="1" spans="1:14">
      <c r="A2344" s="8">
        <v>60803</v>
      </c>
      <c r="B2344" s="9">
        <v>60817</v>
      </c>
      <c r="C2344" s="9" t="s">
        <v>36</v>
      </c>
      <c r="D2344" s="9">
        <v>2500</v>
      </c>
      <c r="E2344" s="9"/>
      <c r="F2344" s="9">
        <v>60803</v>
      </c>
      <c r="G2344" s="10" t="s">
        <v>1859</v>
      </c>
      <c r="H2344" s="10" t="s">
        <v>563</v>
      </c>
      <c r="I2344" s="10"/>
      <c r="J2344" s="9">
        <v>71762</v>
      </c>
      <c r="K2344" s="10" t="s">
        <v>1860</v>
      </c>
      <c r="L2344" s="10" t="s">
        <v>228</v>
      </c>
      <c r="M2344" s="10" t="s">
        <v>1842</v>
      </c>
      <c r="N2344" s="7"/>
    </row>
    <row r="2345" s="1" customFormat="1" ht="28.5" customHeight="1" spans="1:14">
      <c r="A2345" s="8">
        <v>60803</v>
      </c>
      <c r="B2345" s="9">
        <v>60818</v>
      </c>
      <c r="C2345" s="9" t="s">
        <v>36</v>
      </c>
      <c r="D2345" s="9">
        <v>2000</v>
      </c>
      <c r="E2345" s="9"/>
      <c r="F2345" s="9">
        <v>60803</v>
      </c>
      <c r="G2345" s="10" t="s">
        <v>1859</v>
      </c>
      <c r="H2345" s="10" t="s">
        <v>563</v>
      </c>
      <c r="I2345" s="10"/>
      <c r="J2345" s="9">
        <v>71763</v>
      </c>
      <c r="K2345" s="10" t="s">
        <v>1860</v>
      </c>
      <c r="L2345" s="10" t="s">
        <v>228</v>
      </c>
      <c r="M2345" s="10" t="s">
        <v>1842</v>
      </c>
      <c r="N2345" s="7"/>
    </row>
    <row r="2346" s="1" customFormat="1" ht="28.5" customHeight="1" spans="1:14">
      <c r="A2346" s="8">
        <v>60803</v>
      </c>
      <c r="B2346" s="9">
        <v>60819</v>
      </c>
      <c r="C2346" s="9" t="s">
        <v>36</v>
      </c>
      <c r="D2346" s="9">
        <v>1500</v>
      </c>
      <c r="E2346" s="9"/>
      <c r="F2346" s="9">
        <v>60803</v>
      </c>
      <c r="G2346" s="10" t="s">
        <v>1859</v>
      </c>
      <c r="H2346" s="10" t="s">
        <v>563</v>
      </c>
      <c r="I2346" s="10"/>
      <c r="J2346" s="9">
        <v>71764</v>
      </c>
      <c r="K2346" s="10" t="s">
        <v>1860</v>
      </c>
      <c r="L2346" s="10" t="s">
        <v>228</v>
      </c>
      <c r="M2346" s="10" t="s">
        <v>1842</v>
      </c>
      <c r="N2346" s="7"/>
    </row>
    <row r="2347" s="1" customFormat="1" ht="28.5" customHeight="1" spans="1:14">
      <c r="A2347" s="8">
        <v>60803</v>
      </c>
      <c r="B2347" s="9">
        <v>60820</v>
      </c>
      <c r="C2347" s="9" t="s">
        <v>36</v>
      </c>
      <c r="D2347" s="9">
        <v>1000</v>
      </c>
      <c r="E2347" s="9"/>
      <c r="F2347" s="9">
        <v>60803</v>
      </c>
      <c r="G2347" s="10" t="s">
        <v>1859</v>
      </c>
      <c r="H2347" s="10" t="s">
        <v>563</v>
      </c>
      <c r="I2347" s="10"/>
      <c r="J2347" s="9">
        <v>71765</v>
      </c>
      <c r="K2347" s="10" t="s">
        <v>1860</v>
      </c>
      <c r="L2347" s="10" t="s">
        <v>228</v>
      </c>
      <c r="M2347" s="10" t="s">
        <v>1842</v>
      </c>
      <c r="N2347" s="7"/>
    </row>
    <row r="2348" s="1" customFormat="1" ht="28.5" customHeight="1" spans="1:14">
      <c r="A2348" s="8">
        <v>60803</v>
      </c>
      <c r="B2348" s="9">
        <v>60821</v>
      </c>
      <c r="C2348" s="9" t="s">
        <v>36</v>
      </c>
      <c r="D2348" s="9">
        <v>3000</v>
      </c>
      <c r="E2348" s="9"/>
      <c r="F2348" s="9">
        <v>60804</v>
      </c>
      <c r="G2348" s="10" t="s">
        <v>1861</v>
      </c>
      <c r="H2348" s="10" t="s">
        <v>563</v>
      </c>
      <c r="I2348" s="10"/>
      <c r="J2348" s="9">
        <v>81766</v>
      </c>
      <c r="K2348" s="10" t="s">
        <v>1862</v>
      </c>
      <c r="L2348" s="10" t="s">
        <v>231</v>
      </c>
      <c r="M2348" s="10" t="s">
        <v>1842</v>
      </c>
      <c r="N2348" s="7"/>
    </row>
    <row r="2349" s="1" customFormat="1" ht="28.5" customHeight="1" spans="1:14">
      <c r="A2349" s="8">
        <v>60803</v>
      </c>
      <c r="B2349" s="9">
        <v>60822</v>
      </c>
      <c r="C2349" s="9" t="s">
        <v>36</v>
      </c>
      <c r="D2349" s="9">
        <v>2500</v>
      </c>
      <c r="E2349" s="9"/>
      <c r="F2349" s="9">
        <v>60804</v>
      </c>
      <c r="G2349" s="10" t="s">
        <v>1861</v>
      </c>
      <c r="H2349" s="10" t="s">
        <v>563</v>
      </c>
      <c r="I2349" s="10"/>
      <c r="J2349" s="9">
        <v>81767</v>
      </c>
      <c r="K2349" s="10" t="s">
        <v>1862</v>
      </c>
      <c r="L2349" s="10" t="s">
        <v>231</v>
      </c>
      <c r="M2349" s="10" t="s">
        <v>1842</v>
      </c>
      <c r="N2349" s="7"/>
    </row>
    <row r="2350" s="1" customFormat="1" ht="28.5" customHeight="1" spans="1:14">
      <c r="A2350" s="8">
        <v>60803</v>
      </c>
      <c r="B2350" s="9">
        <v>60823</v>
      </c>
      <c r="C2350" s="9" t="s">
        <v>36</v>
      </c>
      <c r="D2350" s="9">
        <v>2000</v>
      </c>
      <c r="E2350" s="9"/>
      <c r="F2350" s="9">
        <v>60804</v>
      </c>
      <c r="G2350" s="10" t="s">
        <v>1861</v>
      </c>
      <c r="H2350" s="10" t="s">
        <v>563</v>
      </c>
      <c r="I2350" s="10"/>
      <c r="J2350" s="9">
        <v>81768</v>
      </c>
      <c r="K2350" s="10" t="s">
        <v>1862</v>
      </c>
      <c r="L2350" s="10" t="s">
        <v>231</v>
      </c>
      <c r="M2350" s="10" t="s">
        <v>1842</v>
      </c>
      <c r="N2350" s="7"/>
    </row>
    <row r="2351" s="1" customFormat="1" ht="28.5" customHeight="1" spans="1:14">
      <c r="A2351" s="8">
        <v>60803</v>
      </c>
      <c r="B2351" s="9">
        <v>60824</v>
      </c>
      <c r="C2351" s="9" t="s">
        <v>36</v>
      </c>
      <c r="D2351" s="9">
        <v>1500</v>
      </c>
      <c r="E2351" s="9"/>
      <c r="F2351" s="9">
        <v>60804</v>
      </c>
      <c r="G2351" s="10" t="s">
        <v>1861</v>
      </c>
      <c r="H2351" s="10" t="s">
        <v>563</v>
      </c>
      <c r="I2351" s="10"/>
      <c r="J2351" s="9">
        <v>81769</v>
      </c>
      <c r="K2351" s="10" t="s">
        <v>1862</v>
      </c>
      <c r="L2351" s="10" t="s">
        <v>231</v>
      </c>
      <c r="M2351" s="10" t="s">
        <v>1842</v>
      </c>
      <c r="N2351" s="7"/>
    </row>
    <row r="2352" s="1" customFormat="1" ht="28.5" customHeight="1" spans="1:14">
      <c r="A2352" s="8">
        <v>60803</v>
      </c>
      <c r="B2352" s="9">
        <v>60825</v>
      </c>
      <c r="C2352" s="9" t="s">
        <v>36</v>
      </c>
      <c r="D2352" s="9">
        <v>1000</v>
      </c>
      <c r="E2352" s="9"/>
      <c r="F2352" s="9">
        <v>60804</v>
      </c>
      <c r="G2352" s="10" t="s">
        <v>1861</v>
      </c>
      <c r="H2352" s="10" t="s">
        <v>563</v>
      </c>
      <c r="I2352" s="10"/>
      <c r="J2352" s="9">
        <v>81770</v>
      </c>
      <c r="K2352" s="10" t="s">
        <v>1862</v>
      </c>
      <c r="L2352" s="10" t="s">
        <v>231</v>
      </c>
      <c r="M2352" s="10" t="s">
        <v>1842</v>
      </c>
      <c r="N2352" s="7"/>
    </row>
    <row r="2353" s="1" customFormat="1" ht="28.5" customHeight="1" spans="1:14">
      <c r="A2353" s="8"/>
      <c r="B2353" s="9"/>
      <c r="C2353" s="9" t="s">
        <v>1289</v>
      </c>
      <c r="D2353" s="9">
        <v>3000</v>
      </c>
      <c r="E2353" s="9"/>
      <c r="F2353" s="9"/>
      <c r="G2353" s="10" t="s">
        <v>3064</v>
      </c>
      <c r="H2353" s="10" t="s">
        <v>563</v>
      </c>
      <c r="I2353" s="10"/>
      <c r="J2353" s="9">
        <v>101771</v>
      </c>
      <c r="K2353" s="10" t="s">
        <v>414</v>
      </c>
      <c r="L2353" s="10" t="s">
        <v>248</v>
      </c>
      <c r="M2353" s="10" t="s">
        <v>1834</v>
      </c>
      <c r="N2353" s="7"/>
    </row>
    <row r="2354" s="1" customFormat="1" ht="28.5" customHeight="1" spans="1:14">
      <c r="A2354" s="8"/>
      <c r="B2354" s="9"/>
      <c r="C2354" s="9" t="s">
        <v>1289</v>
      </c>
      <c r="D2354" s="9">
        <v>2500</v>
      </c>
      <c r="E2354" s="9"/>
      <c r="F2354" s="9"/>
      <c r="G2354" s="10" t="s">
        <v>3064</v>
      </c>
      <c r="H2354" s="10" t="s">
        <v>563</v>
      </c>
      <c r="I2354" s="10"/>
      <c r="J2354" s="9">
        <v>101772</v>
      </c>
      <c r="K2354" s="10" t="s">
        <v>414</v>
      </c>
      <c r="L2354" s="10" t="s">
        <v>248</v>
      </c>
      <c r="M2354" s="10" t="s">
        <v>1834</v>
      </c>
      <c r="N2354" s="7"/>
    </row>
    <row r="2355" s="1" customFormat="1" ht="28.5" customHeight="1" spans="1:14">
      <c r="A2355" s="8"/>
      <c r="B2355" s="9"/>
      <c r="C2355" s="9" t="s">
        <v>1289</v>
      </c>
      <c r="D2355" s="9">
        <v>2000</v>
      </c>
      <c r="E2355" s="9"/>
      <c r="F2355" s="9"/>
      <c r="G2355" s="10" t="s">
        <v>3064</v>
      </c>
      <c r="H2355" s="10" t="s">
        <v>563</v>
      </c>
      <c r="I2355" s="10"/>
      <c r="J2355" s="9">
        <v>101773</v>
      </c>
      <c r="K2355" s="10" t="s">
        <v>414</v>
      </c>
      <c r="L2355" s="10" t="s">
        <v>248</v>
      </c>
      <c r="M2355" s="10" t="s">
        <v>1834</v>
      </c>
      <c r="N2355" s="7"/>
    </row>
    <row r="2356" s="1" customFormat="1" ht="28.5" customHeight="1" spans="1:14">
      <c r="A2356" s="8"/>
      <c r="B2356" s="9"/>
      <c r="C2356" s="9" t="s">
        <v>1289</v>
      </c>
      <c r="D2356" s="9">
        <v>1500</v>
      </c>
      <c r="E2356" s="9"/>
      <c r="F2356" s="9"/>
      <c r="G2356" s="10" t="s">
        <v>3064</v>
      </c>
      <c r="H2356" s="10" t="s">
        <v>563</v>
      </c>
      <c r="I2356" s="10"/>
      <c r="J2356" s="9">
        <v>101774</v>
      </c>
      <c r="K2356" s="10" t="s">
        <v>414</v>
      </c>
      <c r="L2356" s="10" t="s">
        <v>248</v>
      </c>
      <c r="M2356" s="10" t="s">
        <v>1834</v>
      </c>
      <c r="N2356" s="7"/>
    </row>
    <row r="2357" s="1" customFormat="1" ht="28.5" customHeight="1" spans="1:14">
      <c r="A2357" s="8"/>
      <c r="B2357" s="9"/>
      <c r="C2357" s="9" t="s">
        <v>1289</v>
      </c>
      <c r="D2357" s="9">
        <v>1000</v>
      </c>
      <c r="E2357" s="9"/>
      <c r="F2357" s="9"/>
      <c r="G2357" s="10" t="s">
        <v>3064</v>
      </c>
      <c r="H2357" s="10" t="s">
        <v>563</v>
      </c>
      <c r="I2357" s="10"/>
      <c r="J2357" s="9">
        <v>101775</v>
      </c>
      <c r="K2357" s="10" t="s">
        <v>414</v>
      </c>
      <c r="L2357" s="10" t="s">
        <v>248</v>
      </c>
      <c r="M2357" s="10" t="s">
        <v>1834</v>
      </c>
      <c r="N2357" s="7"/>
    </row>
    <row r="2358" s="1" customFormat="1" ht="28.5" customHeight="1" spans="1:14">
      <c r="A2358" s="8">
        <v>60802</v>
      </c>
      <c r="B2358" s="9">
        <v>60826</v>
      </c>
      <c r="C2358" s="9" t="s">
        <v>36</v>
      </c>
      <c r="D2358" s="9">
        <v>3000</v>
      </c>
      <c r="E2358" s="9"/>
      <c r="F2358" s="9">
        <v>60805</v>
      </c>
      <c r="G2358" s="10" t="s">
        <v>2973</v>
      </c>
      <c r="H2358" s="10" t="s">
        <v>563</v>
      </c>
      <c r="I2358" s="10"/>
      <c r="J2358" s="9">
        <v>11776</v>
      </c>
      <c r="K2358" s="10" t="s">
        <v>2974</v>
      </c>
      <c r="L2358" s="10" t="s">
        <v>407</v>
      </c>
      <c r="M2358" s="10" t="s">
        <v>1842</v>
      </c>
      <c r="N2358" s="7"/>
    </row>
    <row r="2359" s="1" customFormat="1" ht="28.5" customHeight="1" spans="1:14">
      <c r="A2359" s="8">
        <v>60802</v>
      </c>
      <c r="B2359" s="9">
        <v>60827</v>
      </c>
      <c r="C2359" s="9" t="s">
        <v>36</v>
      </c>
      <c r="D2359" s="9">
        <v>2500</v>
      </c>
      <c r="E2359" s="9"/>
      <c r="F2359" s="9">
        <v>60805</v>
      </c>
      <c r="G2359" s="10" t="s">
        <v>3016</v>
      </c>
      <c r="H2359" s="10" t="s">
        <v>563</v>
      </c>
      <c r="I2359" s="10"/>
      <c r="J2359" s="9">
        <v>11777</v>
      </c>
      <c r="K2359" s="10" t="s">
        <v>3017</v>
      </c>
      <c r="L2359" s="10" t="s">
        <v>407</v>
      </c>
      <c r="M2359" s="10" t="s">
        <v>1842</v>
      </c>
      <c r="N2359" s="7"/>
    </row>
    <row r="2360" s="1" customFormat="1" ht="28.5" customHeight="1" spans="1:14">
      <c r="A2360" s="8">
        <v>60802</v>
      </c>
      <c r="B2360" s="9">
        <v>60828</v>
      </c>
      <c r="C2360" s="9" t="s">
        <v>36</v>
      </c>
      <c r="D2360" s="9">
        <v>2000</v>
      </c>
      <c r="E2360" s="9"/>
      <c r="F2360" s="9">
        <v>60805</v>
      </c>
      <c r="G2360" s="10" t="s">
        <v>3018</v>
      </c>
      <c r="H2360" s="10" t="s">
        <v>563</v>
      </c>
      <c r="I2360" s="10"/>
      <c r="J2360" s="9">
        <v>11778</v>
      </c>
      <c r="K2360" s="10" t="s">
        <v>3019</v>
      </c>
      <c r="L2360" s="10" t="s">
        <v>407</v>
      </c>
      <c r="M2360" s="10" t="s">
        <v>1842</v>
      </c>
      <c r="N2360" s="7"/>
    </row>
    <row r="2361" s="1" customFormat="1" ht="28.5" customHeight="1" spans="1:14">
      <c r="A2361" s="8">
        <v>60802</v>
      </c>
      <c r="B2361" s="9">
        <v>60829</v>
      </c>
      <c r="C2361" s="9" t="s">
        <v>36</v>
      </c>
      <c r="D2361" s="9">
        <v>1500</v>
      </c>
      <c r="E2361" s="9"/>
      <c r="F2361" s="9">
        <v>60805</v>
      </c>
      <c r="G2361" s="10" t="s">
        <v>3020</v>
      </c>
      <c r="H2361" s="10" t="s">
        <v>563</v>
      </c>
      <c r="I2361" s="10"/>
      <c r="J2361" s="9">
        <v>11779</v>
      </c>
      <c r="K2361" s="10" t="s">
        <v>3021</v>
      </c>
      <c r="L2361" s="10" t="s">
        <v>407</v>
      </c>
      <c r="M2361" s="10" t="s">
        <v>1842</v>
      </c>
      <c r="N2361" s="7"/>
    </row>
    <row r="2362" s="1" customFormat="1" ht="28.5" customHeight="1" spans="1:14">
      <c r="A2362" s="8">
        <v>60802</v>
      </c>
      <c r="B2362" s="9">
        <v>60830</v>
      </c>
      <c r="C2362" s="9" t="s">
        <v>36</v>
      </c>
      <c r="D2362" s="9">
        <v>1000</v>
      </c>
      <c r="E2362" s="9"/>
      <c r="F2362" s="9">
        <v>60805</v>
      </c>
      <c r="G2362" s="10" t="s">
        <v>1821</v>
      </c>
      <c r="H2362" s="10" t="s">
        <v>563</v>
      </c>
      <c r="I2362" s="10"/>
      <c r="J2362" s="9">
        <v>11780</v>
      </c>
      <c r="K2362" s="10" t="s">
        <v>1822</v>
      </c>
      <c r="L2362" s="10" t="s">
        <v>407</v>
      </c>
      <c r="M2362" s="10" t="s">
        <v>1842</v>
      </c>
      <c r="N2362" s="7"/>
    </row>
    <row r="2363" s="1" customFormat="1" ht="28.5" customHeight="1" spans="1:14">
      <c r="A2363" s="8">
        <v>60801</v>
      </c>
      <c r="B2363" s="9">
        <v>60831</v>
      </c>
      <c r="C2363" s="9" t="s">
        <v>36</v>
      </c>
      <c r="D2363" s="9">
        <v>3000</v>
      </c>
      <c r="E2363" s="9"/>
      <c r="F2363" s="9">
        <v>60806</v>
      </c>
      <c r="G2363" s="10" t="s">
        <v>3223</v>
      </c>
      <c r="H2363" s="10" t="s">
        <v>563</v>
      </c>
      <c r="I2363" s="10"/>
      <c r="J2363" s="9">
        <v>51781</v>
      </c>
      <c r="K2363" s="10" t="s">
        <v>3224</v>
      </c>
      <c r="L2363" s="10" t="s">
        <v>438</v>
      </c>
      <c r="M2363" s="10" t="s">
        <v>1842</v>
      </c>
      <c r="N2363" s="7"/>
    </row>
    <row r="2364" s="1" customFormat="1" ht="28.5" customHeight="1" spans="1:14">
      <c r="A2364" s="8">
        <v>60801</v>
      </c>
      <c r="B2364" s="9">
        <v>60832</v>
      </c>
      <c r="C2364" s="9" t="s">
        <v>36</v>
      </c>
      <c r="D2364" s="9">
        <v>2500</v>
      </c>
      <c r="E2364" s="9"/>
      <c r="F2364" s="9">
        <v>60806</v>
      </c>
      <c r="G2364" s="10" t="s">
        <v>3261</v>
      </c>
      <c r="H2364" s="10" t="s">
        <v>563</v>
      </c>
      <c r="I2364" s="10"/>
      <c r="J2364" s="9">
        <v>51782</v>
      </c>
      <c r="K2364" s="10" t="s">
        <v>3262</v>
      </c>
      <c r="L2364" s="10" t="s">
        <v>438</v>
      </c>
      <c r="M2364" s="10" t="s">
        <v>1842</v>
      </c>
      <c r="N2364" s="7"/>
    </row>
    <row r="2365" s="1" customFormat="1" ht="28.5" customHeight="1" spans="1:14">
      <c r="A2365" s="8">
        <v>60801</v>
      </c>
      <c r="B2365" s="9">
        <v>60833</v>
      </c>
      <c r="C2365" s="9" t="s">
        <v>36</v>
      </c>
      <c r="D2365" s="9">
        <v>2000</v>
      </c>
      <c r="E2365" s="9"/>
      <c r="F2365" s="9">
        <v>60806</v>
      </c>
      <c r="G2365" s="10" t="s">
        <v>3263</v>
      </c>
      <c r="H2365" s="10" t="s">
        <v>563</v>
      </c>
      <c r="I2365" s="10"/>
      <c r="J2365" s="9">
        <v>51783</v>
      </c>
      <c r="K2365" s="10" t="s">
        <v>3264</v>
      </c>
      <c r="L2365" s="10" t="s">
        <v>438</v>
      </c>
      <c r="M2365" s="10" t="s">
        <v>1842</v>
      </c>
      <c r="N2365" s="7"/>
    </row>
    <row r="2366" s="1" customFormat="1" ht="28.5" customHeight="1" spans="1:14">
      <c r="A2366" s="8">
        <v>60801</v>
      </c>
      <c r="B2366" s="9">
        <v>60834</v>
      </c>
      <c r="C2366" s="9" t="s">
        <v>36</v>
      </c>
      <c r="D2366" s="9">
        <v>1500</v>
      </c>
      <c r="E2366" s="9"/>
      <c r="F2366" s="9">
        <v>60806</v>
      </c>
      <c r="G2366" s="10" t="s">
        <v>3265</v>
      </c>
      <c r="H2366" s="10" t="s">
        <v>563</v>
      </c>
      <c r="I2366" s="10"/>
      <c r="J2366" s="9">
        <v>51784</v>
      </c>
      <c r="K2366" s="10" t="s">
        <v>3266</v>
      </c>
      <c r="L2366" s="10" t="s">
        <v>438</v>
      </c>
      <c r="M2366" s="10" t="s">
        <v>1842</v>
      </c>
      <c r="N2366" s="7"/>
    </row>
    <row r="2367" s="1" customFormat="1" ht="28.5" customHeight="1" spans="1:14">
      <c r="A2367" s="8">
        <v>60801</v>
      </c>
      <c r="B2367" s="9">
        <v>60835</v>
      </c>
      <c r="C2367" s="9" t="s">
        <v>36</v>
      </c>
      <c r="D2367" s="9">
        <v>1000</v>
      </c>
      <c r="E2367" s="9"/>
      <c r="F2367" s="9">
        <v>60806</v>
      </c>
      <c r="G2367" s="10" t="s">
        <v>3267</v>
      </c>
      <c r="H2367" s="10" t="s">
        <v>563</v>
      </c>
      <c r="I2367" s="10"/>
      <c r="J2367" s="9">
        <v>51785</v>
      </c>
      <c r="K2367" s="10" t="s">
        <v>3268</v>
      </c>
      <c r="L2367" s="10" t="s">
        <v>438</v>
      </c>
      <c r="M2367" s="10" t="s">
        <v>1842</v>
      </c>
      <c r="N2367" s="7"/>
    </row>
    <row r="2368" s="1" customFormat="1" ht="28.5" customHeight="1" spans="1:14">
      <c r="A2368" s="8">
        <v>60801</v>
      </c>
      <c r="B2368" s="9">
        <v>60836</v>
      </c>
      <c r="C2368" s="9" t="s">
        <v>36</v>
      </c>
      <c r="D2368" s="9">
        <v>0</v>
      </c>
      <c r="E2368" s="9"/>
      <c r="F2368" s="9">
        <v>60807</v>
      </c>
      <c r="G2368" s="10" t="s">
        <v>3269</v>
      </c>
      <c r="H2368" s="10" t="s">
        <v>563</v>
      </c>
      <c r="I2368" s="10"/>
      <c r="J2368" s="9">
        <v>61786</v>
      </c>
      <c r="K2368" s="10" t="s">
        <v>3270</v>
      </c>
      <c r="L2368" s="10" t="s">
        <v>439</v>
      </c>
      <c r="M2368" s="10" t="s">
        <v>1842</v>
      </c>
      <c r="N2368" s="7"/>
    </row>
    <row r="2369" s="1" customFormat="1" ht="28.5" customHeight="1" spans="1:14">
      <c r="A2369" s="8">
        <v>60801</v>
      </c>
      <c r="B2369" s="9">
        <v>60837</v>
      </c>
      <c r="C2369" s="9" t="s">
        <v>36</v>
      </c>
      <c r="D2369" s="9">
        <v>0</v>
      </c>
      <c r="E2369" s="9"/>
      <c r="F2369" s="9">
        <v>60807</v>
      </c>
      <c r="G2369" s="10" t="s">
        <v>3271</v>
      </c>
      <c r="H2369" s="10" t="s">
        <v>563</v>
      </c>
      <c r="I2369" s="10"/>
      <c r="J2369" s="9">
        <v>61787</v>
      </c>
      <c r="K2369" s="10" t="s">
        <v>3272</v>
      </c>
      <c r="L2369" s="10" t="s">
        <v>439</v>
      </c>
      <c r="M2369" s="10" t="s">
        <v>1842</v>
      </c>
      <c r="N2369" s="7"/>
    </row>
    <row r="2370" s="1" customFormat="1" ht="28.5" customHeight="1" spans="1:14">
      <c r="A2370" s="8">
        <v>60801</v>
      </c>
      <c r="B2370" s="9">
        <v>60838</v>
      </c>
      <c r="C2370" s="9" t="s">
        <v>36</v>
      </c>
      <c r="D2370" s="9">
        <v>0</v>
      </c>
      <c r="E2370" s="9"/>
      <c r="F2370" s="9">
        <v>60807</v>
      </c>
      <c r="G2370" s="10" t="s">
        <v>3273</v>
      </c>
      <c r="H2370" s="10" t="s">
        <v>563</v>
      </c>
      <c r="I2370" s="10"/>
      <c r="J2370" s="9">
        <v>61788</v>
      </c>
      <c r="K2370" s="10" t="s">
        <v>3274</v>
      </c>
      <c r="L2370" s="10" t="s">
        <v>439</v>
      </c>
      <c r="M2370" s="10" t="s">
        <v>1842</v>
      </c>
      <c r="N2370" s="7"/>
    </row>
    <row r="2371" s="1" customFormat="1" ht="28.5" customHeight="1" spans="1:14">
      <c r="A2371" s="8">
        <v>60801</v>
      </c>
      <c r="B2371" s="9">
        <v>60839</v>
      </c>
      <c r="C2371" s="9" t="s">
        <v>36</v>
      </c>
      <c r="D2371" s="9">
        <v>0</v>
      </c>
      <c r="E2371" s="9"/>
      <c r="F2371" s="9">
        <v>60807</v>
      </c>
      <c r="G2371" s="10" t="s">
        <v>3275</v>
      </c>
      <c r="H2371" s="10" t="s">
        <v>563</v>
      </c>
      <c r="I2371" s="10"/>
      <c r="J2371" s="9">
        <v>61789</v>
      </c>
      <c r="K2371" s="10" t="s">
        <v>3276</v>
      </c>
      <c r="L2371" s="10" t="s">
        <v>439</v>
      </c>
      <c r="M2371" s="10" t="s">
        <v>1842</v>
      </c>
      <c r="N2371" s="7"/>
    </row>
    <row r="2372" s="1" customFormat="1" ht="28.5" customHeight="1" spans="1:14">
      <c r="A2372" s="8">
        <v>60801</v>
      </c>
      <c r="B2372" s="9">
        <v>60840</v>
      </c>
      <c r="C2372" s="9" t="s">
        <v>36</v>
      </c>
      <c r="D2372" s="9">
        <v>0</v>
      </c>
      <c r="E2372" s="9"/>
      <c r="F2372" s="9">
        <v>60807</v>
      </c>
      <c r="G2372" s="10" t="s">
        <v>3277</v>
      </c>
      <c r="H2372" s="10" t="s">
        <v>563</v>
      </c>
      <c r="I2372" s="10"/>
      <c r="J2372" s="9">
        <v>61790</v>
      </c>
      <c r="K2372" s="10" t="s">
        <v>3278</v>
      </c>
      <c r="L2372" s="10" t="s">
        <v>439</v>
      </c>
      <c r="M2372" s="10" t="s">
        <v>1842</v>
      </c>
      <c r="N2372" s="7"/>
    </row>
    <row r="2373" s="1" customFormat="1" ht="28.5" customHeight="1" spans="1:14">
      <c r="A2373" s="8">
        <v>60801</v>
      </c>
      <c r="B2373" s="9">
        <v>60841</v>
      </c>
      <c r="C2373" s="9" t="s">
        <v>36</v>
      </c>
      <c r="D2373" s="9">
        <v>3000</v>
      </c>
      <c r="E2373" s="9"/>
      <c r="F2373" s="9">
        <v>60808</v>
      </c>
      <c r="G2373" s="10" t="s">
        <v>3241</v>
      </c>
      <c r="H2373" s="10" t="s">
        <v>563</v>
      </c>
      <c r="I2373" s="10"/>
      <c r="J2373" s="9">
        <v>31791</v>
      </c>
      <c r="K2373" s="10" t="s">
        <v>3242</v>
      </c>
      <c r="L2373" s="10" t="s">
        <v>440</v>
      </c>
      <c r="M2373" s="10" t="s">
        <v>1842</v>
      </c>
      <c r="N2373" s="7"/>
    </row>
    <row r="2374" s="1" customFormat="1" ht="28.5" customHeight="1" spans="1:14">
      <c r="A2374" s="8">
        <v>60801</v>
      </c>
      <c r="B2374" s="9">
        <v>60842</v>
      </c>
      <c r="C2374" s="9" t="s">
        <v>36</v>
      </c>
      <c r="D2374" s="9">
        <v>2500</v>
      </c>
      <c r="E2374" s="9"/>
      <c r="F2374" s="9">
        <v>60808</v>
      </c>
      <c r="G2374" s="10" t="s">
        <v>3279</v>
      </c>
      <c r="H2374" s="10" t="s">
        <v>563</v>
      </c>
      <c r="I2374" s="10"/>
      <c r="J2374" s="9">
        <v>31792</v>
      </c>
      <c r="K2374" s="10" t="s">
        <v>3280</v>
      </c>
      <c r="L2374" s="10" t="s">
        <v>440</v>
      </c>
      <c r="M2374" s="10" t="s">
        <v>1842</v>
      </c>
      <c r="N2374" s="7"/>
    </row>
    <row r="2375" s="1" customFormat="1" ht="28.5" customHeight="1" spans="1:14">
      <c r="A2375" s="8">
        <v>60801</v>
      </c>
      <c r="B2375" s="9">
        <v>60843</v>
      </c>
      <c r="C2375" s="9" t="s">
        <v>36</v>
      </c>
      <c r="D2375" s="9">
        <v>2000</v>
      </c>
      <c r="E2375" s="9"/>
      <c r="F2375" s="9">
        <v>60808</v>
      </c>
      <c r="G2375" s="10" t="s">
        <v>3281</v>
      </c>
      <c r="H2375" s="10" t="s">
        <v>563</v>
      </c>
      <c r="I2375" s="10"/>
      <c r="J2375" s="9">
        <v>31793</v>
      </c>
      <c r="K2375" s="10" t="s">
        <v>3282</v>
      </c>
      <c r="L2375" s="10" t="s">
        <v>440</v>
      </c>
      <c r="M2375" s="10" t="s">
        <v>1842</v>
      </c>
      <c r="N2375" s="7"/>
    </row>
    <row r="2376" s="1" customFormat="1" ht="28.5" customHeight="1" spans="1:14">
      <c r="A2376" s="8">
        <v>60801</v>
      </c>
      <c r="B2376" s="9">
        <v>60844</v>
      </c>
      <c r="C2376" s="9" t="s">
        <v>36</v>
      </c>
      <c r="D2376" s="9">
        <v>1500</v>
      </c>
      <c r="E2376" s="9"/>
      <c r="F2376" s="9">
        <v>60808</v>
      </c>
      <c r="G2376" s="10" t="s">
        <v>3283</v>
      </c>
      <c r="H2376" s="10" t="s">
        <v>563</v>
      </c>
      <c r="I2376" s="10"/>
      <c r="J2376" s="9">
        <v>31794</v>
      </c>
      <c r="K2376" s="10" t="s">
        <v>3284</v>
      </c>
      <c r="L2376" s="10" t="s">
        <v>440</v>
      </c>
      <c r="M2376" s="10" t="s">
        <v>1842</v>
      </c>
      <c r="N2376" s="7"/>
    </row>
    <row r="2377" s="1" customFormat="1" ht="28.5" customHeight="1" spans="1:14">
      <c r="A2377" s="8">
        <v>60801</v>
      </c>
      <c r="B2377" s="9">
        <v>60845</v>
      </c>
      <c r="C2377" s="9" t="s">
        <v>36</v>
      </c>
      <c r="D2377" s="9">
        <v>1000</v>
      </c>
      <c r="E2377" s="9"/>
      <c r="F2377" s="9">
        <v>60808</v>
      </c>
      <c r="G2377" s="10" t="s">
        <v>3285</v>
      </c>
      <c r="H2377" s="10" t="s">
        <v>563</v>
      </c>
      <c r="I2377" s="10"/>
      <c r="J2377" s="9">
        <v>31795</v>
      </c>
      <c r="K2377" s="10" t="s">
        <v>3286</v>
      </c>
      <c r="L2377" s="10" t="s">
        <v>440</v>
      </c>
      <c r="M2377" s="10" t="s">
        <v>1842</v>
      </c>
      <c r="N2377" s="7"/>
    </row>
    <row r="2378" s="1" customFormat="1" ht="28.5" customHeight="1" spans="1:14">
      <c r="A2378" s="8">
        <v>60801</v>
      </c>
      <c r="B2378" s="9">
        <v>60846</v>
      </c>
      <c r="C2378" s="9" t="s">
        <v>36</v>
      </c>
      <c r="D2378" s="9">
        <v>3000</v>
      </c>
      <c r="E2378" s="9"/>
      <c r="F2378" s="9">
        <v>60809</v>
      </c>
      <c r="G2378" s="10" t="s">
        <v>3249</v>
      </c>
      <c r="H2378" s="10" t="s">
        <v>563</v>
      </c>
      <c r="I2378" s="10"/>
      <c r="J2378" s="9">
        <v>41796</v>
      </c>
      <c r="K2378" s="10" t="s">
        <v>3250</v>
      </c>
      <c r="L2378" s="10" t="s">
        <v>441</v>
      </c>
      <c r="M2378" s="10" t="s">
        <v>1842</v>
      </c>
      <c r="N2378" s="7"/>
    </row>
    <row r="2379" s="1" customFormat="1" ht="28.5" customHeight="1" spans="1:14">
      <c r="A2379" s="8">
        <v>60801</v>
      </c>
      <c r="B2379" s="9">
        <v>60847</v>
      </c>
      <c r="C2379" s="9" t="s">
        <v>36</v>
      </c>
      <c r="D2379" s="9">
        <v>2500</v>
      </c>
      <c r="E2379" s="9"/>
      <c r="F2379" s="9">
        <v>60809</v>
      </c>
      <c r="G2379" s="10" t="s">
        <v>3287</v>
      </c>
      <c r="H2379" s="10" t="s">
        <v>563</v>
      </c>
      <c r="I2379" s="10"/>
      <c r="J2379" s="9">
        <v>41797</v>
      </c>
      <c r="K2379" s="10" t="s">
        <v>3288</v>
      </c>
      <c r="L2379" s="10" t="s">
        <v>441</v>
      </c>
      <c r="M2379" s="10" t="s">
        <v>1842</v>
      </c>
      <c r="N2379" s="7"/>
    </row>
    <row r="2380" s="1" customFormat="1" ht="28.5" customHeight="1" spans="1:14">
      <c r="A2380" s="8">
        <v>60801</v>
      </c>
      <c r="B2380" s="9">
        <v>60848</v>
      </c>
      <c r="C2380" s="9" t="s">
        <v>36</v>
      </c>
      <c r="D2380" s="9">
        <v>2000</v>
      </c>
      <c r="E2380" s="9"/>
      <c r="F2380" s="9">
        <v>60809</v>
      </c>
      <c r="G2380" s="10" t="s">
        <v>3289</v>
      </c>
      <c r="H2380" s="10" t="s">
        <v>563</v>
      </c>
      <c r="I2380" s="10"/>
      <c r="J2380" s="9">
        <v>41798</v>
      </c>
      <c r="K2380" s="10" t="s">
        <v>3290</v>
      </c>
      <c r="L2380" s="10" t="s">
        <v>441</v>
      </c>
      <c r="M2380" s="10" t="s">
        <v>1842</v>
      </c>
      <c r="N2380" s="7"/>
    </row>
    <row r="2381" s="1" customFormat="1" ht="28.5" customHeight="1" spans="1:14">
      <c r="A2381" s="8">
        <v>60801</v>
      </c>
      <c r="B2381" s="9">
        <v>60849</v>
      </c>
      <c r="C2381" s="9" t="s">
        <v>36</v>
      </c>
      <c r="D2381" s="9">
        <v>1500</v>
      </c>
      <c r="E2381" s="9"/>
      <c r="F2381" s="9">
        <v>60809</v>
      </c>
      <c r="G2381" s="10" t="s">
        <v>3291</v>
      </c>
      <c r="H2381" s="10" t="s">
        <v>563</v>
      </c>
      <c r="I2381" s="10"/>
      <c r="J2381" s="9">
        <v>41799</v>
      </c>
      <c r="K2381" s="10" t="s">
        <v>3292</v>
      </c>
      <c r="L2381" s="10" t="s">
        <v>441</v>
      </c>
      <c r="M2381" s="10" t="s">
        <v>1842</v>
      </c>
      <c r="N2381" s="7"/>
    </row>
    <row r="2382" s="1" customFormat="1" ht="28.5" customHeight="1" spans="1:14">
      <c r="A2382" s="11">
        <v>60801</v>
      </c>
      <c r="B2382" s="12">
        <v>60850</v>
      </c>
      <c r="C2382" s="12" t="s">
        <v>36</v>
      </c>
      <c r="D2382" s="12">
        <v>1000</v>
      </c>
      <c r="E2382" s="12"/>
      <c r="F2382" s="12">
        <v>60809</v>
      </c>
      <c r="G2382" s="13" t="s">
        <v>3293</v>
      </c>
      <c r="H2382" s="13" t="s">
        <v>563</v>
      </c>
      <c r="I2382" s="13"/>
      <c r="J2382" s="12">
        <v>41800</v>
      </c>
      <c r="K2382" s="13" t="s">
        <v>3294</v>
      </c>
      <c r="L2382" s="13" t="s">
        <v>441</v>
      </c>
      <c r="M2382" s="13" t="s">
        <v>1842</v>
      </c>
      <c r="N2382" s="7"/>
    </row>
  </sheetData>
  <mergeCells count="1">
    <mergeCell ref="A1:N1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说明</vt:lpstr>
      <vt:lpstr>养成规划</vt:lpstr>
      <vt:lpstr>装备属性</vt:lpstr>
      <vt:lpstr>装备产出</vt:lpstr>
      <vt:lpstr>装备词条库配置</vt:lpstr>
      <vt:lpstr>属性汇总</vt:lpstr>
      <vt:lpstr>装备产出配置</vt:lpstr>
      <vt:lpstr>GM表配置</vt:lpstr>
      <vt:lpstr>Sheet1</vt:lpstr>
      <vt:lpstr>Sheet2</vt:lpstr>
      <vt:lpstr>附加词条抽取库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knglòppp</cp:lastModifiedBy>
  <dcterms:created xsi:type="dcterms:W3CDTF">2025-05-12T09:01:00Z</dcterms:created>
  <dcterms:modified xsi:type="dcterms:W3CDTF">2026-08-27T12:50:31Z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EBF646011E7E4FC2A55642EB9E299090_12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